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pa\Desktop\"/>
    </mc:Choice>
  </mc:AlternateContent>
  <bookViews>
    <workbookView showHorizontalScroll="0" showSheetTabs="0" xWindow="0" yWindow="0" windowWidth="19200" windowHeight="11595" tabRatio="839" activeTab="9"/>
  </bookViews>
  <sheets>
    <sheet name="Eredmények" sheetId="1" r:id="rId1"/>
    <sheet name="Tabellák" sheetId="3" r:id="rId2"/>
    <sheet name="Ágrajz" sheetId="6" r:id="rId3"/>
    <sheet name="Rangsor" sheetId="2" r:id="rId4"/>
    <sheet name="Gólszerz" sheetId="14" r:id="rId5"/>
    <sheet name="Góllista" sheetId="16" r:id="rId6"/>
    <sheet name="Csoportok" sheetId="13" r:id="rId7"/>
    <sheet name="Csapatok" sheetId="15" r:id="rId8"/>
    <sheet name="Helyszínek" sheetId="4" r:id="rId9"/>
    <sheet name="Tipp" sheetId="17" r:id="rId10"/>
    <sheet name="Súgó" sheetId="12" r:id="rId11"/>
    <sheet name="Adatok" sheetId="9" state="hidden" r:id="rId12"/>
  </sheets>
  <definedNames>
    <definedName name="aa.g">Eredmények!$AJ$8:$AJ$92</definedName>
    <definedName name="aa.o">Eredmények!$AJ$8:$AJ$161</definedName>
    <definedName name="af.g">Eredmények!$AI$8:$AI$92</definedName>
    <definedName name="af.o">Eredmények!$AI$8:$AI$161</definedName>
    <definedName name="away.g">Eredmények!$AH$8:$AH$92</definedName>
    <definedName name="away.o">Eredmények!$AH$8:$AH$161</definedName>
    <definedName name="days">Adatok!$G$8:$H$14</definedName>
    <definedName name="draw.g">Eredmények!$AB$8:$AC$92</definedName>
    <definedName name="draw.o">Eredmények!$AB$8:$AC$161</definedName>
    <definedName name="ekiha">Ágrajz!$CD$8:$CE$12</definedName>
    <definedName name="ekiscore">Ágrajz!$BY$8:$BZ$23</definedName>
    <definedName name="groupm">Eredmények!$Y$8:$AY$92</definedName>
    <definedName name="groupph">Tabellák!$AD$7:$AQ$52</definedName>
    <definedName name="grouprank">Tabellák!$AU$7:$AW$52</definedName>
    <definedName name="grouptable">Tabellák!$AE$7:$AQ$40</definedName>
    <definedName name="ha.g">Eredmények!$AG$8:$AG$92</definedName>
    <definedName name="ha.o">Eredmények!$AG$8:$AG$161</definedName>
    <definedName name="hf.g">Eredmények!$AF$8:$AF$92</definedName>
    <definedName name="hf.o">Eredmények!$AF$8:$AF$161</definedName>
    <definedName name="home.g">Eredmények!$AE$8:$AE$92</definedName>
    <definedName name="home.o">Eredmények!$AE$8:$AE$161</definedName>
    <definedName name="loss.g">Eredmények!$AD$8:$AD$92</definedName>
    <definedName name="loss.o">Eredmények!$AD$8:$AD$161</definedName>
    <definedName name="months">Adatok!$G$16:$H$19</definedName>
    <definedName name="n.er">Eredmények!$X$8:$AY$161</definedName>
    <definedName name="n.er.index">Eredmények!$X$8:$X$161</definedName>
    <definedName name="nevek">Csapatok!$G$7:$U$965</definedName>
    <definedName name="nevek.01">Gólszerz!$AY$8:$AY$33</definedName>
    <definedName name="nevek.02">Gólszerz!$BA$8:$BA$33</definedName>
    <definedName name="nevek.03">Gólszerz!$BC$8:$BC$33</definedName>
    <definedName name="nevek.04">Gólszerz!$BE$8:$BE$33</definedName>
    <definedName name="nevek.05">Gólszerz!$BG$8:$BG$33</definedName>
    <definedName name="nevek.06">Gólszerz!$BI$8:$BI$33</definedName>
    <definedName name="nevek.07">Gólszerz!$BK$8:$BK$33</definedName>
    <definedName name="nevek.08">Gólszerz!$BM$8:$BM$33</definedName>
    <definedName name="nevek.09">Gólszerz!$BO$8:$BO$33</definedName>
    <definedName name="nevek.10">Gólszerz!$BQ$8:$BQ$33</definedName>
    <definedName name="nevek.11">Gólszerz!$BS$8:$BS$33</definedName>
    <definedName name="nevek.12">Gólszerz!$BU$8:$BU$33</definedName>
    <definedName name="nevek.13">Gólszerz!$BW$8:$BW$33</definedName>
    <definedName name="nevek.14">Gólszerz!$BY$8:$BY$33</definedName>
    <definedName name="nevek.15">Gólszerz!$CA$8:$CA$33</definedName>
    <definedName name="nevek.16">Gólszerz!$CC$8:$CC$33</definedName>
    <definedName name="nevek.17">Gólszerz!$CE$8:$CE$33</definedName>
    <definedName name="nevek.18">Gólszerz!$CG$8:$CG$33</definedName>
    <definedName name="nevek.19">Gólszerz!$CI$8:$CI$33</definedName>
    <definedName name="nevek.20">Gólszerz!$CK$8:$CK$33</definedName>
    <definedName name="nevek.21">Gólszerz!$CM$8:$CM$33</definedName>
    <definedName name="nevek.22">Gólszerz!$CO$8:$CO$33</definedName>
    <definedName name="nevek.23">Gólszerz!$CQ$8:$CQ$33</definedName>
    <definedName name="nevek.24">Gólszerz!$CS$8:$CS$33</definedName>
    <definedName name="nevek.li">Gólszerz!$AY$6:$CS$7</definedName>
    <definedName name="nevek.s">Gólszerz!$AQ$8:$AT$672</definedName>
    <definedName name="_xlnm.Print_Titles" localSheetId="2">Ágrajz!$1:$4</definedName>
    <definedName name="_xlnm.Print_Titles" localSheetId="7">Csapatok!$1:$5</definedName>
    <definedName name="_xlnm.Print_Titles" localSheetId="6">Csoportok!$1:$4</definedName>
    <definedName name="_xlnm.Print_Titles" localSheetId="0">Eredmények!$1:$4</definedName>
    <definedName name="_xlnm.Print_Titles" localSheetId="5">Góllista!$1:$6</definedName>
    <definedName name="_xlnm.Print_Titles" localSheetId="4">Gólszerz!$1:$4</definedName>
    <definedName name="_xlnm.Print_Titles" localSheetId="8">Helyszínek!$1:$4</definedName>
    <definedName name="_xlnm.Print_Titles" localSheetId="3">Rangsor!$1:$4</definedName>
    <definedName name="_xlnm.Print_Titles" localSheetId="10">Súgó!$1:$5</definedName>
    <definedName name="_xlnm.Print_Titles" localSheetId="1">Tabellák!$1:$4</definedName>
    <definedName name="_xlnm.Print_Titles" localSheetId="9">Tipp!$1:$16</definedName>
    <definedName name="_xlnm.Print_Area" localSheetId="2">Ágrajz!$A$1:$CH$30</definedName>
    <definedName name="_xlnm.Print_Area" localSheetId="7">Csapatok!$A$1:$X$965</definedName>
    <definedName name="_xlnm.Print_Area" localSheetId="6">Csoportok!$A$1:$N$154</definedName>
    <definedName name="_xlnm.Print_Area" localSheetId="0">Eredmények!$A$1:$S$155</definedName>
    <definedName name="_xlnm.Print_Area" localSheetId="5">Góllista!$A$1:$S$306</definedName>
    <definedName name="_xlnm.Print_Area" localSheetId="4">Gólszerz!$A$1:$P$673</definedName>
    <definedName name="_xlnm.Print_Area" localSheetId="8">Helyszínek!$A$1:$V$604</definedName>
    <definedName name="_xlnm.Print_Area" localSheetId="3">Rangsor!$A$1:$O$41</definedName>
    <definedName name="_xlnm.Print_Area" localSheetId="10">Súgó!$A$1:$E$125</definedName>
    <definedName name="_xlnm.Print_Area" localSheetId="1">Tabellák!$A$1:$W$28</definedName>
    <definedName name="_xlnm.Print_Area" localSheetId="9">Tipp!$A$1:$AL$721</definedName>
    <definedName name="overall">Rangsor!$W$7:$AI$38</definedName>
    <definedName name="resztvevok">Tipp!$AU$21:$AX$35</definedName>
    <definedName name="schedule">Adatok!$A$24:$AB$74</definedName>
    <definedName name="stadium">Adatok!$A$8:$E$19</definedName>
    <definedName name="teamnames">Adatok!$B$77:$B$100</definedName>
    <definedName name="teams">Adatok!$A$1:$H$5</definedName>
    <definedName name="thirdpl">Adatok!$J$2:$N$17</definedName>
    <definedName name="thirdplrow">Adatok!$J$2:$N$2</definedName>
    <definedName name="tie.3rdm">Tabellák!$BA$7:$BA$40</definedName>
    <definedName name="tie.3rdmw">Eredmények!$AM$68:$AM$91</definedName>
    <definedName name="tie.sp">Súgó!$D$28:$D$30</definedName>
    <definedName name="tippont">Tipp!$H$6:$AK$7</definedName>
    <definedName name="win.g">Eredmények!$AA$8:$AA$92</definedName>
    <definedName name="win.o">Eredmények!$AA$8:$AA$161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19" i="9" l="1"/>
  <c r="P18" i="9"/>
  <c r="P17" i="9"/>
  <c r="P16" i="9"/>
  <c r="P15" i="9"/>
  <c r="P14" i="9"/>
  <c r="P13" i="9"/>
  <c r="P12" i="9"/>
  <c r="P11" i="9"/>
  <c r="P10" i="9"/>
  <c r="P9" i="9"/>
  <c r="P8" i="9"/>
  <c r="L311" i="4"/>
  <c r="K311" i="4"/>
  <c r="K560" i="4"/>
  <c r="K559" i="4"/>
  <c r="K557" i="4"/>
  <c r="K556" i="4"/>
  <c r="K510" i="4"/>
  <c r="K509" i="4"/>
  <c r="K507" i="4"/>
  <c r="K506" i="4"/>
  <c r="K460" i="4"/>
  <c r="K459" i="4"/>
  <c r="K457" i="4"/>
  <c r="K456" i="4"/>
  <c r="L412" i="4"/>
  <c r="K412" i="4"/>
  <c r="K410" i="4"/>
  <c r="K409" i="4"/>
  <c r="K407" i="4"/>
  <c r="K406" i="4"/>
  <c r="L362" i="4"/>
  <c r="K362" i="4"/>
  <c r="K360" i="4"/>
  <c r="K359" i="4"/>
  <c r="K357" i="4"/>
  <c r="K356" i="4"/>
  <c r="K310" i="4"/>
  <c r="K309" i="4"/>
  <c r="K307" i="4"/>
  <c r="K306" i="4"/>
  <c r="L262" i="4"/>
  <c r="K262" i="4"/>
  <c r="K260" i="4"/>
  <c r="K259" i="4"/>
  <c r="K257" i="4"/>
  <c r="K256" i="4"/>
  <c r="L212" i="4"/>
  <c r="K212" i="4"/>
  <c r="K210" i="4"/>
  <c r="K209" i="4"/>
  <c r="K207" i="4"/>
  <c r="K206" i="4"/>
  <c r="L162" i="4"/>
  <c r="K162" i="4"/>
  <c r="K160" i="4"/>
  <c r="K159" i="4"/>
  <c r="K157" i="4"/>
  <c r="K156" i="4"/>
  <c r="L112" i="4"/>
  <c r="K112" i="4"/>
  <c r="K110" i="4"/>
  <c r="K109" i="4"/>
  <c r="K107" i="4"/>
  <c r="K106" i="4"/>
  <c r="L62" i="4"/>
  <c r="K62" i="4"/>
  <c r="K60" i="4"/>
  <c r="K59" i="4"/>
  <c r="K57" i="4"/>
  <c r="K56" i="4"/>
  <c r="K12" i="4"/>
  <c r="L12" i="4"/>
  <c r="S72" i="9"/>
  <c r="S69" i="9"/>
  <c r="S63" i="9"/>
  <c r="AE13" i="3"/>
  <c r="H59" i="9"/>
  <c r="H58" i="9"/>
  <c r="I58" i="9"/>
  <c r="H57" i="9"/>
  <c r="H56" i="9"/>
  <c r="I56" i="9"/>
  <c r="H55" i="9"/>
  <c r="I55" i="9"/>
  <c r="H54" i="9"/>
  <c r="H53" i="9"/>
  <c r="H52" i="9"/>
  <c r="I52" i="9"/>
  <c r="H51" i="9"/>
  <c r="H50" i="9"/>
  <c r="I50" i="9"/>
  <c r="H49" i="9"/>
  <c r="H48" i="9"/>
  <c r="H47" i="9"/>
  <c r="H46" i="9"/>
  <c r="H45" i="9"/>
  <c r="I45" i="9"/>
  <c r="H44" i="9"/>
  <c r="H43" i="9"/>
  <c r="I43" i="9"/>
  <c r="H42" i="9"/>
  <c r="H41" i="9"/>
  <c r="H40" i="9"/>
  <c r="I40" i="9"/>
  <c r="H39" i="9"/>
  <c r="H38" i="9"/>
  <c r="H37" i="9"/>
  <c r="H36" i="9"/>
  <c r="H35" i="9"/>
  <c r="H34" i="9"/>
  <c r="I34" i="9"/>
  <c r="H33" i="9"/>
  <c r="AE29" i="1" s="1"/>
  <c r="Z29" i="1" s="1"/>
  <c r="H32" i="9"/>
  <c r="AE28" i="1" s="1"/>
  <c r="Z28" i="1" s="1"/>
  <c r="H31" i="9"/>
  <c r="AE27" i="1" s="1"/>
  <c r="H30" i="9"/>
  <c r="AE22" i="1"/>
  <c r="Z22" i="1" s="1"/>
  <c r="H29" i="9"/>
  <c r="AE21" i="1" s="1"/>
  <c r="H28" i="9"/>
  <c r="H27" i="9"/>
  <c r="AE15" i="1" s="1"/>
  <c r="Z15" i="1" s="1"/>
  <c r="H26" i="9"/>
  <c r="AE14" i="1" s="1"/>
  <c r="Z14" i="1" s="1"/>
  <c r="AG14" i="1" s="1"/>
  <c r="X32" i="14" s="1"/>
  <c r="F23" i="14" s="1"/>
  <c r="H25" i="9"/>
  <c r="AE13" i="1" s="1"/>
  <c r="Z13" i="1" s="1"/>
  <c r="I25" i="9"/>
  <c r="AH13" i="1" s="1"/>
  <c r="M13" i="1" s="1"/>
  <c r="H24" i="9"/>
  <c r="AE8" i="1"/>
  <c r="I24" i="9"/>
  <c r="AH8" i="1" s="1"/>
  <c r="I57" i="9"/>
  <c r="I54" i="9"/>
  <c r="I51" i="9"/>
  <c r="I46" i="9"/>
  <c r="I37" i="9"/>
  <c r="I35" i="9"/>
  <c r="I32" i="9"/>
  <c r="I59" i="9"/>
  <c r="I53" i="9"/>
  <c r="I49" i="9"/>
  <c r="I48" i="9"/>
  <c r="I47" i="9"/>
  <c r="I44" i="9"/>
  <c r="I42" i="9"/>
  <c r="I41" i="9"/>
  <c r="I39" i="9"/>
  <c r="I38" i="9"/>
  <c r="I36" i="9"/>
  <c r="I33" i="9"/>
  <c r="AH29" i="1" s="1"/>
  <c r="I31" i="9"/>
  <c r="AH27" i="1" s="1"/>
  <c r="M27" i="1" s="1"/>
  <c r="I30" i="9"/>
  <c r="I29" i="9"/>
  <c r="AH21" i="1" s="1"/>
  <c r="M21" i="1" s="1"/>
  <c r="I28" i="9"/>
  <c r="AH20" i="1" s="1"/>
  <c r="M20" i="1" s="1"/>
  <c r="I27" i="9"/>
  <c r="AH15" i="1"/>
  <c r="Y15" i="1" s="1"/>
  <c r="I26" i="9"/>
  <c r="AH14" i="1" s="1"/>
  <c r="AE14" i="3"/>
  <c r="AP14" i="3" s="1"/>
  <c r="AE15" i="3"/>
  <c r="AE16" i="3"/>
  <c r="BU16" i="3" s="1"/>
  <c r="BU13" i="3"/>
  <c r="AE37" i="3"/>
  <c r="BU37" i="3" s="1"/>
  <c r="AE38" i="3"/>
  <c r="BU38" i="3" s="1"/>
  <c r="AE39" i="3"/>
  <c r="AP39" i="3" s="1"/>
  <c r="AE40" i="3"/>
  <c r="AE31" i="3"/>
  <c r="AP31" i="3" s="1"/>
  <c r="AE32" i="3"/>
  <c r="AE33" i="3"/>
  <c r="BU33" i="3" s="1"/>
  <c r="AE34" i="3"/>
  <c r="X26" i="2" s="1"/>
  <c r="AE25" i="3"/>
  <c r="AP25" i="3" s="1"/>
  <c r="AE26" i="3"/>
  <c r="BU26" i="3" s="1"/>
  <c r="AE27" i="3"/>
  <c r="BU27" i="3" s="1"/>
  <c r="AE28" i="3"/>
  <c r="BU28" i="3" s="1"/>
  <c r="AE19" i="3"/>
  <c r="AP19" i="3" s="1"/>
  <c r="AE20" i="3"/>
  <c r="AP20" i="3" s="1"/>
  <c r="AE21" i="3"/>
  <c r="BU21" i="3" s="1"/>
  <c r="AE22" i="3"/>
  <c r="AP22" i="3" s="1"/>
  <c r="K59" i="9"/>
  <c r="AE7" i="3"/>
  <c r="AP7" i="3" s="1"/>
  <c r="AE8" i="3"/>
  <c r="BU8" i="3"/>
  <c r="AE9" i="3"/>
  <c r="BU9" i="3" s="1"/>
  <c r="AE10" i="3"/>
  <c r="BU10" i="3" s="1"/>
  <c r="K58" i="9"/>
  <c r="K57" i="9"/>
  <c r="K56" i="9"/>
  <c r="K55" i="9"/>
  <c r="K54" i="9"/>
  <c r="K53" i="9"/>
  <c r="K52" i="9"/>
  <c r="K51" i="9"/>
  <c r="K50" i="9"/>
  <c r="K49" i="9"/>
  <c r="K48" i="9"/>
  <c r="K47" i="9"/>
  <c r="K46" i="9"/>
  <c r="K45" i="9"/>
  <c r="K44" i="9"/>
  <c r="K43" i="9"/>
  <c r="K42" i="9"/>
  <c r="K41" i="9"/>
  <c r="K40" i="9"/>
  <c r="K39" i="9"/>
  <c r="K38" i="9"/>
  <c r="K37" i="9"/>
  <c r="K36" i="9"/>
  <c r="K35" i="9"/>
  <c r="K34" i="9"/>
  <c r="K33" i="9"/>
  <c r="AW29" i="1" s="1"/>
  <c r="G29" i="1"/>
  <c r="AV29" i="1"/>
  <c r="F29" i="1" s="1"/>
  <c r="AR29" i="1"/>
  <c r="K32" i="9"/>
  <c r="AW28" i="1"/>
  <c r="G28" i="1" s="1"/>
  <c r="AV28" i="1"/>
  <c r="F28" i="1" s="1"/>
  <c r="AR28" i="1"/>
  <c r="K31" i="9"/>
  <c r="AW27" i="1" s="1"/>
  <c r="G27" i="1" s="1"/>
  <c r="AV27" i="1"/>
  <c r="F27" i="1" s="1"/>
  <c r="AR27" i="1"/>
  <c r="K30" i="9"/>
  <c r="AW22" i="1"/>
  <c r="G22" i="1" s="1"/>
  <c r="AV22" i="1"/>
  <c r="F22" i="1" s="1"/>
  <c r="AR22" i="1"/>
  <c r="K29" i="9"/>
  <c r="AW21" i="1" s="1"/>
  <c r="G21" i="1" s="1"/>
  <c r="AV21" i="1"/>
  <c r="F21" i="1" s="1"/>
  <c r="AR21" i="1"/>
  <c r="K28" i="9"/>
  <c r="AW20" i="1"/>
  <c r="G20" i="1" s="1"/>
  <c r="AV20" i="1"/>
  <c r="F20" i="1" s="1"/>
  <c r="AR20" i="1"/>
  <c r="K27" i="9"/>
  <c r="AW15" i="1" s="1"/>
  <c r="G15" i="1" s="1"/>
  <c r="AV15" i="1"/>
  <c r="F15" i="1" s="1"/>
  <c r="AR15" i="1"/>
  <c r="K26" i="9"/>
  <c r="AW14" i="1" s="1"/>
  <c r="G14" i="1" s="1"/>
  <c r="AV14" i="1"/>
  <c r="F14" i="1" s="1"/>
  <c r="AR14" i="1"/>
  <c r="K25" i="9"/>
  <c r="AW13" i="1" s="1"/>
  <c r="G13" i="1" s="1"/>
  <c r="AV13" i="1"/>
  <c r="F13" i="1" s="1"/>
  <c r="AR13" i="1"/>
  <c r="K24" i="9"/>
  <c r="AW8" i="1" s="1"/>
  <c r="AV8" i="1"/>
  <c r="F8" i="1" s="1"/>
  <c r="N24" i="9"/>
  <c r="AS8" i="1"/>
  <c r="BC6" i="1" s="1"/>
  <c r="AR8" i="1"/>
  <c r="BU14" i="3"/>
  <c r="AP13" i="3"/>
  <c r="BU7" i="3"/>
  <c r="S73" i="9"/>
  <c r="S71" i="9"/>
  <c r="AA71" i="9" s="1"/>
  <c r="S67" i="9"/>
  <c r="AP32" i="3"/>
  <c r="BU19" i="3"/>
  <c r="BU25" i="3"/>
  <c r="AP26" i="3"/>
  <c r="BU40" i="3"/>
  <c r="AP40" i="3"/>
  <c r="S70" i="9"/>
  <c r="S62" i="9"/>
  <c r="S74" i="9"/>
  <c r="S68" i="9"/>
  <c r="S65" i="9"/>
  <c r="Z65" i="9" s="1"/>
  <c r="S64" i="9"/>
  <c r="S61" i="9"/>
  <c r="S66" i="9"/>
  <c r="S32" i="9"/>
  <c r="S33" i="9"/>
  <c r="S31" i="9"/>
  <c r="S28" i="9"/>
  <c r="S29" i="9"/>
  <c r="S60" i="9"/>
  <c r="S30" i="9"/>
  <c r="S26" i="9"/>
  <c r="S27" i="9"/>
  <c r="S25" i="9"/>
  <c r="L621" i="14"/>
  <c r="L587" i="14"/>
  <c r="L553" i="14"/>
  <c r="L519" i="14"/>
  <c r="L485" i="14"/>
  <c r="L451" i="14"/>
  <c r="L213" i="14"/>
  <c r="L247" i="14"/>
  <c r="L281" i="14"/>
  <c r="L315" i="14"/>
  <c r="L349" i="14"/>
  <c r="L383" i="14"/>
  <c r="L417" i="14"/>
  <c r="A34" i="9"/>
  <c r="AQ90" i="17"/>
  <c r="AR90" i="17" s="1"/>
  <c r="D90" i="17" s="1"/>
  <c r="AP101" i="17"/>
  <c r="AQ101" i="17" s="1"/>
  <c r="AO116" i="1"/>
  <c r="Y643" i="14"/>
  <c r="Y655" i="14" s="1"/>
  <c r="W643" i="14"/>
  <c r="AN75" i="1"/>
  <c r="AO75" i="1"/>
  <c r="X647" i="14"/>
  <c r="X646" i="14"/>
  <c r="X644" i="14"/>
  <c r="X643" i="14"/>
  <c r="Y609" i="14"/>
  <c r="W609" i="14"/>
  <c r="X613" i="14"/>
  <c r="X612" i="14"/>
  <c r="X610" i="14"/>
  <c r="X609" i="14"/>
  <c r="Y575" i="14"/>
  <c r="W575" i="14"/>
  <c r="X579" i="14"/>
  <c r="X578" i="14"/>
  <c r="X576" i="14"/>
  <c r="X575" i="14"/>
  <c r="Y541" i="14"/>
  <c r="W541" i="14"/>
  <c r="X545" i="14"/>
  <c r="X544" i="14"/>
  <c r="X542" i="14"/>
  <c r="X541" i="14"/>
  <c r="Y507" i="14"/>
  <c r="W507" i="14"/>
  <c r="X511" i="14"/>
  <c r="X510" i="14"/>
  <c r="X508" i="14"/>
  <c r="X507" i="14"/>
  <c r="Y473" i="14"/>
  <c r="W473" i="14"/>
  <c r="X477" i="14"/>
  <c r="X476" i="14"/>
  <c r="X474" i="14"/>
  <c r="X473" i="14"/>
  <c r="Y439" i="14"/>
  <c r="W439" i="14"/>
  <c r="X443" i="14"/>
  <c r="X442" i="14"/>
  <c r="X440" i="14"/>
  <c r="X439" i="14"/>
  <c r="Y405" i="14"/>
  <c r="W405" i="14"/>
  <c r="X409" i="14"/>
  <c r="X408" i="14"/>
  <c r="X406" i="14"/>
  <c r="X405" i="14"/>
  <c r="Y371" i="14"/>
  <c r="W371" i="14"/>
  <c r="X375" i="14"/>
  <c r="X374" i="14"/>
  <c r="X372" i="14"/>
  <c r="X371" i="14"/>
  <c r="Y337" i="14"/>
  <c r="W337" i="14"/>
  <c r="X341" i="14"/>
  <c r="X340" i="14"/>
  <c r="X338" i="14"/>
  <c r="X337" i="14"/>
  <c r="Y303" i="14"/>
  <c r="W303" i="14"/>
  <c r="X307" i="14"/>
  <c r="X306" i="14"/>
  <c r="X304" i="14"/>
  <c r="X303" i="14"/>
  <c r="Y269" i="14"/>
  <c r="W269" i="14"/>
  <c r="X273" i="14"/>
  <c r="X272" i="14"/>
  <c r="X270" i="14"/>
  <c r="X269" i="14"/>
  <c r="Y235" i="14"/>
  <c r="W235" i="14"/>
  <c r="X239" i="14"/>
  <c r="X238" i="14"/>
  <c r="X236" i="14"/>
  <c r="X235" i="14"/>
  <c r="Y201" i="14"/>
  <c r="W201" i="14"/>
  <c r="X205" i="14"/>
  <c r="X204" i="14"/>
  <c r="X202" i="14"/>
  <c r="X201" i="14"/>
  <c r="Y185" i="14"/>
  <c r="W185" i="14"/>
  <c r="X189" i="14"/>
  <c r="X188" i="14"/>
  <c r="X186" i="14"/>
  <c r="X185" i="14"/>
  <c r="Y169" i="14"/>
  <c r="W169" i="14"/>
  <c r="X173" i="14"/>
  <c r="X172" i="14"/>
  <c r="X170" i="14"/>
  <c r="X169" i="14"/>
  <c r="Y153" i="14"/>
  <c r="W153" i="14"/>
  <c r="X157" i="14"/>
  <c r="X156" i="14"/>
  <c r="X154" i="14"/>
  <c r="X153" i="14"/>
  <c r="Y137" i="14"/>
  <c r="W137" i="14"/>
  <c r="X141" i="14"/>
  <c r="X140" i="14"/>
  <c r="X138" i="14"/>
  <c r="X137" i="14"/>
  <c r="Y121" i="14"/>
  <c r="W121" i="14"/>
  <c r="X125" i="14"/>
  <c r="X124" i="14"/>
  <c r="X122" i="14"/>
  <c r="X121" i="14"/>
  <c r="Y105" i="14"/>
  <c r="W105" i="14"/>
  <c r="X109" i="14"/>
  <c r="X108" i="14"/>
  <c r="X106" i="14"/>
  <c r="X105" i="14"/>
  <c r="Y89" i="14"/>
  <c r="W89" i="14"/>
  <c r="X93" i="14"/>
  <c r="X92" i="14"/>
  <c r="X90" i="14"/>
  <c r="X89" i="14"/>
  <c r="Y73" i="14"/>
  <c r="W73" i="14"/>
  <c r="W74" i="14" s="1"/>
  <c r="Y77" i="14"/>
  <c r="X77" i="14"/>
  <c r="W77" i="14"/>
  <c r="Y76" i="14"/>
  <c r="O70" i="14" s="1"/>
  <c r="X76" i="14"/>
  <c r="W76" i="14"/>
  <c r="H70" i="14" s="1"/>
  <c r="X74" i="14"/>
  <c r="X73" i="14"/>
  <c r="Y57" i="14"/>
  <c r="W57" i="14"/>
  <c r="Y61" i="14"/>
  <c r="X61" i="14"/>
  <c r="W61" i="14"/>
  <c r="Y60" i="14"/>
  <c r="O54" i="14" s="1"/>
  <c r="X60" i="14"/>
  <c r="W60" i="14"/>
  <c r="H54" i="14" s="1"/>
  <c r="X58" i="14"/>
  <c r="X57" i="14"/>
  <c r="Y41" i="14"/>
  <c r="W41" i="14"/>
  <c r="Y45" i="14"/>
  <c r="X45" i="14"/>
  <c r="W45" i="14"/>
  <c r="Y44" i="14"/>
  <c r="O38" i="14" s="1"/>
  <c r="X44" i="14"/>
  <c r="W44" i="14"/>
  <c r="H38" i="14" s="1"/>
  <c r="X42" i="14"/>
  <c r="X41" i="14"/>
  <c r="Y25" i="14"/>
  <c r="W25" i="14"/>
  <c r="Y29" i="14"/>
  <c r="X29" i="14"/>
  <c r="W29" i="14"/>
  <c r="Y28" i="14"/>
  <c r="O22" i="14" s="1"/>
  <c r="X28" i="14"/>
  <c r="W28" i="14"/>
  <c r="H22" i="14" s="1"/>
  <c r="X26" i="14"/>
  <c r="X25" i="14"/>
  <c r="Y12" i="14"/>
  <c r="O6" i="14" s="1"/>
  <c r="W12" i="14"/>
  <c r="H6" i="14" s="1"/>
  <c r="Y13" i="14"/>
  <c r="W13" i="14"/>
  <c r="AR650" i="14"/>
  <c r="AQ650" i="14"/>
  <c r="AR649" i="14"/>
  <c r="AQ649" i="14"/>
  <c r="AR648" i="14"/>
  <c r="AQ648" i="14"/>
  <c r="AR647" i="14"/>
  <c r="AQ647" i="14"/>
  <c r="AR646" i="14"/>
  <c r="AQ646" i="14"/>
  <c r="AR645" i="14"/>
  <c r="AQ645" i="14"/>
  <c r="AR644" i="14"/>
  <c r="AQ644" i="14"/>
  <c r="AR643" i="14"/>
  <c r="AQ643" i="14"/>
  <c r="AR642" i="14"/>
  <c r="Y31" i="14"/>
  <c r="K23" i="14"/>
  <c r="AQ642" i="14"/>
  <c r="AT616" i="14"/>
  <c r="AS616" i="14"/>
  <c r="AR616" i="14"/>
  <c r="AQ616" i="14"/>
  <c r="AT615" i="14"/>
  <c r="AS615" i="14"/>
  <c r="AR615" i="14"/>
  <c r="AQ615" i="14"/>
  <c r="AT614" i="14"/>
  <c r="AS614" i="14"/>
  <c r="AR614" i="14"/>
  <c r="AQ614" i="14"/>
  <c r="AT613" i="14"/>
  <c r="AS613" i="14"/>
  <c r="AR613" i="14"/>
  <c r="AQ613" i="14"/>
  <c r="AT612" i="14"/>
  <c r="AS612" i="14"/>
  <c r="AR612" i="14"/>
  <c r="AQ612" i="14"/>
  <c r="AT611" i="14"/>
  <c r="AS611" i="14"/>
  <c r="AR611" i="14"/>
  <c r="AQ611" i="14"/>
  <c r="AT610" i="14"/>
  <c r="AS610" i="14"/>
  <c r="AR610" i="14"/>
  <c r="AQ610" i="14"/>
  <c r="AT609" i="14"/>
  <c r="AS609" i="14"/>
  <c r="AR609" i="14"/>
  <c r="AQ609" i="14"/>
  <c r="AT608" i="14"/>
  <c r="AS608" i="14"/>
  <c r="AR608" i="14"/>
  <c r="AQ608" i="14"/>
  <c r="AT582" i="14"/>
  <c r="AS582" i="14"/>
  <c r="AR582" i="14"/>
  <c r="AQ582" i="14"/>
  <c r="AT581" i="14"/>
  <c r="AS581" i="14"/>
  <c r="AR581" i="14"/>
  <c r="AQ581" i="14"/>
  <c r="AT580" i="14"/>
  <c r="AS580" i="14"/>
  <c r="AR580" i="14"/>
  <c r="AQ580" i="14"/>
  <c r="AT579" i="14"/>
  <c r="AS579" i="14"/>
  <c r="AR579" i="14"/>
  <c r="AQ579" i="14"/>
  <c r="AT578" i="14"/>
  <c r="AS578" i="14"/>
  <c r="AR578" i="14"/>
  <c r="AQ578" i="14"/>
  <c r="AT577" i="14"/>
  <c r="AS577" i="14"/>
  <c r="AR577" i="14"/>
  <c r="AQ577" i="14"/>
  <c r="AT576" i="14"/>
  <c r="AS576" i="14"/>
  <c r="AR576" i="14"/>
  <c r="AQ576" i="14"/>
  <c r="AT575" i="14"/>
  <c r="AS575" i="14"/>
  <c r="AR575" i="14"/>
  <c r="AQ575" i="14"/>
  <c r="AT574" i="14"/>
  <c r="AS574" i="14"/>
  <c r="AR574" i="14"/>
  <c r="AQ574" i="14"/>
  <c r="AT548" i="14"/>
  <c r="AS548" i="14"/>
  <c r="AR548" i="14"/>
  <c r="AQ548" i="14"/>
  <c r="AT547" i="14"/>
  <c r="AS547" i="14"/>
  <c r="AR547" i="14"/>
  <c r="AQ547" i="14"/>
  <c r="AT546" i="14"/>
  <c r="AS546" i="14"/>
  <c r="AR546" i="14"/>
  <c r="AQ546" i="14"/>
  <c r="AT545" i="14"/>
  <c r="AS545" i="14"/>
  <c r="AR545" i="14"/>
  <c r="AQ545" i="14"/>
  <c r="AT544" i="14"/>
  <c r="AS544" i="14"/>
  <c r="AR544" i="14"/>
  <c r="AQ544" i="14"/>
  <c r="AT543" i="14"/>
  <c r="AS543" i="14"/>
  <c r="AR543" i="14"/>
  <c r="AQ543" i="14"/>
  <c r="AT542" i="14"/>
  <c r="AS542" i="14"/>
  <c r="AR542" i="14"/>
  <c r="AQ542" i="14"/>
  <c r="AT541" i="14"/>
  <c r="AS541" i="14"/>
  <c r="AR541" i="14"/>
  <c r="AQ541" i="14"/>
  <c r="AT540" i="14"/>
  <c r="AS540" i="14"/>
  <c r="AR540" i="14"/>
  <c r="AQ540" i="14"/>
  <c r="AT514" i="14"/>
  <c r="AS514" i="14"/>
  <c r="AR514" i="14"/>
  <c r="AQ514" i="14"/>
  <c r="AT513" i="14"/>
  <c r="AS513" i="14"/>
  <c r="AR513" i="14"/>
  <c r="AQ513" i="14"/>
  <c r="AT512" i="14"/>
  <c r="AS512" i="14"/>
  <c r="AR512" i="14"/>
  <c r="AQ512" i="14"/>
  <c r="AT511" i="14"/>
  <c r="AS511" i="14"/>
  <c r="AR511" i="14"/>
  <c r="AQ511" i="14"/>
  <c r="AT510" i="14"/>
  <c r="AS510" i="14"/>
  <c r="AR510" i="14"/>
  <c r="AQ510" i="14"/>
  <c r="AT509" i="14"/>
  <c r="AS509" i="14"/>
  <c r="AR509" i="14"/>
  <c r="AQ509" i="14"/>
  <c r="AT508" i="14"/>
  <c r="AS508" i="14"/>
  <c r="AR508" i="14"/>
  <c r="AQ508" i="14"/>
  <c r="AT507" i="14"/>
  <c r="AS507" i="14"/>
  <c r="AR507" i="14"/>
  <c r="AQ507" i="14"/>
  <c r="AT506" i="14"/>
  <c r="AS506" i="14"/>
  <c r="AR506" i="14"/>
  <c r="AQ506" i="14"/>
  <c r="AT480" i="14"/>
  <c r="AS480" i="14"/>
  <c r="AR480" i="14"/>
  <c r="AQ480" i="14"/>
  <c r="AT479" i="14"/>
  <c r="AS479" i="14"/>
  <c r="AR479" i="14"/>
  <c r="AQ479" i="14"/>
  <c r="AT478" i="14"/>
  <c r="AS478" i="14"/>
  <c r="AR478" i="14"/>
  <c r="AQ478" i="14"/>
  <c r="AT477" i="14"/>
  <c r="AS477" i="14"/>
  <c r="AR477" i="14"/>
  <c r="AQ477" i="14"/>
  <c r="AT476" i="14"/>
  <c r="AS476" i="14"/>
  <c r="AR476" i="14"/>
  <c r="AQ476" i="14"/>
  <c r="AT475" i="14"/>
  <c r="AS475" i="14"/>
  <c r="AR475" i="14"/>
  <c r="AQ475" i="14"/>
  <c r="AT474" i="14"/>
  <c r="AS474" i="14"/>
  <c r="AR474" i="14"/>
  <c r="AQ474" i="14"/>
  <c r="AT473" i="14"/>
  <c r="AS473" i="14"/>
  <c r="AR473" i="14"/>
  <c r="AQ473" i="14"/>
  <c r="AT472" i="14"/>
  <c r="AS472" i="14"/>
  <c r="AR472" i="14"/>
  <c r="AQ472" i="14"/>
  <c r="AT446" i="14"/>
  <c r="AS446" i="14"/>
  <c r="AR446" i="14"/>
  <c r="AQ446" i="14"/>
  <c r="AT445" i="14"/>
  <c r="AS445" i="14"/>
  <c r="AR445" i="14"/>
  <c r="AQ445" i="14"/>
  <c r="AT444" i="14"/>
  <c r="AS444" i="14"/>
  <c r="AR444" i="14"/>
  <c r="AQ444" i="14"/>
  <c r="AT443" i="14"/>
  <c r="AS443" i="14"/>
  <c r="AR443" i="14"/>
  <c r="AQ443" i="14"/>
  <c r="AT442" i="14"/>
  <c r="AS442" i="14"/>
  <c r="AR442" i="14"/>
  <c r="AQ442" i="14"/>
  <c r="AT441" i="14"/>
  <c r="AS441" i="14"/>
  <c r="AR441" i="14"/>
  <c r="AQ441" i="14"/>
  <c r="AT440" i="14"/>
  <c r="AS440" i="14"/>
  <c r="AR440" i="14"/>
  <c r="AQ440" i="14"/>
  <c r="AT439" i="14"/>
  <c r="AS439" i="14"/>
  <c r="AR439" i="14"/>
  <c r="AQ439" i="14"/>
  <c r="AT438" i="14"/>
  <c r="AS438" i="14"/>
  <c r="AR438" i="14"/>
  <c r="AQ438" i="14"/>
  <c r="AT412" i="14"/>
  <c r="AS412" i="14"/>
  <c r="AR412" i="14"/>
  <c r="AQ412" i="14"/>
  <c r="AT411" i="14"/>
  <c r="AS411" i="14"/>
  <c r="AR411" i="14"/>
  <c r="AQ411" i="14"/>
  <c r="AT410" i="14"/>
  <c r="AS410" i="14"/>
  <c r="AR410" i="14"/>
  <c r="AQ410" i="14"/>
  <c r="AT409" i="14"/>
  <c r="AS409" i="14"/>
  <c r="AR409" i="14"/>
  <c r="AQ409" i="14"/>
  <c r="AT408" i="14"/>
  <c r="AS408" i="14"/>
  <c r="AR408" i="14"/>
  <c r="AQ408" i="14"/>
  <c r="AT407" i="14"/>
  <c r="AS407" i="14"/>
  <c r="AR407" i="14"/>
  <c r="AQ407" i="14"/>
  <c r="AT406" i="14"/>
  <c r="AS406" i="14"/>
  <c r="AR406" i="14"/>
  <c r="AQ406" i="14"/>
  <c r="AT405" i="14"/>
  <c r="AS405" i="14"/>
  <c r="AR405" i="14"/>
  <c r="AQ405" i="14"/>
  <c r="AT404" i="14"/>
  <c r="AS404" i="14"/>
  <c r="AR404" i="14"/>
  <c r="AQ404" i="14"/>
  <c r="AT378" i="14"/>
  <c r="AS378" i="14"/>
  <c r="AR378" i="14"/>
  <c r="AQ378" i="14"/>
  <c r="AT377" i="14"/>
  <c r="AS377" i="14"/>
  <c r="AR377" i="14"/>
  <c r="AQ377" i="14"/>
  <c r="AT376" i="14"/>
  <c r="AS376" i="14"/>
  <c r="AR376" i="14"/>
  <c r="AQ376" i="14"/>
  <c r="AT375" i="14"/>
  <c r="AS375" i="14"/>
  <c r="AR375" i="14"/>
  <c r="AQ375" i="14"/>
  <c r="AT374" i="14"/>
  <c r="AS374" i="14"/>
  <c r="AR374" i="14"/>
  <c r="AQ374" i="14"/>
  <c r="AT373" i="14"/>
  <c r="AS373" i="14"/>
  <c r="AR373" i="14"/>
  <c r="AQ373" i="14"/>
  <c r="AT372" i="14"/>
  <c r="AS372" i="14"/>
  <c r="AR372" i="14"/>
  <c r="AQ372" i="14"/>
  <c r="AT371" i="14"/>
  <c r="AS371" i="14"/>
  <c r="AR371" i="14"/>
  <c r="AQ371" i="14"/>
  <c r="AT370" i="14"/>
  <c r="AS370" i="14"/>
  <c r="AR370" i="14"/>
  <c r="AQ370" i="14"/>
  <c r="AT344" i="14"/>
  <c r="AS344" i="14"/>
  <c r="AR344" i="14"/>
  <c r="AQ344" i="14"/>
  <c r="AT343" i="14"/>
  <c r="AS343" i="14"/>
  <c r="AR343" i="14"/>
  <c r="AQ343" i="14"/>
  <c r="AT342" i="14"/>
  <c r="AS342" i="14"/>
  <c r="AR342" i="14"/>
  <c r="AQ342" i="14"/>
  <c r="AT341" i="14"/>
  <c r="AS341" i="14"/>
  <c r="AR341" i="14"/>
  <c r="AQ341" i="14"/>
  <c r="AT340" i="14"/>
  <c r="AS340" i="14"/>
  <c r="AR340" i="14"/>
  <c r="AQ340" i="14"/>
  <c r="AT339" i="14"/>
  <c r="AS339" i="14"/>
  <c r="AR339" i="14"/>
  <c r="AQ339" i="14"/>
  <c r="AT338" i="14"/>
  <c r="AS338" i="14"/>
  <c r="AR338" i="14"/>
  <c r="AQ338" i="14"/>
  <c r="AT337" i="14"/>
  <c r="AS337" i="14"/>
  <c r="AR337" i="14"/>
  <c r="AQ337" i="14"/>
  <c r="AT336" i="14"/>
  <c r="AS336" i="14"/>
  <c r="AR336" i="14"/>
  <c r="AQ336" i="14"/>
  <c r="AT310" i="14"/>
  <c r="AS310" i="14"/>
  <c r="AR310" i="14"/>
  <c r="AQ310" i="14"/>
  <c r="AT309" i="14"/>
  <c r="AS309" i="14"/>
  <c r="AR309" i="14"/>
  <c r="AQ309" i="14"/>
  <c r="AT308" i="14"/>
  <c r="AS308" i="14"/>
  <c r="AR308" i="14"/>
  <c r="AQ308" i="14"/>
  <c r="AT307" i="14"/>
  <c r="AS307" i="14"/>
  <c r="AR307" i="14"/>
  <c r="AQ307" i="14"/>
  <c r="AT306" i="14"/>
  <c r="AS306" i="14"/>
  <c r="AR306" i="14"/>
  <c r="AQ306" i="14"/>
  <c r="AT305" i="14"/>
  <c r="AS305" i="14"/>
  <c r="AR305" i="14"/>
  <c r="AQ305" i="14"/>
  <c r="AT304" i="14"/>
  <c r="AS304" i="14"/>
  <c r="AR304" i="14"/>
  <c r="AQ304" i="14"/>
  <c r="AT303" i="14"/>
  <c r="AS303" i="14"/>
  <c r="AR303" i="14"/>
  <c r="AQ303" i="14"/>
  <c r="AT302" i="14"/>
  <c r="AS302" i="14"/>
  <c r="AR302" i="14"/>
  <c r="AQ302" i="14"/>
  <c r="AT276" i="14"/>
  <c r="AS276" i="14"/>
  <c r="AR276" i="14"/>
  <c r="AQ276" i="14"/>
  <c r="AT275" i="14"/>
  <c r="AS275" i="14"/>
  <c r="AR275" i="14"/>
  <c r="AQ275" i="14"/>
  <c r="AT274" i="14"/>
  <c r="AS274" i="14"/>
  <c r="AR274" i="14"/>
  <c r="AQ274" i="14"/>
  <c r="AT273" i="14"/>
  <c r="AS273" i="14"/>
  <c r="AR273" i="14"/>
  <c r="AQ273" i="14"/>
  <c r="AT272" i="14"/>
  <c r="AS272" i="14"/>
  <c r="AR272" i="14"/>
  <c r="AQ272" i="14"/>
  <c r="AT271" i="14"/>
  <c r="AS271" i="14"/>
  <c r="AR271" i="14"/>
  <c r="AQ271" i="14"/>
  <c r="AT270" i="14"/>
  <c r="AS270" i="14"/>
  <c r="AR270" i="14"/>
  <c r="AQ270" i="14"/>
  <c r="AT269" i="14"/>
  <c r="AS269" i="14"/>
  <c r="AR269" i="14"/>
  <c r="AQ269" i="14"/>
  <c r="AT268" i="14"/>
  <c r="AS268" i="14"/>
  <c r="AR268" i="14"/>
  <c r="AQ268" i="14"/>
  <c r="AT242" i="14"/>
  <c r="AS242" i="14"/>
  <c r="AR242" i="14"/>
  <c r="AQ242" i="14"/>
  <c r="AT241" i="14"/>
  <c r="AS241" i="14"/>
  <c r="AR241" i="14"/>
  <c r="AQ241" i="14"/>
  <c r="AT240" i="14"/>
  <c r="AS240" i="14"/>
  <c r="AR240" i="14"/>
  <c r="AQ240" i="14"/>
  <c r="AT239" i="14"/>
  <c r="AS239" i="14"/>
  <c r="AR239" i="14"/>
  <c r="AQ239" i="14"/>
  <c r="AT238" i="14"/>
  <c r="AS238" i="14"/>
  <c r="AR238" i="14"/>
  <c r="AQ238" i="14"/>
  <c r="AT237" i="14"/>
  <c r="AS237" i="14"/>
  <c r="AR237" i="14"/>
  <c r="AQ237" i="14"/>
  <c r="AT236" i="14"/>
  <c r="AS236" i="14"/>
  <c r="AR236" i="14"/>
  <c r="AQ236" i="14"/>
  <c r="AT235" i="14"/>
  <c r="AS235" i="14"/>
  <c r="AR235" i="14"/>
  <c r="AQ235" i="14"/>
  <c r="AT234" i="14"/>
  <c r="AS234" i="14"/>
  <c r="AR234" i="14"/>
  <c r="AQ234" i="14"/>
  <c r="AT208" i="14"/>
  <c r="AS208" i="14"/>
  <c r="AR208" i="14"/>
  <c r="AQ208" i="14"/>
  <c r="AT207" i="14"/>
  <c r="AS207" i="14"/>
  <c r="AR207" i="14"/>
  <c r="AQ207" i="14"/>
  <c r="AT206" i="14"/>
  <c r="AS206" i="14"/>
  <c r="AR206" i="14"/>
  <c r="AQ206" i="14"/>
  <c r="AT205" i="14"/>
  <c r="AS205" i="14"/>
  <c r="AR205" i="14"/>
  <c r="AQ205" i="14"/>
  <c r="AT204" i="14"/>
  <c r="AS204" i="14"/>
  <c r="AR204" i="14"/>
  <c r="AQ204" i="14"/>
  <c r="AT203" i="14"/>
  <c r="AS203" i="14"/>
  <c r="AR203" i="14"/>
  <c r="AQ203" i="14"/>
  <c r="AT202" i="14"/>
  <c r="AS202" i="14"/>
  <c r="AR202" i="14"/>
  <c r="AQ202" i="14"/>
  <c r="AT201" i="14"/>
  <c r="AS201" i="14"/>
  <c r="AR201" i="14"/>
  <c r="AQ201" i="14"/>
  <c r="AT200" i="14"/>
  <c r="AS200" i="14"/>
  <c r="AR200" i="14"/>
  <c r="AQ200" i="14"/>
  <c r="AT192" i="14"/>
  <c r="AS192" i="14"/>
  <c r="AR192" i="14"/>
  <c r="AQ192" i="14"/>
  <c r="AT191" i="14"/>
  <c r="AS191" i="14"/>
  <c r="AR191" i="14"/>
  <c r="AQ191" i="14"/>
  <c r="AT190" i="14"/>
  <c r="AS190" i="14"/>
  <c r="AR190" i="14"/>
  <c r="AQ190" i="14"/>
  <c r="AT189" i="14"/>
  <c r="AS189" i="14"/>
  <c r="AR189" i="14"/>
  <c r="AQ189" i="14"/>
  <c r="AT188" i="14"/>
  <c r="AS188" i="14"/>
  <c r="AR188" i="14"/>
  <c r="AQ188" i="14"/>
  <c r="AT187" i="14"/>
  <c r="AS187" i="14"/>
  <c r="AR187" i="14"/>
  <c r="AQ187" i="14"/>
  <c r="AT186" i="14"/>
  <c r="AS186" i="14"/>
  <c r="AR186" i="14"/>
  <c r="AQ186" i="14"/>
  <c r="AT185" i="14"/>
  <c r="AS185" i="14"/>
  <c r="AR185" i="14"/>
  <c r="AQ185" i="14"/>
  <c r="AT184" i="14"/>
  <c r="AS184" i="14"/>
  <c r="AR184" i="14"/>
  <c r="AQ184" i="14"/>
  <c r="AT176" i="14"/>
  <c r="AS176" i="14"/>
  <c r="AR176" i="14"/>
  <c r="AQ176" i="14"/>
  <c r="AT175" i="14"/>
  <c r="AS175" i="14"/>
  <c r="AR175" i="14"/>
  <c r="AQ175" i="14"/>
  <c r="AT174" i="14"/>
  <c r="AS174" i="14"/>
  <c r="AR174" i="14"/>
  <c r="AQ174" i="14"/>
  <c r="AT173" i="14"/>
  <c r="AS173" i="14"/>
  <c r="AR173" i="14"/>
  <c r="AQ173" i="14"/>
  <c r="AT172" i="14"/>
  <c r="AS172" i="14"/>
  <c r="AR172" i="14"/>
  <c r="AQ172" i="14"/>
  <c r="AT171" i="14"/>
  <c r="AS171" i="14"/>
  <c r="AR171" i="14"/>
  <c r="AQ171" i="14"/>
  <c r="AT170" i="14"/>
  <c r="AS170" i="14"/>
  <c r="AR170" i="14"/>
  <c r="AQ170" i="14"/>
  <c r="AT169" i="14"/>
  <c r="AS169" i="14"/>
  <c r="AR169" i="14"/>
  <c r="AQ169" i="14"/>
  <c r="AT168" i="14"/>
  <c r="AS168" i="14"/>
  <c r="AR168" i="14"/>
  <c r="AQ168" i="14"/>
  <c r="AT160" i="14"/>
  <c r="AS160" i="14"/>
  <c r="AR160" i="14"/>
  <c r="AQ160" i="14"/>
  <c r="AT159" i="14"/>
  <c r="AS159" i="14"/>
  <c r="AR159" i="14"/>
  <c r="AQ159" i="14"/>
  <c r="AT158" i="14"/>
  <c r="AS158" i="14"/>
  <c r="AR158" i="14"/>
  <c r="AQ158" i="14"/>
  <c r="AT157" i="14"/>
  <c r="AS157" i="14"/>
  <c r="AR157" i="14"/>
  <c r="AQ157" i="14"/>
  <c r="AT156" i="14"/>
  <c r="AS156" i="14"/>
  <c r="AR156" i="14"/>
  <c r="AQ156" i="14"/>
  <c r="AT155" i="14"/>
  <c r="AS155" i="14"/>
  <c r="AR155" i="14"/>
  <c r="AQ155" i="14"/>
  <c r="AT154" i="14"/>
  <c r="AS154" i="14"/>
  <c r="AR154" i="14"/>
  <c r="AQ154" i="14"/>
  <c r="AT153" i="14"/>
  <c r="AS153" i="14"/>
  <c r="AR153" i="14"/>
  <c r="AQ153" i="14"/>
  <c r="AT152" i="14"/>
  <c r="AS152" i="14"/>
  <c r="AR152" i="14"/>
  <c r="AQ152" i="14"/>
  <c r="AT144" i="14"/>
  <c r="AS144" i="14"/>
  <c r="AR144" i="14"/>
  <c r="AQ144" i="14"/>
  <c r="AT143" i="14"/>
  <c r="AS143" i="14"/>
  <c r="AR143" i="14"/>
  <c r="AQ143" i="14"/>
  <c r="AT142" i="14"/>
  <c r="AS142" i="14"/>
  <c r="AR142" i="14"/>
  <c r="AQ142" i="14"/>
  <c r="AT141" i="14"/>
  <c r="AS141" i="14"/>
  <c r="AR141" i="14"/>
  <c r="AQ141" i="14"/>
  <c r="AT140" i="14"/>
  <c r="AS140" i="14"/>
  <c r="AR140" i="14"/>
  <c r="AQ140" i="14"/>
  <c r="AT139" i="14"/>
  <c r="AS139" i="14"/>
  <c r="AR139" i="14"/>
  <c r="AQ139" i="14"/>
  <c r="AT138" i="14"/>
  <c r="AS138" i="14"/>
  <c r="AR138" i="14"/>
  <c r="AQ138" i="14"/>
  <c r="AT137" i="14"/>
  <c r="AS137" i="14"/>
  <c r="AR137" i="14"/>
  <c r="AQ137" i="14"/>
  <c r="AT136" i="14"/>
  <c r="AS136" i="14"/>
  <c r="AR136" i="14"/>
  <c r="AQ136" i="14"/>
  <c r="AT128" i="14"/>
  <c r="AS128" i="14"/>
  <c r="AR128" i="14"/>
  <c r="AQ128" i="14"/>
  <c r="AT127" i="14"/>
  <c r="AS127" i="14"/>
  <c r="AR127" i="14"/>
  <c r="AQ127" i="14"/>
  <c r="AT126" i="14"/>
  <c r="AS126" i="14"/>
  <c r="AR126" i="14"/>
  <c r="AQ126" i="14"/>
  <c r="AT125" i="14"/>
  <c r="AS125" i="14"/>
  <c r="AR125" i="14"/>
  <c r="AQ125" i="14"/>
  <c r="AT124" i="14"/>
  <c r="AS124" i="14"/>
  <c r="AR124" i="14"/>
  <c r="AQ124" i="14"/>
  <c r="AT123" i="14"/>
  <c r="AS123" i="14"/>
  <c r="AR123" i="14"/>
  <c r="AQ123" i="14"/>
  <c r="AT122" i="14"/>
  <c r="AS122" i="14"/>
  <c r="AR122" i="14"/>
  <c r="AQ122" i="14"/>
  <c r="AT121" i="14"/>
  <c r="AS121" i="14"/>
  <c r="AR121" i="14"/>
  <c r="AQ121" i="14"/>
  <c r="AT120" i="14"/>
  <c r="AS120" i="14"/>
  <c r="AR120" i="14"/>
  <c r="AQ120" i="14"/>
  <c r="AT112" i="14"/>
  <c r="AS112" i="14"/>
  <c r="AR112" i="14"/>
  <c r="AQ112" i="14"/>
  <c r="AT111" i="14"/>
  <c r="AS111" i="14"/>
  <c r="AR111" i="14"/>
  <c r="AQ111" i="14"/>
  <c r="AT110" i="14"/>
  <c r="AS110" i="14"/>
  <c r="AR110" i="14"/>
  <c r="AQ110" i="14"/>
  <c r="AT109" i="14"/>
  <c r="AS109" i="14"/>
  <c r="AR109" i="14"/>
  <c r="AQ109" i="14"/>
  <c r="AT108" i="14"/>
  <c r="AS108" i="14"/>
  <c r="AR108" i="14"/>
  <c r="AQ108" i="14"/>
  <c r="AT107" i="14"/>
  <c r="AS107" i="14"/>
  <c r="AR107" i="14"/>
  <c r="AQ107" i="14"/>
  <c r="AT106" i="14"/>
  <c r="AS106" i="14"/>
  <c r="AR106" i="14"/>
  <c r="AQ106" i="14"/>
  <c r="AT105" i="14"/>
  <c r="AS105" i="14"/>
  <c r="AR105" i="14"/>
  <c r="AQ105" i="14"/>
  <c r="AT104" i="14"/>
  <c r="AS104" i="14"/>
  <c r="AR104" i="14"/>
  <c r="AQ104" i="14"/>
  <c r="AT96" i="14"/>
  <c r="AS96" i="14"/>
  <c r="AR96" i="14"/>
  <c r="AQ96" i="14"/>
  <c r="AT95" i="14"/>
  <c r="AS95" i="14"/>
  <c r="AR95" i="14"/>
  <c r="AQ95" i="14"/>
  <c r="AT94" i="14"/>
  <c r="AS94" i="14"/>
  <c r="AR94" i="14"/>
  <c r="AQ94" i="14"/>
  <c r="AT93" i="14"/>
  <c r="AS93" i="14"/>
  <c r="AR93" i="14"/>
  <c r="AQ93" i="14"/>
  <c r="AT92" i="14"/>
  <c r="AS92" i="14"/>
  <c r="AR92" i="14"/>
  <c r="AQ92" i="14"/>
  <c r="AT91" i="14"/>
  <c r="AS91" i="14"/>
  <c r="AR91" i="14"/>
  <c r="AQ91" i="14"/>
  <c r="AT90" i="14"/>
  <c r="AS90" i="14"/>
  <c r="AR90" i="14"/>
  <c r="AQ90" i="14"/>
  <c r="AT89" i="14"/>
  <c r="AS89" i="14"/>
  <c r="AR89" i="14"/>
  <c r="AQ89" i="14"/>
  <c r="AT88" i="14"/>
  <c r="AS88" i="14"/>
  <c r="AR88" i="14"/>
  <c r="AQ88" i="14"/>
  <c r="AT80" i="14"/>
  <c r="AS80" i="14"/>
  <c r="AR80" i="14"/>
  <c r="AQ80" i="14"/>
  <c r="AT79" i="14"/>
  <c r="AS79" i="14"/>
  <c r="AR79" i="14"/>
  <c r="AQ79" i="14"/>
  <c r="AT78" i="14"/>
  <c r="AS78" i="14"/>
  <c r="AR78" i="14"/>
  <c r="AQ78" i="14"/>
  <c r="AT77" i="14"/>
  <c r="AS77" i="14"/>
  <c r="AR77" i="14"/>
  <c r="AQ77" i="14"/>
  <c r="AT76" i="14"/>
  <c r="AS76" i="14"/>
  <c r="AR76" i="14"/>
  <c r="AQ76" i="14"/>
  <c r="AT75" i="14"/>
  <c r="AS75" i="14"/>
  <c r="AR75" i="14"/>
  <c r="AQ75" i="14"/>
  <c r="AT74" i="14"/>
  <c r="AS74" i="14"/>
  <c r="AR74" i="14"/>
  <c r="AQ74" i="14"/>
  <c r="AT73" i="14"/>
  <c r="AS73" i="14"/>
  <c r="AR73" i="14"/>
  <c r="AQ73" i="14"/>
  <c r="AT72" i="14"/>
  <c r="AS72" i="14"/>
  <c r="AR72" i="14"/>
  <c r="AQ72" i="14"/>
  <c r="AT64" i="14"/>
  <c r="AS64" i="14"/>
  <c r="AR64" i="14"/>
  <c r="AQ64" i="14"/>
  <c r="AT63" i="14"/>
  <c r="AS63" i="14"/>
  <c r="AR63" i="14"/>
  <c r="AQ63" i="14"/>
  <c r="AT62" i="14"/>
  <c r="AS62" i="14"/>
  <c r="AR62" i="14"/>
  <c r="AQ62" i="14"/>
  <c r="AT61" i="14"/>
  <c r="AS61" i="14"/>
  <c r="AR61" i="14"/>
  <c r="AQ61" i="14"/>
  <c r="AT60" i="14"/>
  <c r="AS60" i="14"/>
  <c r="AR60" i="14"/>
  <c r="AQ60" i="14"/>
  <c r="AT59" i="14"/>
  <c r="AS59" i="14"/>
  <c r="AR59" i="14"/>
  <c r="AQ59" i="14"/>
  <c r="AT58" i="14"/>
  <c r="AS58" i="14"/>
  <c r="AR58" i="14"/>
  <c r="AQ58" i="14"/>
  <c r="AT57" i="14"/>
  <c r="AS57" i="14"/>
  <c r="AR57" i="14"/>
  <c r="AQ57" i="14"/>
  <c r="AT56" i="14"/>
  <c r="AS56" i="14"/>
  <c r="AR56" i="14"/>
  <c r="AQ56" i="14"/>
  <c r="AT48" i="14"/>
  <c r="AS48" i="14"/>
  <c r="AR48" i="14"/>
  <c r="AQ48" i="14"/>
  <c r="AT47" i="14"/>
  <c r="AS47" i="14"/>
  <c r="AR47" i="14"/>
  <c r="AQ47" i="14"/>
  <c r="AT46" i="14"/>
  <c r="AS46" i="14"/>
  <c r="AR46" i="14"/>
  <c r="AQ46" i="14"/>
  <c r="AT45" i="14"/>
  <c r="AS45" i="14"/>
  <c r="AR45" i="14"/>
  <c r="AQ45" i="14"/>
  <c r="AT44" i="14"/>
  <c r="AS44" i="14"/>
  <c r="AR44" i="14"/>
  <c r="AQ44" i="14"/>
  <c r="AT43" i="14"/>
  <c r="AS43" i="14"/>
  <c r="AR43" i="14"/>
  <c r="AQ43" i="14"/>
  <c r="AT42" i="14"/>
  <c r="AS42" i="14"/>
  <c r="AR42" i="14"/>
  <c r="AQ42" i="14"/>
  <c r="AT41" i="14"/>
  <c r="AS41" i="14"/>
  <c r="AR41" i="14"/>
  <c r="AQ41" i="14"/>
  <c r="AT40" i="14"/>
  <c r="AS40" i="14"/>
  <c r="AR40" i="14"/>
  <c r="AQ40" i="14"/>
  <c r="AT32" i="14"/>
  <c r="AS32" i="14"/>
  <c r="AR32" i="14"/>
  <c r="AQ32" i="14"/>
  <c r="AT31" i="14"/>
  <c r="AS31" i="14"/>
  <c r="AR31" i="14"/>
  <c r="AQ31" i="14"/>
  <c r="AT30" i="14"/>
  <c r="AS30" i="14"/>
  <c r="AR30" i="14"/>
  <c r="AQ30" i="14"/>
  <c r="AT29" i="14"/>
  <c r="AS29" i="14"/>
  <c r="AR29" i="14"/>
  <c r="AQ29" i="14"/>
  <c r="AT28" i="14"/>
  <c r="AS28" i="14"/>
  <c r="AR28" i="14"/>
  <c r="AQ28" i="14"/>
  <c r="AT27" i="14"/>
  <c r="AS27" i="14"/>
  <c r="AR27" i="14"/>
  <c r="AQ27" i="14"/>
  <c r="AT26" i="14"/>
  <c r="AS26" i="14"/>
  <c r="AR26" i="14"/>
  <c r="AQ26" i="14"/>
  <c r="AT25" i="14"/>
  <c r="AS25" i="14"/>
  <c r="AR25" i="14"/>
  <c r="AQ25" i="14"/>
  <c r="AT24" i="14"/>
  <c r="AS24" i="14"/>
  <c r="AR24" i="14"/>
  <c r="AQ24" i="14"/>
  <c r="AT16" i="14"/>
  <c r="AS16" i="14"/>
  <c r="AR16" i="14"/>
  <c r="AQ16" i="14"/>
  <c r="AT15" i="14"/>
  <c r="AS15" i="14"/>
  <c r="AR15" i="14"/>
  <c r="AQ15" i="14"/>
  <c r="AT14" i="14"/>
  <c r="AS14" i="14"/>
  <c r="AR14" i="14"/>
  <c r="AQ14" i="14"/>
  <c r="AT13" i="14"/>
  <c r="AS13" i="14"/>
  <c r="AR13" i="14"/>
  <c r="AQ13" i="14"/>
  <c r="AT12" i="14"/>
  <c r="AS12" i="14"/>
  <c r="AR12" i="14"/>
  <c r="AQ12" i="14"/>
  <c r="AT11" i="14"/>
  <c r="AS11" i="14"/>
  <c r="AR11" i="14"/>
  <c r="AQ11" i="14"/>
  <c r="AT10" i="14"/>
  <c r="AS10" i="14"/>
  <c r="AR10" i="14"/>
  <c r="AQ10" i="14"/>
  <c r="AT9" i="14"/>
  <c r="AS9" i="14"/>
  <c r="AR9" i="14"/>
  <c r="AQ9" i="14"/>
  <c r="AT8" i="14"/>
  <c r="AS8" i="14"/>
  <c r="AR8" i="14"/>
  <c r="AQ8" i="14"/>
  <c r="H927" i="15"/>
  <c r="H887" i="15"/>
  <c r="H847" i="15"/>
  <c r="H807" i="15"/>
  <c r="H767" i="15"/>
  <c r="C767" i="15"/>
  <c r="H727" i="15"/>
  <c r="C727" i="15"/>
  <c r="H687" i="15"/>
  <c r="H647" i="15"/>
  <c r="H607" i="15"/>
  <c r="H608" i="15" s="1"/>
  <c r="H567" i="15"/>
  <c r="C567" i="15" s="1"/>
  <c r="H527" i="15"/>
  <c r="H487" i="15"/>
  <c r="C487" i="15" s="1"/>
  <c r="H447" i="15"/>
  <c r="H407" i="15"/>
  <c r="C407" i="15"/>
  <c r="H367" i="15"/>
  <c r="H327" i="15"/>
  <c r="H328" i="15" s="1"/>
  <c r="H329" i="15" s="1"/>
  <c r="H330" i="15" s="1"/>
  <c r="H331" i="15" s="1"/>
  <c r="H287" i="15"/>
  <c r="H247" i="15"/>
  <c r="C247" i="15" s="1"/>
  <c r="H207" i="15"/>
  <c r="H167" i="15"/>
  <c r="H127" i="15"/>
  <c r="H87" i="15"/>
  <c r="H88" i="15" s="1"/>
  <c r="H89" i="15" s="1"/>
  <c r="H90" i="15" s="1"/>
  <c r="H47" i="15"/>
  <c r="C47" i="15" s="1"/>
  <c r="AU13" i="3"/>
  <c r="AU14" i="3"/>
  <c r="AU15" i="3"/>
  <c r="AU7" i="3"/>
  <c r="AU8" i="3"/>
  <c r="AU9" i="3"/>
  <c r="AU10" i="3"/>
  <c r="AU19" i="3"/>
  <c r="AU20" i="3"/>
  <c r="AU21" i="3"/>
  <c r="AU16" i="3"/>
  <c r="AU25" i="3"/>
  <c r="AU26" i="3"/>
  <c r="AU27" i="3"/>
  <c r="AU22" i="3"/>
  <c r="AU28" i="3"/>
  <c r="AO91" i="1"/>
  <c r="AN91" i="1"/>
  <c r="AO90" i="1"/>
  <c r="AN90" i="1"/>
  <c r="AO89" i="1"/>
  <c r="AN89" i="1"/>
  <c r="AO88" i="1"/>
  <c r="AN88" i="1"/>
  <c r="AO83" i="1"/>
  <c r="AN83" i="1"/>
  <c r="AO82" i="1"/>
  <c r="AN82" i="1"/>
  <c r="AO77" i="1"/>
  <c r="AN77" i="1"/>
  <c r="AO76" i="1"/>
  <c r="AN76" i="1"/>
  <c r="AO74" i="1"/>
  <c r="AN74" i="1"/>
  <c r="AO69" i="1"/>
  <c r="AN69" i="1"/>
  <c r="AO68" i="1"/>
  <c r="AN68" i="1"/>
  <c r="AM8" i="1"/>
  <c r="AL8" i="1"/>
  <c r="AK8" i="1"/>
  <c r="K65" i="9"/>
  <c r="AO111" i="1"/>
  <c r="AN111" i="1"/>
  <c r="K64" i="9"/>
  <c r="AO110" i="1"/>
  <c r="AN110" i="1"/>
  <c r="Z64" i="9" s="1"/>
  <c r="B25" i="9"/>
  <c r="B26" i="9" s="1"/>
  <c r="E17" i="9"/>
  <c r="E15" i="9"/>
  <c r="E14" i="9"/>
  <c r="E13" i="9"/>
  <c r="E10" i="9"/>
  <c r="E9" i="9"/>
  <c r="G8" i="1"/>
  <c r="S24" i="9"/>
  <c r="M9" i="6"/>
  <c r="M11" i="6"/>
  <c r="M13" i="6"/>
  <c r="M15" i="6"/>
  <c r="M17" i="6"/>
  <c r="M19" i="6"/>
  <c r="M21" i="6"/>
  <c r="M23" i="6"/>
  <c r="AE22" i="6"/>
  <c r="AE18" i="6"/>
  <c r="AE14" i="6"/>
  <c r="AE10" i="6"/>
  <c r="AW20" i="6"/>
  <c r="AW12" i="6"/>
  <c r="BO16" i="6"/>
  <c r="AY6" i="14"/>
  <c r="AE7" i="14" s="1"/>
  <c r="AE11" i="14" s="1"/>
  <c r="H7" i="15"/>
  <c r="C7" i="15" s="1"/>
  <c r="BA6" i="14"/>
  <c r="BC6" i="14"/>
  <c r="BE6" i="14"/>
  <c r="BG6" i="14"/>
  <c r="BI6" i="14"/>
  <c r="BK6" i="14"/>
  <c r="BM6" i="14"/>
  <c r="BO6" i="14"/>
  <c r="BQ6" i="14"/>
  <c r="BS6" i="14"/>
  <c r="BU6" i="14"/>
  <c r="BW6" i="14"/>
  <c r="BY6" i="14"/>
  <c r="CA6" i="14"/>
  <c r="CC6" i="14"/>
  <c r="CE6" i="14"/>
  <c r="CG6" i="14"/>
  <c r="CI6" i="14"/>
  <c r="L142" i="13"/>
  <c r="C142" i="13"/>
  <c r="L117" i="13"/>
  <c r="C117" i="13"/>
  <c r="L92" i="13"/>
  <c r="C92" i="13"/>
  <c r="C67" i="13"/>
  <c r="L42" i="13"/>
  <c r="C42" i="13"/>
  <c r="L17" i="13"/>
  <c r="C17" i="13"/>
  <c r="L67" i="13"/>
  <c r="F8" i="15"/>
  <c r="F9" i="15" s="1"/>
  <c r="F10" i="15" s="1"/>
  <c r="F11" i="15" s="1"/>
  <c r="F12" i="15" s="1"/>
  <c r="F13" i="15" s="1"/>
  <c r="F14" i="15" s="1"/>
  <c r="F15" i="15" s="1"/>
  <c r="F16" i="15" s="1"/>
  <c r="F17" i="15" s="1"/>
  <c r="F18" i="15" s="1"/>
  <c r="F19" i="15" s="1"/>
  <c r="F20" i="15" s="1"/>
  <c r="F21" i="15" s="1"/>
  <c r="F22" i="15" s="1"/>
  <c r="F23" i="15" s="1"/>
  <c r="F24" i="15" s="1"/>
  <c r="F25" i="15" s="1"/>
  <c r="F26" i="15" s="1"/>
  <c r="F27" i="15" s="1"/>
  <c r="F28" i="15" s="1"/>
  <c r="F29" i="15" s="1"/>
  <c r="F30" i="15" s="1"/>
  <c r="F31" i="15" s="1"/>
  <c r="F32" i="15" s="1"/>
  <c r="F33" i="15" s="1"/>
  <c r="F34" i="15" s="1"/>
  <c r="F35" i="15" s="1"/>
  <c r="F36" i="15" s="1"/>
  <c r="F37" i="15" s="1"/>
  <c r="F38" i="15" s="1"/>
  <c r="F39" i="15" s="1"/>
  <c r="F40" i="15" s="1"/>
  <c r="F41" i="15" s="1"/>
  <c r="F42" i="15" s="1"/>
  <c r="F43" i="15" s="1"/>
  <c r="F44" i="15" s="1"/>
  <c r="F45" i="15" s="1"/>
  <c r="F46" i="15" s="1"/>
  <c r="F47" i="15" s="1"/>
  <c r="F48" i="15" s="1"/>
  <c r="F49" i="15" s="1"/>
  <c r="F50" i="15" s="1"/>
  <c r="F51" i="15" s="1"/>
  <c r="F52" i="15" s="1"/>
  <c r="F53" i="15" s="1"/>
  <c r="F54" i="15" s="1"/>
  <c r="F55" i="15" s="1"/>
  <c r="F56" i="15" s="1"/>
  <c r="F57" i="15" s="1"/>
  <c r="F58" i="15" s="1"/>
  <c r="F59" i="15" s="1"/>
  <c r="F60" i="15" s="1"/>
  <c r="F61" i="15" s="1"/>
  <c r="F62" i="15" s="1"/>
  <c r="F63" i="15" s="1"/>
  <c r="F64" i="15" s="1"/>
  <c r="F65" i="15" s="1"/>
  <c r="F66" i="15" s="1"/>
  <c r="F67" i="15" s="1"/>
  <c r="F68" i="15" s="1"/>
  <c r="F69" i="15" s="1"/>
  <c r="F70" i="15" s="1"/>
  <c r="F71" i="15" s="1"/>
  <c r="F72" i="15" s="1"/>
  <c r="F73" i="15" s="1"/>
  <c r="F74" i="15" s="1"/>
  <c r="F75" i="15" s="1"/>
  <c r="F76" i="15" s="1"/>
  <c r="F77" i="15" s="1"/>
  <c r="F78" i="15" s="1"/>
  <c r="F79" i="15" s="1"/>
  <c r="F80" i="15" s="1"/>
  <c r="F81" i="15" s="1"/>
  <c r="F82" i="15" s="1"/>
  <c r="F83" i="15" s="1"/>
  <c r="F84" i="15" s="1"/>
  <c r="F85" i="15" s="1"/>
  <c r="F86" i="15" s="1"/>
  <c r="F87" i="15" s="1"/>
  <c r="F88" i="15" s="1"/>
  <c r="F89" i="15" s="1"/>
  <c r="F90" i="15" s="1"/>
  <c r="F91" i="15" s="1"/>
  <c r="F92" i="15" s="1"/>
  <c r="F93" i="15" s="1"/>
  <c r="F94" i="15" s="1"/>
  <c r="F95" i="15" s="1"/>
  <c r="F96" i="15" s="1"/>
  <c r="F97" i="15" s="1"/>
  <c r="F98" i="15" s="1"/>
  <c r="F99" i="15" s="1"/>
  <c r="F100" i="15" s="1"/>
  <c r="F101" i="15" s="1"/>
  <c r="F102" i="15" s="1"/>
  <c r="F103" i="15" s="1"/>
  <c r="F104" i="15" s="1"/>
  <c r="F105" i="15" s="1"/>
  <c r="F106" i="15" s="1"/>
  <c r="F107" i="15" s="1"/>
  <c r="F108" i="15" s="1"/>
  <c r="F109" i="15" s="1"/>
  <c r="F110" i="15" s="1"/>
  <c r="F111" i="15" s="1"/>
  <c r="F112" i="15" s="1"/>
  <c r="F113" i="15" s="1"/>
  <c r="F114" i="15" s="1"/>
  <c r="F115" i="15" s="1"/>
  <c r="F116" i="15" s="1"/>
  <c r="F117" i="15" s="1"/>
  <c r="F118" i="15" s="1"/>
  <c r="F119" i="15" s="1"/>
  <c r="F120" i="15" s="1"/>
  <c r="F121" i="15" s="1"/>
  <c r="F122" i="15" s="1"/>
  <c r="F123" i="15" s="1"/>
  <c r="F124" i="15" s="1"/>
  <c r="F125" i="15" s="1"/>
  <c r="F126" i="15" s="1"/>
  <c r="F127" i="15" s="1"/>
  <c r="F128" i="15" s="1"/>
  <c r="F129" i="15" s="1"/>
  <c r="F130" i="15" s="1"/>
  <c r="F131" i="15" s="1"/>
  <c r="F132" i="15" s="1"/>
  <c r="F133" i="15" s="1"/>
  <c r="F134" i="15" s="1"/>
  <c r="F135" i="15" s="1"/>
  <c r="F136" i="15" s="1"/>
  <c r="F137" i="15" s="1"/>
  <c r="F138" i="15" s="1"/>
  <c r="F139" i="15" s="1"/>
  <c r="F140" i="15" s="1"/>
  <c r="F141" i="15" s="1"/>
  <c r="F142" i="15" s="1"/>
  <c r="F143" i="15" s="1"/>
  <c r="F144" i="15" s="1"/>
  <c r="F145" i="15" s="1"/>
  <c r="F146" i="15" s="1"/>
  <c r="F147" i="15" s="1"/>
  <c r="F148" i="15" s="1"/>
  <c r="F149" i="15" s="1"/>
  <c r="F150" i="15" s="1"/>
  <c r="F151" i="15" s="1"/>
  <c r="F152" i="15" s="1"/>
  <c r="F153" i="15" s="1"/>
  <c r="F154" i="15" s="1"/>
  <c r="F155" i="15" s="1"/>
  <c r="F156" i="15" s="1"/>
  <c r="F157" i="15" s="1"/>
  <c r="F158" i="15" s="1"/>
  <c r="F159" i="15" s="1"/>
  <c r="F160" i="15" s="1"/>
  <c r="F161" i="15" s="1"/>
  <c r="F162" i="15" s="1"/>
  <c r="F163" i="15" s="1"/>
  <c r="F164" i="15" s="1"/>
  <c r="F165" i="15" s="1"/>
  <c r="F166" i="15" s="1"/>
  <c r="F167" i="15" s="1"/>
  <c r="F168" i="15" s="1"/>
  <c r="F169" i="15" s="1"/>
  <c r="F170" i="15" s="1"/>
  <c r="F171" i="15" s="1"/>
  <c r="F172" i="15" s="1"/>
  <c r="F173" i="15" s="1"/>
  <c r="F174" i="15" s="1"/>
  <c r="AT650" i="14"/>
  <c r="AS650" i="14"/>
  <c r="AT649" i="14"/>
  <c r="AS649" i="14"/>
  <c r="AT648" i="14"/>
  <c r="AS648" i="14"/>
  <c r="AT647" i="14"/>
  <c r="AS647" i="14"/>
  <c r="AT646" i="14"/>
  <c r="AS646" i="14"/>
  <c r="AT645" i="14"/>
  <c r="AS645" i="14"/>
  <c r="AT644" i="14"/>
  <c r="AS644" i="14"/>
  <c r="AT643" i="14"/>
  <c r="AS643" i="14"/>
  <c r="AT642" i="14"/>
  <c r="AS642" i="14"/>
  <c r="AQ8" i="3"/>
  <c r="AQ9" i="3" s="1"/>
  <c r="AQ10" i="3" s="1"/>
  <c r="AQ13" i="3" s="1"/>
  <c r="AQ14" i="3" s="1"/>
  <c r="AQ15" i="3" s="1"/>
  <c r="AQ16" i="3" s="1"/>
  <c r="AQ19" i="3" s="1"/>
  <c r="AQ20" i="3" s="1"/>
  <c r="AQ21" i="3" s="1"/>
  <c r="AQ22" i="3" s="1"/>
  <c r="AQ25" i="3" s="1"/>
  <c r="AQ26" i="3" s="1"/>
  <c r="AQ27" i="3" s="1"/>
  <c r="AQ28" i="3" s="1"/>
  <c r="AQ31" i="3" s="1"/>
  <c r="AQ32" i="3" s="1"/>
  <c r="AQ33" i="3" s="1"/>
  <c r="AQ34" i="3" s="1"/>
  <c r="AQ37" i="3" s="1"/>
  <c r="AQ38" i="3" s="1"/>
  <c r="AQ39" i="3" s="1"/>
  <c r="AQ40" i="3" s="1"/>
  <c r="AU31" i="3"/>
  <c r="AU32" i="3"/>
  <c r="AU33" i="3"/>
  <c r="AU34" i="3"/>
  <c r="AU37" i="3"/>
  <c r="AU38" i="3"/>
  <c r="AU39" i="3"/>
  <c r="BC400" i="17"/>
  <c r="BD400" i="17"/>
  <c r="BE400" i="17"/>
  <c r="BF400" i="17"/>
  <c r="BG400" i="17"/>
  <c r="BH400" i="17"/>
  <c r="BI400" i="17"/>
  <c r="BJ400" i="17"/>
  <c r="BK400" i="17"/>
  <c r="BL400" i="17"/>
  <c r="BM400" i="17"/>
  <c r="BN400" i="17"/>
  <c r="BO400" i="17"/>
  <c r="BP400" i="17"/>
  <c r="BQ400" i="17"/>
  <c r="BR400" i="17"/>
  <c r="BS400" i="17"/>
  <c r="BT400" i="17"/>
  <c r="BU400" i="17"/>
  <c r="BV400" i="17"/>
  <c r="BW400" i="17"/>
  <c r="BX400" i="17"/>
  <c r="BY400" i="17"/>
  <c r="BZ400" i="17"/>
  <c r="CA400" i="17"/>
  <c r="CB400" i="17"/>
  <c r="CC400" i="17"/>
  <c r="CD400" i="17"/>
  <c r="CE400" i="17"/>
  <c r="CF400" i="17"/>
  <c r="H13" i="17"/>
  <c r="BC102" i="17" s="1"/>
  <c r="I13" i="17"/>
  <c r="I6" i="17" s="1"/>
  <c r="J13" i="17"/>
  <c r="K13" i="17"/>
  <c r="K6" i="17" s="1"/>
  <c r="L13" i="17"/>
  <c r="M13" i="17"/>
  <c r="BH102" i="17" s="1"/>
  <c r="M104" i="17" s="1"/>
  <c r="N13" i="17"/>
  <c r="BI113" i="17" s="1"/>
  <c r="O13" i="17"/>
  <c r="P13" i="17"/>
  <c r="BK91" i="17" s="1"/>
  <c r="P92" i="17" s="1"/>
  <c r="Q13" i="17"/>
  <c r="R13" i="17"/>
  <c r="BM113" i="17" s="1"/>
  <c r="R115" i="17" s="1"/>
  <c r="S13" i="17"/>
  <c r="BN124" i="17" s="1"/>
  <c r="S128" i="17" s="1"/>
  <c r="T13" i="17"/>
  <c r="U13" i="17"/>
  <c r="BP102" i="17" s="1"/>
  <c r="U106" i="17" s="1"/>
  <c r="V13" i="17"/>
  <c r="W13" i="17"/>
  <c r="BR102" i="17" s="1"/>
  <c r="W105" i="17" s="1"/>
  <c r="X13" i="17"/>
  <c r="BS124" i="17" s="1"/>
  <c r="Y13" i="17"/>
  <c r="BT102" i="17" s="1"/>
  <c r="Y107" i="17" s="1"/>
  <c r="Z13" i="17"/>
  <c r="AA13" i="17"/>
  <c r="AB13" i="17"/>
  <c r="AC13" i="17"/>
  <c r="BX113" i="17" s="1"/>
  <c r="AC119" i="17" s="1"/>
  <c r="AD13" i="17"/>
  <c r="AE13" i="17"/>
  <c r="AE585" i="17" s="1"/>
  <c r="AF13" i="17"/>
  <c r="CA91" i="17" s="1"/>
  <c r="AF92" i="17" s="1"/>
  <c r="AG13" i="17"/>
  <c r="AG264" i="17" s="1"/>
  <c r="AH13" i="17"/>
  <c r="AH142" i="17" s="1"/>
  <c r="AI13" i="17"/>
  <c r="AI519" i="17" s="1"/>
  <c r="AJ13" i="17"/>
  <c r="AJ530" i="17" s="1"/>
  <c r="AK13" i="17"/>
  <c r="AK712" i="17" s="1"/>
  <c r="BC411" i="17"/>
  <c r="BD411" i="17"/>
  <c r="BE411" i="17"/>
  <c r="BF411" i="17"/>
  <c r="BG411" i="17"/>
  <c r="BH411" i="17"/>
  <c r="BI411" i="17"/>
  <c r="BJ411" i="17"/>
  <c r="BK411" i="17"/>
  <c r="BL411" i="17"/>
  <c r="BM411" i="17"/>
  <c r="BN411" i="17"/>
  <c r="BO411" i="17"/>
  <c r="BP411" i="17"/>
  <c r="BQ411" i="17"/>
  <c r="BR411" i="17"/>
  <c r="BS411" i="17"/>
  <c r="BT411" i="17"/>
  <c r="BU411" i="17"/>
  <c r="BV411" i="17"/>
  <c r="BW411" i="17"/>
  <c r="BX411" i="17"/>
  <c r="BY411" i="17"/>
  <c r="BZ411" i="17"/>
  <c r="CA411" i="17"/>
  <c r="CB411" i="17"/>
  <c r="CC411" i="17"/>
  <c r="CD411" i="17"/>
  <c r="CE411" i="17"/>
  <c r="CF411" i="17"/>
  <c r="BC422" i="17"/>
  <c r="BD422" i="17"/>
  <c r="BE422" i="17"/>
  <c r="BF422" i="17"/>
  <c r="BG422" i="17"/>
  <c r="BH422" i="17"/>
  <c r="BI422" i="17"/>
  <c r="BJ422" i="17"/>
  <c r="BK422" i="17"/>
  <c r="BL422" i="17"/>
  <c r="BM422" i="17"/>
  <c r="BN422" i="17"/>
  <c r="BO422" i="17"/>
  <c r="BP422" i="17"/>
  <c r="BQ422" i="17"/>
  <c r="BR422" i="17"/>
  <c r="BS422" i="17"/>
  <c r="BT422" i="17"/>
  <c r="BU422" i="17"/>
  <c r="BV422" i="17"/>
  <c r="BW422" i="17"/>
  <c r="BX422" i="17"/>
  <c r="BY422" i="17"/>
  <c r="BZ422" i="17"/>
  <c r="CA422" i="17"/>
  <c r="CB422" i="17"/>
  <c r="CC422" i="17"/>
  <c r="CD422" i="17"/>
  <c r="CE422" i="17"/>
  <c r="CF422" i="17"/>
  <c r="BC433" i="17"/>
  <c r="BD433" i="17"/>
  <c r="BE433" i="17"/>
  <c r="BF433" i="17"/>
  <c r="BG433" i="17"/>
  <c r="BH433" i="17"/>
  <c r="BI433" i="17"/>
  <c r="BJ433" i="17"/>
  <c r="BK433" i="17"/>
  <c r="BL433" i="17"/>
  <c r="BM433" i="17"/>
  <c r="BN433" i="17"/>
  <c r="BO433" i="17"/>
  <c r="BP433" i="17"/>
  <c r="BQ433" i="17"/>
  <c r="BR433" i="17"/>
  <c r="BS433" i="17"/>
  <c r="BT433" i="17"/>
  <c r="BU433" i="17"/>
  <c r="BV433" i="17"/>
  <c r="BW433" i="17"/>
  <c r="BX433" i="17"/>
  <c r="BY433" i="17"/>
  <c r="BZ433" i="17"/>
  <c r="CA433" i="17"/>
  <c r="CB433" i="17"/>
  <c r="CC433" i="17"/>
  <c r="CD433" i="17"/>
  <c r="CE433" i="17"/>
  <c r="CF433" i="17"/>
  <c r="BC444" i="17"/>
  <c r="BD444" i="17"/>
  <c r="BE444" i="17"/>
  <c r="BF444" i="17"/>
  <c r="BG444" i="17"/>
  <c r="BH444" i="17"/>
  <c r="BI444" i="17"/>
  <c r="BJ444" i="17"/>
  <c r="BK444" i="17"/>
  <c r="BL444" i="17"/>
  <c r="BM444" i="17"/>
  <c r="BN444" i="17"/>
  <c r="BO444" i="17"/>
  <c r="BP444" i="17"/>
  <c r="BQ444" i="17"/>
  <c r="BR444" i="17"/>
  <c r="BS444" i="17"/>
  <c r="BT444" i="17"/>
  <c r="BU444" i="17"/>
  <c r="BV444" i="17"/>
  <c r="BW444" i="17"/>
  <c r="BX444" i="17"/>
  <c r="BY444" i="17"/>
  <c r="BZ444" i="17"/>
  <c r="CA444" i="17"/>
  <c r="CB444" i="17"/>
  <c r="CC444" i="17"/>
  <c r="CD444" i="17"/>
  <c r="CE444" i="17"/>
  <c r="CF444" i="17"/>
  <c r="BC455" i="17"/>
  <c r="BD455" i="17"/>
  <c r="BE455" i="17"/>
  <c r="BF455" i="17"/>
  <c r="BG455" i="17"/>
  <c r="BH455" i="17"/>
  <c r="BI455" i="17"/>
  <c r="BJ455" i="17"/>
  <c r="BK455" i="17"/>
  <c r="BL455" i="17"/>
  <c r="BM455" i="17"/>
  <c r="BN455" i="17"/>
  <c r="BO455" i="17"/>
  <c r="BP455" i="17"/>
  <c r="BQ455" i="17"/>
  <c r="BR455" i="17"/>
  <c r="BS455" i="17"/>
  <c r="BT455" i="17"/>
  <c r="BU455" i="17"/>
  <c r="BV455" i="17"/>
  <c r="BW455" i="17"/>
  <c r="BX455" i="17"/>
  <c r="BY455" i="17"/>
  <c r="BZ455" i="17"/>
  <c r="CA455" i="17"/>
  <c r="CB455" i="17"/>
  <c r="CC455" i="17"/>
  <c r="CD455" i="17"/>
  <c r="CE455" i="17"/>
  <c r="CF455" i="17"/>
  <c r="BC466" i="17"/>
  <c r="BD466" i="17"/>
  <c r="BE466" i="17"/>
  <c r="BF466" i="17"/>
  <c r="BG466" i="17"/>
  <c r="BH466" i="17"/>
  <c r="BI466" i="17"/>
  <c r="BJ466" i="17"/>
  <c r="BK466" i="17"/>
  <c r="BL466" i="17"/>
  <c r="BM466" i="17"/>
  <c r="BN466" i="17"/>
  <c r="BO466" i="17"/>
  <c r="BP466" i="17"/>
  <c r="BQ466" i="17"/>
  <c r="BR466" i="17"/>
  <c r="BS466" i="17"/>
  <c r="BT466" i="17"/>
  <c r="BU466" i="17"/>
  <c r="BV466" i="17"/>
  <c r="BW466" i="17"/>
  <c r="BX466" i="17"/>
  <c r="BY466" i="17"/>
  <c r="BZ466" i="17"/>
  <c r="CA466" i="17"/>
  <c r="CB466" i="17"/>
  <c r="CC466" i="17"/>
  <c r="CD466" i="17"/>
  <c r="CE466" i="17"/>
  <c r="CF466" i="17"/>
  <c r="BC477" i="17"/>
  <c r="BD477" i="17"/>
  <c r="BE477" i="17"/>
  <c r="BF477" i="17"/>
  <c r="BG477" i="17"/>
  <c r="BH477" i="17"/>
  <c r="BI477" i="17"/>
  <c r="BJ477" i="17"/>
  <c r="BK477" i="17"/>
  <c r="BL477" i="17"/>
  <c r="BM477" i="17"/>
  <c r="BN477" i="17"/>
  <c r="BO477" i="17"/>
  <c r="BP477" i="17"/>
  <c r="BQ477" i="17"/>
  <c r="BR477" i="17"/>
  <c r="BS477" i="17"/>
  <c r="BT477" i="17"/>
  <c r="BU477" i="17"/>
  <c r="BV477" i="17"/>
  <c r="BW477" i="17"/>
  <c r="BX477" i="17"/>
  <c r="BY477" i="17"/>
  <c r="BZ477" i="17"/>
  <c r="CA477" i="17"/>
  <c r="CB477" i="17"/>
  <c r="CC477" i="17"/>
  <c r="CD477" i="17"/>
  <c r="CE477" i="17"/>
  <c r="CF477" i="17"/>
  <c r="BC488" i="17"/>
  <c r="BD488" i="17"/>
  <c r="BE488" i="17"/>
  <c r="BF488" i="17"/>
  <c r="BG488" i="17"/>
  <c r="BH488" i="17"/>
  <c r="BI488" i="17"/>
  <c r="BJ488" i="17"/>
  <c r="BK488" i="17"/>
  <c r="BL488" i="17"/>
  <c r="BM488" i="17"/>
  <c r="BN488" i="17"/>
  <c r="BO488" i="17"/>
  <c r="BP488" i="17"/>
  <c r="BQ488" i="17"/>
  <c r="BR488" i="17"/>
  <c r="BS488" i="17"/>
  <c r="BT488" i="17"/>
  <c r="BU488" i="17"/>
  <c r="BV488" i="17"/>
  <c r="BW488" i="17"/>
  <c r="BX488" i="17"/>
  <c r="BY488" i="17"/>
  <c r="BZ488" i="17"/>
  <c r="CA488" i="17"/>
  <c r="CB488" i="17"/>
  <c r="CC488" i="17"/>
  <c r="CD488" i="17"/>
  <c r="CE488" i="17"/>
  <c r="CF488" i="17"/>
  <c r="BC499" i="17"/>
  <c r="BD499" i="17"/>
  <c r="BE499" i="17"/>
  <c r="BF499" i="17"/>
  <c r="BG499" i="17"/>
  <c r="BH499" i="17"/>
  <c r="BI499" i="17"/>
  <c r="BJ499" i="17"/>
  <c r="BK499" i="17"/>
  <c r="BL499" i="17"/>
  <c r="BM499" i="17"/>
  <c r="BN499" i="17"/>
  <c r="BO499" i="17"/>
  <c r="BP499" i="17"/>
  <c r="BQ499" i="17"/>
  <c r="BR499" i="17"/>
  <c r="BS499" i="17"/>
  <c r="BT499" i="17"/>
  <c r="BU499" i="17"/>
  <c r="BV499" i="17"/>
  <c r="BW499" i="17"/>
  <c r="BX499" i="17"/>
  <c r="BY499" i="17"/>
  <c r="BZ499" i="17"/>
  <c r="CA499" i="17"/>
  <c r="CB499" i="17"/>
  <c r="CC499" i="17"/>
  <c r="CD499" i="17"/>
  <c r="CE499" i="17"/>
  <c r="CF499" i="17"/>
  <c r="AU40" i="3"/>
  <c r="AN144" i="1"/>
  <c r="AO144" i="1"/>
  <c r="K10" i="4"/>
  <c r="K9" i="4"/>
  <c r="K7" i="4"/>
  <c r="K6" i="4"/>
  <c r="AO130" i="1"/>
  <c r="AN130" i="1"/>
  <c r="AN125" i="1"/>
  <c r="AO124" i="1"/>
  <c r="AN124" i="1"/>
  <c r="AN116" i="1"/>
  <c r="AO98" i="1"/>
  <c r="AA60" i="9"/>
  <c r="AN98" i="1"/>
  <c r="X268" i="14"/>
  <c r="CK6" i="14"/>
  <c r="CM6" i="14"/>
  <c r="V8" i="2"/>
  <c r="AH8" i="2" s="1"/>
  <c r="AO125" i="1"/>
  <c r="AO104" i="1"/>
  <c r="AN104" i="1"/>
  <c r="Z62" i="9"/>
  <c r="AO105" i="1"/>
  <c r="AN105" i="1"/>
  <c r="Z63" i="9" s="1"/>
  <c r="AN99" i="1"/>
  <c r="AO99" i="1"/>
  <c r="AN117" i="1"/>
  <c r="Z67" i="9" s="1"/>
  <c r="AO117" i="1"/>
  <c r="AA67" i="9"/>
  <c r="AN131" i="1"/>
  <c r="AO131" i="1"/>
  <c r="AN139" i="1"/>
  <c r="Z72" i="9" s="1"/>
  <c r="AO139" i="1"/>
  <c r="AA72" i="9"/>
  <c r="AN152" i="1"/>
  <c r="Z74" i="9" s="1"/>
  <c r="AO152" i="1"/>
  <c r="AA74" i="9" s="1"/>
  <c r="K71" i="9"/>
  <c r="K70" i="9"/>
  <c r="K69" i="9"/>
  <c r="K63" i="9"/>
  <c r="K62" i="9"/>
  <c r="K74" i="9"/>
  <c r="C74" i="9"/>
  <c r="K73" i="9"/>
  <c r="K72" i="9"/>
  <c r="K60" i="9"/>
  <c r="K61" i="9"/>
  <c r="K66" i="9"/>
  <c r="K67" i="9"/>
  <c r="K68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77" i="9"/>
  <c r="AH712" i="17"/>
  <c r="CF704" i="17"/>
  <c r="CE704" i="17"/>
  <c r="CD704" i="17"/>
  <c r="CC704" i="17"/>
  <c r="CB704" i="17"/>
  <c r="CA704" i="17"/>
  <c r="BZ704" i="17"/>
  <c r="BY704" i="17"/>
  <c r="BX704" i="17"/>
  <c r="BW704" i="17"/>
  <c r="BV704" i="17"/>
  <c r="BU704" i="17"/>
  <c r="BT704" i="17"/>
  <c r="BS704" i="17"/>
  <c r="BR704" i="17"/>
  <c r="BQ704" i="17"/>
  <c r="BP704" i="17"/>
  <c r="BO704" i="17"/>
  <c r="BN704" i="17"/>
  <c r="BM704" i="17"/>
  <c r="BL704" i="17"/>
  <c r="BK704" i="17"/>
  <c r="BJ704" i="17"/>
  <c r="BI704" i="17"/>
  <c r="BH704" i="17"/>
  <c r="BG704" i="17"/>
  <c r="BF704" i="17"/>
  <c r="BE704" i="17"/>
  <c r="BD704" i="17"/>
  <c r="BC704" i="17"/>
  <c r="CF693" i="17"/>
  <c r="CE693" i="17"/>
  <c r="CD693" i="17"/>
  <c r="CC693" i="17"/>
  <c r="CB693" i="17"/>
  <c r="CA693" i="17"/>
  <c r="BZ693" i="17"/>
  <c r="BY693" i="17"/>
  <c r="BX693" i="17"/>
  <c r="BW693" i="17"/>
  <c r="BV693" i="17"/>
  <c r="BU693" i="17"/>
  <c r="BT693" i="17"/>
  <c r="BS693" i="17"/>
  <c r="BR693" i="17"/>
  <c r="BQ693" i="17"/>
  <c r="BP693" i="17"/>
  <c r="BO693" i="17"/>
  <c r="BN693" i="17"/>
  <c r="BM693" i="17"/>
  <c r="BL693" i="17"/>
  <c r="BK693" i="17"/>
  <c r="BJ693" i="17"/>
  <c r="BI693" i="17"/>
  <c r="BH693" i="17"/>
  <c r="BG693" i="17"/>
  <c r="BF693" i="17"/>
  <c r="BE693" i="17"/>
  <c r="BD693" i="17"/>
  <c r="BC693" i="17"/>
  <c r="CF682" i="17"/>
  <c r="CE682" i="17"/>
  <c r="CD682" i="17"/>
  <c r="CC682" i="17"/>
  <c r="CB682" i="17"/>
  <c r="CA682" i="17"/>
  <c r="BZ682" i="17"/>
  <c r="BY682" i="17"/>
  <c r="BX682" i="17"/>
  <c r="BW682" i="17"/>
  <c r="BV682" i="17"/>
  <c r="BU682" i="17"/>
  <c r="BT682" i="17"/>
  <c r="BS682" i="17"/>
  <c r="BR682" i="17"/>
  <c r="BQ682" i="17"/>
  <c r="BP682" i="17"/>
  <c r="BO682" i="17"/>
  <c r="BN682" i="17"/>
  <c r="BM682" i="17"/>
  <c r="BL682" i="17"/>
  <c r="BK682" i="17"/>
  <c r="BJ682" i="17"/>
  <c r="BI682" i="17"/>
  <c r="BH682" i="17"/>
  <c r="BG682" i="17"/>
  <c r="BF682" i="17"/>
  <c r="BE682" i="17"/>
  <c r="BD682" i="17"/>
  <c r="BC682" i="17"/>
  <c r="CF657" i="17"/>
  <c r="CE657" i="17"/>
  <c r="CD657" i="17"/>
  <c r="CC657" i="17"/>
  <c r="CB657" i="17"/>
  <c r="CA657" i="17"/>
  <c r="BZ657" i="17"/>
  <c r="BY657" i="17"/>
  <c r="BX657" i="17"/>
  <c r="BW657" i="17"/>
  <c r="BV657" i="17"/>
  <c r="BU657" i="17"/>
  <c r="BT657" i="17"/>
  <c r="BS657" i="17"/>
  <c r="BR657" i="17"/>
  <c r="BQ657" i="17"/>
  <c r="BP657" i="17"/>
  <c r="BO657" i="17"/>
  <c r="BN657" i="17"/>
  <c r="BM657" i="17"/>
  <c r="BL657" i="17"/>
  <c r="BK657" i="17"/>
  <c r="BJ657" i="17"/>
  <c r="BI657" i="17"/>
  <c r="BH657" i="17"/>
  <c r="BG657" i="17"/>
  <c r="BF657" i="17"/>
  <c r="BE657" i="17"/>
  <c r="BD657" i="17"/>
  <c r="BC657" i="17"/>
  <c r="CF646" i="17"/>
  <c r="CE646" i="17"/>
  <c r="CD646" i="17"/>
  <c r="CC646" i="17"/>
  <c r="CB646" i="17"/>
  <c r="CA646" i="17"/>
  <c r="BZ646" i="17"/>
  <c r="BY646" i="17"/>
  <c r="BX646" i="17"/>
  <c r="BW646" i="17"/>
  <c r="BV646" i="17"/>
  <c r="BU646" i="17"/>
  <c r="BT646" i="17"/>
  <c r="BS646" i="17"/>
  <c r="BR646" i="17"/>
  <c r="BQ646" i="17"/>
  <c r="BP646" i="17"/>
  <c r="BO646" i="17"/>
  <c r="BN646" i="17"/>
  <c r="BM646" i="17"/>
  <c r="BL646" i="17"/>
  <c r="BK646" i="17"/>
  <c r="BJ646" i="17"/>
  <c r="BI646" i="17"/>
  <c r="BH646" i="17"/>
  <c r="BG646" i="17"/>
  <c r="BF646" i="17"/>
  <c r="BE646" i="17"/>
  <c r="BD646" i="17"/>
  <c r="BC646" i="17"/>
  <c r="CF635" i="17"/>
  <c r="CE635" i="17"/>
  <c r="CD635" i="17"/>
  <c r="CC635" i="17"/>
  <c r="CB635" i="17"/>
  <c r="CA635" i="17"/>
  <c r="BZ635" i="17"/>
  <c r="BY635" i="17"/>
  <c r="BX635" i="17"/>
  <c r="BW635" i="17"/>
  <c r="BV635" i="17"/>
  <c r="BU635" i="17"/>
  <c r="BT635" i="17"/>
  <c r="BS635" i="17"/>
  <c r="BR635" i="17"/>
  <c r="BQ635" i="17"/>
  <c r="BP635" i="17"/>
  <c r="BO635" i="17"/>
  <c r="BN635" i="17"/>
  <c r="BM635" i="17"/>
  <c r="BL635" i="17"/>
  <c r="BK635" i="17"/>
  <c r="BJ635" i="17"/>
  <c r="BI635" i="17"/>
  <c r="BH635" i="17"/>
  <c r="BG635" i="17"/>
  <c r="BF635" i="17"/>
  <c r="BE635" i="17"/>
  <c r="BD635" i="17"/>
  <c r="BC635" i="17"/>
  <c r="CF624" i="17"/>
  <c r="CE624" i="17"/>
  <c r="CD624" i="17"/>
  <c r="CC624" i="17"/>
  <c r="CB624" i="17"/>
  <c r="CA624" i="17"/>
  <c r="BZ624" i="17"/>
  <c r="BY624" i="17"/>
  <c r="BX624" i="17"/>
  <c r="BW624" i="17"/>
  <c r="BV624" i="17"/>
  <c r="BU624" i="17"/>
  <c r="BT624" i="17"/>
  <c r="BS624" i="17"/>
  <c r="BR624" i="17"/>
  <c r="BQ624" i="17"/>
  <c r="BP624" i="17"/>
  <c r="BO624" i="17"/>
  <c r="BN624" i="17"/>
  <c r="BM624" i="17"/>
  <c r="BL624" i="17"/>
  <c r="BK624" i="17"/>
  <c r="BJ624" i="17"/>
  <c r="BI624" i="17"/>
  <c r="BH624" i="17"/>
  <c r="BG624" i="17"/>
  <c r="BF624" i="17"/>
  <c r="BE624" i="17"/>
  <c r="BD624" i="17"/>
  <c r="BC624" i="17"/>
  <c r="CF599" i="17"/>
  <c r="CE599" i="17"/>
  <c r="CD599" i="17"/>
  <c r="CC599" i="17"/>
  <c r="CB599" i="17"/>
  <c r="CA599" i="17"/>
  <c r="BZ599" i="17"/>
  <c r="BY599" i="17"/>
  <c r="BX599" i="17"/>
  <c r="BW599" i="17"/>
  <c r="BV599" i="17"/>
  <c r="BU599" i="17"/>
  <c r="BT599" i="17"/>
  <c r="BS599" i="17"/>
  <c r="BR599" i="17"/>
  <c r="BQ599" i="17"/>
  <c r="BP599" i="17"/>
  <c r="BO599" i="17"/>
  <c r="BN599" i="17"/>
  <c r="BM599" i="17"/>
  <c r="BL599" i="17"/>
  <c r="BK599" i="17"/>
  <c r="BJ599" i="17"/>
  <c r="BI599" i="17"/>
  <c r="BH599" i="17"/>
  <c r="BG599" i="17"/>
  <c r="BF599" i="17"/>
  <c r="BE599" i="17"/>
  <c r="BD599" i="17"/>
  <c r="BC599" i="17"/>
  <c r="CF588" i="17"/>
  <c r="CE588" i="17"/>
  <c r="CD588" i="17"/>
  <c r="CC588" i="17"/>
  <c r="CB588" i="17"/>
  <c r="CA588" i="17"/>
  <c r="BZ588" i="17"/>
  <c r="BY588" i="17"/>
  <c r="BX588" i="17"/>
  <c r="BW588" i="17"/>
  <c r="BV588" i="17"/>
  <c r="BU588" i="17"/>
  <c r="BT588" i="17"/>
  <c r="BS588" i="17"/>
  <c r="BR588" i="17"/>
  <c r="BQ588" i="17"/>
  <c r="BP588" i="17"/>
  <c r="BO588" i="17"/>
  <c r="BN588" i="17"/>
  <c r="BM588" i="17"/>
  <c r="BL588" i="17"/>
  <c r="BK588" i="17"/>
  <c r="BJ588" i="17"/>
  <c r="BI588" i="17"/>
  <c r="BH588" i="17"/>
  <c r="BG588" i="17"/>
  <c r="BF588" i="17"/>
  <c r="BE588" i="17"/>
  <c r="BD588" i="17"/>
  <c r="BC588" i="17"/>
  <c r="CF577" i="17"/>
  <c r="CE577" i="17"/>
  <c r="CD577" i="17"/>
  <c r="CC577" i="17"/>
  <c r="CB577" i="17"/>
  <c r="CA577" i="17"/>
  <c r="BZ577" i="17"/>
  <c r="BY577" i="17"/>
  <c r="BX577" i="17"/>
  <c r="BW577" i="17"/>
  <c r="BV577" i="17"/>
  <c r="BU577" i="17"/>
  <c r="BT577" i="17"/>
  <c r="BS577" i="17"/>
  <c r="BR577" i="17"/>
  <c r="BQ577" i="17"/>
  <c r="BP577" i="17"/>
  <c r="BO577" i="17"/>
  <c r="BN577" i="17"/>
  <c r="BM577" i="17"/>
  <c r="BL577" i="17"/>
  <c r="BK577" i="17"/>
  <c r="BJ577" i="17"/>
  <c r="BI577" i="17"/>
  <c r="BH577" i="17"/>
  <c r="BG577" i="17"/>
  <c r="BF577" i="17"/>
  <c r="BE577" i="17"/>
  <c r="BD577" i="17"/>
  <c r="BC577" i="17"/>
  <c r="CF566" i="17"/>
  <c r="CE566" i="17"/>
  <c r="CD566" i="17"/>
  <c r="CC566" i="17"/>
  <c r="CB566" i="17"/>
  <c r="CA566" i="17"/>
  <c r="BZ566" i="17"/>
  <c r="BY566" i="17"/>
  <c r="BX566" i="17"/>
  <c r="BW566" i="17"/>
  <c r="BV566" i="17"/>
  <c r="BU566" i="17"/>
  <c r="BT566" i="17"/>
  <c r="BS566" i="17"/>
  <c r="BR566" i="17"/>
  <c r="BQ566" i="17"/>
  <c r="BP566" i="17"/>
  <c r="BO566" i="17"/>
  <c r="BN566" i="17"/>
  <c r="BM566" i="17"/>
  <c r="BL566" i="17"/>
  <c r="BK566" i="17"/>
  <c r="BJ566" i="17"/>
  <c r="BI566" i="17"/>
  <c r="BH566" i="17"/>
  <c r="BG566" i="17"/>
  <c r="BF566" i="17"/>
  <c r="BE566" i="17"/>
  <c r="BD566" i="17"/>
  <c r="BC566" i="17"/>
  <c r="CF555" i="17"/>
  <c r="CE555" i="17"/>
  <c r="CD555" i="17"/>
  <c r="CC555" i="17"/>
  <c r="CB555" i="17"/>
  <c r="CA555" i="17"/>
  <c r="BZ555" i="17"/>
  <c r="BY555" i="17"/>
  <c r="BX555" i="17"/>
  <c r="BW555" i="17"/>
  <c r="BV555" i="17"/>
  <c r="BU555" i="17"/>
  <c r="BT555" i="17"/>
  <c r="BS555" i="17"/>
  <c r="BR555" i="17"/>
  <c r="BQ555" i="17"/>
  <c r="BP555" i="17"/>
  <c r="BO555" i="17"/>
  <c r="BN555" i="17"/>
  <c r="BM555" i="17"/>
  <c r="BL555" i="17"/>
  <c r="BK555" i="17"/>
  <c r="BJ555" i="17"/>
  <c r="BI555" i="17"/>
  <c r="BH555" i="17"/>
  <c r="BG555" i="17"/>
  <c r="BF555" i="17"/>
  <c r="BE555" i="17"/>
  <c r="BD555" i="17"/>
  <c r="BC555" i="17"/>
  <c r="CF544" i="17"/>
  <c r="CE544" i="17"/>
  <c r="CD544" i="17"/>
  <c r="CC544" i="17"/>
  <c r="CB544" i="17"/>
  <c r="CA544" i="17"/>
  <c r="BZ544" i="17"/>
  <c r="BY544" i="17"/>
  <c r="BX544" i="17"/>
  <c r="BW544" i="17"/>
  <c r="BV544" i="17"/>
  <c r="BU544" i="17"/>
  <c r="BT544" i="17"/>
  <c r="BS544" i="17"/>
  <c r="BR544" i="17"/>
  <c r="BQ544" i="17"/>
  <c r="BP544" i="17"/>
  <c r="BO544" i="17"/>
  <c r="BN544" i="17"/>
  <c r="BM544" i="17"/>
  <c r="BL544" i="17"/>
  <c r="BK544" i="17"/>
  <c r="BJ544" i="17"/>
  <c r="BI544" i="17"/>
  <c r="BH544" i="17"/>
  <c r="BG544" i="17"/>
  <c r="BF544" i="17"/>
  <c r="BE544" i="17"/>
  <c r="BD544" i="17"/>
  <c r="BC544" i="17"/>
  <c r="CF533" i="17"/>
  <c r="CE533" i="17"/>
  <c r="CD533" i="17"/>
  <c r="CC533" i="17"/>
  <c r="CB533" i="17"/>
  <c r="CA533" i="17"/>
  <c r="BZ533" i="17"/>
  <c r="BY533" i="17"/>
  <c r="BX533" i="17"/>
  <c r="BW533" i="17"/>
  <c r="BV533" i="17"/>
  <c r="BU533" i="17"/>
  <c r="BT533" i="17"/>
  <c r="BS533" i="17"/>
  <c r="BR533" i="17"/>
  <c r="BQ533" i="17"/>
  <c r="BP533" i="17"/>
  <c r="BO533" i="17"/>
  <c r="BN533" i="17"/>
  <c r="BM533" i="17"/>
  <c r="BL533" i="17"/>
  <c r="BK533" i="17"/>
  <c r="BJ533" i="17"/>
  <c r="BI533" i="17"/>
  <c r="BH533" i="17"/>
  <c r="BG533" i="17"/>
  <c r="BF533" i="17"/>
  <c r="BE533" i="17"/>
  <c r="BD533" i="17"/>
  <c r="BC533" i="17"/>
  <c r="CF522" i="17"/>
  <c r="CE522" i="17"/>
  <c r="CD522" i="17"/>
  <c r="CC522" i="17"/>
  <c r="CB522" i="17"/>
  <c r="CA522" i="17"/>
  <c r="BZ522" i="17"/>
  <c r="BY522" i="17"/>
  <c r="BX522" i="17"/>
  <c r="BW522" i="17"/>
  <c r="BV522" i="17"/>
  <c r="BU522" i="17"/>
  <c r="BT522" i="17"/>
  <c r="BS522" i="17"/>
  <c r="BR522" i="17"/>
  <c r="BQ522" i="17"/>
  <c r="BP522" i="17"/>
  <c r="BO522" i="17"/>
  <c r="BN522" i="17"/>
  <c r="BM522" i="17"/>
  <c r="BL522" i="17"/>
  <c r="BK522" i="17"/>
  <c r="BJ522" i="17"/>
  <c r="BI522" i="17"/>
  <c r="BH522" i="17"/>
  <c r="BG522" i="17"/>
  <c r="BF522" i="17"/>
  <c r="BE522" i="17"/>
  <c r="BD522" i="17"/>
  <c r="BC522" i="17"/>
  <c r="CF389" i="17"/>
  <c r="CE389" i="17"/>
  <c r="CD389" i="17"/>
  <c r="CC389" i="17"/>
  <c r="CB389" i="17"/>
  <c r="CA389" i="17"/>
  <c r="BZ389" i="17"/>
  <c r="BY389" i="17"/>
  <c r="BX389" i="17"/>
  <c r="BW389" i="17"/>
  <c r="BV389" i="17"/>
  <c r="BU389" i="17"/>
  <c r="BT389" i="17"/>
  <c r="BS389" i="17"/>
  <c r="BR389" i="17"/>
  <c r="BQ389" i="17"/>
  <c r="BP389" i="17"/>
  <c r="BO389" i="17"/>
  <c r="BN389" i="17"/>
  <c r="BM389" i="17"/>
  <c r="BL389" i="17"/>
  <c r="BK389" i="17"/>
  <c r="BJ389" i="17"/>
  <c r="BI389" i="17"/>
  <c r="BH389" i="17"/>
  <c r="BG389" i="17"/>
  <c r="BF389" i="17"/>
  <c r="BE389" i="17"/>
  <c r="BD389" i="17"/>
  <c r="BC389" i="17"/>
  <c r="CF378" i="17"/>
  <c r="CE378" i="17"/>
  <c r="CD378" i="17"/>
  <c r="CC378" i="17"/>
  <c r="CB378" i="17"/>
  <c r="CA378" i="17"/>
  <c r="BZ378" i="17"/>
  <c r="BY378" i="17"/>
  <c r="BX378" i="17"/>
  <c r="BW378" i="17"/>
  <c r="BV378" i="17"/>
  <c r="BU378" i="17"/>
  <c r="BT378" i="17"/>
  <c r="BS378" i="17"/>
  <c r="BR378" i="17"/>
  <c r="BQ378" i="17"/>
  <c r="BP378" i="17"/>
  <c r="BO378" i="17"/>
  <c r="BN378" i="17"/>
  <c r="BM378" i="17"/>
  <c r="BL378" i="17"/>
  <c r="BK378" i="17"/>
  <c r="BJ378" i="17"/>
  <c r="BI378" i="17"/>
  <c r="BH378" i="17"/>
  <c r="BG378" i="17"/>
  <c r="BF378" i="17"/>
  <c r="BE378" i="17"/>
  <c r="BD378" i="17"/>
  <c r="BC378" i="17"/>
  <c r="CF355" i="17"/>
  <c r="CE355" i="17"/>
  <c r="CD355" i="17"/>
  <c r="CC355" i="17"/>
  <c r="CB355" i="17"/>
  <c r="CA355" i="17"/>
  <c r="BZ355" i="17"/>
  <c r="BY355" i="17"/>
  <c r="BX355" i="17"/>
  <c r="BW355" i="17"/>
  <c r="BV355" i="17"/>
  <c r="BU355" i="17"/>
  <c r="BT355" i="17"/>
  <c r="BS355" i="17"/>
  <c r="BR355" i="17"/>
  <c r="BQ355" i="17"/>
  <c r="BP355" i="17"/>
  <c r="BO355" i="17"/>
  <c r="BN355" i="17"/>
  <c r="BM355" i="17"/>
  <c r="BL355" i="17"/>
  <c r="BK355" i="17"/>
  <c r="BJ355" i="17"/>
  <c r="BI355" i="17"/>
  <c r="BH355" i="17"/>
  <c r="BG355" i="17"/>
  <c r="BF355" i="17"/>
  <c r="BE355" i="17"/>
  <c r="BD355" i="17"/>
  <c r="BC355" i="17"/>
  <c r="CF344" i="17"/>
  <c r="CE344" i="17"/>
  <c r="CD344" i="17"/>
  <c r="CC344" i="17"/>
  <c r="CB344" i="17"/>
  <c r="CA344" i="17"/>
  <c r="BZ344" i="17"/>
  <c r="BY344" i="17"/>
  <c r="BX344" i="17"/>
  <c r="BW344" i="17"/>
  <c r="BV344" i="17"/>
  <c r="BU344" i="17"/>
  <c r="BT344" i="17"/>
  <c r="BS344" i="17"/>
  <c r="BR344" i="17"/>
  <c r="BQ344" i="17"/>
  <c r="BP344" i="17"/>
  <c r="BO344" i="17"/>
  <c r="BN344" i="17"/>
  <c r="BM344" i="17"/>
  <c r="BL344" i="17"/>
  <c r="BK344" i="17"/>
  <c r="BJ344" i="17"/>
  <c r="BI344" i="17"/>
  <c r="BH344" i="17"/>
  <c r="BG344" i="17"/>
  <c r="BF344" i="17"/>
  <c r="BE344" i="17"/>
  <c r="BD344" i="17"/>
  <c r="BC344" i="17"/>
  <c r="CF333" i="17"/>
  <c r="CE333" i="17"/>
  <c r="CD333" i="17"/>
  <c r="CC333" i="17"/>
  <c r="CB333" i="17"/>
  <c r="CA333" i="17"/>
  <c r="BZ333" i="17"/>
  <c r="BY333" i="17"/>
  <c r="BX333" i="17"/>
  <c r="BW333" i="17"/>
  <c r="BV333" i="17"/>
  <c r="BU333" i="17"/>
  <c r="BT333" i="17"/>
  <c r="BS333" i="17"/>
  <c r="BR333" i="17"/>
  <c r="BQ333" i="17"/>
  <c r="BP333" i="17"/>
  <c r="BO333" i="17"/>
  <c r="BN333" i="17"/>
  <c r="BM333" i="17"/>
  <c r="BL333" i="17"/>
  <c r="BK333" i="17"/>
  <c r="BJ333" i="17"/>
  <c r="BI333" i="17"/>
  <c r="BH333" i="17"/>
  <c r="BG333" i="17"/>
  <c r="BF333" i="17"/>
  <c r="BE333" i="17"/>
  <c r="BD333" i="17"/>
  <c r="BC333" i="17"/>
  <c r="CF322" i="17"/>
  <c r="CE322" i="17"/>
  <c r="CD322" i="17"/>
  <c r="CC322" i="17"/>
  <c r="CB322" i="17"/>
  <c r="CA322" i="17"/>
  <c r="BZ322" i="17"/>
  <c r="BY322" i="17"/>
  <c r="BX322" i="17"/>
  <c r="BW322" i="17"/>
  <c r="BV322" i="17"/>
  <c r="BU322" i="17"/>
  <c r="BT322" i="17"/>
  <c r="BS322" i="17"/>
  <c r="BR322" i="17"/>
  <c r="BQ322" i="17"/>
  <c r="BP322" i="17"/>
  <c r="BO322" i="17"/>
  <c r="BN322" i="17"/>
  <c r="BM322" i="17"/>
  <c r="BL322" i="17"/>
  <c r="BK322" i="17"/>
  <c r="BJ322" i="17"/>
  <c r="BI322" i="17"/>
  <c r="BH322" i="17"/>
  <c r="BG322" i="17"/>
  <c r="BF322" i="17"/>
  <c r="BE322" i="17"/>
  <c r="BD322" i="17"/>
  <c r="BC322" i="17"/>
  <c r="CF311" i="17"/>
  <c r="CE311" i="17"/>
  <c r="CD311" i="17"/>
  <c r="CC311" i="17"/>
  <c r="CB311" i="17"/>
  <c r="CA311" i="17"/>
  <c r="BZ311" i="17"/>
  <c r="BY311" i="17"/>
  <c r="BX311" i="17"/>
  <c r="BW311" i="17"/>
  <c r="BV311" i="17"/>
  <c r="BU311" i="17"/>
  <c r="BT311" i="17"/>
  <c r="BS311" i="17"/>
  <c r="BR311" i="17"/>
  <c r="BQ311" i="17"/>
  <c r="BP311" i="17"/>
  <c r="BO311" i="17"/>
  <c r="BN311" i="17"/>
  <c r="BM311" i="17"/>
  <c r="BL311" i="17"/>
  <c r="BK311" i="17"/>
  <c r="BJ311" i="17"/>
  <c r="BI311" i="17"/>
  <c r="BH311" i="17"/>
  <c r="BG311" i="17"/>
  <c r="BF311" i="17"/>
  <c r="BE311" i="17"/>
  <c r="BD311" i="17"/>
  <c r="BC311" i="17"/>
  <c r="CF300" i="17"/>
  <c r="CE300" i="17"/>
  <c r="CD300" i="17"/>
  <c r="CC300" i="17"/>
  <c r="CB300" i="17"/>
  <c r="CA300" i="17"/>
  <c r="BZ300" i="17"/>
  <c r="BY300" i="17"/>
  <c r="BX300" i="17"/>
  <c r="BW300" i="17"/>
  <c r="BV300" i="17"/>
  <c r="BU300" i="17"/>
  <c r="BT300" i="17"/>
  <c r="BS300" i="17"/>
  <c r="BR300" i="17"/>
  <c r="BQ300" i="17"/>
  <c r="BP300" i="17"/>
  <c r="BO300" i="17"/>
  <c r="BN300" i="17"/>
  <c r="BM300" i="17"/>
  <c r="BL300" i="17"/>
  <c r="BK300" i="17"/>
  <c r="BJ300" i="17"/>
  <c r="BI300" i="17"/>
  <c r="BH300" i="17"/>
  <c r="BG300" i="17"/>
  <c r="BF300" i="17"/>
  <c r="BE300" i="17"/>
  <c r="BD300" i="17"/>
  <c r="BC300" i="17"/>
  <c r="CF289" i="17"/>
  <c r="CE289" i="17"/>
  <c r="CD289" i="17"/>
  <c r="CC289" i="17"/>
  <c r="CB289" i="17"/>
  <c r="CA289" i="17"/>
  <c r="BZ289" i="17"/>
  <c r="BY289" i="17"/>
  <c r="BX289" i="17"/>
  <c r="BW289" i="17"/>
  <c r="BV289" i="17"/>
  <c r="BU289" i="17"/>
  <c r="BT289" i="17"/>
  <c r="BS289" i="17"/>
  <c r="BR289" i="17"/>
  <c r="BQ289" i="17"/>
  <c r="BP289" i="17"/>
  <c r="BO289" i="17"/>
  <c r="BN289" i="17"/>
  <c r="BM289" i="17"/>
  <c r="BL289" i="17"/>
  <c r="BK289" i="17"/>
  <c r="BJ289" i="17"/>
  <c r="BI289" i="17"/>
  <c r="BH289" i="17"/>
  <c r="BG289" i="17"/>
  <c r="BF289" i="17"/>
  <c r="BE289" i="17"/>
  <c r="BD289" i="17"/>
  <c r="BC289" i="17"/>
  <c r="CF278" i="17"/>
  <c r="CE278" i="17"/>
  <c r="CD278" i="17"/>
  <c r="CC278" i="17"/>
  <c r="CB278" i="17"/>
  <c r="CA278" i="17"/>
  <c r="BZ278" i="17"/>
  <c r="BY278" i="17"/>
  <c r="BX278" i="17"/>
  <c r="BW278" i="17"/>
  <c r="BV278" i="17"/>
  <c r="BU278" i="17"/>
  <c r="BT278" i="17"/>
  <c r="BS278" i="17"/>
  <c r="BR278" i="17"/>
  <c r="BQ278" i="17"/>
  <c r="BP278" i="17"/>
  <c r="BO278" i="17"/>
  <c r="BN278" i="17"/>
  <c r="BM278" i="17"/>
  <c r="BL278" i="17"/>
  <c r="BK278" i="17"/>
  <c r="BJ278" i="17"/>
  <c r="BI278" i="17"/>
  <c r="BH278" i="17"/>
  <c r="BG278" i="17"/>
  <c r="BF278" i="17"/>
  <c r="BE278" i="17"/>
  <c r="BD278" i="17"/>
  <c r="BC278" i="17"/>
  <c r="CF267" i="17"/>
  <c r="CE267" i="17"/>
  <c r="CD267" i="17"/>
  <c r="CC267" i="17"/>
  <c r="CB267" i="17"/>
  <c r="CA267" i="17"/>
  <c r="BZ267" i="17"/>
  <c r="BY267" i="17"/>
  <c r="BX267" i="17"/>
  <c r="BW267" i="17"/>
  <c r="BV267" i="17"/>
  <c r="BU267" i="17"/>
  <c r="BT267" i="17"/>
  <c r="BS267" i="17"/>
  <c r="BR267" i="17"/>
  <c r="BQ267" i="17"/>
  <c r="BP267" i="17"/>
  <c r="BO267" i="17"/>
  <c r="BN267" i="17"/>
  <c r="BM267" i="17"/>
  <c r="BL267" i="17"/>
  <c r="BK267" i="17"/>
  <c r="BJ267" i="17"/>
  <c r="BI267" i="17"/>
  <c r="BH267" i="17"/>
  <c r="BG267" i="17"/>
  <c r="BF267" i="17"/>
  <c r="BE267" i="17"/>
  <c r="BD267" i="17"/>
  <c r="BC267" i="17"/>
  <c r="CF256" i="17"/>
  <c r="CE256" i="17"/>
  <c r="CD256" i="17"/>
  <c r="CC256" i="17"/>
  <c r="CB256" i="17"/>
  <c r="CA256" i="17"/>
  <c r="BZ256" i="17"/>
  <c r="BY256" i="17"/>
  <c r="BX256" i="17"/>
  <c r="BW256" i="17"/>
  <c r="BV256" i="17"/>
  <c r="BU256" i="17"/>
  <c r="BT256" i="17"/>
  <c r="BS256" i="17"/>
  <c r="BR256" i="17"/>
  <c r="BQ256" i="17"/>
  <c r="BP256" i="17"/>
  <c r="BO256" i="17"/>
  <c r="BN256" i="17"/>
  <c r="BM256" i="17"/>
  <c r="BL256" i="17"/>
  <c r="BK256" i="17"/>
  <c r="BJ256" i="17"/>
  <c r="BI256" i="17"/>
  <c r="BH256" i="17"/>
  <c r="BG256" i="17"/>
  <c r="BF256" i="17"/>
  <c r="BE256" i="17"/>
  <c r="BD256" i="17"/>
  <c r="BC256" i="17"/>
  <c r="CF245" i="17"/>
  <c r="CE245" i="17"/>
  <c r="CD245" i="17"/>
  <c r="CC245" i="17"/>
  <c r="CB245" i="17"/>
  <c r="CA245" i="17"/>
  <c r="BZ245" i="17"/>
  <c r="BY245" i="17"/>
  <c r="BX245" i="17"/>
  <c r="BW245" i="17"/>
  <c r="BV245" i="17"/>
  <c r="BU245" i="17"/>
  <c r="BT245" i="17"/>
  <c r="BS245" i="17"/>
  <c r="BR245" i="17"/>
  <c r="BQ245" i="17"/>
  <c r="BP245" i="17"/>
  <c r="BO245" i="17"/>
  <c r="BN245" i="17"/>
  <c r="BM245" i="17"/>
  <c r="BL245" i="17"/>
  <c r="BK245" i="17"/>
  <c r="BJ245" i="17"/>
  <c r="BI245" i="17"/>
  <c r="BH245" i="17"/>
  <c r="BG245" i="17"/>
  <c r="BF245" i="17"/>
  <c r="BE245" i="17"/>
  <c r="BD245" i="17"/>
  <c r="BC245" i="17"/>
  <c r="CF234" i="17"/>
  <c r="CE234" i="17"/>
  <c r="CD234" i="17"/>
  <c r="CC234" i="17"/>
  <c r="CB234" i="17"/>
  <c r="CA234" i="17"/>
  <c r="BZ234" i="17"/>
  <c r="BY234" i="17"/>
  <c r="BX234" i="17"/>
  <c r="BW234" i="17"/>
  <c r="BV234" i="17"/>
  <c r="BU234" i="17"/>
  <c r="BT234" i="17"/>
  <c r="BS234" i="17"/>
  <c r="BR234" i="17"/>
  <c r="BQ234" i="17"/>
  <c r="BP234" i="17"/>
  <c r="BO234" i="17"/>
  <c r="BN234" i="17"/>
  <c r="BM234" i="17"/>
  <c r="BL234" i="17"/>
  <c r="BK234" i="17"/>
  <c r="BJ234" i="17"/>
  <c r="BI234" i="17"/>
  <c r="BH234" i="17"/>
  <c r="BG234" i="17"/>
  <c r="BF234" i="17"/>
  <c r="BE234" i="17"/>
  <c r="BD234" i="17"/>
  <c r="BC234" i="17"/>
  <c r="CF211" i="17"/>
  <c r="CE211" i="17"/>
  <c r="CD211" i="17"/>
  <c r="CC211" i="17"/>
  <c r="CB211" i="17"/>
  <c r="CA211" i="17"/>
  <c r="BZ211" i="17"/>
  <c r="BY211" i="17"/>
  <c r="BX211" i="17"/>
  <c r="BW211" i="17"/>
  <c r="BV211" i="17"/>
  <c r="BU211" i="17"/>
  <c r="BT211" i="17"/>
  <c r="BS211" i="17"/>
  <c r="BR211" i="17"/>
  <c r="BQ211" i="17"/>
  <c r="BP211" i="17"/>
  <c r="BO211" i="17"/>
  <c r="BN211" i="17"/>
  <c r="BM211" i="17"/>
  <c r="BL211" i="17"/>
  <c r="BK211" i="17"/>
  <c r="BJ211" i="17"/>
  <c r="BI211" i="17"/>
  <c r="BH211" i="17"/>
  <c r="BG211" i="17"/>
  <c r="BF211" i="17"/>
  <c r="BE211" i="17"/>
  <c r="BD211" i="17"/>
  <c r="BC211" i="17"/>
  <c r="CF200" i="17"/>
  <c r="CE200" i="17"/>
  <c r="CD200" i="17"/>
  <c r="CC200" i="17"/>
  <c r="CB200" i="17"/>
  <c r="CA200" i="17"/>
  <c r="BZ200" i="17"/>
  <c r="BY200" i="17"/>
  <c r="BX200" i="17"/>
  <c r="BW200" i="17"/>
  <c r="BV200" i="17"/>
  <c r="BU200" i="17"/>
  <c r="BT200" i="17"/>
  <c r="BS200" i="17"/>
  <c r="BR200" i="17"/>
  <c r="BQ200" i="17"/>
  <c r="BP200" i="17"/>
  <c r="BO200" i="17"/>
  <c r="BN200" i="17"/>
  <c r="BM200" i="17"/>
  <c r="BL200" i="17"/>
  <c r="BK200" i="17"/>
  <c r="BJ200" i="17"/>
  <c r="BI200" i="17"/>
  <c r="BH200" i="17"/>
  <c r="BG200" i="17"/>
  <c r="BF200" i="17"/>
  <c r="BE200" i="17"/>
  <c r="BD200" i="17"/>
  <c r="BC200" i="17"/>
  <c r="CF189" i="17"/>
  <c r="CE189" i="17"/>
  <c r="CD189" i="17"/>
  <c r="CC189" i="17"/>
  <c r="CB189" i="17"/>
  <c r="CA189" i="17"/>
  <c r="BZ189" i="17"/>
  <c r="BY189" i="17"/>
  <c r="BX189" i="17"/>
  <c r="BW189" i="17"/>
  <c r="BV189" i="17"/>
  <c r="BU189" i="17"/>
  <c r="BT189" i="17"/>
  <c r="BS189" i="17"/>
  <c r="BR189" i="17"/>
  <c r="BQ189" i="17"/>
  <c r="BP189" i="17"/>
  <c r="BO189" i="17"/>
  <c r="BN189" i="17"/>
  <c r="BM189" i="17"/>
  <c r="BL189" i="17"/>
  <c r="BK189" i="17"/>
  <c r="BJ189" i="17"/>
  <c r="BI189" i="17"/>
  <c r="BH189" i="17"/>
  <c r="BG189" i="17"/>
  <c r="BF189" i="17"/>
  <c r="BE189" i="17"/>
  <c r="BD189" i="17"/>
  <c r="BC189" i="17"/>
  <c r="CF178" i="17"/>
  <c r="CE178" i="17"/>
  <c r="CD178" i="17"/>
  <c r="CC178" i="17"/>
  <c r="CB178" i="17"/>
  <c r="CA178" i="17"/>
  <c r="BZ178" i="17"/>
  <c r="BY178" i="17"/>
  <c r="BX178" i="17"/>
  <c r="BW178" i="17"/>
  <c r="BV178" i="17"/>
  <c r="BU178" i="17"/>
  <c r="BT178" i="17"/>
  <c r="BS178" i="17"/>
  <c r="BR178" i="17"/>
  <c r="BQ178" i="17"/>
  <c r="BP178" i="17"/>
  <c r="BO178" i="17"/>
  <c r="BN178" i="17"/>
  <c r="BM178" i="17"/>
  <c r="BL178" i="17"/>
  <c r="BK178" i="17"/>
  <c r="BJ178" i="17"/>
  <c r="BI178" i="17"/>
  <c r="BH178" i="17"/>
  <c r="BG178" i="17"/>
  <c r="BF178" i="17"/>
  <c r="BE178" i="17"/>
  <c r="BD178" i="17"/>
  <c r="BC178" i="17"/>
  <c r="CF167" i="17"/>
  <c r="CE167" i="17"/>
  <c r="CD167" i="17"/>
  <c r="CC167" i="17"/>
  <c r="CB167" i="17"/>
  <c r="CA167" i="17"/>
  <c r="BZ167" i="17"/>
  <c r="BY167" i="17"/>
  <c r="BX167" i="17"/>
  <c r="BW167" i="17"/>
  <c r="BV167" i="17"/>
  <c r="BU167" i="17"/>
  <c r="BT167" i="17"/>
  <c r="BS167" i="17"/>
  <c r="BR167" i="17"/>
  <c r="BQ167" i="17"/>
  <c r="BP167" i="17"/>
  <c r="BO167" i="17"/>
  <c r="BN167" i="17"/>
  <c r="BM167" i="17"/>
  <c r="BL167" i="17"/>
  <c r="BK167" i="17"/>
  <c r="BJ167" i="17"/>
  <c r="BI167" i="17"/>
  <c r="BH167" i="17"/>
  <c r="BG167" i="17"/>
  <c r="BF167" i="17"/>
  <c r="BE167" i="17"/>
  <c r="BD167" i="17"/>
  <c r="BC167" i="17"/>
  <c r="CF156" i="17"/>
  <c r="CE156" i="17"/>
  <c r="CD156" i="17"/>
  <c r="CC156" i="17"/>
  <c r="CB156" i="17"/>
  <c r="CA156" i="17"/>
  <c r="BZ156" i="17"/>
  <c r="BY156" i="17"/>
  <c r="BX156" i="17"/>
  <c r="BW156" i="17"/>
  <c r="BV156" i="17"/>
  <c r="BU156" i="17"/>
  <c r="BT156" i="17"/>
  <c r="BS156" i="17"/>
  <c r="BR156" i="17"/>
  <c r="BQ156" i="17"/>
  <c r="BP156" i="17"/>
  <c r="BO156" i="17"/>
  <c r="BN156" i="17"/>
  <c r="BM156" i="17"/>
  <c r="BL156" i="17"/>
  <c r="BK156" i="17"/>
  <c r="BJ156" i="17"/>
  <c r="BI156" i="17"/>
  <c r="BH156" i="17"/>
  <c r="BG156" i="17"/>
  <c r="BF156" i="17"/>
  <c r="BE156" i="17"/>
  <c r="BD156" i="17"/>
  <c r="BC156" i="17"/>
  <c r="CF145" i="17"/>
  <c r="CE145" i="17"/>
  <c r="CD145" i="17"/>
  <c r="CC145" i="17"/>
  <c r="CB145" i="17"/>
  <c r="CA145" i="17"/>
  <c r="BZ145" i="17"/>
  <c r="BY145" i="17"/>
  <c r="BX145" i="17"/>
  <c r="BW145" i="17"/>
  <c r="BV145" i="17"/>
  <c r="BU145" i="17"/>
  <c r="BT145" i="17"/>
  <c r="BS145" i="17"/>
  <c r="BR145" i="17"/>
  <c r="BQ145" i="17"/>
  <c r="BP145" i="17"/>
  <c r="BO145" i="17"/>
  <c r="BN145" i="17"/>
  <c r="BM145" i="17"/>
  <c r="BL145" i="17"/>
  <c r="BK145" i="17"/>
  <c r="BJ145" i="17"/>
  <c r="BI145" i="17"/>
  <c r="BH145" i="17"/>
  <c r="BG145" i="17"/>
  <c r="BF145" i="17"/>
  <c r="BE145" i="17"/>
  <c r="BD145" i="17"/>
  <c r="BC145" i="17"/>
  <c r="CF134" i="17"/>
  <c r="CE134" i="17"/>
  <c r="CD134" i="17"/>
  <c r="CC134" i="17"/>
  <c r="CB134" i="17"/>
  <c r="CA134" i="17"/>
  <c r="BZ134" i="17"/>
  <c r="BY134" i="17"/>
  <c r="BX134" i="17"/>
  <c r="BW134" i="17"/>
  <c r="BV134" i="17"/>
  <c r="BU134" i="17"/>
  <c r="BT134" i="17"/>
  <c r="BS134" i="17"/>
  <c r="BR134" i="17"/>
  <c r="BQ134" i="17"/>
  <c r="BP134" i="17"/>
  <c r="BO134" i="17"/>
  <c r="BN134" i="17"/>
  <c r="BM134" i="17"/>
  <c r="BL134" i="17"/>
  <c r="BK134" i="17"/>
  <c r="BJ134" i="17"/>
  <c r="BI134" i="17"/>
  <c r="BH134" i="17"/>
  <c r="BG134" i="17"/>
  <c r="BF134" i="17"/>
  <c r="BE134" i="17"/>
  <c r="BD134" i="17"/>
  <c r="BC134" i="17"/>
  <c r="CF123" i="17"/>
  <c r="CE123" i="17"/>
  <c r="CD123" i="17"/>
  <c r="CC123" i="17"/>
  <c r="CB123" i="17"/>
  <c r="CA123" i="17"/>
  <c r="BZ123" i="17"/>
  <c r="BY123" i="17"/>
  <c r="BX123" i="17"/>
  <c r="BW123" i="17"/>
  <c r="BV123" i="17"/>
  <c r="BU123" i="17"/>
  <c r="BT123" i="17"/>
  <c r="BS123" i="17"/>
  <c r="BR123" i="17"/>
  <c r="BQ123" i="17"/>
  <c r="BP123" i="17"/>
  <c r="BP124" i="17" s="1"/>
  <c r="U127" i="17" s="1"/>
  <c r="BO123" i="17"/>
  <c r="BN123" i="17"/>
  <c r="BM123" i="17"/>
  <c r="BL123" i="17"/>
  <c r="BK123" i="17"/>
  <c r="BJ123" i="17"/>
  <c r="BJ124" i="17" s="1"/>
  <c r="O129" i="17" s="1"/>
  <c r="BI123" i="17"/>
  <c r="BH123" i="17"/>
  <c r="BG123" i="17"/>
  <c r="BF123" i="17"/>
  <c r="BE123" i="17"/>
  <c r="BD123" i="17"/>
  <c r="BC123" i="17"/>
  <c r="CF112" i="17"/>
  <c r="CE112" i="17"/>
  <c r="CD112" i="17"/>
  <c r="CC112" i="17"/>
  <c r="CB112" i="17"/>
  <c r="CA112" i="17"/>
  <c r="BZ112" i="17"/>
  <c r="BY112" i="17"/>
  <c r="BX112" i="17"/>
  <c r="BW112" i="17"/>
  <c r="BV112" i="17"/>
  <c r="BU112" i="17"/>
  <c r="BT112" i="17"/>
  <c r="BS112" i="17"/>
  <c r="BR112" i="17"/>
  <c r="BQ112" i="17"/>
  <c r="BP112" i="17"/>
  <c r="BO112" i="17"/>
  <c r="BN112" i="17"/>
  <c r="BM112" i="17"/>
  <c r="BL112" i="17"/>
  <c r="BK112" i="17"/>
  <c r="BJ112" i="17"/>
  <c r="BJ113" i="17" s="1"/>
  <c r="O114" i="17" s="1"/>
  <c r="BI112" i="17"/>
  <c r="BH112" i="17"/>
  <c r="BG112" i="17"/>
  <c r="BF112" i="17"/>
  <c r="BE112" i="17"/>
  <c r="BD112" i="17"/>
  <c r="BC112" i="17"/>
  <c r="CF101" i="17"/>
  <c r="CE101" i="17"/>
  <c r="CD101" i="17"/>
  <c r="CC101" i="17"/>
  <c r="CB101" i="17"/>
  <c r="CA101" i="17"/>
  <c r="BZ101" i="17"/>
  <c r="BY101" i="17"/>
  <c r="BX101" i="17"/>
  <c r="BX102" i="17" s="1"/>
  <c r="AC104" i="17" s="1"/>
  <c r="BW101" i="17"/>
  <c r="BV101" i="17"/>
  <c r="BU101" i="17"/>
  <c r="BT101" i="17"/>
  <c r="BS101" i="17"/>
  <c r="BR101" i="17"/>
  <c r="BQ101" i="17"/>
  <c r="BP101" i="17"/>
  <c r="BO101" i="17"/>
  <c r="BN101" i="17"/>
  <c r="BN102" i="17" s="1"/>
  <c r="S107" i="17" s="1"/>
  <c r="BM101" i="17"/>
  <c r="BL101" i="17"/>
  <c r="BK101" i="17"/>
  <c r="BJ101" i="17"/>
  <c r="BJ102" i="17" s="1"/>
  <c r="O107" i="17" s="1"/>
  <c r="BI101" i="17"/>
  <c r="BH101" i="17"/>
  <c r="BG101" i="17"/>
  <c r="BF101" i="17"/>
  <c r="BE101" i="17"/>
  <c r="BD101" i="17"/>
  <c r="BC101" i="17"/>
  <c r="CF90" i="17"/>
  <c r="CE90" i="17"/>
  <c r="CD90" i="17"/>
  <c r="CC90" i="17"/>
  <c r="CB90" i="17"/>
  <c r="CA90" i="17"/>
  <c r="BZ90" i="17"/>
  <c r="BY90" i="17"/>
  <c r="BX90" i="17"/>
  <c r="BW90" i="17"/>
  <c r="BV90" i="17"/>
  <c r="BU90" i="17"/>
  <c r="BT90" i="17"/>
  <c r="BS90" i="17"/>
  <c r="BR90" i="17"/>
  <c r="BR91" i="17" s="1"/>
  <c r="W93" i="17" s="1"/>
  <c r="BQ90" i="17"/>
  <c r="BP90" i="17"/>
  <c r="BP91" i="17" s="1"/>
  <c r="U95" i="17" s="1"/>
  <c r="BO90" i="17"/>
  <c r="BN90" i="17"/>
  <c r="BN91" i="17" s="1"/>
  <c r="S96" i="17" s="1"/>
  <c r="BM90" i="17"/>
  <c r="BL90" i="17"/>
  <c r="BK90" i="17"/>
  <c r="BJ90" i="17"/>
  <c r="BI90" i="17"/>
  <c r="BH90" i="17"/>
  <c r="BG90" i="17"/>
  <c r="BF90" i="17"/>
  <c r="BE90" i="17"/>
  <c r="BD90" i="17"/>
  <c r="BC90" i="17"/>
  <c r="CO6" i="14"/>
  <c r="CQ6" i="14"/>
  <c r="CS6" i="14"/>
  <c r="L56" i="13"/>
  <c r="C31" i="13"/>
  <c r="AW96" i="17"/>
  <c r="AX96" i="17"/>
  <c r="E630" i="17" s="1"/>
  <c r="AW97" i="17"/>
  <c r="AW92" i="17"/>
  <c r="AX92" i="17" s="1"/>
  <c r="AW93" i="17"/>
  <c r="AX93" i="17" s="1"/>
  <c r="E148" i="17" s="1"/>
  <c r="AW94" i="17"/>
  <c r="AX94" i="17"/>
  <c r="E481" i="17" s="1"/>
  <c r="AW95" i="17"/>
  <c r="AX95" i="17"/>
  <c r="AX97" i="17"/>
  <c r="E119" i="17" s="1"/>
  <c r="AU21" i="17"/>
  <c r="AU22" i="17"/>
  <c r="BN54" i="17" s="1"/>
  <c r="BQ54" i="17" s="1"/>
  <c r="BP54" i="17" s="1"/>
  <c r="AU23" i="17"/>
  <c r="BN55" i="17" s="1"/>
  <c r="BQ55" i="17" s="1"/>
  <c r="BP55" i="17" s="1"/>
  <c r="AU24" i="17"/>
  <c r="BN56" i="17"/>
  <c r="BQ56" i="17"/>
  <c r="AU25" i="17"/>
  <c r="BN57" i="17"/>
  <c r="AU26" i="17"/>
  <c r="BN58" i="17" s="1"/>
  <c r="AU27" i="17"/>
  <c r="BN59" i="17" s="1"/>
  <c r="AU28" i="17"/>
  <c r="BN60" i="17" s="1"/>
  <c r="AU29" i="17"/>
  <c r="BN61" i="17" s="1"/>
  <c r="BQ61" i="17" s="1"/>
  <c r="BP61" i="17" s="1"/>
  <c r="AU30" i="17"/>
  <c r="BN62" i="17" s="1"/>
  <c r="BQ62" i="17" s="1"/>
  <c r="BP62" i="17" s="1"/>
  <c r="AU31" i="17"/>
  <c r="BN63" i="17" s="1"/>
  <c r="AU32" i="17"/>
  <c r="BN64" i="17" s="1"/>
  <c r="AU33" i="17"/>
  <c r="BN65" i="17"/>
  <c r="AU34" i="17"/>
  <c r="BN66" i="17"/>
  <c r="BQ66" i="17" s="1"/>
  <c r="BP66" i="17" s="1"/>
  <c r="AU35" i="17"/>
  <c r="BN67" i="17"/>
  <c r="AV21" i="17"/>
  <c r="BN68" i="17"/>
  <c r="BQ68" i="17" s="1"/>
  <c r="BP68" i="17" s="1"/>
  <c r="AV22" i="17"/>
  <c r="BN69" i="17"/>
  <c r="BQ69" i="17" s="1"/>
  <c r="BP69" i="17" s="1"/>
  <c r="AV23" i="17"/>
  <c r="BN70" i="17"/>
  <c r="AV24" i="17"/>
  <c r="BN71" i="17" s="1"/>
  <c r="AV25" i="17"/>
  <c r="BN72" i="17"/>
  <c r="AV26" i="17"/>
  <c r="BN73" i="17" s="1"/>
  <c r="AV27" i="17"/>
  <c r="BN74" i="17"/>
  <c r="AV28" i="17"/>
  <c r="BN75" i="17" s="1"/>
  <c r="AV29" i="17"/>
  <c r="BN76" i="17"/>
  <c r="AV30" i="17"/>
  <c r="BN77" i="17"/>
  <c r="AV31" i="17"/>
  <c r="BN78" i="17"/>
  <c r="BM78" i="17"/>
  <c r="AV32" i="17"/>
  <c r="BN79" i="17"/>
  <c r="BQ79" i="17" s="1"/>
  <c r="BP79" i="17" s="1"/>
  <c r="AV33" i="17"/>
  <c r="BN80" i="17"/>
  <c r="BM80" i="17"/>
  <c r="AV34" i="17"/>
  <c r="BN81" i="17"/>
  <c r="BQ81" i="17"/>
  <c r="BP81" i="17" s="1"/>
  <c r="AV35" i="17"/>
  <c r="BN82" i="17"/>
  <c r="BQ82" i="17" s="1"/>
  <c r="BP82" i="17" s="1"/>
  <c r="BP56" i="17"/>
  <c r="BO80" i="17"/>
  <c r="BR80" i="17"/>
  <c r="BO81" i="17"/>
  <c r="BR81" i="17"/>
  <c r="BO82" i="17"/>
  <c r="BR82" i="17"/>
  <c r="BR79" i="17"/>
  <c r="BO79" i="17"/>
  <c r="BR78" i="17"/>
  <c r="BO78" i="17"/>
  <c r="BR77" i="17"/>
  <c r="BO77" i="17"/>
  <c r="BR76" i="17"/>
  <c r="BO76" i="17"/>
  <c r="BR75" i="17"/>
  <c r="BO75" i="17"/>
  <c r="BR74" i="17"/>
  <c r="BO74" i="17"/>
  <c r="BR73" i="17"/>
  <c r="BO73" i="17"/>
  <c r="BR72" i="17"/>
  <c r="BO72" i="17"/>
  <c r="BR71" i="17"/>
  <c r="BO71" i="17"/>
  <c r="BR70" i="17"/>
  <c r="BO70" i="17"/>
  <c r="BR69" i="17"/>
  <c r="BO69" i="17"/>
  <c r="BR68" i="17"/>
  <c r="BO68" i="17"/>
  <c r="BR67" i="17"/>
  <c r="BO67" i="17"/>
  <c r="BR66" i="17"/>
  <c r="BO66" i="17"/>
  <c r="BR65" i="17"/>
  <c r="BO65" i="17"/>
  <c r="BR64" i="17"/>
  <c r="BO64" i="17"/>
  <c r="BR63" i="17"/>
  <c r="BO63" i="17"/>
  <c r="BR62" i="17"/>
  <c r="BO62" i="17"/>
  <c r="BR61" i="17"/>
  <c r="BO61" i="17"/>
  <c r="BR60" i="17"/>
  <c r="BO60" i="17"/>
  <c r="BR59" i="17"/>
  <c r="BO59" i="17"/>
  <c r="BR58" i="17"/>
  <c r="BO58" i="17"/>
  <c r="BR57" i="17"/>
  <c r="BO57" i="17"/>
  <c r="BR56" i="17"/>
  <c r="BO56" i="17"/>
  <c r="BR55" i="17"/>
  <c r="BO55" i="17"/>
  <c r="BR54" i="17"/>
  <c r="BO54" i="17"/>
  <c r="BR53" i="17"/>
  <c r="BO53" i="17"/>
  <c r="AY711" i="17"/>
  <c r="AW711" i="17"/>
  <c r="AY710" i="17"/>
  <c r="AW710" i="17"/>
  <c r="AY709" i="17"/>
  <c r="AW709" i="17"/>
  <c r="AY708" i="17"/>
  <c r="AW708" i="17"/>
  <c r="AY707" i="17"/>
  <c r="AW707" i="17"/>
  <c r="AY706" i="17"/>
  <c r="AW706" i="17"/>
  <c r="AY700" i="17"/>
  <c r="AW700" i="17"/>
  <c r="AY699" i="17"/>
  <c r="AW699" i="17"/>
  <c r="AY698" i="17"/>
  <c r="AW698" i="17"/>
  <c r="AY697" i="17"/>
  <c r="AW697" i="17"/>
  <c r="AY696" i="17"/>
  <c r="AW696" i="17"/>
  <c r="AY695" i="17"/>
  <c r="AW695" i="17"/>
  <c r="AY689" i="17"/>
  <c r="AW689" i="17"/>
  <c r="AY688" i="17"/>
  <c r="AW688" i="17"/>
  <c r="AY687" i="17"/>
  <c r="AW687" i="17"/>
  <c r="AY686" i="17"/>
  <c r="AW686" i="17"/>
  <c r="AY685" i="17"/>
  <c r="AW685" i="17"/>
  <c r="AY684" i="17"/>
  <c r="AW684" i="17"/>
  <c r="AY664" i="17"/>
  <c r="AW664" i="17"/>
  <c r="AY663" i="17"/>
  <c r="AW663" i="17"/>
  <c r="AY662" i="17"/>
  <c r="AW662" i="17"/>
  <c r="AY661" i="17"/>
  <c r="AW661" i="17"/>
  <c r="AY660" i="17"/>
  <c r="AW660" i="17"/>
  <c r="AY659" i="17"/>
  <c r="AW659" i="17"/>
  <c r="AY653" i="17"/>
  <c r="AW653" i="17"/>
  <c r="AY652" i="17"/>
  <c r="AW652" i="17"/>
  <c r="AY651" i="17"/>
  <c r="AW651" i="17"/>
  <c r="AY650" i="17"/>
  <c r="AW650" i="17"/>
  <c r="AY649" i="17"/>
  <c r="AW649" i="17"/>
  <c r="AY648" i="17"/>
  <c r="AW648" i="17"/>
  <c r="AY642" i="17"/>
  <c r="AW642" i="17"/>
  <c r="AY641" i="17"/>
  <c r="AW641" i="17"/>
  <c r="AY640" i="17"/>
  <c r="AW640" i="17"/>
  <c r="AY639" i="17"/>
  <c r="AW639" i="17"/>
  <c r="AY638" i="17"/>
  <c r="AW638" i="17"/>
  <c r="AY637" i="17"/>
  <c r="AW637" i="17"/>
  <c r="AY631" i="17"/>
  <c r="AW631" i="17"/>
  <c r="AY630" i="17"/>
  <c r="AW630" i="17"/>
  <c r="AY629" i="17"/>
  <c r="AW629" i="17"/>
  <c r="AY628" i="17"/>
  <c r="AW628" i="17"/>
  <c r="AY627" i="17"/>
  <c r="AW627" i="17"/>
  <c r="AY626" i="17"/>
  <c r="AW626" i="17"/>
  <c r="AY606" i="17"/>
  <c r="AW606" i="17"/>
  <c r="AY605" i="17"/>
  <c r="AW605" i="17"/>
  <c r="AY604" i="17"/>
  <c r="AW604" i="17"/>
  <c r="AY603" i="17"/>
  <c r="AW603" i="17"/>
  <c r="AY602" i="17"/>
  <c r="AW602" i="17"/>
  <c r="AY601" i="17"/>
  <c r="AW601" i="17"/>
  <c r="AY595" i="17"/>
  <c r="AW595" i="17"/>
  <c r="AY594" i="17"/>
  <c r="AW594" i="17"/>
  <c r="AY593" i="17"/>
  <c r="AW593" i="17"/>
  <c r="AY592" i="17"/>
  <c r="AW592" i="17"/>
  <c r="AY591" i="17"/>
  <c r="AW591" i="17"/>
  <c r="AY590" i="17"/>
  <c r="AW590" i="17"/>
  <c r="AY584" i="17"/>
  <c r="AW584" i="17"/>
  <c r="AY583" i="17"/>
  <c r="AW583" i="17"/>
  <c r="AY582" i="17"/>
  <c r="AW582" i="17"/>
  <c r="AY581" i="17"/>
  <c r="AW581" i="17"/>
  <c r="AY580" i="17"/>
  <c r="AW580" i="17"/>
  <c r="AY579" i="17"/>
  <c r="AW579" i="17"/>
  <c r="AY573" i="17"/>
  <c r="AW573" i="17"/>
  <c r="AY572" i="17"/>
  <c r="AW572" i="17"/>
  <c r="AY571" i="17"/>
  <c r="AW571" i="17"/>
  <c r="AY570" i="17"/>
  <c r="AW570" i="17"/>
  <c r="AY569" i="17"/>
  <c r="AW569" i="17"/>
  <c r="AY568" i="17"/>
  <c r="AW568" i="17"/>
  <c r="AY562" i="17"/>
  <c r="AW562" i="17"/>
  <c r="AY561" i="17"/>
  <c r="AW561" i="17"/>
  <c r="AY560" i="17"/>
  <c r="AW560" i="17"/>
  <c r="AY559" i="17"/>
  <c r="AW559" i="17"/>
  <c r="AY558" i="17"/>
  <c r="AW558" i="17"/>
  <c r="AY557" i="17"/>
  <c r="AW557" i="17"/>
  <c r="AY551" i="17"/>
  <c r="AW551" i="17"/>
  <c r="AY550" i="17"/>
  <c r="AW550" i="17"/>
  <c r="AY549" i="17"/>
  <c r="AW549" i="17"/>
  <c r="AY548" i="17"/>
  <c r="AW548" i="17"/>
  <c r="AY547" i="17"/>
  <c r="AW547" i="17"/>
  <c r="AY546" i="17"/>
  <c r="AW546" i="17"/>
  <c r="AY540" i="17"/>
  <c r="AW540" i="17"/>
  <c r="AY539" i="17"/>
  <c r="AW539" i="17"/>
  <c r="AY538" i="17"/>
  <c r="AW538" i="17"/>
  <c r="AY537" i="17"/>
  <c r="AW537" i="17"/>
  <c r="AY536" i="17"/>
  <c r="AW536" i="17"/>
  <c r="AY535" i="17"/>
  <c r="AW535" i="17"/>
  <c r="AY529" i="17"/>
  <c r="AW529" i="17"/>
  <c r="AY528" i="17"/>
  <c r="AW528" i="17"/>
  <c r="AY527" i="17"/>
  <c r="AW527" i="17"/>
  <c r="AY526" i="17"/>
  <c r="AW526" i="17"/>
  <c r="AY525" i="17"/>
  <c r="AW525" i="17"/>
  <c r="AY524" i="17"/>
  <c r="AW524" i="17"/>
  <c r="AY506" i="17"/>
  <c r="AW506" i="17"/>
  <c r="AY505" i="17"/>
  <c r="AW505" i="17"/>
  <c r="AY504" i="17"/>
  <c r="AW504" i="17"/>
  <c r="AY503" i="17"/>
  <c r="AW503" i="17"/>
  <c r="AY502" i="17"/>
  <c r="AW502" i="17"/>
  <c r="AY501" i="17"/>
  <c r="AW501" i="17"/>
  <c r="AY495" i="17"/>
  <c r="AW495" i="17"/>
  <c r="AY494" i="17"/>
  <c r="AW494" i="17"/>
  <c r="AY493" i="17"/>
  <c r="AW493" i="17"/>
  <c r="AY492" i="17"/>
  <c r="AW492" i="17"/>
  <c r="AY491" i="17"/>
  <c r="AW491" i="17"/>
  <c r="AY490" i="17"/>
  <c r="AW490" i="17"/>
  <c r="AY484" i="17"/>
  <c r="AW484" i="17"/>
  <c r="AY483" i="17"/>
  <c r="AW483" i="17"/>
  <c r="AY482" i="17"/>
  <c r="AW482" i="17"/>
  <c r="AY481" i="17"/>
  <c r="AW481" i="17"/>
  <c r="AY480" i="17"/>
  <c r="AW480" i="17"/>
  <c r="AY479" i="17"/>
  <c r="AW479" i="17"/>
  <c r="AY473" i="17"/>
  <c r="AW473" i="17"/>
  <c r="AY472" i="17"/>
  <c r="AW472" i="17"/>
  <c r="AY471" i="17"/>
  <c r="AW471" i="17"/>
  <c r="AY470" i="17"/>
  <c r="AW470" i="17"/>
  <c r="AY469" i="17"/>
  <c r="AW469" i="17"/>
  <c r="AY468" i="17"/>
  <c r="AW468" i="17"/>
  <c r="AY462" i="17"/>
  <c r="AW462" i="17"/>
  <c r="AY461" i="17"/>
  <c r="AW461" i="17"/>
  <c r="AY460" i="17"/>
  <c r="AW460" i="17"/>
  <c r="AY459" i="17"/>
  <c r="AW459" i="17"/>
  <c r="AY458" i="17"/>
  <c r="AW458" i="17"/>
  <c r="AY457" i="17"/>
  <c r="AW457" i="17"/>
  <c r="AY451" i="17"/>
  <c r="AW451" i="17"/>
  <c r="AY450" i="17"/>
  <c r="AW450" i="17"/>
  <c r="AY449" i="17"/>
  <c r="AW449" i="17"/>
  <c r="AY448" i="17"/>
  <c r="AW448" i="17"/>
  <c r="AY447" i="17"/>
  <c r="AW447" i="17"/>
  <c r="AY446" i="17"/>
  <c r="AW446" i="17"/>
  <c r="AY440" i="17"/>
  <c r="AW440" i="17"/>
  <c r="AY439" i="17"/>
  <c r="AW439" i="17"/>
  <c r="AY438" i="17"/>
  <c r="AW438" i="17"/>
  <c r="AY437" i="17"/>
  <c r="AW437" i="17"/>
  <c r="AY436" i="17"/>
  <c r="AW436" i="17"/>
  <c r="AY435" i="17"/>
  <c r="AW435" i="17"/>
  <c r="AY429" i="17"/>
  <c r="AW429" i="17"/>
  <c r="AY428" i="17"/>
  <c r="AW428" i="17"/>
  <c r="AY427" i="17"/>
  <c r="AW427" i="17"/>
  <c r="AY426" i="17"/>
  <c r="AW426" i="17"/>
  <c r="AY425" i="17"/>
  <c r="AW425" i="17"/>
  <c r="AY424" i="17"/>
  <c r="AW424" i="17"/>
  <c r="AY418" i="17"/>
  <c r="AW418" i="17"/>
  <c r="AY417" i="17"/>
  <c r="AW417" i="17"/>
  <c r="AY416" i="17"/>
  <c r="AW416" i="17"/>
  <c r="AY415" i="17"/>
  <c r="AW415" i="17"/>
  <c r="AY414" i="17"/>
  <c r="AW414" i="17"/>
  <c r="AY413" i="17"/>
  <c r="AW413" i="17"/>
  <c r="AY407" i="17"/>
  <c r="AW407" i="17"/>
  <c r="AY406" i="17"/>
  <c r="AW406" i="17"/>
  <c r="AY405" i="17"/>
  <c r="AW405" i="17"/>
  <c r="AY404" i="17"/>
  <c r="AW404" i="17"/>
  <c r="AY403" i="17"/>
  <c r="AW403" i="17"/>
  <c r="AY402" i="17"/>
  <c r="AW402" i="17"/>
  <c r="AY396" i="17"/>
  <c r="AW396" i="17"/>
  <c r="AY395" i="17"/>
  <c r="AW395" i="17"/>
  <c r="AY394" i="17"/>
  <c r="AW394" i="17"/>
  <c r="AY393" i="17"/>
  <c r="AW393" i="17"/>
  <c r="AY392" i="17"/>
  <c r="AW392" i="17"/>
  <c r="AY391" i="17"/>
  <c r="AW391" i="17"/>
  <c r="AY385" i="17"/>
  <c r="AW385" i="17"/>
  <c r="AY384" i="17"/>
  <c r="AW384" i="17"/>
  <c r="AY383" i="17"/>
  <c r="AW383" i="17"/>
  <c r="AY382" i="17"/>
  <c r="AW382" i="17"/>
  <c r="AY381" i="17"/>
  <c r="AW381" i="17"/>
  <c r="AY380" i="17"/>
  <c r="AW380" i="17"/>
  <c r="AY362" i="17"/>
  <c r="AW362" i="17"/>
  <c r="AY361" i="17"/>
  <c r="AW361" i="17"/>
  <c r="AY360" i="17"/>
  <c r="AW360" i="17"/>
  <c r="AY359" i="17"/>
  <c r="AW359" i="17"/>
  <c r="AY358" i="17"/>
  <c r="AW358" i="17"/>
  <c r="AY357" i="17"/>
  <c r="AW357" i="17"/>
  <c r="AY351" i="17"/>
  <c r="AW351" i="17"/>
  <c r="AY350" i="17"/>
  <c r="AW350" i="17"/>
  <c r="AY349" i="17"/>
  <c r="AW349" i="17"/>
  <c r="AY348" i="17"/>
  <c r="AW348" i="17"/>
  <c r="AY347" i="17"/>
  <c r="AW347" i="17"/>
  <c r="AY346" i="17"/>
  <c r="AW346" i="17"/>
  <c r="AY340" i="17"/>
  <c r="AW340" i="17"/>
  <c r="AY339" i="17"/>
  <c r="AW339" i="17"/>
  <c r="AY338" i="17"/>
  <c r="AW338" i="17"/>
  <c r="AY337" i="17"/>
  <c r="AW337" i="17"/>
  <c r="AY336" i="17"/>
  <c r="AW336" i="17"/>
  <c r="AY335" i="17"/>
  <c r="AW335" i="17"/>
  <c r="AY329" i="17"/>
  <c r="AW329" i="17"/>
  <c r="AY328" i="17"/>
  <c r="AW328" i="17"/>
  <c r="AY327" i="17"/>
  <c r="AW327" i="17"/>
  <c r="AY326" i="17"/>
  <c r="AW326" i="17"/>
  <c r="AY325" i="17"/>
  <c r="AW325" i="17"/>
  <c r="AY324" i="17"/>
  <c r="AW324" i="17"/>
  <c r="AY318" i="17"/>
  <c r="AW318" i="17"/>
  <c r="AY317" i="17"/>
  <c r="AW317" i="17"/>
  <c r="AY316" i="17"/>
  <c r="AW316" i="17"/>
  <c r="AY315" i="17"/>
  <c r="AW315" i="17"/>
  <c r="AY314" i="17"/>
  <c r="AW314" i="17"/>
  <c r="AY313" i="17"/>
  <c r="AW313" i="17"/>
  <c r="AY307" i="17"/>
  <c r="AW307" i="17"/>
  <c r="AY306" i="17"/>
  <c r="AW306" i="17"/>
  <c r="AY305" i="17"/>
  <c r="AW305" i="17"/>
  <c r="AY304" i="17"/>
  <c r="AW304" i="17"/>
  <c r="AY303" i="17"/>
  <c r="AW303" i="17"/>
  <c r="AY302" i="17"/>
  <c r="AW302" i="17"/>
  <c r="AY296" i="17"/>
  <c r="AW296" i="17"/>
  <c r="AY295" i="17"/>
  <c r="AW295" i="17"/>
  <c r="AY294" i="17"/>
  <c r="AW294" i="17"/>
  <c r="AY293" i="17"/>
  <c r="AW293" i="17"/>
  <c r="AY292" i="17"/>
  <c r="AW292" i="17"/>
  <c r="AY291" i="17"/>
  <c r="AW291" i="17"/>
  <c r="AY285" i="17"/>
  <c r="AW285" i="17"/>
  <c r="AY284" i="17"/>
  <c r="AW284" i="17"/>
  <c r="AY283" i="17"/>
  <c r="AW283" i="17"/>
  <c r="AY282" i="17"/>
  <c r="AW282" i="17"/>
  <c r="AY281" i="17"/>
  <c r="AW281" i="17"/>
  <c r="AY280" i="17"/>
  <c r="AW280" i="17"/>
  <c r="AY274" i="17"/>
  <c r="AW274" i="17"/>
  <c r="AY273" i="17"/>
  <c r="AW273" i="17"/>
  <c r="AY272" i="17"/>
  <c r="AW272" i="17"/>
  <c r="AY271" i="17"/>
  <c r="AW271" i="17"/>
  <c r="AY270" i="17"/>
  <c r="AW270" i="17"/>
  <c r="AY269" i="17"/>
  <c r="AW269" i="17"/>
  <c r="AY263" i="17"/>
  <c r="AW263" i="17"/>
  <c r="AY262" i="17"/>
  <c r="AW262" i="17"/>
  <c r="AY261" i="17"/>
  <c r="AW261" i="17"/>
  <c r="AY260" i="17"/>
  <c r="AW260" i="17"/>
  <c r="AY259" i="17"/>
  <c r="AW259" i="17"/>
  <c r="AY258" i="17"/>
  <c r="AW258" i="17"/>
  <c r="AY252" i="17"/>
  <c r="AW252" i="17"/>
  <c r="AY251" i="17"/>
  <c r="AW251" i="17"/>
  <c r="AY250" i="17"/>
  <c r="AW250" i="17"/>
  <c r="AY249" i="17"/>
  <c r="AW249" i="17"/>
  <c r="AY248" i="17"/>
  <c r="AW248" i="17"/>
  <c r="AY247" i="17"/>
  <c r="AW247" i="17"/>
  <c r="AY241" i="17"/>
  <c r="AW241" i="17"/>
  <c r="AY240" i="17"/>
  <c r="AW240" i="17"/>
  <c r="AY239" i="17"/>
  <c r="AW239" i="17"/>
  <c r="AY238" i="17"/>
  <c r="AW238" i="17"/>
  <c r="AY237" i="17"/>
  <c r="AW237" i="17"/>
  <c r="AY236" i="17"/>
  <c r="AW236" i="17"/>
  <c r="AY218" i="17"/>
  <c r="AW218" i="17"/>
  <c r="AY217" i="17"/>
  <c r="AW217" i="17"/>
  <c r="AY216" i="17"/>
  <c r="AW216" i="17"/>
  <c r="AY215" i="17"/>
  <c r="AW215" i="17"/>
  <c r="AY214" i="17"/>
  <c r="AW214" i="17"/>
  <c r="AY213" i="17"/>
  <c r="AW213" i="17"/>
  <c r="AY207" i="17"/>
  <c r="AW207" i="17"/>
  <c r="AY206" i="17"/>
  <c r="AW206" i="17"/>
  <c r="AY205" i="17"/>
  <c r="AW205" i="17"/>
  <c r="AY204" i="17"/>
  <c r="AW204" i="17"/>
  <c r="AY203" i="17"/>
  <c r="AW203" i="17"/>
  <c r="AY202" i="17"/>
  <c r="AW202" i="17"/>
  <c r="AY196" i="17"/>
  <c r="AW196" i="17"/>
  <c r="AY195" i="17"/>
  <c r="AW195" i="17"/>
  <c r="AY194" i="17"/>
  <c r="AW194" i="17"/>
  <c r="AY193" i="17"/>
  <c r="AW193" i="17"/>
  <c r="AY192" i="17"/>
  <c r="AW192" i="17"/>
  <c r="AY191" i="17"/>
  <c r="AW191" i="17"/>
  <c r="AY185" i="17"/>
  <c r="AW185" i="17"/>
  <c r="AY184" i="17"/>
  <c r="AW184" i="17"/>
  <c r="AY183" i="17"/>
  <c r="AW183" i="17"/>
  <c r="AY182" i="17"/>
  <c r="AW182" i="17"/>
  <c r="AY181" i="17"/>
  <c r="AW181" i="17"/>
  <c r="AY180" i="17"/>
  <c r="AW180" i="17"/>
  <c r="AY174" i="17"/>
  <c r="AW174" i="17"/>
  <c r="AY173" i="17"/>
  <c r="AW173" i="17"/>
  <c r="AY172" i="17"/>
  <c r="AW172" i="17"/>
  <c r="AY171" i="17"/>
  <c r="AW171" i="17"/>
  <c r="AY170" i="17"/>
  <c r="AW170" i="17"/>
  <c r="AY169" i="17"/>
  <c r="AW169" i="17"/>
  <c r="AY163" i="17"/>
  <c r="AW163" i="17"/>
  <c r="AY162" i="17"/>
  <c r="AW162" i="17"/>
  <c r="AY161" i="17"/>
  <c r="AW161" i="17"/>
  <c r="AY160" i="17"/>
  <c r="AW160" i="17"/>
  <c r="AY159" i="17"/>
  <c r="AW159" i="17"/>
  <c r="AY158" i="17"/>
  <c r="AW158" i="17"/>
  <c r="AY152" i="17"/>
  <c r="AW152" i="17"/>
  <c r="AY151" i="17"/>
  <c r="AW151" i="17"/>
  <c r="AY150" i="17"/>
  <c r="AW150" i="17"/>
  <c r="AY149" i="17"/>
  <c r="AW149" i="17"/>
  <c r="AY148" i="17"/>
  <c r="AW148" i="17"/>
  <c r="AY147" i="17"/>
  <c r="AW147" i="17"/>
  <c r="AY141" i="17"/>
  <c r="AW141" i="17"/>
  <c r="AY140" i="17"/>
  <c r="AW140" i="17"/>
  <c r="AY139" i="17"/>
  <c r="AW139" i="17"/>
  <c r="AY138" i="17"/>
  <c r="AW138" i="17"/>
  <c r="AY137" i="17"/>
  <c r="AW137" i="17"/>
  <c r="AY136" i="17"/>
  <c r="AW136" i="17"/>
  <c r="AY130" i="17"/>
  <c r="AW130" i="17"/>
  <c r="AY129" i="17"/>
  <c r="AW129" i="17"/>
  <c r="AY128" i="17"/>
  <c r="AW128" i="17"/>
  <c r="AY127" i="17"/>
  <c r="AW127" i="17"/>
  <c r="AY126" i="17"/>
  <c r="AW126" i="17"/>
  <c r="AY125" i="17"/>
  <c r="AW125" i="17"/>
  <c r="AY119" i="17"/>
  <c r="AW119" i="17"/>
  <c r="AY118" i="17"/>
  <c r="AW118" i="17"/>
  <c r="AY117" i="17"/>
  <c r="AW117" i="17"/>
  <c r="AY116" i="17"/>
  <c r="AW116" i="17"/>
  <c r="AY115" i="17"/>
  <c r="AW115" i="17"/>
  <c r="AY114" i="17"/>
  <c r="AW114" i="17"/>
  <c r="AY108" i="17"/>
  <c r="AW108" i="17"/>
  <c r="AY107" i="17"/>
  <c r="AW107" i="17"/>
  <c r="AY106" i="17"/>
  <c r="AW106" i="17"/>
  <c r="AY105" i="17"/>
  <c r="AW105" i="17"/>
  <c r="AY104" i="17"/>
  <c r="AW104" i="17"/>
  <c r="AY103" i="17"/>
  <c r="AW103" i="17"/>
  <c r="AY97" i="17"/>
  <c r="AY96" i="17"/>
  <c r="AY95" i="17"/>
  <c r="AY94" i="17"/>
  <c r="AY93" i="17"/>
  <c r="AY92" i="17"/>
  <c r="AA45" i="9"/>
  <c r="AA37" i="9"/>
  <c r="AA25" i="9"/>
  <c r="AA53" i="9"/>
  <c r="AA41" i="9"/>
  <c r="AA31" i="9"/>
  <c r="AA57" i="9"/>
  <c r="AA47" i="9"/>
  <c r="AA29" i="9"/>
  <c r="AA51" i="9"/>
  <c r="AA39" i="9"/>
  <c r="AA27" i="9"/>
  <c r="AA58" i="9"/>
  <c r="AA49" i="9"/>
  <c r="AA35" i="9"/>
  <c r="AA55" i="9"/>
  <c r="AA43" i="9"/>
  <c r="AA33" i="9"/>
  <c r="AA48" i="9"/>
  <c r="AA36" i="9"/>
  <c r="AA26" i="9"/>
  <c r="AA50" i="9"/>
  <c r="AA38" i="9"/>
  <c r="AA28" i="9"/>
  <c r="AA52" i="9"/>
  <c r="AA40" i="9"/>
  <c r="AA30" i="9"/>
  <c r="AA59" i="9"/>
  <c r="AA46" i="9"/>
  <c r="AA24" i="9"/>
  <c r="AA56" i="9"/>
  <c r="AA44" i="9"/>
  <c r="AA32" i="9"/>
  <c r="AA42" i="9"/>
  <c r="AA54" i="9"/>
  <c r="AA34" i="9"/>
  <c r="R958" i="15"/>
  <c r="Q958" i="15"/>
  <c r="P958" i="15"/>
  <c r="R918" i="15"/>
  <c r="Q918" i="15"/>
  <c r="P918" i="15"/>
  <c r="R878" i="15"/>
  <c r="Q878" i="15"/>
  <c r="P878" i="15"/>
  <c r="R838" i="15"/>
  <c r="Q838" i="15"/>
  <c r="P838" i="15"/>
  <c r="R798" i="15"/>
  <c r="Q798" i="15"/>
  <c r="P798" i="15"/>
  <c r="R758" i="15"/>
  <c r="Q758" i="15"/>
  <c r="P758" i="15"/>
  <c r="R718" i="15"/>
  <c r="Q718" i="15"/>
  <c r="P718" i="15"/>
  <c r="R678" i="15"/>
  <c r="Q678" i="15"/>
  <c r="P678" i="15"/>
  <c r="R638" i="15"/>
  <c r="Q638" i="15"/>
  <c r="P638" i="15"/>
  <c r="R598" i="15"/>
  <c r="Q598" i="15"/>
  <c r="P598" i="15"/>
  <c r="R558" i="15"/>
  <c r="Q558" i="15"/>
  <c r="P558" i="15"/>
  <c r="R518" i="15"/>
  <c r="Q518" i="15"/>
  <c r="P518" i="15"/>
  <c r="R478" i="15"/>
  <c r="Q478" i="15"/>
  <c r="P478" i="15"/>
  <c r="R438" i="15"/>
  <c r="Q438" i="15"/>
  <c r="P438" i="15"/>
  <c r="R398" i="15"/>
  <c r="Q398" i="15"/>
  <c r="P398" i="15"/>
  <c r="R358" i="15"/>
  <c r="Q358" i="15"/>
  <c r="P358" i="15"/>
  <c r="R318" i="15"/>
  <c r="Q318" i="15"/>
  <c r="P318" i="15"/>
  <c r="R278" i="15"/>
  <c r="Q278" i="15"/>
  <c r="P278" i="15"/>
  <c r="R238" i="15"/>
  <c r="Q238" i="15"/>
  <c r="P238" i="15"/>
  <c r="R198" i="15"/>
  <c r="Q198" i="15"/>
  <c r="P198" i="15"/>
  <c r="R158" i="15"/>
  <c r="Q158" i="15"/>
  <c r="P158" i="15"/>
  <c r="R118" i="15"/>
  <c r="Q118" i="15"/>
  <c r="P118" i="15"/>
  <c r="R78" i="15"/>
  <c r="Q78" i="15"/>
  <c r="P78" i="15"/>
  <c r="X642" i="14"/>
  <c r="X608" i="14"/>
  <c r="X574" i="14"/>
  <c r="X540" i="14"/>
  <c r="X506" i="14"/>
  <c r="X472" i="14"/>
  <c r="X438" i="14"/>
  <c r="Y9" i="14"/>
  <c r="Y10" i="14" s="1"/>
  <c r="W9" i="14"/>
  <c r="X370" i="14"/>
  <c r="X336" i="14"/>
  <c r="X302" i="14"/>
  <c r="X234" i="14"/>
  <c r="X200" i="14"/>
  <c r="X184" i="14"/>
  <c r="X168" i="14"/>
  <c r="X152" i="14"/>
  <c r="X136" i="14"/>
  <c r="X120" i="14"/>
  <c r="X104" i="14"/>
  <c r="X88" i="14"/>
  <c r="X72" i="14"/>
  <c r="X56" i="14"/>
  <c r="X40" i="14"/>
  <c r="X24" i="14"/>
  <c r="E8" i="16"/>
  <c r="E9" i="16" s="1"/>
  <c r="E10" i="16" s="1"/>
  <c r="E11" i="16" s="1"/>
  <c r="E12" i="16" s="1"/>
  <c r="E13" i="16" s="1"/>
  <c r="E14" i="16" s="1"/>
  <c r="E15" i="16" s="1"/>
  <c r="E16" i="16" s="1"/>
  <c r="E17" i="16" s="1"/>
  <c r="E18" i="16" s="1"/>
  <c r="E19" i="16" s="1"/>
  <c r="E20" i="16" s="1"/>
  <c r="E21" i="16" s="1"/>
  <c r="E22" i="16" s="1"/>
  <c r="E23" i="16" s="1"/>
  <c r="E24" i="16" s="1"/>
  <c r="E25" i="16" s="1"/>
  <c r="E26" i="16" s="1"/>
  <c r="E27" i="16" s="1"/>
  <c r="E28" i="16" s="1"/>
  <c r="E29" i="16" s="1"/>
  <c r="E30" i="16" s="1"/>
  <c r="E31" i="16" s="1"/>
  <c r="E32" i="16" s="1"/>
  <c r="E33" i="16" s="1"/>
  <c r="E34" i="16" s="1"/>
  <c r="E35" i="16" s="1"/>
  <c r="E36" i="16" s="1"/>
  <c r="E37" i="16" s="1"/>
  <c r="E38" i="16" s="1"/>
  <c r="E39" i="16" s="1"/>
  <c r="E40" i="16" s="1"/>
  <c r="E41" i="16" s="1"/>
  <c r="E42" i="16" s="1"/>
  <c r="E43" i="16" s="1"/>
  <c r="E44" i="16" s="1"/>
  <c r="E45" i="16" s="1"/>
  <c r="E46" i="16" s="1"/>
  <c r="E47" i="16" s="1"/>
  <c r="E48" i="16" s="1"/>
  <c r="E49" i="16" s="1"/>
  <c r="E50" i="16" s="1"/>
  <c r="E51" i="16" s="1"/>
  <c r="E52" i="16" s="1"/>
  <c r="E53" i="16" s="1"/>
  <c r="E54" i="16" s="1"/>
  <c r="E55" i="16" s="1"/>
  <c r="E56" i="16" s="1"/>
  <c r="E57" i="16" s="1"/>
  <c r="E58" i="16" s="1"/>
  <c r="E59" i="16" s="1"/>
  <c r="E60" i="16" s="1"/>
  <c r="E61" i="16" s="1"/>
  <c r="E62" i="16" s="1"/>
  <c r="E63" i="16" s="1"/>
  <c r="E64" i="16" s="1"/>
  <c r="E65" i="16" s="1"/>
  <c r="E66" i="16" s="1"/>
  <c r="E67" i="16" s="1"/>
  <c r="E68" i="16" s="1"/>
  <c r="E69" i="16" s="1"/>
  <c r="E70" i="16" s="1"/>
  <c r="E71" i="16" s="1"/>
  <c r="E72" i="16" s="1"/>
  <c r="E73" i="16" s="1"/>
  <c r="E74" i="16" s="1"/>
  <c r="E75" i="16" s="1"/>
  <c r="E76" i="16" s="1"/>
  <c r="E77" i="16" s="1"/>
  <c r="E78" i="16" s="1"/>
  <c r="E79" i="16" s="1"/>
  <c r="E80" i="16" s="1"/>
  <c r="E81" i="16" s="1"/>
  <c r="E82" i="16" s="1"/>
  <c r="E83" i="16" s="1"/>
  <c r="E84" i="16" s="1"/>
  <c r="E85" i="16" s="1"/>
  <c r="E86" i="16" s="1"/>
  <c r="E87" i="16" s="1"/>
  <c r="E88" i="16" s="1"/>
  <c r="E89" i="16" s="1"/>
  <c r="E90" i="16" s="1"/>
  <c r="E91" i="16" s="1"/>
  <c r="E92" i="16" s="1"/>
  <c r="E93" i="16" s="1"/>
  <c r="E94" i="16" s="1"/>
  <c r="E95" i="16" s="1"/>
  <c r="E96" i="16" s="1"/>
  <c r="E97" i="16" s="1"/>
  <c r="E98" i="16" s="1"/>
  <c r="E99" i="16" s="1"/>
  <c r="E100" i="16" s="1"/>
  <c r="E101" i="16" s="1"/>
  <c r="E102" i="16" s="1"/>
  <c r="E103" i="16" s="1"/>
  <c r="E104" i="16" s="1"/>
  <c r="E105" i="16" s="1"/>
  <c r="E106" i="16" s="1"/>
  <c r="E107" i="16" s="1"/>
  <c r="E108" i="16" s="1"/>
  <c r="E109" i="16" s="1"/>
  <c r="E110" i="16" s="1"/>
  <c r="E111" i="16" s="1"/>
  <c r="E112" i="16" s="1"/>
  <c r="E113" i="16" s="1"/>
  <c r="E114" i="16" s="1"/>
  <c r="E115" i="16" s="1"/>
  <c r="E116" i="16" s="1"/>
  <c r="E117" i="16" s="1"/>
  <c r="E118" i="16" s="1"/>
  <c r="E119" i="16" s="1"/>
  <c r="E120" i="16" s="1"/>
  <c r="E121" i="16" s="1"/>
  <c r="E122" i="16" s="1"/>
  <c r="E123" i="16" s="1"/>
  <c r="E124" i="16" s="1"/>
  <c r="E125" i="16" s="1"/>
  <c r="E126" i="16" s="1"/>
  <c r="E127" i="16" s="1"/>
  <c r="E128" i="16" s="1"/>
  <c r="E129" i="16" s="1"/>
  <c r="E130" i="16" s="1"/>
  <c r="E131" i="16" s="1"/>
  <c r="E132" i="16" s="1"/>
  <c r="E133" i="16" s="1"/>
  <c r="E134" i="16" s="1"/>
  <c r="E135" i="16" s="1"/>
  <c r="E136" i="16" s="1"/>
  <c r="E137" i="16" s="1"/>
  <c r="E138" i="16" s="1"/>
  <c r="E139" i="16" s="1"/>
  <c r="E140" i="16" s="1"/>
  <c r="E141" i="16" s="1"/>
  <c r="E142" i="16" s="1"/>
  <c r="E143" i="16" s="1"/>
  <c r="E144" i="16" s="1"/>
  <c r="E145" i="16" s="1"/>
  <c r="E146" i="16" s="1"/>
  <c r="E147" i="16" s="1"/>
  <c r="E148" i="16" s="1"/>
  <c r="E149" i="16" s="1"/>
  <c r="E150" i="16" s="1"/>
  <c r="E151" i="16" s="1"/>
  <c r="E152" i="16" s="1"/>
  <c r="E153" i="16" s="1"/>
  <c r="E154" i="16" s="1"/>
  <c r="E155" i="16" s="1"/>
  <c r="E156" i="16" s="1"/>
  <c r="E157" i="16" s="1"/>
  <c r="E158" i="16" s="1"/>
  <c r="E159" i="16" s="1"/>
  <c r="E160" i="16" s="1"/>
  <c r="E161" i="16" s="1"/>
  <c r="E162" i="16" s="1"/>
  <c r="E163" i="16" s="1"/>
  <c r="E164" i="16" s="1"/>
  <c r="E165" i="16" s="1"/>
  <c r="E166" i="16" s="1"/>
  <c r="E167" i="16" s="1"/>
  <c r="E168" i="16" s="1"/>
  <c r="E169" i="16" s="1"/>
  <c r="E170" i="16" s="1"/>
  <c r="E171" i="16" s="1"/>
  <c r="E172" i="16" s="1"/>
  <c r="E173" i="16" s="1"/>
  <c r="E174" i="16" s="1"/>
  <c r="E175" i="16" s="1"/>
  <c r="E176" i="16" s="1"/>
  <c r="E177" i="16" s="1"/>
  <c r="E178" i="16" s="1"/>
  <c r="E179" i="16" s="1"/>
  <c r="E180" i="16" s="1"/>
  <c r="E181" i="16" s="1"/>
  <c r="E182" i="16" s="1"/>
  <c r="E183" i="16" s="1"/>
  <c r="E184" i="16" s="1"/>
  <c r="E185" i="16" s="1"/>
  <c r="E186" i="16" s="1"/>
  <c r="E187" i="16" s="1"/>
  <c r="E188" i="16" s="1"/>
  <c r="E189" i="16" s="1"/>
  <c r="E190" i="16" s="1"/>
  <c r="E191" i="16" s="1"/>
  <c r="E192" i="16" s="1"/>
  <c r="E193" i="16" s="1"/>
  <c r="E194" i="16" s="1"/>
  <c r="E195" i="16" s="1"/>
  <c r="E196" i="16" s="1"/>
  <c r="E197" i="16" s="1"/>
  <c r="E198" i="16" s="1"/>
  <c r="E199" i="16" s="1"/>
  <c r="E200" i="16" s="1"/>
  <c r="E201" i="16" s="1"/>
  <c r="E202" i="16" s="1"/>
  <c r="E203" i="16" s="1"/>
  <c r="E204" i="16" s="1"/>
  <c r="E205" i="16" s="1"/>
  <c r="E206" i="16" s="1"/>
  <c r="E207" i="16" s="1"/>
  <c r="E208" i="16" s="1"/>
  <c r="E209" i="16" s="1"/>
  <c r="E210" i="16" s="1"/>
  <c r="E211" i="16" s="1"/>
  <c r="E212" i="16" s="1"/>
  <c r="E213" i="16" s="1"/>
  <c r="E214" i="16" s="1"/>
  <c r="E215" i="16" s="1"/>
  <c r="E216" i="16" s="1"/>
  <c r="E217" i="16" s="1"/>
  <c r="E218" i="16" s="1"/>
  <c r="E219" i="16" s="1"/>
  <c r="E220" i="16" s="1"/>
  <c r="E221" i="16" s="1"/>
  <c r="E222" i="16" s="1"/>
  <c r="E223" i="16" s="1"/>
  <c r="E224" i="16" s="1"/>
  <c r="E225" i="16" s="1"/>
  <c r="E226" i="16" s="1"/>
  <c r="E227" i="16" s="1"/>
  <c r="E228" i="16" s="1"/>
  <c r="E229" i="16" s="1"/>
  <c r="E230" i="16" s="1"/>
  <c r="E231" i="16" s="1"/>
  <c r="E232" i="16" s="1"/>
  <c r="E233" i="16" s="1"/>
  <c r="E234" i="16" s="1"/>
  <c r="E235" i="16" s="1"/>
  <c r="E236" i="16" s="1"/>
  <c r="E237" i="16" s="1"/>
  <c r="E238" i="16" s="1"/>
  <c r="E239" i="16" s="1"/>
  <c r="E240" i="16" s="1"/>
  <c r="E241" i="16" s="1"/>
  <c r="E242" i="16" s="1"/>
  <c r="E243" i="16" s="1"/>
  <c r="E244" i="16" s="1"/>
  <c r="E245" i="16" s="1"/>
  <c r="E246" i="16" s="1"/>
  <c r="E247" i="16" s="1"/>
  <c r="E248" i="16" s="1"/>
  <c r="E249" i="16" s="1"/>
  <c r="E250" i="16" s="1"/>
  <c r="E251" i="16" s="1"/>
  <c r="E252" i="16" s="1"/>
  <c r="E253" i="16" s="1"/>
  <c r="E254" i="16" s="1"/>
  <c r="E255" i="16" s="1"/>
  <c r="E256" i="16" s="1"/>
  <c r="E257" i="16" s="1"/>
  <c r="E258" i="16" s="1"/>
  <c r="E259" i="16" s="1"/>
  <c r="E260" i="16" s="1"/>
  <c r="E261" i="16" s="1"/>
  <c r="E262" i="16" s="1"/>
  <c r="E263" i="16" s="1"/>
  <c r="E264" i="16" s="1"/>
  <c r="E265" i="16" s="1"/>
  <c r="E266" i="16" s="1"/>
  <c r="E267" i="16" s="1"/>
  <c r="E268" i="16" s="1"/>
  <c r="E269" i="16" s="1"/>
  <c r="E270" i="16" s="1"/>
  <c r="E271" i="16" s="1"/>
  <c r="E272" i="16" s="1"/>
  <c r="E273" i="16" s="1"/>
  <c r="E274" i="16" s="1"/>
  <c r="E275" i="16" s="1"/>
  <c r="E276" i="16" s="1"/>
  <c r="E277" i="16" s="1"/>
  <c r="E278" i="16" s="1"/>
  <c r="E279" i="16" s="1"/>
  <c r="E280" i="16" s="1"/>
  <c r="E281" i="16" s="1"/>
  <c r="E282" i="16" s="1"/>
  <c r="E283" i="16" s="1"/>
  <c r="E284" i="16" s="1"/>
  <c r="E285" i="16" s="1"/>
  <c r="E286" i="16" s="1"/>
  <c r="E287" i="16" s="1"/>
  <c r="E288" i="16" s="1"/>
  <c r="E289" i="16" s="1"/>
  <c r="E290" i="16" s="1"/>
  <c r="E291" i="16" s="1"/>
  <c r="E292" i="16" s="1"/>
  <c r="E293" i="16" s="1"/>
  <c r="E294" i="16" s="1"/>
  <c r="E295" i="16" s="1"/>
  <c r="E296" i="16" s="1"/>
  <c r="E297" i="16" s="1"/>
  <c r="E298" i="16" s="1"/>
  <c r="E299" i="16" s="1"/>
  <c r="E300" i="16" s="1"/>
  <c r="E301" i="16" s="1"/>
  <c r="E302" i="16" s="1"/>
  <c r="E303" i="16" s="1"/>
  <c r="E304" i="16" s="1"/>
  <c r="E305" i="16" s="1"/>
  <c r="E306" i="16" s="1"/>
  <c r="X8" i="2"/>
  <c r="X11" i="2"/>
  <c r="X12" i="2"/>
  <c r="X15" i="2"/>
  <c r="X16" i="2"/>
  <c r="X18" i="2"/>
  <c r="X20" i="2"/>
  <c r="X21" i="2"/>
  <c r="X23" i="2"/>
  <c r="X28" i="2"/>
  <c r="X29" i="2"/>
  <c r="X30" i="2"/>
  <c r="AH7" i="2"/>
  <c r="X404" i="14"/>
  <c r="X9" i="14"/>
  <c r="X10" i="14"/>
  <c r="X12" i="14"/>
  <c r="X13" i="14"/>
  <c r="X8" i="14"/>
  <c r="L131" i="13"/>
  <c r="C131" i="13"/>
  <c r="L106" i="13"/>
  <c r="C106" i="13"/>
  <c r="L81" i="13"/>
  <c r="C81" i="13"/>
  <c r="C56" i="13"/>
  <c r="L31" i="13"/>
  <c r="L6" i="13"/>
  <c r="P38" i="15"/>
  <c r="Q38" i="15"/>
  <c r="R38" i="15"/>
  <c r="C6" i="13"/>
  <c r="AA69" i="9"/>
  <c r="AA61" i="9"/>
  <c r="Z61" i="9"/>
  <c r="E395" i="17"/>
  <c r="E129" i="17"/>
  <c r="H8" i="15"/>
  <c r="H9" i="15" s="1"/>
  <c r="Z63" i="14"/>
  <c r="N55" i="14" s="1"/>
  <c r="X31" i="14"/>
  <c r="G23" i="14" s="1"/>
  <c r="AC23" i="14" s="1"/>
  <c r="Z31" i="14"/>
  <c r="N23" i="14" s="1"/>
  <c r="X47" i="14"/>
  <c r="G39" i="14" s="1"/>
  <c r="W15" i="14"/>
  <c r="D7" i="14" s="1"/>
  <c r="I21" i="1"/>
  <c r="Y47" i="14"/>
  <c r="K39" i="14" s="1"/>
  <c r="X15" i="14"/>
  <c r="G7" i="14"/>
  <c r="AC7" i="14" s="1"/>
  <c r="AC13" i="14" s="1"/>
  <c r="W63" i="14"/>
  <c r="D55" i="14" s="1"/>
  <c r="Z15" i="14"/>
  <c r="N7" i="14"/>
  <c r="Z47" i="14"/>
  <c r="N39" i="14"/>
  <c r="W79" i="14"/>
  <c r="D71" i="14" s="1"/>
  <c r="Y650" i="14"/>
  <c r="AR101" i="17"/>
  <c r="AP112" i="17"/>
  <c r="E214" i="17"/>
  <c r="E536" i="17"/>
  <c r="E629" i="17"/>
  <c r="E493" i="17"/>
  <c r="E687" i="17"/>
  <c r="BM82" i="17"/>
  <c r="E540" i="17"/>
  <c r="E173" i="17"/>
  <c r="E396" i="17"/>
  <c r="E274" i="17"/>
  <c r="H408" i="15"/>
  <c r="E185" i="17"/>
  <c r="AA63" i="9"/>
  <c r="AA62" i="9"/>
  <c r="I22" i="1"/>
  <c r="H768" i="15"/>
  <c r="H769" i="15" s="1"/>
  <c r="Y15" i="14"/>
  <c r="K7" i="14" s="1"/>
  <c r="AD7" i="14" s="1"/>
  <c r="X7" i="2"/>
  <c r="H248" i="15"/>
  <c r="H249" i="15" s="1"/>
  <c r="H250" i="15" s="1"/>
  <c r="H251" i="15" s="1"/>
  <c r="H252" i="15" s="1"/>
  <c r="H253" i="15" s="1"/>
  <c r="T253" i="15" s="1"/>
  <c r="Y63" i="14"/>
  <c r="K55" i="14" s="1"/>
  <c r="X22" i="2"/>
  <c r="H288" i="15"/>
  <c r="H289" i="15" s="1"/>
  <c r="H290" i="15" s="1"/>
  <c r="H291" i="15" s="1"/>
  <c r="H292" i="15" s="1"/>
  <c r="C287" i="15"/>
  <c r="H808" i="15"/>
  <c r="H809" i="15" s="1"/>
  <c r="H810" i="15" s="1"/>
  <c r="C807" i="15"/>
  <c r="C327" i="15"/>
  <c r="H528" i="15"/>
  <c r="H529" i="15" s="1"/>
  <c r="H530" i="15" s="1"/>
  <c r="H531" i="15" s="1"/>
  <c r="C527" i="15"/>
  <c r="H368" i="15"/>
  <c r="H369" i="15" s="1"/>
  <c r="C367" i="15"/>
  <c r="H888" i="15"/>
  <c r="H889" i="15" s="1"/>
  <c r="H890" i="15" s="1"/>
  <c r="C887" i="15"/>
  <c r="H128" i="15"/>
  <c r="H129" i="15"/>
  <c r="H130" i="15" s="1"/>
  <c r="H131" i="15" s="1"/>
  <c r="C127" i="15"/>
  <c r="H928" i="15"/>
  <c r="H929" i="15"/>
  <c r="C927" i="15"/>
  <c r="H448" i="15"/>
  <c r="H449" i="15" s="1"/>
  <c r="H450" i="15" s="1"/>
  <c r="H451" i="15" s="1"/>
  <c r="H452" i="15" s="1"/>
  <c r="C447" i="15"/>
  <c r="H648" i="15"/>
  <c r="C647" i="15"/>
  <c r="H208" i="15"/>
  <c r="C207" i="15"/>
  <c r="H688" i="15"/>
  <c r="H689" i="15"/>
  <c r="H690" i="15" s="1"/>
  <c r="C687" i="15"/>
  <c r="AE632" i="17"/>
  <c r="AE507" i="17"/>
  <c r="AE463" i="17"/>
  <c r="AE352" i="17"/>
  <c r="I8" i="1"/>
  <c r="I27" i="1"/>
  <c r="E631" i="17"/>
  <c r="H209" i="15"/>
  <c r="X10" i="2"/>
  <c r="H728" i="15"/>
  <c r="BQ78" i="17"/>
  <c r="BP78" i="17" s="1"/>
  <c r="BQ70" i="17"/>
  <c r="BP70" i="17" s="1"/>
  <c r="BM81" i="17"/>
  <c r="B27" i="9"/>
  <c r="E295" i="17"/>
  <c r="E428" i="17"/>
  <c r="E710" i="17"/>
  <c r="E550" i="17"/>
  <c r="E688" i="17"/>
  <c r="E96" i="17"/>
  <c r="BM76" i="17"/>
  <c r="BQ76" i="17"/>
  <c r="BP76" i="17" s="1"/>
  <c r="E182" i="17"/>
  <c r="E282" i="17"/>
  <c r="E570" i="17"/>
  <c r="E661" i="17"/>
  <c r="E526" i="17"/>
  <c r="E559" i="17"/>
  <c r="E650" i="17"/>
  <c r="E249" i="17"/>
  <c r="E448" i="17"/>
  <c r="E548" i="17"/>
  <c r="E639" i="17"/>
  <c r="E437" i="17"/>
  <c r="E537" i="17"/>
  <c r="E382" i="17"/>
  <c r="E337" i="17"/>
  <c r="E426" i="17"/>
  <c r="E315" i="17"/>
  <c r="E603" i="17"/>
  <c r="E708" i="17"/>
  <c r="E628" i="17"/>
  <c r="E304" i="17"/>
  <c r="E492" i="17"/>
  <c r="E404" i="17"/>
  <c r="E238" i="17"/>
  <c r="AK386" i="17"/>
  <c r="AK275" i="17"/>
  <c r="AK519" i="17"/>
  <c r="AK679" i="17"/>
  <c r="AK142" i="17"/>
  <c r="E293" i="17"/>
  <c r="AK552" i="17"/>
  <c r="AG419" i="17"/>
  <c r="W58" i="14"/>
  <c r="H210" i="15"/>
  <c r="B28" i="9"/>
  <c r="X17" i="2"/>
  <c r="C607" i="15"/>
  <c r="AP33" i="3"/>
  <c r="H568" i="15"/>
  <c r="X25" i="2"/>
  <c r="X14" i="2"/>
  <c r="AB55" i="14"/>
  <c r="AP16" i="3"/>
  <c r="BU22" i="3"/>
  <c r="D101" i="17"/>
  <c r="V27" i="9"/>
  <c r="I15" i="1"/>
  <c r="D8" i="1"/>
  <c r="C8" i="1" s="1"/>
  <c r="V30" i="9"/>
  <c r="Y8" i="1"/>
  <c r="AS101" i="17"/>
  <c r="V25" i="9"/>
  <c r="I13" i="1"/>
  <c r="I28" i="1"/>
  <c r="T128" i="15"/>
  <c r="G128" i="15" s="1"/>
  <c r="U567" i="15"/>
  <c r="M29" i="1"/>
  <c r="U251" i="15"/>
  <c r="D102" i="17"/>
  <c r="AM642" i="14"/>
  <c r="U88" i="15"/>
  <c r="U448" i="15"/>
  <c r="U210" i="15"/>
  <c r="U687" i="15"/>
  <c r="T367" i="15"/>
  <c r="U253" i="15"/>
  <c r="AM648" i="14"/>
  <c r="AC26" i="14"/>
  <c r="U449" i="15"/>
  <c r="U887" i="15"/>
  <c r="U248" i="15"/>
  <c r="T767" i="15"/>
  <c r="T47" i="15"/>
  <c r="G47" i="15" s="1"/>
  <c r="U728" i="15"/>
  <c r="H691" i="15"/>
  <c r="H692" i="15" s="1"/>
  <c r="T690" i="15"/>
  <c r="U690" i="15"/>
  <c r="T929" i="15"/>
  <c r="H930" i="15"/>
  <c r="Y14" i="1"/>
  <c r="M14" i="1"/>
  <c r="AI120" i="17"/>
  <c r="AI397" i="17"/>
  <c r="AI643" i="17"/>
  <c r="T648" i="15"/>
  <c r="AI208" i="17"/>
  <c r="AI607" i="17"/>
  <c r="AI253" i="17"/>
  <c r="AI585" i="17"/>
  <c r="AI408" i="17"/>
  <c r="AI552" i="17"/>
  <c r="V32" i="9"/>
  <c r="AP28" i="3"/>
  <c r="AP21" i="3"/>
  <c r="AP8" i="3"/>
  <c r="Y13" i="1"/>
  <c r="T251" i="15"/>
  <c r="U809" i="15"/>
  <c r="V33" i="9"/>
  <c r="AP27" i="3"/>
  <c r="AI164" i="17"/>
  <c r="AI712" i="17"/>
  <c r="AI352" i="17"/>
  <c r="C87" i="15"/>
  <c r="Z69" i="9"/>
  <c r="AI363" i="17"/>
  <c r="U568" i="15"/>
  <c r="H569" i="15"/>
  <c r="AC24" i="14"/>
  <c r="AC27" i="14"/>
  <c r="AC31" i="14"/>
  <c r="AC30" i="14"/>
  <c r="AP123" i="17"/>
  <c r="AQ112" i="17"/>
  <c r="AR112" i="17"/>
  <c r="D113" i="17" s="1"/>
  <c r="AM643" i="14"/>
  <c r="AL642" i="14"/>
  <c r="AM647" i="14"/>
  <c r="AL644" i="14"/>
  <c r="AL650" i="14"/>
  <c r="AL647" i="14"/>
  <c r="AL643" i="14"/>
  <c r="AM644" i="14"/>
  <c r="AL648" i="14"/>
  <c r="H770" i="15"/>
  <c r="U769" i="15"/>
  <c r="T769" i="15"/>
  <c r="T728" i="15"/>
  <c r="H729" i="15"/>
  <c r="T289" i="15"/>
  <c r="E528" i="17"/>
  <c r="U327" i="15"/>
  <c r="U87" i="15"/>
  <c r="U208" i="15"/>
  <c r="T208" i="15"/>
  <c r="T287" i="15"/>
  <c r="U689" i="15"/>
  <c r="T288" i="15"/>
  <c r="E461" i="17"/>
  <c r="U528" i="15"/>
  <c r="T7" i="15"/>
  <c r="G7" i="15" s="1"/>
  <c r="U127" i="15"/>
  <c r="T248" i="15"/>
  <c r="U331" i="15"/>
  <c r="H370" i="15"/>
  <c r="T369" i="15"/>
  <c r="E184" i="17"/>
  <c r="E393" i="17"/>
  <c r="E193" i="17"/>
  <c r="E326" i="17"/>
  <c r="E160" i="17"/>
  <c r="E348" i="17"/>
  <c r="E116" i="17"/>
  <c r="E215" i="17"/>
  <c r="E581" i="17"/>
  <c r="E94" i="17"/>
  <c r="E204" i="17"/>
  <c r="E127" i="17"/>
  <c r="E138" i="17"/>
  <c r="E105" i="17"/>
  <c r="E459" i="17"/>
  <c r="E359" i="17"/>
  <c r="E415" i="17"/>
  <c r="E697" i="17"/>
  <c r="E149" i="17"/>
  <c r="E260" i="17"/>
  <c r="E171" i="17"/>
  <c r="E470" i="17"/>
  <c r="E271" i="17"/>
  <c r="E686" i="17"/>
  <c r="E503" i="17"/>
  <c r="E592" i="17"/>
  <c r="Y656" i="14"/>
  <c r="Y657" i="14" s="1"/>
  <c r="Z656" i="14"/>
  <c r="Z657" i="14" s="1"/>
  <c r="AD657" i="14"/>
  <c r="AD658" i="14" s="1"/>
  <c r="AD659" i="14" s="1"/>
  <c r="AD660" i="14" s="1"/>
  <c r="AD661" i="14" s="1"/>
  <c r="AD662" i="14" s="1"/>
  <c r="AD663" i="14" s="1"/>
  <c r="AD664" i="14" s="1"/>
  <c r="AD665" i="14" s="1"/>
  <c r="AD666" i="14" s="1"/>
  <c r="AD667" i="14" s="1"/>
  <c r="AD668" i="14" s="1"/>
  <c r="AD669" i="14" s="1"/>
  <c r="AD670" i="14" s="1"/>
  <c r="AE657" i="14"/>
  <c r="AE658" i="14" s="1"/>
  <c r="AE659" i="14" s="1"/>
  <c r="AE660" i="14" s="1"/>
  <c r="AE661" i="14" s="1"/>
  <c r="AE662" i="14" s="1"/>
  <c r="AE663" i="14" s="1"/>
  <c r="AE664" i="14" s="1"/>
  <c r="AE665" i="14" s="1"/>
  <c r="AE666" i="14" s="1"/>
  <c r="AE667" i="14" s="1"/>
  <c r="AE668" i="14" s="1"/>
  <c r="AE669" i="14" s="1"/>
  <c r="AE670" i="14" s="1"/>
  <c r="T689" i="15"/>
  <c r="T207" i="15"/>
  <c r="T809" i="15"/>
  <c r="U527" i="15"/>
  <c r="U130" i="15"/>
  <c r="U288" i="15"/>
  <c r="T647" i="15"/>
  <c r="U928" i="15"/>
  <c r="U328" i="15"/>
  <c r="U8" i="15"/>
  <c r="U929" i="15"/>
  <c r="U407" i="15"/>
  <c r="T88" i="15"/>
  <c r="G88" i="15" s="1"/>
  <c r="U207" i="15"/>
  <c r="U329" i="15"/>
  <c r="T487" i="15"/>
  <c r="T530" i="15"/>
  <c r="T330" i="15"/>
  <c r="T247" i="15"/>
  <c r="U607" i="15"/>
  <c r="T329" i="15"/>
  <c r="T451" i="15"/>
  <c r="T687" i="15"/>
  <c r="U167" i="15"/>
  <c r="T528" i="15"/>
  <c r="T527" i="15"/>
  <c r="U889" i="15"/>
  <c r="T368" i="15"/>
  <c r="U368" i="15"/>
  <c r="U131" i="15"/>
  <c r="T209" i="15"/>
  <c r="U289" i="15"/>
  <c r="T290" i="15"/>
  <c r="T130" i="15"/>
  <c r="G130" i="15" s="1"/>
  <c r="E384" i="17"/>
  <c r="E594" i="17"/>
  <c r="T888" i="15"/>
  <c r="U369" i="15"/>
  <c r="T89" i="15"/>
  <c r="G89" i="15" s="1"/>
  <c r="U927" i="15"/>
  <c r="T127" i="15"/>
  <c r="G127" i="15" s="1"/>
  <c r="T808" i="15"/>
  <c r="T449" i="15"/>
  <c r="T447" i="15"/>
  <c r="T448" i="15"/>
  <c r="T847" i="15"/>
  <c r="U692" i="15"/>
  <c r="E328" i="17"/>
  <c r="T249" i="15"/>
  <c r="U290" i="15"/>
  <c r="E652" i="17"/>
  <c r="U847" i="15"/>
  <c r="U450" i="15"/>
  <c r="U807" i="15"/>
  <c r="U888" i="15"/>
  <c r="U691" i="15"/>
  <c r="T407" i="15"/>
  <c r="E450" i="17"/>
  <c r="E505" i="17"/>
  <c r="E439" i="17"/>
  <c r="E107" i="17"/>
  <c r="E284" i="17"/>
  <c r="E195" i="17"/>
  <c r="E350" i="17"/>
  <c r="E273" i="17"/>
  <c r="E151" i="17"/>
  <c r="E539" i="17"/>
  <c r="E317" i="17"/>
  <c r="E561" i="17"/>
  <c r="E262" i="17"/>
  <c r="E361" i="17"/>
  <c r="E251" i="17"/>
  <c r="E306" i="17"/>
  <c r="E483" i="17"/>
  <c r="E494" i="17"/>
  <c r="E206" i="17"/>
  <c r="E417" i="17"/>
  <c r="E472" i="17"/>
  <c r="E217" i="17"/>
  <c r="E583" i="17"/>
  <c r="E699" i="17"/>
  <c r="E162" i="17"/>
  <c r="E140" i="17"/>
  <c r="E605" i="17"/>
  <c r="E572" i="17"/>
  <c r="E641" i="17"/>
  <c r="E406" i="17"/>
  <c r="E339" i="17"/>
  <c r="E118" i="17"/>
  <c r="E240" i="17"/>
  <c r="E663" i="17"/>
  <c r="U287" i="15"/>
  <c r="U767" i="15"/>
  <c r="U47" i="15"/>
  <c r="U7" i="15"/>
  <c r="T727" i="15"/>
  <c r="U367" i="15"/>
  <c r="U688" i="15"/>
  <c r="T529" i="15"/>
  <c r="U768" i="15"/>
  <c r="T691" i="15"/>
  <c r="T688" i="15"/>
  <c r="E648" i="17"/>
  <c r="E291" i="17"/>
  <c r="E161" i="17"/>
  <c r="E360" i="17"/>
  <c r="E427" i="17"/>
  <c r="E327" i="17"/>
  <c r="E593" i="17"/>
  <c r="E272" i="17"/>
  <c r="E560" i="17"/>
  <c r="E117" i="17"/>
  <c r="E438" i="17"/>
  <c r="E640" i="17"/>
  <c r="E405" i="17"/>
  <c r="E239" i="17"/>
  <c r="E571" i="17"/>
  <c r="E698" i="17"/>
  <c r="E205" i="17"/>
  <c r="E549" i="17"/>
  <c r="E338" i="17"/>
  <c r="E604" i="17"/>
  <c r="E216" i="17"/>
  <c r="E709" i="17"/>
  <c r="E150" i="17"/>
  <c r="E651" i="17"/>
  <c r="E504" i="17"/>
  <c r="E172" i="17"/>
  <c r="E294" i="17"/>
  <c r="E383" i="17"/>
  <c r="E194" i="17"/>
  <c r="E283" i="17"/>
  <c r="E527" i="17"/>
  <c r="E416" i="17"/>
  <c r="E316" i="17"/>
  <c r="E471" i="17"/>
  <c r="E139" i="17"/>
  <c r="E305" i="17"/>
  <c r="E128" i="17"/>
  <c r="E349" i="17"/>
  <c r="E95" i="17"/>
  <c r="E394" i="17"/>
  <c r="E183" i="17"/>
  <c r="E449" i="17"/>
  <c r="Y644" i="14"/>
  <c r="Z650" i="14"/>
  <c r="AN650" i="14" s="1"/>
  <c r="Z73" i="9"/>
  <c r="AA73" i="9"/>
  <c r="O24" i="9"/>
  <c r="AU8" i="1" s="1"/>
  <c r="AT8" i="1"/>
  <c r="X11" i="14"/>
  <c r="AK9" i="14" s="1"/>
  <c r="X27" i="2"/>
  <c r="AP37" i="3"/>
  <c r="AB58" i="14"/>
  <c r="AB61" i="14"/>
  <c r="AB60" i="14"/>
  <c r="AB62" i="14"/>
  <c r="E180" i="17"/>
  <c r="E191" i="17"/>
  <c r="E302" i="17"/>
  <c r="E125" i="17"/>
  <c r="E568" i="17"/>
  <c r="E501" i="17"/>
  <c r="E136" i="17"/>
  <c r="E247" i="17"/>
  <c r="E346" i="17"/>
  <c r="E637" i="17"/>
  <c r="E659" i="17"/>
  <c r="E402" i="17"/>
  <c r="E213" i="17"/>
  <c r="E446" i="17"/>
  <c r="E335" i="17"/>
  <c r="E601" i="17"/>
  <c r="E114" i="17"/>
  <c r="E535" i="17"/>
  <c r="E313" i="17"/>
  <c r="E557" i="17"/>
  <c r="E324" i="17"/>
  <c r="E590" i="17"/>
  <c r="E169" i="17"/>
  <c r="E202" i="17"/>
  <c r="E524" i="17"/>
  <c r="E490" i="17"/>
  <c r="E435" i="17"/>
  <c r="E457" i="17"/>
  <c r="E468" i="17"/>
  <c r="E391" i="17"/>
  <c r="E546" i="17"/>
  <c r="E684" i="17"/>
  <c r="E579" i="17"/>
  <c r="E424" i="17"/>
  <c r="E103" i="17"/>
  <c r="E413" i="17"/>
  <c r="E357" i="17"/>
  <c r="E92" i="17"/>
  <c r="AE641" i="14"/>
  <c r="AE645" i="14" s="1"/>
  <c r="AE23" i="14"/>
  <c r="H609" i="15"/>
  <c r="U608" i="15"/>
  <c r="T608" i="15"/>
  <c r="D91" i="17"/>
  <c r="M8" i="1"/>
  <c r="AE20" i="1"/>
  <c r="W47" i="14"/>
  <c r="D39" i="14" s="1"/>
  <c r="AB39" i="14" s="1"/>
  <c r="AB44" i="14"/>
  <c r="AB59" i="14"/>
  <c r="U408" i="15"/>
  <c r="E269" i="17"/>
  <c r="BQ67" i="17"/>
  <c r="BP67" i="17" s="1"/>
  <c r="X79" i="14"/>
  <c r="G71" i="14" s="1"/>
  <c r="AC71" i="14" s="1"/>
  <c r="AH28" i="1"/>
  <c r="AB63" i="14"/>
  <c r="T452" i="15"/>
  <c r="AD39" i="14"/>
  <c r="AD46" i="14" s="1"/>
  <c r="AD55" i="14"/>
  <c r="E236" i="17"/>
  <c r="AC39" i="14"/>
  <c r="AC47" i="14" s="1"/>
  <c r="E147" i="17"/>
  <c r="BU32" i="3"/>
  <c r="X24" i="2"/>
  <c r="BU15" i="3"/>
  <c r="X13" i="2"/>
  <c r="AP15" i="3"/>
  <c r="AH22" i="1"/>
  <c r="Y22" i="1" s="1"/>
  <c r="X63" i="14"/>
  <c r="G55" i="14" s="1"/>
  <c r="AC55" i="14" s="1"/>
  <c r="C167" i="15"/>
  <c r="H168" i="15"/>
  <c r="U168" i="15" s="1"/>
  <c r="T607" i="15"/>
  <c r="T768" i="15"/>
  <c r="U647" i="15"/>
  <c r="T90" i="15"/>
  <c r="G90" i="15" s="1"/>
  <c r="W92" i="14"/>
  <c r="H86" i="14" s="1"/>
  <c r="W95" i="14"/>
  <c r="D87" i="14" s="1"/>
  <c r="AB87" i="14" s="1"/>
  <c r="X95" i="14"/>
  <c r="G87" i="14"/>
  <c r="AC87" i="14" s="1"/>
  <c r="Z27" i="1"/>
  <c r="Y27" i="1"/>
  <c r="U89" i="15"/>
  <c r="T328" i="15"/>
  <c r="T87" i="15"/>
  <c r="G87" i="15" s="1"/>
  <c r="T807" i="15"/>
  <c r="U727" i="15"/>
  <c r="T887" i="15"/>
  <c r="H409" i="15"/>
  <c r="T928" i="15"/>
  <c r="U247" i="15"/>
  <c r="U808" i="15"/>
  <c r="T450" i="15"/>
  <c r="U330" i="15"/>
  <c r="T327" i="15"/>
  <c r="U128" i="15"/>
  <c r="U890" i="15"/>
  <c r="E626" i="17"/>
  <c r="E695" i="17"/>
  <c r="X19" i="2"/>
  <c r="AE39" i="14"/>
  <c r="AB71" i="14"/>
  <c r="AB76" i="14" s="1"/>
  <c r="T8" i="15"/>
  <c r="G8" i="15" s="1"/>
  <c r="H488" i="15"/>
  <c r="H489" i="15" s="1"/>
  <c r="AE55" i="14"/>
  <c r="AE63" i="14" s="1"/>
  <c r="Z70" i="9"/>
  <c r="AA70" i="9"/>
  <c r="AA64" i="9"/>
  <c r="AS20" i="1"/>
  <c r="N28" i="9"/>
  <c r="B29" i="9"/>
  <c r="H254" i="15"/>
  <c r="U254" i="15" s="1"/>
  <c r="T250" i="15"/>
  <c r="U250" i="15"/>
  <c r="X62" i="14"/>
  <c r="H55" i="14" s="1"/>
  <c r="U530" i="15"/>
  <c r="T131" i="15"/>
  <c r="H132" i="15"/>
  <c r="T132" i="15" s="1"/>
  <c r="H332" i="15"/>
  <c r="T331" i="15"/>
  <c r="BQ72" i="17"/>
  <c r="BP72" i="17" s="1"/>
  <c r="E649" i="17"/>
  <c r="E425" i="17"/>
  <c r="E458" i="17"/>
  <c r="E580" i="17"/>
  <c r="AS15" i="1"/>
  <c r="D15" i="1" s="1"/>
  <c r="N27" i="9"/>
  <c r="AT15" i="1" s="1"/>
  <c r="E93" i="17"/>
  <c r="BQ80" i="17"/>
  <c r="BP80" i="17" s="1"/>
  <c r="E192" i="17"/>
  <c r="E358" i="17"/>
  <c r="E660" i="17"/>
  <c r="E104" i="17"/>
  <c r="E325" i="17"/>
  <c r="E347" i="17"/>
  <c r="E115" i="17"/>
  <c r="E627" i="17"/>
  <c r="E558" i="17"/>
  <c r="E480" i="17"/>
  <c r="E447" i="17"/>
  <c r="E203" i="17"/>
  <c r="E436" i="17"/>
  <c r="E638" i="17"/>
  <c r="E414" i="17"/>
  <c r="E381" i="17"/>
  <c r="E525" i="17"/>
  <c r="E403" i="17"/>
  <c r="E159" i="17"/>
  <c r="E602" i="17"/>
  <c r="E292" i="17"/>
  <c r="E126" i="17"/>
  <c r="E591" i="17"/>
  <c r="E502" i="17"/>
  <c r="E336" i="17"/>
  <c r="E491" i="17"/>
  <c r="E170" i="17"/>
  <c r="E281" i="17"/>
  <c r="E303" i="17"/>
  <c r="E685" i="17"/>
  <c r="E547" i="17"/>
  <c r="E469" i="17"/>
  <c r="U451" i="15"/>
  <c r="E181" i="17"/>
  <c r="T370" i="15"/>
  <c r="E137" i="17"/>
  <c r="E392" i="17"/>
  <c r="N26" i="9"/>
  <c r="AT14" i="1" s="1"/>
  <c r="AS14" i="1"/>
  <c r="D14" i="1" s="1"/>
  <c r="N25" i="9"/>
  <c r="AS13" i="1"/>
  <c r="Z66" i="9"/>
  <c r="X26" i="9"/>
  <c r="A35" i="9"/>
  <c r="AR35" i="1" s="1"/>
  <c r="AH34" i="1"/>
  <c r="M34" i="1" s="1"/>
  <c r="AE34" i="1"/>
  <c r="AE35" i="1"/>
  <c r="I35" i="1" s="1"/>
  <c r="AR34" i="1"/>
  <c r="AW34" i="1"/>
  <c r="G34" i="1"/>
  <c r="AV34" i="1"/>
  <c r="F34" i="1" s="1"/>
  <c r="S34" i="9"/>
  <c r="V34" i="9" s="1"/>
  <c r="AA66" i="9"/>
  <c r="AF15" i="1"/>
  <c r="Y32" i="14" s="1"/>
  <c r="AG15" i="1"/>
  <c r="Z8" i="1"/>
  <c r="AF29" i="1"/>
  <c r="AG29" i="1"/>
  <c r="X33" i="9" s="1"/>
  <c r="AF13" i="1"/>
  <c r="Y16" i="14" s="1"/>
  <c r="AG13" i="1"/>
  <c r="X25" i="9" s="1"/>
  <c r="AF22" i="1"/>
  <c r="W64" i="14" s="1"/>
  <c r="E55" i="14" s="1"/>
  <c r="AF14" i="1"/>
  <c r="W26" i="9" s="1"/>
  <c r="AA14" i="1"/>
  <c r="AP14" i="1"/>
  <c r="T26" i="9" s="1"/>
  <c r="AF28" i="1"/>
  <c r="AG28" i="1"/>
  <c r="X32" i="9" s="1"/>
  <c r="AE10" i="14"/>
  <c r="AC8" i="14"/>
  <c r="AC16" i="14"/>
  <c r="AC12" i="14"/>
  <c r="AC14" i="14"/>
  <c r="AC15" i="14"/>
  <c r="AC11" i="14"/>
  <c r="AC9" i="14"/>
  <c r="AE15" i="14"/>
  <c r="AE13" i="14"/>
  <c r="AE14" i="14"/>
  <c r="AE16" i="14"/>
  <c r="AE9" i="14"/>
  <c r="AE12" i="14"/>
  <c r="AC10" i="14"/>
  <c r="AE8" i="14"/>
  <c r="BF102" i="17"/>
  <c r="BD102" i="17"/>
  <c r="I103" i="17" s="1"/>
  <c r="CD102" i="17"/>
  <c r="AI107" i="17" s="1"/>
  <c r="BL102" i="17"/>
  <c r="Q104" i="17" s="1"/>
  <c r="CF102" i="17"/>
  <c r="AK104" i="17" s="1"/>
  <c r="BZ102" i="17"/>
  <c r="AE107" i="17" s="1"/>
  <c r="AC44" i="14"/>
  <c r="AC42" i="14"/>
  <c r="AC92" i="14"/>
  <c r="AC43" i="14"/>
  <c r="BV102" i="17"/>
  <c r="AO648" i="14"/>
  <c r="AB14" i="1"/>
  <c r="AC45" i="14"/>
  <c r="AD14" i="1"/>
  <c r="AQ14" i="1" s="1"/>
  <c r="U26" i="9" s="1"/>
  <c r="AG27" i="1"/>
  <c r="AC41" i="14"/>
  <c r="AC40" i="14"/>
  <c r="AC48" i="14"/>
  <c r="AA15" i="1"/>
  <c r="AP15" i="1" s="1"/>
  <c r="T27" i="9" s="1"/>
  <c r="AC46" i="14"/>
  <c r="AA28" i="1"/>
  <c r="AP28" i="1" s="1"/>
  <c r="T32" i="9" s="1"/>
  <c r="AN645" i="14"/>
  <c r="AD15" i="1"/>
  <c r="AQ15" i="1" s="1"/>
  <c r="U27" i="9" s="1"/>
  <c r="H931" i="15"/>
  <c r="U930" i="15"/>
  <c r="T930" i="15"/>
  <c r="AC14" i="1"/>
  <c r="AC29" i="1"/>
  <c r="AE649" i="14"/>
  <c r="AD44" i="14"/>
  <c r="AD40" i="14"/>
  <c r="AD48" i="14"/>
  <c r="AD43" i="14"/>
  <c r="AD41" i="14"/>
  <c r="AE42" i="14"/>
  <c r="AE47" i="14"/>
  <c r="AA13" i="1"/>
  <c r="AP13" i="1" s="1"/>
  <c r="T25" i="9" s="1"/>
  <c r="H410" i="15"/>
  <c r="U409" i="15"/>
  <c r="T409" i="15"/>
  <c r="H771" i="15"/>
  <c r="T770" i="15"/>
  <c r="U770" i="15"/>
  <c r="AO649" i="14"/>
  <c r="AN646" i="14"/>
  <c r="AO643" i="14"/>
  <c r="AO642" i="14"/>
  <c r="AO647" i="14"/>
  <c r="AN648" i="14"/>
  <c r="AN642" i="14"/>
  <c r="AN647" i="14"/>
  <c r="AN649" i="14"/>
  <c r="AO645" i="14"/>
  <c r="AN643" i="14"/>
  <c r="AO644" i="14"/>
  <c r="AO650" i="14"/>
  <c r="D112" i="17"/>
  <c r="AS112" i="17"/>
  <c r="H371" i="15"/>
  <c r="H372" i="15" s="1"/>
  <c r="U370" i="15"/>
  <c r="AE46" i="14"/>
  <c r="AO646" i="14"/>
  <c r="U488" i="15"/>
  <c r="T488" i="15"/>
  <c r="M28" i="1"/>
  <c r="Y28" i="1"/>
  <c r="Y648" i="14"/>
  <c r="Z648" i="14"/>
  <c r="AP134" i="17"/>
  <c r="AQ123" i="17"/>
  <c r="AR123" i="17"/>
  <c r="AC28" i="1"/>
  <c r="H169" i="15"/>
  <c r="T168" i="15"/>
  <c r="G168" i="15" s="1"/>
  <c r="AC79" i="14"/>
  <c r="AC75" i="14"/>
  <c r="H610" i="15"/>
  <c r="T609" i="15"/>
  <c r="U609" i="15"/>
  <c r="AD28" i="1"/>
  <c r="AQ28" i="1" s="1"/>
  <c r="U32" i="9" s="1"/>
  <c r="AB79" i="14"/>
  <c r="AB75" i="14"/>
  <c r="AB72" i="14"/>
  <c r="AB77" i="14"/>
  <c r="AB73" i="14"/>
  <c r="AB74" i="14"/>
  <c r="AE28" i="14"/>
  <c r="AE32" i="14"/>
  <c r="AE31" i="14"/>
  <c r="AE25" i="14"/>
  <c r="AE29" i="14"/>
  <c r="AE24" i="14"/>
  <c r="AE30" i="14"/>
  <c r="AE26" i="14"/>
  <c r="AE27" i="14"/>
  <c r="U729" i="15"/>
  <c r="H730" i="15"/>
  <c r="T729" i="15"/>
  <c r="T569" i="15"/>
  <c r="H570" i="15"/>
  <c r="T570" i="15" s="1"/>
  <c r="U569" i="15"/>
  <c r="AN644" i="14"/>
  <c r="AE56" i="14"/>
  <c r="AB95" i="14"/>
  <c r="AB46" i="14"/>
  <c r="AB40" i="14"/>
  <c r="BC8" i="1"/>
  <c r="BF8" i="1"/>
  <c r="E8" i="1"/>
  <c r="AE62" i="14"/>
  <c r="AE57" i="14"/>
  <c r="M22" i="1"/>
  <c r="AD63" i="14"/>
  <c r="AD62" i="14"/>
  <c r="AD59" i="14"/>
  <c r="AD61" i="14"/>
  <c r="AD58" i="14"/>
  <c r="AD57" i="14"/>
  <c r="AD64" i="14"/>
  <c r="AD60" i="14"/>
  <c r="AD56" i="14"/>
  <c r="Z20" i="1"/>
  <c r="Y20" i="1"/>
  <c r="I20" i="1"/>
  <c r="AE648" i="14"/>
  <c r="AE650" i="14"/>
  <c r="P24" i="9"/>
  <c r="Q24" i="9" s="1"/>
  <c r="M12" i="4" s="1"/>
  <c r="AI13" i="1"/>
  <c r="E102" i="17"/>
  <c r="Z16" i="14"/>
  <c r="M7" i="14" s="1"/>
  <c r="AJ22" i="1"/>
  <c r="W30" i="9"/>
  <c r="AB30" i="9"/>
  <c r="N212" i="4" s="1"/>
  <c r="AD29" i="1"/>
  <c r="AQ29" i="1"/>
  <c r="U33" i="9"/>
  <c r="AB22" i="1"/>
  <c r="O25" i="9"/>
  <c r="AT13" i="1"/>
  <c r="Z11" i="14"/>
  <c r="AN15" i="14" s="1"/>
  <c r="H133" i="15"/>
  <c r="U132" i="15"/>
  <c r="AI29" i="1"/>
  <c r="Z35" i="1"/>
  <c r="AJ15" i="1"/>
  <c r="W27" i="9"/>
  <c r="N29" i="9"/>
  <c r="AS21" i="1"/>
  <c r="D21" i="1" s="1"/>
  <c r="B30" i="9"/>
  <c r="AF8" i="1"/>
  <c r="AG8" i="1"/>
  <c r="V24" i="9"/>
  <c r="BD8" i="1"/>
  <c r="AS90" i="17"/>
  <c r="W10" i="14"/>
  <c r="BE8" i="1"/>
  <c r="AI15" i="1"/>
  <c r="X27" i="9"/>
  <c r="Z32" i="14"/>
  <c r="H333" i="15"/>
  <c r="T333" i="15" s="1"/>
  <c r="T332" i="15"/>
  <c r="U332" i="15"/>
  <c r="AB29" i="1"/>
  <c r="Z34" i="1"/>
  <c r="AI34" i="1" s="1"/>
  <c r="Y34" i="1"/>
  <c r="I34" i="1"/>
  <c r="O28" i="9"/>
  <c r="AT20" i="1"/>
  <c r="X43" i="14"/>
  <c r="AC13" i="1"/>
  <c r="AJ29" i="1"/>
  <c r="W33" i="9"/>
  <c r="Y80" i="14"/>
  <c r="AC15" i="1"/>
  <c r="AI28" i="1"/>
  <c r="X80" i="14"/>
  <c r="F71" i="14" s="1"/>
  <c r="AJ14" i="1"/>
  <c r="W32" i="14"/>
  <c r="AA22" i="1"/>
  <c r="AP22" i="1" s="1"/>
  <c r="T30" i="9" s="1"/>
  <c r="S35" i="9"/>
  <c r="Y92" i="14"/>
  <c r="O86" i="14" s="1"/>
  <c r="Z95" i="14"/>
  <c r="N87" i="14" s="1"/>
  <c r="AE87" i="14" s="1"/>
  <c r="AE94" i="14" s="1"/>
  <c r="Y95" i="14"/>
  <c r="K87" i="14" s="1"/>
  <c r="AD87" i="14" s="1"/>
  <c r="A36" i="9"/>
  <c r="Y93" i="14"/>
  <c r="X27" i="14"/>
  <c r="D20" i="1"/>
  <c r="C20" i="1" s="1"/>
  <c r="BC18" i="1"/>
  <c r="AD13" i="1"/>
  <c r="AQ13" i="1" s="1"/>
  <c r="U25" i="9" s="1"/>
  <c r="AJ13" i="1"/>
  <c r="W25" i="9"/>
  <c r="E101" i="17"/>
  <c r="BC11" i="1"/>
  <c r="D13" i="1"/>
  <c r="C13" i="1" s="1"/>
  <c r="AD22" i="1"/>
  <c r="AQ22" i="1"/>
  <c r="U30" i="9" s="1"/>
  <c r="AC22" i="1"/>
  <c r="AI27" i="1"/>
  <c r="AB28" i="1"/>
  <c r="AJ28" i="1"/>
  <c r="W32" i="9"/>
  <c r="W80" i="14"/>
  <c r="E71" i="14" s="1"/>
  <c r="AB13" i="1"/>
  <c r="AA29" i="1"/>
  <c r="AP29" i="1" s="1"/>
  <c r="T33" i="9" s="1"/>
  <c r="AB15" i="1"/>
  <c r="T254" i="15"/>
  <c r="H255" i="15"/>
  <c r="AC27" i="1"/>
  <c r="AB27" i="1"/>
  <c r="AB25" i="9"/>
  <c r="N62" i="4" s="1"/>
  <c r="AC8" i="1"/>
  <c r="AJ27" i="1"/>
  <c r="T931" i="15"/>
  <c r="H932" i="15"/>
  <c r="H933" i="15" s="1"/>
  <c r="U933" i="15" s="1"/>
  <c r="U931" i="15"/>
  <c r="AB8" i="1"/>
  <c r="AI8" i="1"/>
  <c r="H731" i="15"/>
  <c r="T731" i="15" s="1"/>
  <c r="T730" i="15"/>
  <c r="U730" i="15"/>
  <c r="T169" i="15"/>
  <c r="G169" i="15" s="1"/>
  <c r="BN113" i="17"/>
  <c r="CD113" i="17"/>
  <c r="BL113" i="17"/>
  <c r="Q117" i="17" s="1"/>
  <c r="CF113" i="17"/>
  <c r="AK119" i="17" s="1"/>
  <c r="E113" i="17"/>
  <c r="CB113" i="17"/>
  <c r="AG117" i="17" s="1"/>
  <c r="BF113" i="17"/>
  <c r="K118" i="17" s="1"/>
  <c r="W109" i="14"/>
  <c r="T371" i="15"/>
  <c r="U371" i="15"/>
  <c r="X111" i="14"/>
  <c r="G103" i="14" s="1"/>
  <c r="AC103" i="14" s="1"/>
  <c r="D124" i="17"/>
  <c r="D123" i="17"/>
  <c r="AS123" i="17"/>
  <c r="AA27" i="1"/>
  <c r="AP27" i="1" s="1"/>
  <c r="T31" i="9" s="1"/>
  <c r="AD27" i="1"/>
  <c r="AQ27" i="1"/>
  <c r="U31" i="9" s="1"/>
  <c r="AP145" i="17"/>
  <c r="AQ145" i="17" s="1"/>
  <c r="AR145" i="17" s="1"/>
  <c r="AQ134" i="17"/>
  <c r="AR134" i="17" s="1"/>
  <c r="H490" i="15"/>
  <c r="T489" i="15"/>
  <c r="U489" i="15"/>
  <c r="T410" i="15"/>
  <c r="AB33" i="9"/>
  <c r="N412" i="4" s="1"/>
  <c r="W42" i="14"/>
  <c r="AG20" i="1"/>
  <c r="V28" i="9"/>
  <c r="AF20" i="1"/>
  <c r="H571" i="15"/>
  <c r="T571" i="15" s="1"/>
  <c r="U570" i="15"/>
  <c r="H611" i="15"/>
  <c r="U610" i="15"/>
  <c r="T610" i="15"/>
  <c r="E14" i="1"/>
  <c r="BC14" i="1"/>
  <c r="BD14" i="1"/>
  <c r="A37" i="9"/>
  <c r="AE40" i="1"/>
  <c r="AR40" i="1"/>
  <c r="AH40" i="1"/>
  <c r="M40" i="1" s="1"/>
  <c r="V35" i="9"/>
  <c r="X78" i="14"/>
  <c r="H71" i="14" s="1"/>
  <c r="M23" i="14"/>
  <c r="AA8" i="1"/>
  <c r="L23" i="14"/>
  <c r="BF13" i="1"/>
  <c r="BE13" i="1"/>
  <c r="U255" i="15"/>
  <c r="H256" i="15"/>
  <c r="H257" i="15" s="1"/>
  <c r="H258" i="15" s="1"/>
  <c r="U258" i="15" s="1"/>
  <c r="T255" i="15"/>
  <c r="W78" i="14"/>
  <c r="C71" i="14" s="1"/>
  <c r="AD91" i="14"/>
  <c r="AD92" i="14"/>
  <c r="AB27" i="9"/>
  <c r="N112" i="4" s="1"/>
  <c r="AU13" i="1"/>
  <c r="P25" i="9"/>
  <c r="R25" i="9" s="1"/>
  <c r="C100" i="17" s="1"/>
  <c r="Z14" i="14"/>
  <c r="O7" i="14"/>
  <c r="AB32" i="9"/>
  <c r="L71" i="14"/>
  <c r="AF34" i="1"/>
  <c r="AG34" i="1"/>
  <c r="X34" i="9" s="1"/>
  <c r="AJ8" i="1"/>
  <c r="AS22" i="1"/>
  <c r="D22" i="1" s="1"/>
  <c r="N30" i="9"/>
  <c r="B31" i="9"/>
  <c r="BD20" i="1"/>
  <c r="W62" i="14"/>
  <c r="C55" i="14" s="1"/>
  <c r="AU20" i="1"/>
  <c r="P28" i="9"/>
  <c r="Q28" i="9" s="1"/>
  <c r="AD8" i="1"/>
  <c r="O29" i="9"/>
  <c r="AT21" i="1"/>
  <c r="BF21" i="1" s="1"/>
  <c r="Z43" i="14"/>
  <c r="E15" i="1"/>
  <c r="BD15" i="1"/>
  <c r="L7" i="14"/>
  <c r="Y14" i="14"/>
  <c r="J7" i="14" s="1"/>
  <c r="U333" i="15"/>
  <c r="H334" i="15"/>
  <c r="T334" i="15" s="1"/>
  <c r="BT91" i="17"/>
  <c r="Y97" i="17" s="1"/>
  <c r="E91" i="17"/>
  <c r="BX91" i="17"/>
  <c r="AC96" i="17" s="1"/>
  <c r="BD91" i="17"/>
  <c r="I96" i="17" s="1"/>
  <c r="BJ91" i="17"/>
  <c r="O94" i="17" s="1"/>
  <c r="BH91" i="17"/>
  <c r="M96" i="17" s="1"/>
  <c r="BF91" i="17"/>
  <c r="K95" i="17" s="1"/>
  <c r="CB91" i="17"/>
  <c r="AG97" i="17" s="1"/>
  <c r="E90" i="17"/>
  <c r="BV91" i="17"/>
  <c r="AA96" i="17" s="1"/>
  <c r="X24" i="9"/>
  <c r="X16" i="14"/>
  <c r="AG35" i="1"/>
  <c r="U133" i="15"/>
  <c r="H134" i="15"/>
  <c r="H135" i="15" s="1"/>
  <c r="T133" i="15"/>
  <c r="G133" i="15" s="1"/>
  <c r="AC111" i="14"/>
  <c r="AD20" i="1"/>
  <c r="AQ20" i="1" s="1"/>
  <c r="U28" i="9" s="1"/>
  <c r="AC34" i="1"/>
  <c r="AB24" i="9"/>
  <c r="N12" i="4" s="1"/>
  <c r="U932" i="15"/>
  <c r="T932" i="15"/>
  <c r="H373" i="15"/>
  <c r="H732" i="15"/>
  <c r="U731" i="15"/>
  <c r="T611" i="15"/>
  <c r="AI35" i="1"/>
  <c r="AB34" i="1"/>
  <c r="H572" i="15"/>
  <c r="H573" i="15" s="1"/>
  <c r="U571" i="15"/>
  <c r="BH124" i="17"/>
  <c r="M125" i="17" s="1"/>
  <c r="E124" i="17"/>
  <c r="AD34" i="1"/>
  <c r="AQ34" i="1"/>
  <c r="U34" i="9" s="1"/>
  <c r="W48" i="14"/>
  <c r="AC20" i="1"/>
  <c r="AA20" i="1"/>
  <c r="AP20" i="1" s="1"/>
  <c r="T28" i="9" s="1"/>
  <c r="AB20" i="1"/>
  <c r="AJ20" i="1"/>
  <c r="W28" i="9"/>
  <c r="H491" i="15"/>
  <c r="U490" i="15"/>
  <c r="T490" i="15"/>
  <c r="AD35" i="1"/>
  <c r="AQ35" i="1" s="1"/>
  <c r="U35" i="9" s="1"/>
  <c r="AP156" i="17"/>
  <c r="X28" i="9"/>
  <c r="X48" i="14"/>
  <c r="AI20" i="1"/>
  <c r="F7" i="14"/>
  <c r="X14" i="14"/>
  <c r="H7" i="14" s="1"/>
  <c r="AU21" i="1"/>
  <c r="P29" i="9"/>
  <c r="W96" i="14"/>
  <c r="E87" i="14" s="1"/>
  <c r="W34" i="9"/>
  <c r="AP8" i="1"/>
  <c r="T24" i="9" s="1"/>
  <c r="AT22" i="1"/>
  <c r="BC22" i="1" s="1"/>
  <c r="O30" i="9"/>
  <c r="P30" i="9" s="1"/>
  <c r="Q30" i="9" s="1"/>
  <c r="M212" i="4" s="1"/>
  <c r="X59" i="14"/>
  <c r="AH59" i="14" s="1"/>
  <c r="AA34" i="1"/>
  <c r="AP34" i="1" s="1"/>
  <c r="T34" i="9" s="1"/>
  <c r="Y109" i="14"/>
  <c r="Z111" i="14"/>
  <c r="N103" i="14" s="1"/>
  <c r="AE103" i="14" s="1"/>
  <c r="T134" i="15"/>
  <c r="G134" i="15" s="1"/>
  <c r="U134" i="15"/>
  <c r="R28" i="9"/>
  <c r="W43" i="14" s="1"/>
  <c r="C38" i="14" s="1"/>
  <c r="AJ34" i="1"/>
  <c r="Z96" i="14"/>
  <c r="M87" i="14" s="1"/>
  <c r="AJ35" i="1"/>
  <c r="Q25" i="9"/>
  <c r="M62" i="4" s="1"/>
  <c r="X35" i="9"/>
  <c r="Z40" i="1"/>
  <c r="AG40" i="1" s="1"/>
  <c r="Y40" i="1"/>
  <c r="I40" i="1"/>
  <c r="W14" i="14"/>
  <c r="C7" i="14" s="1"/>
  <c r="AB35" i="1"/>
  <c r="BC21" i="1"/>
  <c r="E21" i="1"/>
  <c r="AQ8" i="1"/>
  <c r="U24" i="9" s="1"/>
  <c r="X96" i="14"/>
  <c r="T256" i="15"/>
  <c r="U256" i="15"/>
  <c r="H934" i="15"/>
  <c r="AB35" i="9"/>
  <c r="D145" i="17"/>
  <c r="W46" i="14"/>
  <c r="C39" i="14"/>
  <c r="F39" i="14"/>
  <c r="X46" i="14"/>
  <c r="H39" i="14" s="1"/>
  <c r="T373" i="15"/>
  <c r="AB28" i="9"/>
  <c r="T572" i="15"/>
  <c r="U572" i="15"/>
  <c r="AQ156" i="17"/>
  <c r="AR156" i="17" s="1"/>
  <c r="AP167" i="17"/>
  <c r="U732" i="15"/>
  <c r="H733" i="15"/>
  <c r="T732" i="15"/>
  <c r="F87" i="14"/>
  <c r="AF40" i="1"/>
  <c r="AA40" i="1"/>
  <c r="AP40" i="1" s="1"/>
  <c r="AI40" i="1"/>
  <c r="W106" i="14"/>
  <c r="X110" i="14" s="1"/>
  <c r="H103" i="14" s="1"/>
  <c r="T257" i="15"/>
  <c r="U257" i="15"/>
  <c r="Y11" i="14"/>
  <c r="J6" i="14" s="1"/>
  <c r="C133" i="17"/>
  <c r="H136" i="15"/>
  <c r="U135" i="15"/>
  <c r="T135" i="15"/>
  <c r="G135" i="15" s="1"/>
  <c r="AU22" i="1"/>
  <c r="E22" i="1"/>
  <c r="BD22" i="1"/>
  <c r="BF22" i="1"/>
  <c r="BE22" i="1"/>
  <c r="AE105" i="14"/>
  <c r="AE111" i="14"/>
  <c r="AE109" i="14"/>
  <c r="AE110" i="14"/>
  <c r="AE108" i="14"/>
  <c r="AB34" i="9"/>
  <c r="Q29" i="9"/>
  <c r="M262" i="4" s="1"/>
  <c r="R29" i="9"/>
  <c r="H935" i="15"/>
  <c r="AP178" i="17"/>
  <c r="AQ178" i="17" s="1"/>
  <c r="AQ167" i="17"/>
  <c r="AR167" i="17" s="1"/>
  <c r="U573" i="15"/>
  <c r="H574" i="15"/>
  <c r="T573" i="15"/>
  <c r="H259" i="15"/>
  <c r="T258" i="15"/>
  <c r="AJ40" i="1"/>
  <c r="R30" i="9"/>
  <c r="W59" i="14" s="1"/>
  <c r="C54" i="14" s="1"/>
  <c r="AD40" i="1"/>
  <c r="AQ40" i="1" s="1"/>
  <c r="AB40" i="1"/>
  <c r="H137" i="15"/>
  <c r="AC40" i="1"/>
  <c r="C144" i="17"/>
  <c r="Y43" i="14"/>
  <c r="J38" i="14" s="1"/>
  <c r="X112" i="14"/>
  <c r="W112" i="14"/>
  <c r="H936" i="15"/>
  <c r="U936" i="15" s="1"/>
  <c r="AP189" i="17"/>
  <c r="AP200" i="17" s="1"/>
  <c r="AP211" i="17" s="1"/>
  <c r="AR178" i="17"/>
  <c r="D178" i="17" s="1"/>
  <c r="H260" i="15"/>
  <c r="F103" i="14"/>
  <c r="U137" i="15"/>
  <c r="E103" i="14"/>
  <c r="W110" i="14"/>
  <c r="C103" i="14" s="1"/>
  <c r="C155" i="17"/>
  <c r="AQ189" i="17"/>
  <c r="H261" i="15"/>
  <c r="H262" i="15" s="1"/>
  <c r="T260" i="15"/>
  <c r="U260" i="15"/>
  <c r="AQ200" i="17"/>
  <c r="AR200" i="17"/>
  <c r="T261" i="15"/>
  <c r="H263" i="15"/>
  <c r="T263" i="15" s="1"/>
  <c r="H264" i="15"/>
  <c r="U264" i="15" s="1"/>
  <c r="U263" i="15"/>
  <c r="H265" i="15"/>
  <c r="U265" i="15" s="1"/>
  <c r="BL91" i="17" l="1"/>
  <c r="Q93" i="17" s="1"/>
  <c r="BR124" i="17"/>
  <c r="W129" i="17" s="1"/>
  <c r="CF91" i="17"/>
  <c r="AK96" i="17" s="1"/>
  <c r="CD91" i="17"/>
  <c r="AI95" i="17" s="1"/>
  <c r="BZ91" i="17"/>
  <c r="AE95" i="17" s="1"/>
  <c r="BT113" i="17"/>
  <c r="Y117" i="17" s="1"/>
  <c r="BV113" i="17"/>
  <c r="AA114" i="17" s="1"/>
  <c r="CB102" i="17"/>
  <c r="AG108" i="17" s="1"/>
  <c r="AI441" i="17"/>
  <c r="AI197" i="17"/>
  <c r="AI665" i="17"/>
  <c r="AI496" i="17"/>
  <c r="AI186" i="17"/>
  <c r="AI541" i="17"/>
  <c r="AI98" i="17"/>
  <c r="AI319" i="17"/>
  <c r="AI463" i="17"/>
  <c r="AI275" i="17"/>
  <c r="AG632" i="17"/>
  <c r="AK242" i="17"/>
  <c r="AK665" i="17"/>
  <c r="AK131" i="17"/>
  <c r="AK6" i="17"/>
  <c r="AK643" i="17"/>
  <c r="AE701" i="17"/>
  <c r="AE607" i="17"/>
  <c r="AE286" i="17"/>
  <c r="AE474" i="17"/>
  <c r="AI231" i="17"/>
  <c r="AG621" i="17"/>
  <c r="BQ71" i="17"/>
  <c r="BP71" i="17" s="1"/>
  <c r="W6" i="17"/>
  <c r="AC6" i="17"/>
  <c r="I97" i="17"/>
  <c r="AC118" i="17"/>
  <c r="K117" i="17"/>
  <c r="BQ73" i="17"/>
  <c r="BP73" i="17" s="1"/>
  <c r="BQ64" i="17"/>
  <c r="BP64" i="17" s="1"/>
  <c r="M128" i="17"/>
  <c r="Y114" i="17"/>
  <c r="N114" i="17"/>
  <c r="N118" i="17"/>
  <c r="U128" i="17"/>
  <c r="Q94" i="17"/>
  <c r="I93" i="17"/>
  <c r="CE124" i="17"/>
  <c r="AJ128" i="17" s="1"/>
  <c r="BI124" i="17"/>
  <c r="N130" i="17" s="1"/>
  <c r="BC91" i="17"/>
  <c r="H96" i="17" s="1"/>
  <c r="BQ65" i="17"/>
  <c r="BP65" i="17" s="1"/>
  <c r="Q6" i="17"/>
  <c r="O103" i="17"/>
  <c r="AA6" i="17"/>
  <c r="AI242" i="17"/>
  <c r="AI430" i="17"/>
  <c r="AI297" i="17"/>
  <c r="AI142" i="17"/>
  <c r="AI690" i="17"/>
  <c r="AI264" i="17"/>
  <c r="AI109" i="17"/>
  <c r="AI574" i="17"/>
  <c r="AI530" i="17"/>
  <c r="AI419" i="17"/>
  <c r="AI286" i="17"/>
  <c r="AI131" i="17"/>
  <c r="AI596" i="17"/>
  <c r="AI563" i="17"/>
  <c r="AI507" i="17"/>
  <c r="AI153" i="17"/>
  <c r="AI632" i="17"/>
  <c r="AI474" i="17"/>
  <c r="AI308" i="17"/>
  <c r="AI485" i="17"/>
  <c r="AI452" i="17"/>
  <c r="AI386" i="17"/>
  <c r="AI175" i="17"/>
  <c r="AG596" i="17"/>
  <c r="AG441" i="17"/>
  <c r="AG690" i="17"/>
  <c r="AK98" i="17"/>
  <c r="AK186" i="17"/>
  <c r="AK286" i="17"/>
  <c r="AK507" i="17"/>
  <c r="AK621" i="17"/>
  <c r="AK375" i="17"/>
  <c r="AK175" i="17"/>
  <c r="AK419" i="17"/>
  <c r="AK690" i="17"/>
  <c r="AK474" i="17"/>
  <c r="AE563" i="17"/>
  <c r="AE208" i="17"/>
  <c r="AE712" i="17"/>
  <c r="AE219" i="17"/>
  <c r="AE621" i="17"/>
  <c r="AE98" i="17"/>
  <c r="AI679" i="17"/>
  <c r="S126" i="17"/>
  <c r="M129" i="17"/>
  <c r="AK93" i="17"/>
  <c r="I92" i="17"/>
  <c r="AE108" i="17"/>
  <c r="W104" i="17"/>
  <c r="AK596" i="17"/>
  <c r="AK541" i="17"/>
  <c r="AK430" i="17"/>
  <c r="AK330" i="17"/>
  <c r="AK485" i="17"/>
  <c r="AK574" i="17"/>
  <c r="AK341" i="17"/>
  <c r="AK219" i="17"/>
  <c r="AK153" i="17"/>
  <c r="AK109" i="17"/>
  <c r="AK463" i="17"/>
  <c r="AK397" i="17"/>
  <c r="AK8" i="17"/>
  <c r="AK530" i="17"/>
  <c r="AK319" i="17"/>
  <c r="AK441" i="17"/>
  <c r="AK264" i="17"/>
  <c r="AK208" i="17"/>
  <c r="AK164" i="17"/>
  <c r="AK120" i="17"/>
  <c r="AK7" i="17"/>
  <c r="AG541" i="17"/>
  <c r="AG386" i="17"/>
  <c r="AG308" i="17"/>
  <c r="AE496" i="17"/>
  <c r="AE197" i="17"/>
  <c r="AE408" i="17"/>
  <c r="AE8" i="17"/>
  <c r="AE186" i="17"/>
  <c r="AE654" i="17"/>
  <c r="AE397" i="17"/>
  <c r="AE131" i="17"/>
  <c r="AE363" i="17"/>
  <c r="AE430" i="17"/>
  <c r="AE120" i="17"/>
  <c r="AE308" i="17"/>
  <c r="AE541" i="17"/>
  <c r="AE87" i="17"/>
  <c r="O6" i="17"/>
  <c r="BG102" i="17"/>
  <c r="L105" i="17" s="1"/>
  <c r="AE97" i="17"/>
  <c r="E97" i="17"/>
  <c r="E595" i="17"/>
  <c r="E495" i="17"/>
  <c r="E562" i="17"/>
  <c r="E462" i="17"/>
  <c r="E285" i="17"/>
  <c r="K114" i="17"/>
  <c r="U126" i="17"/>
  <c r="S125" i="17"/>
  <c r="O128" i="17"/>
  <c r="S93" i="17"/>
  <c r="Q96" i="17"/>
  <c r="Q97" i="17"/>
  <c r="AA94" i="17"/>
  <c r="I95" i="17"/>
  <c r="I94" i="17"/>
  <c r="BE113" i="17"/>
  <c r="J119" i="17" s="1"/>
  <c r="AK363" i="17"/>
  <c r="AK654" i="17"/>
  <c r="AK701" i="17"/>
  <c r="AK585" i="17"/>
  <c r="AK496" i="17"/>
  <c r="AK452" i="17"/>
  <c r="AK408" i="17"/>
  <c r="AK352" i="17"/>
  <c r="AK308" i="17"/>
  <c r="AK632" i="17"/>
  <c r="AK87" i="17"/>
  <c r="AK607" i="17"/>
  <c r="AK563" i="17"/>
  <c r="AK231" i="17"/>
  <c r="AK297" i="17"/>
  <c r="AK253" i="17"/>
  <c r="AK197" i="17"/>
  <c r="AI654" i="17"/>
  <c r="AI330" i="17"/>
  <c r="AI87" i="17"/>
  <c r="AI375" i="17"/>
  <c r="AI621" i="17"/>
  <c r="AI7" i="17"/>
  <c r="AI6" i="17"/>
  <c r="AI8" i="17"/>
  <c r="AG330" i="17"/>
  <c r="AG352" i="17"/>
  <c r="AG275" i="17"/>
  <c r="AG679" i="17"/>
  <c r="AE386" i="17"/>
  <c r="AE253" i="17"/>
  <c r="AE109" i="17"/>
  <c r="AE574" i="17"/>
  <c r="AE297" i="17"/>
  <c r="AE452" i="17"/>
  <c r="AE643" i="17"/>
  <c r="AE679" i="17"/>
  <c r="AE142" i="17"/>
  <c r="AE242" i="17"/>
  <c r="AE319" i="17"/>
  <c r="AE665" i="17"/>
  <c r="AE341" i="17"/>
  <c r="AE485" i="17"/>
  <c r="AE519" i="17"/>
  <c r="AE175" i="17"/>
  <c r="AE275" i="17"/>
  <c r="AE419" i="17"/>
  <c r="AE7" i="17"/>
  <c r="AE690" i="17"/>
  <c r="AE375" i="17"/>
  <c r="AE441" i="17"/>
  <c r="AE231" i="17"/>
  <c r="AE164" i="17"/>
  <c r="AE264" i="17"/>
  <c r="AE596" i="17"/>
  <c r="AE530" i="17"/>
  <c r="AE552" i="17"/>
  <c r="AE6" i="17"/>
  <c r="AE330" i="17"/>
  <c r="U6" i="17"/>
  <c r="AK107" i="17"/>
  <c r="Q108" i="17"/>
  <c r="O104" i="17"/>
  <c r="CE102" i="17"/>
  <c r="AJ106" i="17" s="1"/>
  <c r="AH607" i="17"/>
  <c r="Y96" i="17"/>
  <c r="U104" i="17"/>
  <c r="M103" i="17"/>
  <c r="AH485" i="17"/>
  <c r="AJ363" i="17"/>
  <c r="Y94" i="17"/>
  <c r="M95" i="17"/>
  <c r="AG104" i="17"/>
  <c r="M108" i="17"/>
  <c r="M105" i="17"/>
  <c r="U107" i="17"/>
  <c r="H106" i="17"/>
  <c r="H107" i="17"/>
  <c r="U97" i="17"/>
  <c r="U96" i="17"/>
  <c r="AG96" i="17"/>
  <c r="AG93" i="17"/>
  <c r="AG95" i="17"/>
  <c r="K92" i="17"/>
  <c r="K97" i="17"/>
  <c r="S114" i="17"/>
  <c r="S118" i="17"/>
  <c r="K103" i="17"/>
  <c r="K108" i="17"/>
  <c r="AJ552" i="17"/>
  <c r="AJ330" i="17"/>
  <c r="AJ474" i="17"/>
  <c r="AJ541" i="17"/>
  <c r="CE91" i="17"/>
  <c r="AJ97" i="17" s="1"/>
  <c r="AH563" i="17"/>
  <c r="AH264" i="17"/>
  <c r="AH319" i="17"/>
  <c r="AH430" i="17"/>
  <c r="AH308" i="17"/>
  <c r="AH153" i="17"/>
  <c r="AH98" i="17"/>
  <c r="AH286" i="17"/>
  <c r="AH507" i="17"/>
  <c r="AH441" i="17"/>
  <c r="AH530" i="17"/>
  <c r="BY91" i="17"/>
  <c r="AD95" i="17" s="1"/>
  <c r="BW124" i="17"/>
  <c r="AB126" i="17" s="1"/>
  <c r="BS102" i="17"/>
  <c r="X106" i="17" s="1"/>
  <c r="BQ102" i="17"/>
  <c r="V104" i="17" s="1"/>
  <c r="R6" i="17"/>
  <c r="BM124" i="17"/>
  <c r="R125" i="17" s="1"/>
  <c r="BK113" i="17"/>
  <c r="P118" i="17" s="1"/>
  <c r="BI102" i="17"/>
  <c r="N108" i="17" s="1"/>
  <c r="Y93" i="17"/>
  <c r="M92" i="17"/>
  <c r="M97" i="17"/>
  <c r="U94" i="17"/>
  <c r="S119" i="17"/>
  <c r="BQ91" i="17"/>
  <c r="V95" i="17" s="1"/>
  <c r="CC91" i="17"/>
  <c r="AH97" i="17" s="1"/>
  <c r="AA106" i="17"/>
  <c r="AA104" i="17"/>
  <c r="CA102" i="17"/>
  <c r="AF106" i="17" s="1"/>
  <c r="AK103" i="17"/>
  <c r="AK106" i="17"/>
  <c r="BU102" i="17"/>
  <c r="Z107" i="17" s="1"/>
  <c r="Q105" i="17"/>
  <c r="Q107" i="17"/>
  <c r="Y103" i="17"/>
  <c r="Y104" i="17"/>
  <c r="I106" i="17"/>
  <c r="I107" i="17"/>
  <c r="AH186" i="17"/>
  <c r="P6" i="17"/>
  <c r="AH8" i="17"/>
  <c r="AH541" i="17"/>
  <c r="AH6" i="17"/>
  <c r="BQ59" i="17"/>
  <c r="BP59" i="17" s="1"/>
  <c r="BQ58" i="17"/>
  <c r="BP58" i="17" s="1"/>
  <c r="S129" i="17"/>
  <c r="S94" i="17"/>
  <c r="S95" i="17"/>
  <c r="Y95" i="17"/>
  <c r="Y92" i="17"/>
  <c r="M94" i="17"/>
  <c r="M93" i="17"/>
  <c r="AG92" i="17"/>
  <c r="AG94" i="17"/>
  <c r="U92" i="17"/>
  <c r="U93" i="17"/>
  <c r="O93" i="17"/>
  <c r="P97" i="17"/>
  <c r="S117" i="17"/>
  <c r="S115" i="17"/>
  <c r="S116" i="17"/>
  <c r="AE103" i="17"/>
  <c r="AE104" i="17"/>
  <c r="AE106" i="17"/>
  <c r="AE105" i="17"/>
  <c r="AI104" i="17"/>
  <c r="AB6" i="17"/>
  <c r="AJ485" i="17"/>
  <c r="AJ665" i="17"/>
  <c r="AJ496" i="17"/>
  <c r="AJ408" i="17"/>
  <c r="AJ308" i="17"/>
  <c r="AJ197" i="17"/>
  <c r="AJ186" i="17"/>
  <c r="AJ131" i="17"/>
  <c r="AJ120" i="17"/>
  <c r="AJ109" i="17"/>
  <c r="AJ98" i="17"/>
  <c r="AJ87" i="17"/>
  <c r="AJ375" i="17"/>
  <c r="AJ621" i="17"/>
  <c r="AJ7" i="17"/>
  <c r="AJ6" i="17"/>
  <c r="AJ297" i="17"/>
  <c r="AJ231" i="17"/>
  <c r="AJ679" i="17"/>
  <c r="AJ8" i="17"/>
  <c r="AJ712" i="17"/>
  <c r="AJ596" i="17"/>
  <c r="AJ690" i="17"/>
  <c r="AJ574" i="17"/>
  <c r="AJ463" i="17"/>
  <c r="AJ585" i="17"/>
  <c r="AJ563" i="17"/>
  <c r="AH654" i="17"/>
  <c r="AH621" i="17"/>
  <c r="AH632" i="17"/>
  <c r="AH419" i="17"/>
  <c r="AH164" i="17"/>
  <c r="AH7" i="17"/>
  <c r="AH552" i="17"/>
  <c r="AH408" i="17"/>
  <c r="AH242" i="17"/>
  <c r="AH87" i="17"/>
  <c r="AH701" i="17"/>
  <c r="AH463" i="17"/>
  <c r="AH341" i="17"/>
  <c r="AH175" i="17"/>
  <c r="AH231" i="17"/>
  <c r="AH363" i="17"/>
  <c r="AH208" i="17"/>
  <c r="AH585" i="17"/>
  <c r="AH452" i="17"/>
  <c r="AH253" i="17"/>
  <c r="AH120" i="17"/>
  <c r="AH643" i="17"/>
  <c r="AH397" i="17"/>
  <c r="AH219" i="17"/>
  <c r="AF701" i="17"/>
  <c r="AF231" i="17"/>
  <c r="V6" i="17"/>
  <c r="L6" i="17"/>
  <c r="O126" i="17"/>
  <c r="O130" i="17"/>
  <c r="Q92" i="17"/>
  <c r="Q95" i="17"/>
  <c r="AC97" i="17"/>
  <c r="O97" i="17"/>
  <c r="P93" i="17"/>
  <c r="P96" i="17"/>
  <c r="W92" i="17"/>
  <c r="AG119" i="17"/>
  <c r="BG124" i="17"/>
  <c r="L125" i="17" s="1"/>
  <c r="CA124" i="17"/>
  <c r="AF130" i="17" s="1"/>
  <c r="BY124" i="17"/>
  <c r="AD127" i="17" s="1"/>
  <c r="AK115" i="17"/>
  <c r="N117" i="17"/>
  <c r="BS91" i="17"/>
  <c r="X92" i="17" s="1"/>
  <c r="BM91" i="17"/>
  <c r="BW91" i="17"/>
  <c r="AB94" i="17" s="1"/>
  <c r="BI91" i="17"/>
  <c r="BU91" i="17"/>
  <c r="Z94" i="17" s="1"/>
  <c r="BG91" i="17"/>
  <c r="L93" i="17" s="1"/>
  <c r="BE91" i="17"/>
  <c r="J92" i="17" s="1"/>
  <c r="BO91" i="17"/>
  <c r="T93" i="17" s="1"/>
  <c r="CE113" i="17"/>
  <c r="AJ114" i="17" s="1"/>
  <c r="BU113" i="17"/>
  <c r="Z117" i="17" s="1"/>
  <c r="BO113" i="17"/>
  <c r="T118" i="17" s="1"/>
  <c r="CA113" i="17"/>
  <c r="AF114" i="17" s="1"/>
  <c r="BG113" i="17"/>
  <c r="L116" i="17" s="1"/>
  <c r="AK105" i="17"/>
  <c r="AK108" i="17"/>
  <c r="H108" i="17"/>
  <c r="M107" i="17"/>
  <c r="M106" i="17"/>
  <c r="H104" i="17"/>
  <c r="H103" i="17"/>
  <c r="H105" i="17"/>
  <c r="Q103" i="17"/>
  <c r="Q106" i="17"/>
  <c r="AI103" i="17"/>
  <c r="W106" i="17"/>
  <c r="K104" i="17"/>
  <c r="BW102" i="17"/>
  <c r="BY102" i="17"/>
  <c r="AD108" i="17" s="1"/>
  <c r="BM102" i="17"/>
  <c r="R106" i="17" s="1"/>
  <c r="BO102" i="17"/>
  <c r="T103" i="17" s="1"/>
  <c r="BK102" i="17"/>
  <c r="CC102" i="17"/>
  <c r="AH104" i="17" s="1"/>
  <c r="AH665" i="17"/>
  <c r="AH297" i="17"/>
  <c r="AH386" i="17"/>
  <c r="AH574" i="17"/>
  <c r="AH197" i="17"/>
  <c r="AH679" i="17"/>
  <c r="AH352" i="17"/>
  <c r="AH519" i="17"/>
  <c r="AH330" i="17"/>
  <c r="AH375" i="17"/>
  <c r="AH690" i="17"/>
  <c r="AH275" i="17"/>
  <c r="AH596" i="17"/>
  <c r="AH109" i="17"/>
  <c r="AH496" i="17"/>
  <c r="AH131" i="17"/>
  <c r="AH474" i="17"/>
  <c r="AD6" i="17"/>
  <c r="AJ643" i="17"/>
  <c r="AJ430" i="17"/>
  <c r="AJ607" i="17"/>
  <c r="AJ701" i="17"/>
  <c r="AJ632" i="17"/>
  <c r="AJ654" i="17"/>
  <c r="AJ519" i="17"/>
  <c r="AJ286" i="17"/>
  <c r="AJ341" i="17"/>
  <c r="AJ507" i="17"/>
  <c r="J6" i="17"/>
  <c r="H6" i="17"/>
  <c r="AA93" i="17"/>
  <c r="O92" i="17"/>
  <c r="P94" i="17"/>
  <c r="P95" i="17"/>
  <c r="W97" i="17"/>
  <c r="AK117" i="17"/>
  <c r="AA105" i="17"/>
  <c r="U103" i="17"/>
  <c r="U108" i="17"/>
  <c r="U105" i="17"/>
  <c r="AC106" i="17"/>
  <c r="AC103" i="17"/>
  <c r="I105" i="17"/>
  <c r="I108" i="17"/>
  <c r="I104" i="17"/>
  <c r="O105" i="17"/>
  <c r="O108" i="17"/>
  <c r="O106" i="17"/>
  <c r="AI97" i="17"/>
  <c r="N115" i="17"/>
  <c r="N119" i="17"/>
  <c r="N116" i="17"/>
  <c r="AG115" i="17"/>
  <c r="AG116" i="17"/>
  <c r="AK118" i="17"/>
  <c r="AK116" i="17"/>
  <c r="AK114" i="17"/>
  <c r="R117" i="17"/>
  <c r="R118" i="17"/>
  <c r="Q118" i="17"/>
  <c r="Q115" i="17"/>
  <c r="O118" i="17"/>
  <c r="O116" i="17"/>
  <c r="AC117" i="17"/>
  <c r="AC116" i="17"/>
  <c r="AA108" i="17"/>
  <c r="AA107" i="17"/>
  <c r="AA103" i="17"/>
  <c r="AI108" i="17"/>
  <c r="AI106" i="17"/>
  <c r="AI105" i="17"/>
  <c r="AJ142" i="17"/>
  <c r="AJ153" i="17"/>
  <c r="AJ164" i="17"/>
  <c r="AJ175" i="17"/>
  <c r="AJ208" i="17"/>
  <c r="AJ219" i="17"/>
  <c r="AJ242" i="17"/>
  <c r="AJ253" i="17"/>
  <c r="AJ264" i="17"/>
  <c r="AJ275" i="17"/>
  <c r="AF286" i="17"/>
  <c r="AF297" i="17"/>
  <c r="AJ319" i="17"/>
  <c r="AJ352" i="17"/>
  <c r="AJ386" i="17"/>
  <c r="AJ419" i="17"/>
  <c r="AC62" i="14"/>
  <c r="AC61" i="14"/>
  <c r="AC63" i="14"/>
  <c r="T265" i="15"/>
  <c r="H266" i="15"/>
  <c r="U266" i="15" s="1"/>
  <c r="D201" i="17"/>
  <c r="AS200" i="17"/>
  <c r="D200" i="17"/>
  <c r="U262" i="15"/>
  <c r="T262" i="15"/>
  <c r="X127" i="17"/>
  <c r="X126" i="17"/>
  <c r="X129" i="17"/>
  <c r="X125" i="17"/>
  <c r="X128" i="17"/>
  <c r="X130" i="17"/>
  <c r="H492" i="15"/>
  <c r="U491" i="15"/>
  <c r="T491" i="15"/>
  <c r="U261" i="15"/>
  <c r="AR189" i="17"/>
  <c r="T936" i="15"/>
  <c r="H937" i="15"/>
  <c r="U574" i="15"/>
  <c r="H575" i="15"/>
  <c r="T574" i="15"/>
  <c r="U935" i="15"/>
  <c r="T935" i="15"/>
  <c r="T137" i="15"/>
  <c r="G137" i="15" s="1"/>
  <c r="H138" i="15"/>
  <c r="AS156" i="17"/>
  <c r="D157" i="17"/>
  <c r="D156" i="17"/>
  <c r="T259" i="15"/>
  <c r="U259" i="15"/>
  <c r="S130" i="17"/>
  <c r="N311" i="4"/>
  <c r="O127" i="17"/>
  <c r="O125" i="17"/>
  <c r="B32" i="9"/>
  <c r="AS27" i="1"/>
  <c r="N31" i="9"/>
  <c r="U136" i="15"/>
  <c r="T136" i="15"/>
  <c r="G136" i="15" s="1"/>
  <c r="T934" i="15"/>
  <c r="U934" i="15"/>
  <c r="AE106" i="14"/>
  <c r="AE104" i="14"/>
  <c r="AE112" i="14"/>
  <c r="U125" i="17"/>
  <c r="U129" i="17"/>
  <c r="U130" i="17"/>
  <c r="AF96" i="17"/>
  <c r="AF97" i="17"/>
  <c r="AF93" i="17"/>
  <c r="AC94" i="17"/>
  <c r="AC93" i="17"/>
  <c r="AC92" i="17"/>
  <c r="AC95" i="17"/>
  <c r="H612" i="15"/>
  <c r="U611" i="15"/>
  <c r="H374" i="15"/>
  <c r="U373" i="15"/>
  <c r="K93" i="17"/>
  <c r="K96" i="17"/>
  <c r="K94" i="17"/>
  <c r="M311" i="4"/>
  <c r="W16" i="14"/>
  <c r="W24" i="9"/>
  <c r="M126" i="17"/>
  <c r="M127" i="17"/>
  <c r="M130" i="17"/>
  <c r="AE41" i="1"/>
  <c r="I41" i="1" s="1"/>
  <c r="S37" i="9"/>
  <c r="A38" i="9"/>
  <c r="AW41" i="1"/>
  <c r="G41" i="1" s="1"/>
  <c r="Y108" i="14"/>
  <c r="O102" i="14" s="1"/>
  <c r="AV41" i="1"/>
  <c r="F41" i="1" s="1"/>
  <c r="O117" i="17"/>
  <c r="O119" i="17"/>
  <c r="O115" i="17"/>
  <c r="CC124" i="17"/>
  <c r="CB124" i="17"/>
  <c r="BQ124" i="17"/>
  <c r="BT124" i="17"/>
  <c r="Y130" i="17" s="1"/>
  <c r="BU124" i="17"/>
  <c r="CF124" i="17"/>
  <c r="BX124" i="17"/>
  <c r="BD124" i="17"/>
  <c r="I126" i="17" s="1"/>
  <c r="BF124" i="17"/>
  <c r="K130" i="17" s="1"/>
  <c r="H411" i="15"/>
  <c r="U410" i="15"/>
  <c r="BE14" i="1"/>
  <c r="BF14" i="1"/>
  <c r="AC114" i="17"/>
  <c r="AC115" i="17"/>
  <c r="W111" i="14"/>
  <c r="D103" i="14" s="1"/>
  <c r="AB103" i="14" s="1"/>
  <c r="AB112" i="14" s="1"/>
  <c r="AV40" i="1"/>
  <c r="F40" i="1" s="1"/>
  <c r="W108" i="14"/>
  <c r="H102" i="14" s="1"/>
  <c r="Y111" i="14"/>
  <c r="K103" i="14" s="1"/>
  <c r="AD103" i="14" s="1"/>
  <c r="S36" i="9"/>
  <c r="AW40" i="1"/>
  <c r="G40" i="1" s="1"/>
  <c r="AI40" i="14"/>
  <c r="BD13" i="1"/>
  <c r="E13" i="1"/>
  <c r="BC13" i="1"/>
  <c r="AI114" i="17"/>
  <c r="AI117" i="17"/>
  <c r="AI115" i="17"/>
  <c r="BC20" i="1"/>
  <c r="BE20" i="1"/>
  <c r="S97" i="17"/>
  <c r="Y115" i="17"/>
  <c r="E123" i="17"/>
  <c r="CD124" i="17"/>
  <c r="BO124" i="17"/>
  <c r="AI119" i="17"/>
  <c r="W96" i="17"/>
  <c r="W94" i="17"/>
  <c r="W95" i="17"/>
  <c r="AI92" i="17"/>
  <c r="E20" i="1"/>
  <c r="R114" i="17"/>
  <c r="R116" i="17"/>
  <c r="R119" i="17"/>
  <c r="U372" i="15"/>
  <c r="T372" i="15"/>
  <c r="AI118" i="17"/>
  <c r="K115" i="17"/>
  <c r="K116" i="17"/>
  <c r="AF35" i="1"/>
  <c r="Y90" i="14"/>
  <c r="AA35" i="1"/>
  <c r="AP35" i="1" s="1"/>
  <c r="T35" i="9" s="1"/>
  <c r="AC35" i="1"/>
  <c r="BQ113" i="17"/>
  <c r="BD113" i="17"/>
  <c r="CC113" i="17"/>
  <c r="BS113" i="17"/>
  <c r="BP113" i="17"/>
  <c r="BR113" i="17"/>
  <c r="BC113" i="17"/>
  <c r="BH113" i="17"/>
  <c r="BZ113" i="17"/>
  <c r="BW113" i="17"/>
  <c r="BY113" i="17"/>
  <c r="E112" i="17"/>
  <c r="S92" i="17"/>
  <c r="BZ124" i="17"/>
  <c r="BL124" i="17"/>
  <c r="BE124" i="17"/>
  <c r="J129" i="17" s="1"/>
  <c r="K119" i="17"/>
  <c r="AI116" i="17"/>
  <c r="O95" i="17"/>
  <c r="O96" i="17"/>
  <c r="AE94" i="17"/>
  <c r="BF20" i="1"/>
  <c r="R24" i="9"/>
  <c r="AG118" i="17"/>
  <c r="AG114" i="17"/>
  <c r="Q116" i="17"/>
  <c r="Q114" i="17"/>
  <c r="U169" i="15"/>
  <c r="H170" i="15"/>
  <c r="BQ74" i="17"/>
  <c r="BP74" i="17" s="1"/>
  <c r="Y6" i="17"/>
  <c r="BM77" i="17"/>
  <c r="BQ77" i="17"/>
  <c r="BP77" i="17" s="1"/>
  <c r="E241" i="17"/>
  <c r="E606" i="17"/>
  <c r="E551" i="17"/>
  <c r="E252" i="17"/>
  <c r="E307" i="17"/>
  <c r="E653" i="17"/>
  <c r="E263" i="17"/>
  <c r="E440" i="17"/>
  <c r="E473" i="17"/>
  <c r="E130" i="17"/>
  <c r="E584" i="17"/>
  <c r="E218" i="17"/>
  <c r="E385" i="17"/>
  <c r="E351" i="17"/>
  <c r="E318" i="17"/>
  <c r="E362" i="17"/>
  <c r="E711" i="17"/>
  <c r="E418" i="17"/>
  <c r="E329" i="17"/>
  <c r="E108" i="17"/>
  <c r="E152" i="17"/>
  <c r="E174" i="17"/>
  <c r="E573" i="17"/>
  <c r="E506" i="17"/>
  <c r="E451" i="17"/>
  <c r="E196" i="17"/>
  <c r="E163" i="17"/>
  <c r="E664" i="17"/>
  <c r="E700" i="17"/>
  <c r="E407" i="17"/>
  <c r="E296" i="17"/>
  <c r="E689" i="17"/>
  <c r="E207" i="17"/>
  <c r="E642" i="17"/>
  <c r="E340" i="17"/>
  <c r="E484" i="17"/>
  <c r="E141" i="17"/>
  <c r="E429" i="17"/>
  <c r="E529" i="17"/>
  <c r="AF712" i="17"/>
  <c r="AF607" i="17"/>
  <c r="AF621" i="17"/>
  <c r="AF397" i="17"/>
  <c r="AF330" i="17"/>
  <c r="AF679" i="17"/>
  <c r="AF643" i="17"/>
  <c r="AF219" i="17"/>
  <c r="AF208" i="17"/>
  <c r="AF186" i="17"/>
  <c r="AF164" i="17"/>
  <c r="AF153" i="17"/>
  <c r="AF142" i="17"/>
  <c r="AF98" i="17"/>
  <c r="AF7" i="17"/>
  <c r="AF574" i="17"/>
  <c r="AF552" i="17"/>
  <c r="AF496" i="17"/>
  <c r="AF474" i="17"/>
  <c r="AF452" i="17"/>
  <c r="AF242" i="17"/>
  <c r="AF197" i="17"/>
  <c r="AF175" i="17"/>
  <c r="AF131" i="17"/>
  <c r="AF109" i="17"/>
  <c r="AF665" i="17"/>
  <c r="AF253" i="17"/>
  <c r="AF120" i="17"/>
  <c r="AF87" i="17"/>
  <c r="AF6" i="17"/>
  <c r="AF8" i="17"/>
  <c r="AF463" i="17"/>
  <c r="AF441" i="17"/>
  <c r="AF386" i="17"/>
  <c r="AF308" i="17"/>
  <c r="AF275" i="17"/>
  <c r="AF264" i="17"/>
  <c r="AF375" i="17"/>
  <c r="AF541" i="17"/>
  <c r="AF319" i="17"/>
  <c r="AF519" i="17"/>
  <c r="AB57" i="14"/>
  <c r="AB56" i="14"/>
  <c r="AB64" i="14"/>
  <c r="H848" i="15"/>
  <c r="C847" i="15"/>
  <c r="U252" i="15"/>
  <c r="T252" i="15"/>
  <c r="U487" i="15"/>
  <c r="U129" i="15"/>
  <c r="U291" i="15"/>
  <c r="T927" i="15"/>
  <c r="U209" i="15"/>
  <c r="T889" i="15"/>
  <c r="T568" i="15"/>
  <c r="T408" i="15"/>
  <c r="T291" i="15"/>
  <c r="T567" i="15"/>
  <c r="T129" i="15"/>
  <c r="G129" i="15" s="1"/>
  <c r="U529" i="15"/>
  <c r="U447" i="15"/>
  <c r="T167" i="15"/>
  <c r="G167" i="15" s="1"/>
  <c r="AD23" i="14"/>
  <c r="AC105" i="17"/>
  <c r="Z80" i="14"/>
  <c r="M71" i="14" s="1"/>
  <c r="K105" i="17"/>
  <c r="AE61" i="14"/>
  <c r="AV35" i="1"/>
  <c r="F35" i="1" s="1"/>
  <c r="AE58" i="14"/>
  <c r="AD641" i="14"/>
  <c r="H91" i="15"/>
  <c r="U90" i="15"/>
  <c r="AE60" i="14"/>
  <c r="AC25" i="14"/>
  <c r="AC32" i="14"/>
  <c r="AC28" i="14"/>
  <c r="AC29" i="14"/>
  <c r="M6" i="17"/>
  <c r="W90" i="14"/>
  <c r="AC107" i="17"/>
  <c r="Y105" i="17"/>
  <c r="O26" i="9"/>
  <c r="AH35" i="1"/>
  <c r="M35" i="1" s="1"/>
  <c r="AJ11" i="14"/>
  <c r="H211" i="15"/>
  <c r="T210" i="15"/>
  <c r="S6" i="17"/>
  <c r="AC108" i="17"/>
  <c r="H649" i="15"/>
  <c r="U648" i="15"/>
  <c r="AM649" i="14"/>
  <c r="AM646" i="14"/>
  <c r="AL646" i="14"/>
  <c r="AM645" i="14"/>
  <c r="AL649" i="14"/>
  <c r="AM650" i="14"/>
  <c r="AL645" i="14"/>
  <c r="I29" i="1"/>
  <c r="V26" i="9"/>
  <c r="AB26" i="9" s="1"/>
  <c r="N162" i="4" s="1"/>
  <c r="AG397" i="17"/>
  <c r="AG665" i="17"/>
  <c r="BN53" i="17"/>
  <c r="BQ53" i="17" s="1"/>
  <c r="BP53" i="17" s="1"/>
  <c r="H48" i="15"/>
  <c r="AB7" i="14"/>
  <c r="AX8" i="14"/>
  <c r="AY8" i="14" s="1"/>
  <c r="M15" i="1"/>
  <c r="BM79" i="17"/>
  <c r="AG7" i="17"/>
  <c r="BQ63" i="17"/>
  <c r="BP63" i="17" s="1"/>
  <c r="BQ60" i="17"/>
  <c r="BP60" i="17" s="1"/>
  <c r="AG585" i="17"/>
  <c r="V9" i="2"/>
  <c r="BU31" i="3"/>
  <c r="Z71" i="9"/>
  <c r="Z60" i="9"/>
  <c r="BU20" i="3"/>
  <c r="AG654" i="17"/>
  <c r="AG463" i="17"/>
  <c r="AA65" i="9"/>
  <c r="AG519" i="17"/>
  <c r="Z6" i="17"/>
  <c r="AG286" i="17"/>
  <c r="AG297" i="17"/>
  <c r="AG408" i="17"/>
  <c r="AG701" i="17"/>
  <c r="Z68" i="9"/>
  <c r="AI14" i="1"/>
  <c r="Y29" i="1"/>
  <c r="BE102" i="17"/>
  <c r="J106" i="17" s="1"/>
  <c r="AG712" i="17"/>
  <c r="AG485" i="17"/>
  <c r="W31" i="14"/>
  <c r="D23" i="14" s="1"/>
  <c r="AB23" i="14" s="1"/>
  <c r="AG8" i="17"/>
  <c r="AG375" i="17"/>
  <c r="T6" i="17"/>
  <c r="AG120" i="17"/>
  <c r="AG253" i="17"/>
  <c r="AP10" i="3"/>
  <c r="AG319" i="17"/>
  <c r="AG507" i="17"/>
  <c r="N6" i="17"/>
  <c r="X9" i="2"/>
  <c r="AG231" i="17"/>
  <c r="AG109" i="17"/>
  <c r="AG131" i="17"/>
  <c r="AG175" i="17"/>
  <c r="AG197" i="17"/>
  <c r="AG242" i="17"/>
  <c r="AG430" i="17"/>
  <c r="AG452" i="17"/>
  <c r="AG474" i="17"/>
  <c r="AG496" i="17"/>
  <c r="AG530" i="17"/>
  <c r="AG552" i="17"/>
  <c r="AG574" i="17"/>
  <c r="I14" i="1"/>
  <c r="AG341" i="17"/>
  <c r="AG563" i="17"/>
  <c r="AG6" i="17"/>
  <c r="AG87" i="17"/>
  <c r="AG98" i="17"/>
  <c r="AG142" i="17"/>
  <c r="AG153" i="17"/>
  <c r="AG164" i="17"/>
  <c r="AG186" i="17"/>
  <c r="AG208" i="17"/>
  <c r="AG219" i="17"/>
  <c r="AG643" i="17"/>
  <c r="Y79" i="14"/>
  <c r="K71" i="14" s="1"/>
  <c r="AD71" i="14" s="1"/>
  <c r="Z79" i="14"/>
  <c r="N71" i="14" s="1"/>
  <c r="AE71" i="14" s="1"/>
  <c r="AG363" i="17"/>
  <c r="AG607" i="17"/>
  <c r="BQ57" i="17"/>
  <c r="BP57" i="17" s="1"/>
  <c r="F175" i="15"/>
  <c r="F176" i="15" s="1"/>
  <c r="F177" i="15" s="1"/>
  <c r="F178" i="15" s="1"/>
  <c r="F179" i="15" s="1"/>
  <c r="F180" i="15" s="1"/>
  <c r="F181" i="15" s="1"/>
  <c r="F182" i="15" s="1"/>
  <c r="F183" i="15" s="1"/>
  <c r="F184" i="15" s="1"/>
  <c r="F185" i="15" s="1"/>
  <c r="F186" i="15" s="1"/>
  <c r="F187" i="15" s="1"/>
  <c r="F188" i="15" s="1"/>
  <c r="F189" i="15" s="1"/>
  <c r="F190" i="15" s="1"/>
  <c r="F191" i="15" s="1"/>
  <c r="F192" i="15" s="1"/>
  <c r="F193" i="15" s="1"/>
  <c r="F194" i="15" s="1"/>
  <c r="F195" i="15" s="1"/>
  <c r="F196" i="15" s="1"/>
  <c r="F197" i="15" s="1"/>
  <c r="F198" i="15" s="1"/>
  <c r="F199" i="15" s="1"/>
  <c r="F200" i="15" s="1"/>
  <c r="F201" i="15" s="1"/>
  <c r="F202" i="15" s="1"/>
  <c r="F203" i="15" s="1"/>
  <c r="F204" i="15" s="1"/>
  <c r="F205" i="15" s="1"/>
  <c r="F206" i="15" s="1"/>
  <c r="F207" i="15" s="1"/>
  <c r="F208" i="15" s="1"/>
  <c r="G132" i="15"/>
  <c r="G131" i="15"/>
  <c r="AI14" i="14"/>
  <c r="AI9" i="14"/>
  <c r="AH10" i="14"/>
  <c r="AI10" i="14"/>
  <c r="AH15" i="14"/>
  <c r="AK16" i="14"/>
  <c r="AJ15" i="14"/>
  <c r="AH9" i="14"/>
  <c r="AH14" i="14"/>
  <c r="AK11" i="14"/>
  <c r="AI15" i="14"/>
  <c r="AI16" i="14"/>
  <c r="AK15" i="14"/>
  <c r="AI11" i="14"/>
  <c r="AJ9" i="14"/>
  <c r="AI8" i="14"/>
  <c r="AJ12" i="14"/>
  <c r="AH12" i="14"/>
  <c r="AI12" i="14"/>
  <c r="AI64" i="14"/>
  <c r="AH62" i="14"/>
  <c r="AI61" i="14"/>
  <c r="AH64" i="14"/>
  <c r="AI60" i="14"/>
  <c r="AI59" i="14"/>
  <c r="AH57" i="14"/>
  <c r="AI57" i="14"/>
  <c r="AH60" i="14"/>
  <c r="AH58" i="14"/>
  <c r="AI62" i="14"/>
  <c r="AH63" i="14"/>
  <c r="AN12" i="14"/>
  <c r="AL8" i="14"/>
  <c r="AL15" i="14"/>
  <c r="AL9" i="14"/>
  <c r="AO8" i="14"/>
  <c r="AO9" i="14"/>
  <c r="AL11" i="14"/>
  <c r="AO13" i="14"/>
  <c r="AL14" i="14"/>
  <c r="AO10" i="14"/>
  <c r="AM14" i="14"/>
  <c r="AN11" i="14"/>
  <c r="AO11" i="14"/>
  <c r="AN9" i="14"/>
  <c r="AM9" i="14"/>
  <c r="AL13" i="14"/>
  <c r="AM8" i="14"/>
  <c r="AO15" i="14"/>
  <c r="AI45" i="14"/>
  <c r="AK45" i="14"/>
  <c r="AI47" i="14"/>
  <c r="AK44" i="14"/>
  <c r="AI42" i="14"/>
  <c r="AH42" i="14"/>
  <c r="AH44" i="14"/>
  <c r="AH46" i="14"/>
  <c r="AJ48" i="14"/>
  <c r="AI46" i="14"/>
  <c r="AK42" i="14"/>
  <c r="AI44" i="14"/>
  <c r="AJ47" i="14"/>
  <c r="AH48" i="14"/>
  <c r="AK48" i="14"/>
  <c r="AJ46" i="14"/>
  <c r="AH40" i="14"/>
  <c r="AI41" i="14"/>
  <c r="AH56" i="14"/>
  <c r="AI58" i="14"/>
  <c r="AH47" i="14"/>
  <c r="AI48" i="14"/>
  <c r="AH13" i="14"/>
  <c r="AI13" i="14"/>
  <c r="AJ8" i="14"/>
  <c r="AK13" i="14"/>
  <c r="AL10" i="14"/>
  <c r="AM11" i="14"/>
  <c r="AM12" i="14"/>
  <c r="AO12" i="14"/>
  <c r="AN10" i="14"/>
  <c r="AJ16" i="14"/>
  <c r="AM10" i="14"/>
  <c r="AM16" i="14"/>
  <c r="AL16" i="14"/>
  <c r="AN13" i="14"/>
  <c r="AN14" i="14"/>
  <c r="AI56" i="14"/>
  <c r="AK41" i="14"/>
  <c r="AH41" i="14"/>
  <c r="AH11" i="14"/>
  <c r="AH16" i="14"/>
  <c r="AJ13" i="14"/>
  <c r="AM13" i="14"/>
  <c r="AL12" i="14"/>
  <c r="AN8" i="14"/>
  <c r="AO14" i="14"/>
  <c r="AO16" i="14"/>
  <c r="AM15" i="14"/>
  <c r="AN16" i="14"/>
  <c r="T266" i="15"/>
  <c r="H267" i="15"/>
  <c r="AP234" i="17"/>
  <c r="AQ211" i="17"/>
  <c r="T264" i="15"/>
  <c r="AS178" i="17"/>
  <c r="D179" i="17"/>
  <c r="BV201" i="17"/>
  <c r="BY201" i="17"/>
  <c r="BG201" i="17"/>
  <c r="BW201" i="17"/>
  <c r="T733" i="15"/>
  <c r="U733" i="15"/>
  <c r="H734" i="15"/>
  <c r="D168" i="17"/>
  <c r="AS167" i="17"/>
  <c r="D167" i="17"/>
  <c r="CB201" i="17"/>
  <c r="BM201" i="17"/>
  <c r="CE201" i="17"/>
  <c r="BR201" i="17"/>
  <c r="BZ201" i="17"/>
  <c r="BK201" i="17"/>
  <c r="BH201" i="17"/>
  <c r="AD107" i="14"/>
  <c r="AD109" i="14"/>
  <c r="AD105" i="14"/>
  <c r="AD110" i="14"/>
  <c r="AD111" i="14"/>
  <c r="AD112" i="14"/>
  <c r="AD104" i="14"/>
  <c r="AD108" i="14"/>
  <c r="AD106" i="14"/>
  <c r="AJ45" i="14"/>
  <c r="AK47" i="14"/>
  <c r="AJ42" i="14"/>
  <c r="AJ44" i="14"/>
  <c r="AK46" i="14"/>
  <c r="AK40" i="14"/>
  <c r="AK43" i="14"/>
  <c r="AJ43" i="14"/>
  <c r="AJ40" i="14"/>
  <c r="AJ41" i="14"/>
  <c r="AA95" i="17"/>
  <c r="AA97" i="17"/>
  <c r="AF94" i="17"/>
  <c r="AF95" i="17"/>
  <c r="AK97" i="17"/>
  <c r="H335" i="15"/>
  <c r="U334" i="15"/>
  <c r="AD90" i="14"/>
  <c r="AD93" i="14"/>
  <c r="AD95" i="14"/>
  <c r="AD88" i="14"/>
  <c r="AD96" i="14"/>
  <c r="AD94" i="14"/>
  <c r="AD89" i="14"/>
  <c r="AE95" i="14"/>
  <c r="AE90" i="14"/>
  <c r="AE91" i="14"/>
  <c r="AE88" i="14"/>
  <c r="AE92" i="14"/>
  <c r="AE96" i="14"/>
  <c r="AE89" i="14"/>
  <c r="H772" i="15"/>
  <c r="U771" i="15"/>
  <c r="T771" i="15"/>
  <c r="BF15" i="1"/>
  <c r="BC15" i="1"/>
  <c r="BE15" i="1"/>
  <c r="W125" i="17"/>
  <c r="AC106" i="14"/>
  <c r="AC104" i="14"/>
  <c r="AC112" i="14"/>
  <c r="AC108" i="14"/>
  <c r="AC105" i="14"/>
  <c r="AC110" i="14"/>
  <c r="AC109" i="14"/>
  <c r="W128" i="17"/>
  <c r="AH45" i="14"/>
  <c r="AH43" i="14"/>
  <c r="E39" i="14"/>
  <c r="AI43" i="14"/>
  <c r="AC107" i="14"/>
  <c r="AJ10" i="14"/>
  <c r="AK8" i="14"/>
  <c r="AK10" i="14"/>
  <c r="AJ14" i="14"/>
  <c r="AK14" i="14"/>
  <c r="AK12" i="14"/>
  <c r="X31" i="9"/>
  <c r="Z64" i="14"/>
  <c r="S104" i="17"/>
  <c r="S105" i="17"/>
  <c r="S106" i="17"/>
  <c r="S108" i="17"/>
  <c r="S103" i="17"/>
  <c r="AI63" i="14"/>
  <c r="AH61" i="14"/>
  <c r="D134" i="17"/>
  <c r="AS134" i="17"/>
  <c r="D135" i="17"/>
  <c r="AB106" i="14"/>
  <c r="AB110" i="14"/>
  <c r="AB108" i="14"/>
  <c r="AB107" i="14"/>
  <c r="AB104" i="14"/>
  <c r="AB109" i="14"/>
  <c r="AB105" i="14"/>
  <c r="AB111" i="14"/>
  <c r="E23" i="14"/>
  <c r="AE107" i="14"/>
  <c r="V36" i="9"/>
  <c r="AB36" i="9" s="1"/>
  <c r="S127" i="17"/>
  <c r="AA92" i="17"/>
  <c r="AE93" i="14"/>
  <c r="Z41" i="1"/>
  <c r="D146" i="17"/>
  <c r="AC90" i="14"/>
  <c r="AC94" i="14"/>
  <c r="AC91" i="14"/>
  <c r="AC96" i="14"/>
  <c r="AC88" i="14"/>
  <c r="AC89" i="14"/>
  <c r="AC93" i="14"/>
  <c r="AC95" i="14"/>
  <c r="T890" i="15"/>
  <c r="H891" i="15"/>
  <c r="H811" i="15"/>
  <c r="U810" i="15"/>
  <c r="T810" i="15"/>
  <c r="W103" i="17"/>
  <c r="H693" i="15"/>
  <c r="T692" i="15"/>
  <c r="AD8" i="14"/>
  <c r="AD12" i="14"/>
  <c r="AD9" i="14"/>
  <c r="AD11" i="14"/>
  <c r="AD14" i="14"/>
  <c r="AD15" i="14"/>
  <c r="AD16" i="14"/>
  <c r="AD10" i="14"/>
  <c r="AD13" i="14"/>
  <c r="AB93" i="14"/>
  <c r="AB90" i="14"/>
  <c r="AB91" i="14"/>
  <c r="AB89" i="14"/>
  <c r="AB88" i="14"/>
  <c r="T211" i="15"/>
  <c r="H212" i="15"/>
  <c r="U211" i="15"/>
  <c r="Q119" i="17"/>
  <c r="AR41" i="1"/>
  <c r="AH41" i="1"/>
  <c r="M41" i="1" s="1"/>
  <c r="W107" i="17"/>
  <c r="AB92" i="14"/>
  <c r="AC59" i="14"/>
  <c r="AC57" i="14"/>
  <c r="AC56" i="14"/>
  <c r="AC58" i="14"/>
  <c r="AC60" i="14"/>
  <c r="AC64" i="14"/>
  <c r="AC74" i="14"/>
  <c r="AC77" i="14"/>
  <c r="AC76" i="14"/>
  <c r="AC80" i="14"/>
  <c r="AC72" i="14"/>
  <c r="AC73" i="14"/>
  <c r="AC78" i="14"/>
  <c r="T292" i="15"/>
  <c r="U292" i="15"/>
  <c r="H293" i="15"/>
  <c r="T933" i="15"/>
  <c r="BC124" i="17"/>
  <c r="BK124" i="17"/>
  <c r="BV124" i="17"/>
  <c r="W108" i="17"/>
  <c r="AB94" i="14"/>
  <c r="Y106" i="17"/>
  <c r="Y108" i="17"/>
  <c r="H453" i="15"/>
  <c r="U452" i="15"/>
  <c r="U531" i="15"/>
  <c r="H532" i="15"/>
  <c r="T531" i="15"/>
  <c r="AB96" i="14"/>
  <c r="AE41" i="14"/>
  <c r="AE45" i="14"/>
  <c r="AE44" i="14"/>
  <c r="AE48" i="14"/>
  <c r="AE43" i="14"/>
  <c r="AE40" i="14"/>
  <c r="AD73" i="14"/>
  <c r="AD78" i="14"/>
  <c r="AD75" i="14"/>
  <c r="AD74" i="14"/>
  <c r="AD76" i="14"/>
  <c r="AD79" i="14"/>
  <c r="AD72" i="14"/>
  <c r="O27" i="9"/>
  <c r="Z27" i="14"/>
  <c r="AE77" i="14"/>
  <c r="AE80" i="14"/>
  <c r="AE78" i="14"/>
  <c r="AE79" i="14"/>
  <c r="AE76" i="14"/>
  <c r="AE75" i="14"/>
  <c r="AE73" i="14"/>
  <c r="V31" i="9"/>
  <c r="AB31" i="9" s="1"/>
  <c r="N362" i="4" s="1"/>
  <c r="AF27" i="1"/>
  <c r="Y58" i="14"/>
  <c r="AB45" i="14"/>
  <c r="AB42" i="14"/>
  <c r="AB41" i="14"/>
  <c r="AB47" i="14"/>
  <c r="AB48" i="14"/>
  <c r="AB43" i="14"/>
  <c r="H10" i="15"/>
  <c r="U9" i="15"/>
  <c r="T9" i="15"/>
  <c r="K106" i="17"/>
  <c r="AE646" i="14"/>
  <c r="AE64" i="14"/>
  <c r="AB80" i="14"/>
  <c r="AD42" i="14"/>
  <c r="AE647" i="14"/>
  <c r="AW35" i="1"/>
  <c r="G35" i="1" s="1"/>
  <c r="AE59" i="14"/>
  <c r="E158" i="17"/>
  <c r="E258" i="17"/>
  <c r="E380" i="17"/>
  <c r="E479" i="17"/>
  <c r="AE643" i="14"/>
  <c r="K107" i="17"/>
  <c r="AB78" i="14"/>
  <c r="AD45" i="14"/>
  <c r="AE644" i="14"/>
  <c r="AE642" i="14"/>
  <c r="E280" i="17"/>
  <c r="E538" i="17"/>
  <c r="E662" i="17"/>
  <c r="E482" i="17"/>
  <c r="E582" i="17"/>
  <c r="E250" i="17"/>
  <c r="E460" i="17"/>
  <c r="E106" i="17"/>
  <c r="E261" i="17"/>
  <c r="AD47" i="14"/>
  <c r="U249" i="15"/>
  <c r="E706" i="17"/>
  <c r="BQ75" i="17"/>
  <c r="BP75" i="17" s="1"/>
  <c r="E314" i="17"/>
  <c r="E259" i="17"/>
  <c r="E569" i="17"/>
  <c r="E707" i="17"/>
  <c r="E270" i="17"/>
  <c r="E696" i="17"/>
  <c r="E248" i="17"/>
  <c r="E237" i="17"/>
  <c r="AP9" i="3"/>
  <c r="AA68" i="9"/>
  <c r="N512" i="4"/>
  <c r="K13" i="4"/>
  <c r="L13" i="4"/>
  <c r="L512" i="4"/>
  <c r="L114" i="4"/>
  <c r="L63" i="4"/>
  <c r="K512" i="4"/>
  <c r="K114" i="4"/>
  <c r="K63" i="4"/>
  <c r="N562" i="4"/>
  <c r="N113" i="4"/>
  <c r="L562" i="4"/>
  <c r="L113" i="4"/>
  <c r="W93" i="14"/>
  <c r="K562" i="4"/>
  <c r="K113" i="4"/>
  <c r="BU34" i="3"/>
  <c r="AP34" i="3"/>
  <c r="X6" i="17"/>
  <c r="AE153" i="17"/>
  <c r="AI701" i="17"/>
  <c r="W26" i="14"/>
  <c r="AH32" i="14" s="1"/>
  <c r="AI341" i="17"/>
  <c r="AF690" i="17"/>
  <c r="AF632" i="17"/>
  <c r="AF563" i="17"/>
  <c r="AF430" i="17"/>
  <c r="AF419" i="17"/>
  <c r="AF408" i="17"/>
  <c r="AF363" i="17"/>
  <c r="AF352" i="17"/>
  <c r="AF341" i="17"/>
  <c r="AF654" i="17"/>
  <c r="AF585" i="17"/>
  <c r="AF507" i="17"/>
  <c r="AF485" i="17"/>
  <c r="AF596" i="17"/>
  <c r="AF530" i="17"/>
  <c r="Y26" i="14"/>
  <c r="BU39" i="3"/>
  <c r="AI219" i="17"/>
  <c r="Y74" i="14"/>
  <c r="Z21" i="1"/>
  <c r="Y21" i="1"/>
  <c r="AG22" i="1"/>
  <c r="AI22" i="1"/>
  <c r="AJ452" i="17"/>
  <c r="AJ441" i="17"/>
  <c r="AJ397" i="17"/>
  <c r="AP38" i="3"/>
  <c r="Y118" i="17" l="1"/>
  <c r="Y116" i="17"/>
  <c r="Y120" i="17" s="1"/>
  <c r="AG106" i="17"/>
  <c r="W127" i="17"/>
  <c r="W130" i="17"/>
  <c r="W126" i="17"/>
  <c r="AI96" i="17"/>
  <c r="Y119" i="17"/>
  <c r="AI93" i="17"/>
  <c r="AI94" i="17"/>
  <c r="AG105" i="17"/>
  <c r="AG103" i="17"/>
  <c r="AG107" i="17"/>
  <c r="AA119" i="17"/>
  <c r="AA116" i="17"/>
  <c r="AA98" i="17"/>
  <c r="AK94" i="17"/>
  <c r="AK92" i="17"/>
  <c r="AE93" i="17"/>
  <c r="AA115" i="17"/>
  <c r="AA109" i="17"/>
  <c r="AA117" i="17"/>
  <c r="AE92" i="17"/>
  <c r="AK95" i="17"/>
  <c r="AA118" i="17"/>
  <c r="AE96" i="17"/>
  <c r="Y109" i="17"/>
  <c r="Y98" i="17"/>
  <c r="W131" i="17"/>
  <c r="W109" i="17"/>
  <c r="W98" i="17"/>
  <c r="H94" i="17"/>
  <c r="AC120" i="17"/>
  <c r="AC109" i="17"/>
  <c r="AC98" i="17"/>
  <c r="U98" i="17"/>
  <c r="H97" i="17"/>
  <c r="AF108" i="17"/>
  <c r="U109" i="17"/>
  <c r="U131" i="17"/>
  <c r="AJ130" i="17"/>
  <c r="AJ129" i="17"/>
  <c r="S109" i="17"/>
  <c r="N126" i="17"/>
  <c r="R128" i="17"/>
  <c r="L106" i="17"/>
  <c r="N127" i="17"/>
  <c r="L104" i="17"/>
  <c r="S131" i="17"/>
  <c r="S120" i="17"/>
  <c r="S98" i="17"/>
  <c r="X131" i="17"/>
  <c r="H92" i="17"/>
  <c r="AJ127" i="17"/>
  <c r="H93" i="17"/>
  <c r="AJ125" i="17"/>
  <c r="H95" i="17"/>
  <c r="AJ126" i="17"/>
  <c r="N125" i="17"/>
  <c r="N128" i="17"/>
  <c r="N129" i="17"/>
  <c r="P114" i="17"/>
  <c r="Z105" i="17"/>
  <c r="AJ96" i="17"/>
  <c r="L108" i="17"/>
  <c r="J116" i="17"/>
  <c r="L103" i="17"/>
  <c r="L107" i="17"/>
  <c r="I98" i="17"/>
  <c r="V105" i="17"/>
  <c r="P119" i="17"/>
  <c r="M131" i="17"/>
  <c r="AH96" i="17"/>
  <c r="I109" i="17"/>
  <c r="AJ94" i="17"/>
  <c r="Z118" i="17"/>
  <c r="J115" i="17"/>
  <c r="AJ105" i="17"/>
  <c r="J118" i="17"/>
  <c r="AF103" i="17"/>
  <c r="T106" i="17"/>
  <c r="AH103" i="17"/>
  <c r="J114" i="17"/>
  <c r="N105" i="17"/>
  <c r="J117" i="17"/>
  <c r="J103" i="17"/>
  <c r="J95" i="17"/>
  <c r="Z92" i="17"/>
  <c r="Y126" i="17"/>
  <c r="AJ93" i="17"/>
  <c r="V103" i="17"/>
  <c r="V106" i="17"/>
  <c r="AJ104" i="17"/>
  <c r="AJ108" i="17"/>
  <c r="L117" i="17"/>
  <c r="X95" i="17"/>
  <c r="T119" i="17"/>
  <c r="X94" i="17"/>
  <c r="R120" i="17"/>
  <c r="BS81" i="17"/>
  <c r="BT81" i="17" s="1"/>
  <c r="BU81" i="17" s="1"/>
  <c r="Z108" i="17"/>
  <c r="AF116" i="17"/>
  <c r="AF128" i="17"/>
  <c r="AD104" i="17"/>
  <c r="N106" i="17"/>
  <c r="AJ107" i="17"/>
  <c r="AJ103" i="17"/>
  <c r="Q109" i="17"/>
  <c r="AD96" i="17"/>
  <c r="V93" i="17"/>
  <c r="Q98" i="17"/>
  <c r="V94" i="17"/>
  <c r="O120" i="17"/>
  <c r="R107" i="17"/>
  <c r="P98" i="17"/>
  <c r="Q120" i="17"/>
  <c r="O109" i="17"/>
  <c r="Z104" i="17"/>
  <c r="J108" i="17"/>
  <c r="V107" i="17"/>
  <c r="V108" i="17"/>
  <c r="N120" i="17"/>
  <c r="AH107" i="17"/>
  <c r="N103" i="17"/>
  <c r="M109" i="17"/>
  <c r="M98" i="17"/>
  <c r="X108" i="17"/>
  <c r="AJ118" i="17"/>
  <c r="T116" i="17"/>
  <c r="Z97" i="17"/>
  <c r="AD130" i="17"/>
  <c r="L126" i="17"/>
  <c r="O131" i="17"/>
  <c r="AH92" i="17"/>
  <c r="X105" i="17"/>
  <c r="O98" i="17"/>
  <c r="R130" i="17"/>
  <c r="R129" i="17"/>
  <c r="R126" i="17"/>
  <c r="AB127" i="17"/>
  <c r="AB125" i="17"/>
  <c r="AB129" i="17"/>
  <c r="AB130" i="17"/>
  <c r="AD94" i="17"/>
  <c r="AD92" i="17"/>
  <c r="J107" i="17"/>
  <c r="T114" i="17"/>
  <c r="J128" i="17"/>
  <c r="L114" i="17"/>
  <c r="P117" i="17"/>
  <c r="P115" i="17"/>
  <c r="Z93" i="17"/>
  <c r="X93" i="17"/>
  <c r="J126" i="17"/>
  <c r="Y128" i="17"/>
  <c r="X103" i="17"/>
  <c r="AF107" i="17"/>
  <c r="R105" i="17"/>
  <c r="AF104" i="17"/>
  <c r="P116" i="17"/>
  <c r="AD128" i="17"/>
  <c r="R127" i="17"/>
  <c r="AH95" i="17"/>
  <c r="AH94" i="17"/>
  <c r="AF105" i="17"/>
  <c r="AD97" i="17"/>
  <c r="AD93" i="17"/>
  <c r="AB128" i="17"/>
  <c r="X104" i="17"/>
  <c r="X107" i="17"/>
  <c r="AH93" i="17"/>
  <c r="Z103" i="17"/>
  <c r="Z106" i="17"/>
  <c r="V97" i="17"/>
  <c r="V92" i="17"/>
  <c r="V96" i="17"/>
  <c r="N104" i="17"/>
  <c r="N107" i="17"/>
  <c r="AJ92" i="17"/>
  <c r="AJ95" i="17"/>
  <c r="K109" i="17"/>
  <c r="K98" i="17"/>
  <c r="T105" i="17"/>
  <c r="T108" i="17"/>
  <c r="AD106" i="17"/>
  <c r="AD107" i="17"/>
  <c r="AF119" i="17"/>
  <c r="AF118" i="17"/>
  <c r="AF115" i="17"/>
  <c r="Z119" i="17"/>
  <c r="Z114" i="17"/>
  <c r="Z115" i="17"/>
  <c r="T96" i="17"/>
  <c r="T94" i="17"/>
  <c r="T92" i="17"/>
  <c r="L92" i="17"/>
  <c r="L96" i="17"/>
  <c r="L94" i="17"/>
  <c r="N94" i="17"/>
  <c r="N97" i="17"/>
  <c r="N92" i="17"/>
  <c r="N95" i="17"/>
  <c r="N93" i="17"/>
  <c r="N96" i="17"/>
  <c r="R93" i="17"/>
  <c r="R95" i="17"/>
  <c r="R96" i="17"/>
  <c r="R94" i="17"/>
  <c r="R92" i="17"/>
  <c r="R97" i="17"/>
  <c r="AF129" i="17"/>
  <c r="AF125" i="17"/>
  <c r="AD105" i="17"/>
  <c r="L95" i="17"/>
  <c r="Z116" i="17"/>
  <c r="AF126" i="17"/>
  <c r="Y129" i="17"/>
  <c r="AH105" i="17"/>
  <c r="K120" i="17"/>
  <c r="L97" i="17"/>
  <c r="T97" i="17"/>
  <c r="T95" i="17"/>
  <c r="AF117" i="17"/>
  <c r="AF127" i="17"/>
  <c r="AH106" i="17"/>
  <c r="AH108" i="17"/>
  <c r="T104" i="17"/>
  <c r="T107" i="17"/>
  <c r="AD103" i="17"/>
  <c r="P104" i="17"/>
  <c r="P108" i="17"/>
  <c r="P105" i="17"/>
  <c r="P106" i="17"/>
  <c r="P103" i="17"/>
  <c r="P107" i="17"/>
  <c r="R104" i="17"/>
  <c r="R103" i="17"/>
  <c r="R108" i="17"/>
  <c r="AB106" i="17"/>
  <c r="AB105" i="17"/>
  <c r="AB103" i="17"/>
  <c r="AB104" i="17"/>
  <c r="AB107" i="17"/>
  <c r="AB108" i="17"/>
  <c r="H109" i="17"/>
  <c r="L118" i="17"/>
  <c r="L119" i="17"/>
  <c r="L115" i="17"/>
  <c r="T115" i="17"/>
  <c r="T117" i="17"/>
  <c r="AJ117" i="17"/>
  <c r="AJ119" i="17"/>
  <c r="AJ116" i="17"/>
  <c r="AJ115" i="17"/>
  <c r="J93" i="17"/>
  <c r="J97" i="17"/>
  <c r="J96" i="17"/>
  <c r="J94" i="17"/>
  <c r="Z95" i="17"/>
  <c r="Z96" i="17"/>
  <c r="AB92" i="17"/>
  <c r="AB95" i="17"/>
  <c r="AB97" i="17"/>
  <c r="AB93" i="17"/>
  <c r="AB96" i="17"/>
  <c r="X96" i="17"/>
  <c r="X97" i="17"/>
  <c r="AD125" i="17"/>
  <c r="AD129" i="17"/>
  <c r="AD126" i="17"/>
  <c r="L128" i="17"/>
  <c r="L130" i="17"/>
  <c r="L127" i="17"/>
  <c r="L129" i="17"/>
  <c r="AD31" i="14"/>
  <c r="AD30" i="14"/>
  <c r="AD29" i="14"/>
  <c r="AD25" i="14"/>
  <c r="AD28" i="14"/>
  <c r="AD24" i="14"/>
  <c r="AD26" i="14"/>
  <c r="AD27" i="14"/>
  <c r="AD32" i="14"/>
  <c r="Q127" i="17"/>
  <c r="Q126" i="17"/>
  <c r="Q129" i="17"/>
  <c r="Q125" i="17"/>
  <c r="Q130" i="17"/>
  <c r="Q128" i="17"/>
  <c r="AB116" i="17"/>
  <c r="AB114" i="17"/>
  <c r="AB115" i="17"/>
  <c r="AB117" i="17"/>
  <c r="AB118" i="17"/>
  <c r="AB119" i="17"/>
  <c r="I118" i="17"/>
  <c r="I119" i="17"/>
  <c r="I115" i="17"/>
  <c r="I116" i="17"/>
  <c r="I114" i="17"/>
  <c r="I117" i="17"/>
  <c r="AG126" i="17"/>
  <c r="AG128" i="17"/>
  <c r="AG127" i="17"/>
  <c r="AG130" i="17"/>
  <c r="AG125" i="17"/>
  <c r="AG129" i="17"/>
  <c r="H375" i="15"/>
  <c r="T374" i="15"/>
  <c r="U374" i="15"/>
  <c r="BT157" i="17"/>
  <c r="BL157" i="17"/>
  <c r="BV157" i="17"/>
  <c r="BO157" i="17"/>
  <c r="CC157" i="17"/>
  <c r="BD157" i="17"/>
  <c r="BG157" i="17"/>
  <c r="BQ157" i="17"/>
  <c r="CB157" i="17"/>
  <c r="BN157" i="17"/>
  <c r="BX157" i="17"/>
  <c r="BH157" i="17"/>
  <c r="BJ157" i="17"/>
  <c r="E157" i="17"/>
  <c r="BS157" i="17"/>
  <c r="BY157" i="17"/>
  <c r="BI157" i="17"/>
  <c r="CA157" i="17"/>
  <c r="BW157" i="17"/>
  <c r="E156" i="17"/>
  <c r="BP157" i="17"/>
  <c r="BR157" i="17"/>
  <c r="BE157" i="17"/>
  <c r="BM157" i="17"/>
  <c r="BU157" i="17"/>
  <c r="CD157" i="17"/>
  <c r="CF157" i="17"/>
  <c r="BK157" i="17"/>
  <c r="BC157" i="17"/>
  <c r="CE157" i="17"/>
  <c r="BZ157" i="17"/>
  <c r="BF157" i="17"/>
  <c r="H938" i="15"/>
  <c r="U937" i="15"/>
  <c r="T937" i="15"/>
  <c r="AB27" i="14"/>
  <c r="AB32" i="14"/>
  <c r="AB29" i="14"/>
  <c r="AB24" i="14"/>
  <c r="AB25" i="14"/>
  <c r="AB30" i="14"/>
  <c r="AB26" i="14"/>
  <c r="AB28" i="14"/>
  <c r="AB31" i="14"/>
  <c r="AH9" i="2"/>
  <c r="V10" i="2"/>
  <c r="AB15" i="14"/>
  <c r="AB14" i="14"/>
  <c r="AB8" i="14"/>
  <c r="AB9" i="14"/>
  <c r="AB16" i="14"/>
  <c r="AB11" i="14"/>
  <c r="AB10" i="14"/>
  <c r="AB12" i="14"/>
  <c r="AB13" i="14"/>
  <c r="U170" i="15"/>
  <c r="H171" i="15"/>
  <c r="T170" i="15"/>
  <c r="G170" i="15" s="1"/>
  <c r="AE128" i="17"/>
  <c r="AE125" i="17"/>
  <c r="AE126" i="17"/>
  <c r="AE129" i="17"/>
  <c r="AE127" i="17"/>
  <c r="AE130" i="17"/>
  <c r="AE118" i="17"/>
  <c r="AE117" i="17"/>
  <c r="AE119" i="17"/>
  <c r="AE116" i="17"/>
  <c r="AE115" i="17"/>
  <c r="AE114" i="17"/>
  <c r="V115" i="17"/>
  <c r="V117" i="17"/>
  <c r="V114" i="17"/>
  <c r="V116" i="17"/>
  <c r="V118" i="17"/>
  <c r="V119" i="17"/>
  <c r="T36" i="9"/>
  <c r="U36" i="9"/>
  <c r="X36" i="9"/>
  <c r="W36" i="9"/>
  <c r="K127" i="17"/>
  <c r="K125" i="17"/>
  <c r="K126" i="17"/>
  <c r="K128" i="17"/>
  <c r="K129" i="17"/>
  <c r="AH130" i="17"/>
  <c r="AH129" i="17"/>
  <c r="AH127" i="17"/>
  <c r="AH126" i="17"/>
  <c r="AH128" i="17"/>
  <c r="AH125" i="17"/>
  <c r="O31" i="9"/>
  <c r="Z59" i="14"/>
  <c r="AN57" i="14" s="1"/>
  <c r="AT27" i="1"/>
  <c r="H139" i="15"/>
  <c r="U138" i="15"/>
  <c r="T138" i="15"/>
  <c r="G138" i="15" s="1"/>
  <c r="BQ201" i="17"/>
  <c r="E201" i="17"/>
  <c r="CA201" i="17"/>
  <c r="BU201" i="17"/>
  <c r="BT201" i="17"/>
  <c r="BO201" i="17"/>
  <c r="BE201" i="17"/>
  <c r="BI201" i="17"/>
  <c r="BC201" i="17"/>
  <c r="CF201" i="17"/>
  <c r="CC201" i="17"/>
  <c r="E200" i="17"/>
  <c r="BL201" i="17"/>
  <c r="CD201" i="17"/>
  <c r="BD201" i="17"/>
  <c r="BN201" i="17"/>
  <c r="BX201" i="17"/>
  <c r="BP201" i="17"/>
  <c r="BJ201" i="17"/>
  <c r="BS201" i="17"/>
  <c r="BF201" i="17"/>
  <c r="BS56" i="17"/>
  <c r="BT56" i="17" s="1"/>
  <c r="BU56" i="17" s="1"/>
  <c r="BS55" i="17"/>
  <c r="BT55" i="17" s="1"/>
  <c r="BU55" i="17" s="1"/>
  <c r="AX9" i="14"/>
  <c r="H49" i="15"/>
  <c r="U48" i="15"/>
  <c r="T48" i="15"/>
  <c r="G48" i="15" s="1"/>
  <c r="AU14" i="1"/>
  <c r="P26" i="9"/>
  <c r="U848" i="15"/>
  <c r="H849" i="15"/>
  <c r="T848" i="15"/>
  <c r="M119" i="17"/>
  <c r="M118" i="17"/>
  <c r="M116" i="17"/>
  <c r="M114" i="17"/>
  <c r="M115" i="17"/>
  <c r="M117" i="17"/>
  <c r="I129" i="17"/>
  <c r="I130" i="17"/>
  <c r="I127" i="17"/>
  <c r="I125" i="17"/>
  <c r="I128" i="17"/>
  <c r="AH8" i="14"/>
  <c r="E7" i="14"/>
  <c r="BC25" i="1"/>
  <c r="D27" i="1"/>
  <c r="C27" i="1" s="1"/>
  <c r="BS54" i="17"/>
  <c r="BT54" i="17" s="1"/>
  <c r="BU54" i="17" s="1"/>
  <c r="W94" i="14"/>
  <c r="C87" i="14" s="1"/>
  <c r="X94" i="14"/>
  <c r="H87" i="14" s="1"/>
  <c r="H114" i="17"/>
  <c r="H119" i="17"/>
  <c r="H116" i="17"/>
  <c r="H117" i="17"/>
  <c r="H115" i="17"/>
  <c r="H118" i="17"/>
  <c r="AC129" i="17"/>
  <c r="AC130" i="17"/>
  <c r="AC128" i="17"/>
  <c r="AC125" i="17"/>
  <c r="AC126" i="17"/>
  <c r="AC127" i="17"/>
  <c r="S38" i="9"/>
  <c r="W127" i="14"/>
  <c r="D119" i="14" s="1"/>
  <c r="AB119" i="14" s="1"/>
  <c r="AH42" i="1"/>
  <c r="M42" i="1" s="1"/>
  <c r="W125" i="14"/>
  <c r="AV42" i="1"/>
  <c r="F42" i="1" s="1"/>
  <c r="A39" i="9"/>
  <c r="AE42" i="1"/>
  <c r="AW42" i="1"/>
  <c r="G42" i="1" s="1"/>
  <c r="AR42" i="1"/>
  <c r="W124" i="14"/>
  <c r="H118" i="14" s="1"/>
  <c r="X127" i="14"/>
  <c r="G119" i="14" s="1"/>
  <c r="AC119" i="14" s="1"/>
  <c r="AW47" i="1"/>
  <c r="G47" i="1" s="1"/>
  <c r="B33" i="9"/>
  <c r="N32" i="9"/>
  <c r="AS28" i="1"/>
  <c r="D28" i="1" s="1"/>
  <c r="D189" i="17"/>
  <c r="AS189" i="17"/>
  <c r="D190" i="17"/>
  <c r="AH25" i="14"/>
  <c r="T649" i="15"/>
  <c r="U649" i="15"/>
  <c r="H650" i="15"/>
  <c r="H92" i="15"/>
  <c r="T91" i="15"/>
  <c r="G91" i="15" s="1"/>
  <c r="U91" i="15"/>
  <c r="W117" i="17"/>
  <c r="W118" i="17"/>
  <c r="W119" i="17"/>
  <c r="W115" i="17"/>
  <c r="W114" i="17"/>
  <c r="W116" i="17"/>
  <c r="Z94" i="14"/>
  <c r="O87" i="14" s="1"/>
  <c r="Y94" i="14"/>
  <c r="J87" i="14" s="1"/>
  <c r="T128" i="17"/>
  <c r="T126" i="17"/>
  <c r="T127" i="17"/>
  <c r="T125" i="17"/>
  <c r="T129" i="17"/>
  <c r="T130" i="17"/>
  <c r="AK125" i="17"/>
  <c r="AK127" i="17"/>
  <c r="AK126" i="17"/>
  <c r="AK130" i="17"/>
  <c r="AK128" i="17"/>
  <c r="AK129" i="17"/>
  <c r="AE72" i="14"/>
  <c r="AE74" i="14"/>
  <c r="AD643" i="14"/>
  <c r="AD649" i="14"/>
  <c r="AD644" i="14"/>
  <c r="AD648" i="14"/>
  <c r="AD642" i="14"/>
  <c r="AD645" i="14"/>
  <c r="AD647" i="14"/>
  <c r="AD646" i="14"/>
  <c r="AD650" i="14"/>
  <c r="U115" i="17"/>
  <c r="U119" i="17"/>
  <c r="U114" i="17"/>
  <c r="U116" i="17"/>
  <c r="U118" i="17"/>
  <c r="U117" i="17"/>
  <c r="Y96" i="14"/>
  <c r="W35" i="9"/>
  <c r="AI128" i="17"/>
  <c r="AI130" i="17"/>
  <c r="AI125" i="17"/>
  <c r="AI126" i="17"/>
  <c r="AI127" i="17"/>
  <c r="AI129" i="17"/>
  <c r="T411" i="15"/>
  <c r="U411" i="15"/>
  <c r="H412" i="15"/>
  <c r="Z126" i="17"/>
  <c r="Z127" i="17"/>
  <c r="Z125" i="17"/>
  <c r="Z129" i="17"/>
  <c r="Z128" i="17"/>
  <c r="Z130" i="17"/>
  <c r="H613" i="15"/>
  <c r="U612" i="15"/>
  <c r="T612" i="15"/>
  <c r="BS72" i="17"/>
  <c r="BT72" i="17" s="1"/>
  <c r="BU72" i="17" s="1"/>
  <c r="AI30" i="14"/>
  <c r="AD77" i="14"/>
  <c r="AD80" i="14"/>
  <c r="J105" i="17"/>
  <c r="J104" i="17"/>
  <c r="Y35" i="1"/>
  <c r="X114" i="17"/>
  <c r="X116" i="17"/>
  <c r="X117" i="17"/>
  <c r="X115" i="17"/>
  <c r="X119" i="17"/>
  <c r="X118" i="17"/>
  <c r="Y125" i="17"/>
  <c r="Y127" i="17"/>
  <c r="T575" i="15"/>
  <c r="H576" i="15"/>
  <c r="U575" i="15"/>
  <c r="W11" i="14"/>
  <c r="C6" i="14" s="1"/>
  <c r="C89" i="17"/>
  <c r="J127" i="17"/>
  <c r="J125" i="17"/>
  <c r="J130" i="17"/>
  <c r="AD118" i="17"/>
  <c r="AD115" i="17"/>
  <c r="AD114" i="17"/>
  <c r="AD117" i="17"/>
  <c r="AD116" i="17"/>
  <c r="AD119" i="17"/>
  <c r="AH116" i="17"/>
  <c r="AH118" i="17"/>
  <c r="AH117" i="17"/>
  <c r="AH114" i="17"/>
  <c r="AH115" i="17"/>
  <c r="AH119" i="17"/>
  <c r="V130" i="17"/>
  <c r="V128" i="17"/>
  <c r="V127" i="17"/>
  <c r="V126" i="17"/>
  <c r="V129" i="17"/>
  <c r="V125" i="17"/>
  <c r="V131" i="17" s="1"/>
  <c r="T492" i="15"/>
  <c r="U492" i="15"/>
  <c r="H493" i="15"/>
  <c r="G207" i="15"/>
  <c r="F209" i="15"/>
  <c r="G208" i="15"/>
  <c r="AY9" i="14"/>
  <c r="AX10" i="14"/>
  <c r="AJ203" i="17"/>
  <c r="AJ205" i="17"/>
  <c r="AJ204" i="17"/>
  <c r="AJ207" i="17"/>
  <c r="AJ206" i="17"/>
  <c r="AJ202" i="17"/>
  <c r="U10" i="15"/>
  <c r="H11" i="15"/>
  <c r="T10" i="15"/>
  <c r="G10" i="15" s="1"/>
  <c r="BS82" i="17"/>
  <c r="BT82" i="17" s="1"/>
  <c r="BU82" i="17" s="1"/>
  <c r="U453" i="15"/>
  <c r="T453" i="15"/>
  <c r="H454" i="15"/>
  <c r="AA125" i="17"/>
  <c r="AA126" i="17"/>
  <c r="AA129" i="17"/>
  <c r="AA130" i="17"/>
  <c r="AA128" i="17"/>
  <c r="AA127" i="17"/>
  <c r="BS59" i="17"/>
  <c r="BT59" i="17" s="1"/>
  <c r="BU59" i="17" s="1"/>
  <c r="BS60" i="17"/>
  <c r="BT60" i="17" s="1"/>
  <c r="BU60" i="17" s="1"/>
  <c r="BS68" i="17"/>
  <c r="BT68" i="17" s="1"/>
  <c r="BU68" i="17" s="1"/>
  <c r="AH27" i="14"/>
  <c r="AH28" i="14"/>
  <c r="M55" i="14"/>
  <c r="T772" i="15"/>
  <c r="U772" i="15"/>
  <c r="H773" i="15"/>
  <c r="T734" i="15"/>
  <c r="U734" i="15"/>
  <c r="H735" i="15"/>
  <c r="AB206" i="17"/>
  <c r="AB204" i="17"/>
  <c r="AB202" i="17"/>
  <c r="AB203" i="17"/>
  <c r="AB205" i="17"/>
  <c r="AB207" i="17"/>
  <c r="M207" i="17"/>
  <c r="M205" i="17"/>
  <c r="M203" i="17"/>
  <c r="M202" i="17"/>
  <c r="M206" i="17"/>
  <c r="M204" i="17"/>
  <c r="T267" i="15"/>
  <c r="H268" i="15"/>
  <c r="U267" i="15"/>
  <c r="AA21" i="1"/>
  <c r="AF21" i="1"/>
  <c r="AG21" i="1"/>
  <c r="Y42" i="14"/>
  <c r="AC21" i="1"/>
  <c r="V29" i="9"/>
  <c r="AB29" i="9" s="1"/>
  <c r="N262" i="4" s="1"/>
  <c r="AB21" i="1"/>
  <c r="AJ21" i="1"/>
  <c r="AI21" i="1"/>
  <c r="AD21" i="1"/>
  <c r="BD21" i="1"/>
  <c r="BE21" i="1"/>
  <c r="AO28" i="14"/>
  <c r="AN29" i="14"/>
  <c r="AM32" i="14"/>
  <c r="Y30" i="14"/>
  <c r="J23" i="14" s="1"/>
  <c r="AO29" i="14"/>
  <c r="AO24" i="14"/>
  <c r="AM31" i="14"/>
  <c r="AL24" i="14"/>
  <c r="AN26" i="14"/>
  <c r="AO31" i="14"/>
  <c r="AM28" i="14"/>
  <c r="AM29" i="14"/>
  <c r="AM25" i="14"/>
  <c r="AN31" i="14"/>
  <c r="AO25" i="14"/>
  <c r="AM27" i="14"/>
  <c r="AL25" i="14"/>
  <c r="AL27" i="14"/>
  <c r="Z30" i="14"/>
  <c r="O23" i="14" s="1"/>
  <c r="AN30" i="14"/>
  <c r="AN28" i="14"/>
  <c r="AL30" i="14"/>
  <c r="AM24" i="14"/>
  <c r="AL31" i="14"/>
  <c r="AN25" i="14"/>
  <c r="AN32" i="14"/>
  <c r="AO26" i="14"/>
  <c r="AL32" i="14"/>
  <c r="AL29" i="14"/>
  <c r="AO32" i="14"/>
  <c r="AN27" i="14"/>
  <c r="AO30" i="14"/>
  <c r="AL28" i="14"/>
  <c r="AL26" i="14"/>
  <c r="AM30" i="14"/>
  <c r="AM26" i="14"/>
  <c r="AN24" i="14"/>
  <c r="AO27" i="14"/>
  <c r="Z62" i="14"/>
  <c r="O55" i="14" s="1"/>
  <c r="Y62" i="14"/>
  <c r="J55" i="14" s="1"/>
  <c r="BS75" i="17"/>
  <c r="BT75" i="17" s="1"/>
  <c r="BU75" i="17" s="1"/>
  <c r="P130" i="17"/>
  <c r="P129" i="17"/>
  <c r="P127" i="17"/>
  <c r="P125" i="17"/>
  <c r="P126" i="17"/>
  <c r="P128" i="17"/>
  <c r="BS57" i="17"/>
  <c r="BT57" i="17" s="1"/>
  <c r="BU57" i="17" s="1"/>
  <c r="BS70" i="17"/>
  <c r="BT70" i="17" s="1"/>
  <c r="BU70" i="17" s="1"/>
  <c r="BS65" i="17"/>
  <c r="BT65" i="17" s="1"/>
  <c r="BU65" i="17" s="1"/>
  <c r="H694" i="15"/>
  <c r="T693" i="15"/>
  <c r="U693" i="15"/>
  <c r="BS67" i="17"/>
  <c r="BT67" i="17" s="1"/>
  <c r="BU67" i="17" s="1"/>
  <c r="AI32" i="14"/>
  <c r="W207" i="17"/>
  <c r="W206" i="17"/>
  <c r="W202" i="17"/>
  <c r="W203" i="17"/>
  <c r="W204" i="17"/>
  <c r="W205" i="17"/>
  <c r="L204" i="17"/>
  <c r="L207" i="17"/>
  <c r="L206" i="17"/>
  <c r="L202" i="17"/>
  <c r="L205" i="17"/>
  <c r="L203" i="17"/>
  <c r="AR211" i="17"/>
  <c r="BS61" i="17"/>
  <c r="BT61" i="17" s="1"/>
  <c r="BU61" i="17" s="1"/>
  <c r="BS69" i="17"/>
  <c r="BT69" i="17" s="1"/>
  <c r="BU69" i="17" s="1"/>
  <c r="AS145" i="17"/>
  <c r="AH26" i="14"/>
  <c r="AI25" i="14"/>
  <c r="P202" i="17"/>
  <c r="P204" i="17"/>
  <c r="P206" i="17"/>
  <c r="P203" i="17"/>
  <c r="P207" i="17"/>
  <c r="P205" i="17"/>
  <c r="R206" i="17"/>
  <c r="R203" i="17"/>
  <c r="R204" i="17"/>
  <c r="R207" i="17"/>
  <c r="R202" i="17"/>
  <c r="R205" i="17"/>
  <c r="AA203" i="17"/>
  <c r="AA202" i="17"/>
  <c r="AA205" i="17"/>
  <c r="AA207" i="17"/>
  <c r="AA204" i="17"/>
  <c r="AA206" i="17"/>
  <c r="X64" i="14"/>
  <c r="X30" i="9"/>
  <c r="BS73" i="17"/>
  <c r="BT73" i="17" s="1"/>
  <c r="BU73" i="17" s="1"/>
  <c r="BS63" i="17"/>
  <c r="BT63" i="17" s="1"/>
  <c r="BU63" i="17" s="1"/>
  <c r="BS62" i="17"/>
  <c r="BT62" i="17" s="1"/>
  <c r="BU62" i="17" s="1"/>
  <c r="BS78" i="17"/>
  <c r="BT78" i="17" s="1"/>
  <c r="BU78" i="17" s="1"/>
  <c r="BS79" i="17"/>
  <c r="BT79" i="17" s="1"/>
  <c r="BU79" i="17" s="1"/>
  <c r="U293" i="15"/>
  <c r="T293" i="15"/>
  <c r="H294" i="15"/>
  <c r="H213" i="15"/>
  <c r="T212" i="15"/>
  <c r="U212" i="15"/>
  <c r="BS80" i="17"/>
  <c r="BT80" i="17" s="1"/>
  <c r="BU80" i="17" s="1"/>
  <c r="Y41" i="1"/>
  <c r="AI31" i="14"/>
  <c r="AI26" i="14"/>
  <c r="AE204" i="17"/>
  <c r="AE207" i="17"/>
  <c r="AE206" i="17"/>
  <c r="AE203" i="17"/>
  <c r="AE202" i="17"/>
  <c r="AE205" i="17"/>
  <c r="AG203" i="17"/>
  <c r="AG202" i="17"/>
  <c r="AG206" i="17"/>
  <c r="AG204" i="17"/>
  <c r="AG207" i="17"/>
  <c r="AG205" i="17"/>
  <c r="Y78" i="14"/>
  <c r="J71" i="14" s="1"/>
  <c r="Z78" i="14"/>
  <c r="O71" i="14" s="1"/>
  <c r="Y64" i="14"/>
  <c r="W31" i="9"/>
  <c r="H128" i="17"/>
  <c r="H129" i="17"/>
  <c r="H130" i="17"/>
  <c r="H126" i="17"/>
  <c r="H125" i="17"/>
  <c r="H127" i="17"/>
  <c r="G9" i="15"/>
  <c r="BS58" i="17"/>
  <c r="BT58" i="17" s="1"/>
  <c r="BU58" i="17" s="1"/>
  <c r="T532" i="15"/>
  <c r="H533" i="15"/>
  <c r="U532" i="15"/>
  <c r="BS64" i="17"/>
  <c r="BT64" i="17" s="1"/>
  <c r="BU64" i="17" s="1"/>
  <c r="BS53" i="17"/>
  <c r="BT53" i="17" s="1"/>
  <c r="BU53" i="17" s="1"/>
  <c r="T811" i="15"/>
  <c r="U811" i="15"/>
  <c r="H812" i="15"/>
  <c r="V37" i="9"/>
  <c r="AB37" i="9" s="1"/>
  <c r="N63" i="4" s="1"/>
  <c r="Y106" i="14"/>
  <c r="AI41" i="1"/>
  <c r="AB41" i="1"/>
  <c r="AF41" i="1"/>
  <c r="AG41" i="1"/>
  <c r="AJ41" i="1"/>
  <c r="AC41" i="1"/>
  <c r="AA41" i="1"/>
  <c r="AP41" i="1" s="1"/>
  <c r="T37" i="9" s="1"/>
  <c r="AD41" i="1"/>
  <c r="AQ41" i="1" s="1"/>
  <c r="U37" i="9" s="1"/>
  <c r="AH29" i="14"/>
  <c r="BP179" i="17"/>
  <c r="BH179" i="17"/>
  <c r="BY179" i="17"/>
  <c r="BV179" i="17"/>
  <c r="CB179" i="17"/>
  <c r="BD179" i="17"/>
  <c r="BQ179" i="17"/>
  <c r="BW179" i="17"/>
  <c r="CE179" i="17"/>
  <c r="BO179" i="17"/>
  <c r="CC179" i="17"/>
  <c r="BG179" i="17"/>
  <c r="BK179" i="17"/>
  <c r="BZ179" i="17"/>
  <c r="CA179" i="17"/>
  <c r="BI179" i="17"/>
  <c r="BC179" i="17"/>
  <c r="BS179" i="17"/>
  <c r="CD179" i="17"/>
  <c r="BR179" i="17"/>
  <c r="BX179" i="17"/>
  <c r="E179" i="17"/>
  <c r="BF179" i="17"/>
  <c r="BJ179" i="17"/>
  <c r="E178" i="17"/>
  <c r="BU179" i="17"/>
  <c r="CF179" i="17"/>
  <c r="BT179" i="17"/>
  <c r="BN179" i="17"/>
  <c r="BE179" i="17"/>
  <c r="BL179" i="17"/>
  <c r="BM179" i="17"/>
  <c r="X30" i="14"/>
  <c r="H23" i="14" s="1"/>
  <c r="AJ27" i="14"/>
  <c r="AK30" i="14"/>
  <c r="W30" i="14"/>
  <c r="C23" i="14" s="1"/>
  <c r="AK32" i="14"/>
  <c r="AJ25" i="14"/>
  <c r="AK27" i="14"/>
  <c r="AK29" i="14"/>
  <c r="AJ31" i="14"/>
  <c r="AJ24" i="14"/>
  <c r="AK28" i="14"/>
  <c r="AK25" i="14"/>
  <c r="AJ26" i="14"/>
  <c r="AH30" i="14"/>
  <c r="AK31" i="14"/>
  <c r="AJ32" i="14"/>
  <c r="AJ28" i="14"/>
  <c r="AJ30" i="14"/>
  <c r="AI29" i="14"/>
  <c r="AK26" i="14"/>
  <c r="AI28" i="14"/>
  <c r="AK24" i="14"/>
  <c r="AJ29" i="14"/>
  <c r="AI24" i="14"/>
  <c r="AU15" i="1"/>
  <c r="P27" i="9"/>
  <c r="BS74" i="17"/>
  <c r="BT74" i="17" s="1"/>
  <c r="BU74" i="17" s="1"/>
  <c r="BS76" i="17"/>
  <c r="BT76" i="17" s="1"/>
  <c r="BU76" i="17" s="1"/>
  <c r="BS77" i="17"/>
  <c r="BT77" i="17" s="1"/>
  <c r="BU77" i="17" s="1"/>
  <c r="U891" i="15"/>
  <c r="H892" i="15"/>
  <c r="T891" i="15"/>
  <c r="AH31" i="14"/>
  <c r="H336" i="15"/>
  <c r="T335" i="15"/>
  <c r="U335" i="15"/>
  <c r="BZ168" i="17"/>
  <c r="BV168" i="17"/>
  <c r="E168" i="17"/>
  <c r="BG168" i="17"/>
  <c r="CC168" i="17"/>
  <c r="CF168" i="17"/>
  <c r="BK168" i="17"/>
  <c r="BU168" i="17"/>
  <c r="BL168" i="17"/>
  <c r="BW168" i="17"/>
  <c r="BI168" i="17"/>
  <c r="BD168" i="17"/>
  <c r="BO168" i="17"/>
  <c r="BX168" i="17"/>
  <c r="BS168" i="17"/>
  <c r="BR168" i="17"/>
  <c r="E167" i="17"/>
  <c r="CA168" i="17"/>
  <c r="BQ168" i="17"/>
  <c r="BP168" i="17"/>
  <c r="BH168" i="17"/>
  <c r="CB168" i="17"/>
  <c r="BE168" i="17"/>
  <c r="BJ168" i="17"/>
  <c r="BF168" i="17"/>
  <c r="CD168" i="17"/>
  <c r="BM168" i="17"/>
  <c r="BY168" i="17"/>
  <c r="BC168" i="17"/>
  <c r="BT168" i="17"/>
  <c r="BN168" i="17"/>
  <c r="CE168" i="17"/>
  <c r="AD207" i="17"/>
  <c r="AD204" i="17"/>
  <c r="AD202" i="17"/>
  <c r="AD203" i="17"/>
  <c r="AD205" i="17"/>
  <c r="AD206" i="17"/>
  <c r="AP245" i="17"/>
  <c r="AQ234" i="17"/>
  <c r="BS71" i="17"/>
  <c r="BT71" i="17" s="1"/>
  <c r="BU71" i="17" s="1"/>
  <c r="BS66" i="17"/>
  <c r="BT66" i="17" s="1"/>
  <c r="BU66" i="17" s="1"/>
  <c r="AI27" i="14"/>
  <c r="AH24" i="14"/>
  <c r="CD135" i="17"/>
  <c r="BW135" i="17"/>
  <c r="CE135" i="17"/>
  <c r="BX135" i="17"/>
  <c r="BD135" i="17"/>
  <c r="BI135" i="17"/>
  <c r="CF135" i="17"/>
  <c r="BL135" i="17"/>
  <c r="BP135" i="17"/>
  <c r="BK135" i="17"/>
  <c r="E134" i="17"/>
  <c r="CB135" i="17"/>
  <c r="BY135" i="17"/>
  <c r="CA135" i="17"/>
  <c r="BR135" i="17"/>
  <c r="BT135" i="17"/>
  <c r="BZ135" i="17"/>
  <c r="BC135" i="17"/>
  <c r="BF135" i="17"/>
  <c r="BG135" i="17"/>
  <c r="E135" i="17"/>
  <c r="BS135" i="17"/>
  <c r="BO135" i="17"/>
  <c r="BM135" i="17"/>
  <c r="BN135" i="17"/>
  <c r="BU135" i="17"/>
  <c r="BH135" i="17"/>
  <c r="BJ135" i="17"/>
  <c r="BQ135" i="17"/>
  <c r="CC135" i="17"/>
  <c r="BV135" i="17"/>
  <c r="BE135" i="17"/>
  <c r="V120" i="17" l="1"/>
  <c r="V98" i="17"/>
  <c r="V109" i="17"/>
  <c r="AD208" i="17"/>
  <c r="AD131" i="17"/>
  <c r="AD120" i="17"/>
  <c r="AD109" i="17"/>
  <c r="AD98" i="17"/>
  <c r="Y131" i="17"/>
  <c r="AA120" i="17"/>
  <c r="AA208" i="17"/>
  <c r="AA131" i="17"/>
  <c r="Z109" i="17"/>
  <c r="Z98" i="17"/>
  <c r="Z131" i="17"/>
  <c r="Z120" i="17"/>
  <c r="W120" i="17"/>
  <c r="W208" i="17"/>
  <c r="AC131" i="17"/>
  <c r="U120" i="17"/>
  <c r="T109" i="17"/>
  <c r="T98" i="17"/>
  <c r="T120" i="17"/>
  <c r="T131" i="17"/>
  <c r="AB208" i="17"/>
  <c r="AB120" i="17"/>
  <c r="AB98" i="17"/>
  <c r="AB109" i="17"/>
  <c r="AB131" i="17"/>
  <c r="X120" i="17"/>
  <c r="X98" i="17"/>
  <c r="X109" i="17"/>
  <c r="H98" i="17"/>
  <c r="J120" i="17"/>
  <c r="N131" i="17"/>
  <c r="L109" i="17"/>
  <c r="R208" i="17"/>
  <c r="J109" i="17"/>
  <c r="R109" i="17"/>
  <c r="R98" i="17"/>
  <c r="N109" i="17"/>
  <c r="P120" i="17"/>
  <c r="R131" i="17"/>
  <c r="Q131" i="17"/>
  <c r="P131" i="17"/>
  <c r="P208" i="17"/>
  <c r="P109" i="17"/>
  <c r="I131" i="17"/>
  <c r="L131" i="17"/>
  <c r="N98" i="17"/>
  <c r="M208" i="17"/>
  <c r="M120" i="17"/>
  <c r="J98" i="17"/>
  <c r="L120" i="17"/>
  <c r="L208" i="17"/>
  <c r="J131" i="17"/>
  <c r="L98" i="17"/>
  <c r="K131" i="17"/>
  <c r="AN60" i="14"/>
  <c r="AO64" i="14"/>
  <c r="AN62" i="14"/>
  <c r="AN61" i="14"/>
  <c r="AO59" i="14"/>
  <c r="AN58" i="14"/>
  <c r="AO58" i="14"/>
  <c r="AO56" i="14"/>
  <c r="AO60" i="14"/>
  <c r="AO63" i="14"/>
  <c r="AO62" i="14"/>
  <c r="AO61" i="14"/>
  <c r="AN59" i="14"/>
  <c r="AO57" i="14"/>
  <c r="AN63" i="14"/>
  <c r="AN64" i="14"/>
  <c r="AN56" i="14"/>
  <c r="H413" i="15"/>
  <c r="U412" i="15"/>
  <c r="T412" i="15"/>
  <c r="CC190" i="17"/>
  <c r="BQ190" i="17"/>
  <c r="BI190" i="17"/>
  <c r="BK190" i="17"/>
  <c r="CB190" i="17"/>
  <c r="BH190" i="17"/>
  <c r="BM190" i="17"/>
  <c r="CF190" i="17"/>
  <c r="BG190" i="17"/>
  <c r="BE190" i="17"/>
  <c r="CE190" i="17"/>
  <c r="BY190" i="17"/>
  <c r="BC190" i="17"/>
  <c r="CD190" i="17"/>
  <c r="E190" i="17"/>
  <c r="BO190" i="17"/>
  <c r="BR190" i="17"/>
  <c r="E189" i="17"/>
  <c r="BD190" i="17"/>
  <c r="BJ190" i="17"/>
  <c r="BS190" i="17"/>
  <c r="BW190" i="17"/>
  <c r="BZ190" i="17"/>
  <c r="BN190" i="17"/>
  <c r="BU190" i="17"/>
  <c r="BX190" i="17"/>
  <c r="BF190" i="17"/>
  <c r="CA190" i="17"/>
  <c r="BT190" i="17"/>
  <c r="BP190" i="17"/>
  <c r="BV190" i="17"/>
  <c r="BL190" i="17"/>
  <c r="Y125" i="14"/>
  <c r="A40" i="9"/>
  <c r="S39" i="9"/>
  <c r="W143" i="14"/>
  <c r="D135" i="14" s="1"/>
  <c r="AB135" i="14" s="1"/>
  <c r="L263" i="4"/>
  <c r="K263" i="4"/>
  <c r="L163" i="4"/>
  <c r="K163" i="4"/>
  <c r="AR47" i="1"/>
  <c r="Z127" i="14"/>
  <c r="N119" i="14" s="1"/>
  <c r="AE119" i="14" s="1"/>
  <c r="U206" i="17"/>
  <c r="U202" i="17"/>
  <c r="U203" i="17"/>
  <c r="U204" i="17"/>
  <c r="U207" i="17"/>
  <c r="U205" i="17"/>
  <c r="AK206" i="17"/>
  <c r="AK202" i="17"/>
  <c r="AK205" i="17"/>
  <c r="AK207" i="17"/>
  <c r="AK204" i="17"/>
  <c r="AK203" i="17"/>
  <c r="AK159" i="17"/>
  <c r="AK163" i="17"/>
  <c r="AK158" i="17"/>
  <c r="AK160" i="17"/>
  <c r="AK162" i="17"/>
  <c r="AK161" i="17"/>
  <c r="AB162" i="17"/>
  <c r="AB159" i="17"/>
  <c r="AB161" i="17"/>
  <c r="AB158" i="17"/>
  <c r="AB160" i="17"/>
  <c r="AB163" i="17"/>
  <c r="AC162" i="17"/>
  <c r="AC163" i="17"/>
  <c r="AC161" i="17"/>
  <c r="AC159" i="17"/>
  <c r="AC160" i="17"/>
  <c r="AC158" i="17"/>
  <c r="AA160" i="17"/>
  <c r="AA161" i="17"/>
  <c r="AA158" i="17"/>
  <c r="AA163" i="17"/>
  <c r="AA159" i="17"/>
  <c r="AA162" i="17"/>
  <c r="U493" i="15"/>
  <c r="H494" i="15"/>
  <c r="T493" i="15"/>
  <c r="T613" i="15"/>
  <c r="H614" i="15"/>
  <c r="U613" i="15"/>
  <c r="X143" i="14"/>
  <c r="G135" i="14" s="1"/>
  <c r="AC135" i="14" s="1"/>
  <c r="AH47" i="1"/>
  <c r="M47" i="1" s="1"/>
  <c r="T849" i="15"/>
  <c r="U849" i="15"/>
  <c r="H850" i="15"/>
  <c r="AC206" i="17"/>
  <c r="AC202" i="17"/>
  <c r="AC205" i="17"/>
  <c r="AC207" i="17"/>
  <c r="AC203" i="17"/>
  <c r="AC204" i="17"/>
  <c r="H207" i="17"/>
  <c r="H203" i="17"/>
  <c r="H206" i="17"/>
  <c r="H204" i="17"/>
  <c r="H205" i="17"/>
  <c r="H202" i="17"/>
  <c r="V203" i="17"/>
  <c r="V205" i="17"/>
  <c r="V207" i="17"/>
  <c r="V202" i="17"/>
  <c r="V204" i="17"/>
  <c r="V206" i="17"/>
  <c r="AI162" i="17"/>
  <c r="AI159" i="17"/>
  <c r="AI161" i="17"/>
  <c r="AI163" i="17"/>
  <c r="AI158" i="17"/>
  <c r="AI160" i="17"/>
  <c r="AF162" i="17"/>
  <c r="AF159" i="17"/>
  <c r="AF158" i="17"/>
  <c r="AF161" i="17"/>
  <c r="AF163" i="17"/>
  <c r="AF160" i="17"/>
  <c r="S162" i="17"/>
  <c r="S160" i="17"/>
  <c r="S159" i="17"/>
  <c r="S158" i="17"/>
  <c r="S161" i="17"/>
  <c r="S163" i="17"/>
  <c r="Q163" i="17"/>
  <c r="Q162" i="17"/>
  <c r="Q161" i="17"/>
  <c r="Q158" i="17"/>
  <c r="Q159" i="17"/>
  <c r="Q160" i="17"/>
  <c r="L87" i="14"/>
  <c r="H93" i="15"/>
  <c r="T92" i="15"/>
  <c r="G92" i="15" s="1"/>
  <c r="U92" i="15"/>
  <c r="W140" i="14"/>
  <c r="H134" i="14" s="1"/>
  <c r="S205" i="17"/>
  <c r="S207" i="17"/>
  <c r="S204" i="17"/>
  <c r="S202" i="17"/>
  <c r="S203" i="17"/>
  <c r="S206" i="17"/>
  <c r="N207" i="17"/>
  <c r="N206" i="17"/>
  <c r="N202" i="17"/>
  <c r="N203" i="17"/>
  <c r="N204" i="17"/>
  <c r="N205" i="17"/>
  <c r="H172" i="15"/>
  <c r="U171" i="15"/>
  <c r="T171" i="15"/>
  <c r="G171" i="15" s="1"/>
  <c r="H939" i="15"/>
  <c r="T938" i="15"/>
  <c r="U938" i="15"/>
  <c r="Z158" i="17"/>
  <c r="Z160" i="17"/>
  <c r="Z161" i="17"/>
  <c r="Z162" i="17"/>
  <c r="Z163" i="17"/>
  <c r="Z159" i="17"/>
  <c r="N160" i="17"/>
  <c r="N158" i="17"/>
  <c r="N159" i="17"/>
  <c r="N161" i="17"/>
  <c r="N163" i="17"/>
  <c r="N162" i="17"/>
  <c r="AG162" i="17"/>
  <c r="AG160" i="17"/>
  <c r="AG163" i="17"/>
  <c r="AG159" i="17"/>
  <c r="AG158" i="17"/>
  <c r="AG161" i="17"/>
  <c r="Y158" i="17"/>
  <c r="Y159" i="17"/>
  <c r="Y161" i="17"/>
  <c r="Y160" i="17"/>
  <c r="Y162" i="17"/>
  <c r="Y163" i="17"/>
  <c r="T650" i="15"/>
  <c r="H651" i="15"/>
  <c r="U650" i="15"/>
  <c r="X75" i="14"/>
  <c r="AT28" i="1"/>
  <c r="O32" i="9"/>
  <c r="AC122" i="14"/>
  <c r="AC121" i="14"/>
  <c r="AC128" i="14"/>
  <c r="AC124" i="14"/>
  <c r="AC120" i="14"/>
  <c r="AC125" i="14"/>
  <c r="AC126" i="14"/>
  <c r="AC127" i="14"/>
  <c r="AC123" i="14"/>
  <c r="AV48" i="1"/>
  <c r="F48" i="1" s="1"/>
  <c r="AV47" i="1"/>
  <c r="F47" i="1" s="1"/>
  <c r="R26" i="9"/>
  <c r="Q26" i="9"/>
  <c r="M162" i="4" s="1"/>
  <c r="I207" i="17"/>
  <c r="I204" i="17"/>
  <c r="I205" i="17"/>
  <c r="I206" i="17"/>
  <c r="I202" i="17"/>
  <c r="I203" i="17"/>
  <c r="J205" i="17"/>
  <c r="J204" i="17"/>
  <c r="J203" i="17"/>
  <c r="J207" i="17"/>
  <c r="J206" i="17"/>
  <c r="J202" i="17"/>
  <c r="K163" i="17"/>
  <c r="K160" i="17"/>
  <c r="K159" i="17"/>
  <c r="K158" i="17"/>
  <c r="K161" i="17"/>
  <c r="K162" i="17"/>
  <c r="R160" i="17"/>
  <c r="R161" i="17"/>
  <c r="R159" i="17"/>
  <c r="R163" i="17"/>
  <c r="R158" i="17"/>
  <c r="R162" i="17"/>
  <c r="AD158" i="17"/>
  <c r="AD162" i="17"/>
  <c r="AD159" i="17"/>
  <c r="AD160" i="17"/>
  <c r="AD161" i="17"/>
  <c r="AD163" i="17"/>
  <c r="V160" i="17"/>
  <c r="V161" i="17"/>
  <c r="V159" i="17"/>
  <c r="V158" i="17"/>
  <c r="V162" i="17"/>
  <c r="V163" i="17"/>
  <c r="AS29" i="1"/>
  <c r="D29" i="1" s="1"/>
  <c r="N33" i="9"/>
  <c r="B34" i="9"/>
  <c r="Y124" i="14"/>
  <c r="O118" i="14" s="1"/>
  <c r="Z42" i="1"/>
  <c r="Y42" i="1"/>
  <c r="I42" i="1"/>
  <c r="Y127" i="14"/>
  <c r="K119" i="14" s="1"/>
  <c r="AD119" i="14" s="1"/>
  <c r="AE47" i="1"/>
  <c r="AI203" i="17"/>
  <c r="AI202" i="17"/>
  <c r="AI205" i="17"/>
  <c r="AI207" i="17"/>
  <c r="AI206" i="17"/>
  <c r="AI204" i="17"/>
  <c r="T202" i="17"/>
  <c r="T205" i="17"/>
  <c r="T206" i="17"/>
  <c r="T207" i="17"/>
  <c r="T204" i="17"/>
  <c r="T203" i="17"/>
  <c r="H140" i="15"/>
  <c r="T139" i="15"/>
  <c r="G139" i="15" s="1"/>
  <c r="U139" i="15"/>
  <c r="AE160" i="17"/>
  <c r="AE158" i="17"/>
  <c r="AE161" i="17"/>
  <c r="AE162" i="17"/>
  <c r="AE163" i="17"/>
  <c r="AE159" i="17"/>
  <c r="J163" i="17"/>
  <c r="J160" i="17"/>
  <c r="J159" i="17"/>
  <c r="J162" i="17"/>
  <c r="J158" i="17"/>
  <c r="J161" i="17"/>
  <c r="X161" i="17"/>
  <c r="X158" i="17"/>
  <c r="X163" i="17"/>
  <c r="X162" i="17"/>
  <c r="X159" i="17"/>
  <c r="X160" i="17"/>
  <c r="L161" i="17"/>
  <c r="L159" i="17"/>
  <c r="L160" i="17"/>
  <c r="L163" i="17"/>
  <c r="L158" i="17"/>
  <c r="L162" i="17"/>
  <c r="U576" i="15"/>
  <c r="T576" i="15"/>
  <c r="H577" i="15"/>
  <c r="H120" i="17"/>
  <c r="K204" i="17"/>
  <c r="K206" i="17"/>
  <c r="K205" i="17"/>
  <c r="K207" i="17"/>
  <c r="K202" i="17"/>
  <c r="K203" i="17"/>
  <c r="Q203" i="17"/>
  <c r="Q202" i="17"/>
  <c r="Q206" i="17"/>
  <c r="Q205" i="17"/>
  <c r="Q207" i="17"/>
  <c r="Q204" i="17"/>
  <c r="Y205" i="17"/>
  <c r="Y203" i="17"/>
  <c r="Y204" i="17"/>
  <c r="Y206" i="17"/>
  <c r="Y202" i="17"/>
  <c r="Y207" i="17"/>
  <c r="BD27" i="1"/>
  <c r="BC27" i="1"/>
  <c r="BE27" i="1"/>
  <c r="BF27" i="1"/>
  <c r="E27" i="1"/>
  <c r="AH10" i="2"/>
  <c r="V11" i="2"/>
  <c r="AJ163" i="17"/>
  <c r="AJ161" i="17"/>
  <c r="AJ159" i="17"/>
  <c r="AJ160" i="17"/>
  <c r="AJ162" i="17"/>
  <c r="AJ158" i="17"/>
  <c r="W163" i="17"/>
  <c r="W162" i="17"/>
  <c r="W161" i="17"/>
  <c r="W158" i="17"/>
  <c r="W159" i="17"/>
  <c r="W160" i="17"/>
  <c r="I159" i="17"/>
  <c r="I163" i="17"/>
  <c r="I161" i="17"/>
  <c r="I162" i="17"/>
  <c r="I158" i="17"/>
  <c r="I160" i="17"/>
  <c r="T375" i="15"/>
  <c r="U375" i="15"/>
  <c r="H376" i="15"/>
  <c r="I120" i="17"/>
  <c r="AW48" i="1"/>
  <c r="G48" i="1" s="1"/>
  <c r="X205" i="17"/>
  <c r="X204" i="17"/>
  <c r="X206" i="17"/>
  <c r="X207" i="17"/>
  <c r="X203" i="17"/>
  <c r="X202" i="17"/>
  <c r="Z204" i="17"/>
  <c r="Z203" i="17"/>
  <c r="Z206" i="17"/>
  <c r="Z207" i="17"/>
  <c r="Z202" i="17"/>
  <c r="Z205" i="17"/>
  <c r="H160" i="17"/>
  <c r="H159" i="17"/>
  <c r="H162" i="17"/>
  <c r="H163" i="17"/>
  <c r="H158" i="17"/>
  <c r="H161" i="17"/>
  <c r="U158" i="17"/>
  <c r="U159" i="17"/>
  <c r="U162" i="17"/>
  <c r="U161" i="17"/>
  <c r="U163" i="17"/>
  <c r="U160" i="17"/>
  <c r="O160" i="17"/>
  <c r="O159" i="17"/>
  <c r="O162" i="17"/>
  <c r="O161" i="17"/>
  <c r="O158" i="17"/>
  <c r="O163" i="17"/>
  <c r="AH161" i="17"/>
  <c r="AH163" i="17"/>
  <c r="AH159" i="17"/>
  <c r="AH160" i="17"/>
  <c r="AH162" i="17"/>
  <c r="AH158" i="17"/>
  <c r="AH48" i="1"/>
  <c r="M48" i="1" s="1"/>
  <c r="W141" i="14"/>
  <c r="AR48" i="1"/>
  <c r="AB120" i="14"/>
  <c r="AB125" i="14"/>
  <c r="AB123" i="14"/>
  <c r="AB122" i="14"/>
  <c r="AB128" i="14"/>
  <c r="AB121" i="14"/>
  <c r="AB126" i="14"/>
  <c r="AB124" i="14"/>
  <c r="AB127" i="14"/>
  <c r="H50" i="15"/>
  <c r="U49" i="15"/>
  <c r="T49" i="15"/>
  <c r="G49" i="15" s="1"/>
  <c r="O203" i="17"/>
  <c r="O202" i="17"/>
  <c r="O205" i="17"/>
  <c r="O204" i="17"/>
  <c r="O206" i="17"/>
  <c r="O207" i="17"/>
  <c r="AH207" i="17"/>
  <c r="AH203" i="17"/>
  <c r="AH206" i="17"/>
  <c r="AH204" i="17"/>
  <c r="AH205" i="17"/>
  <c r="AH202" i="17"/>
  <c r="AF202" i="17"/>
  <c r="AF204" i="17"/>
  <c r="AF206" i="17"/>
  <c r="AF203" i="17"/>
  <c r="AF205" i="17"/>
  <c r="AF207" i="17"/>
  <c r="P31" i="9"/>
  <c r="AU27" i="1"/>
  <c r="P162" i="17"/>
  <c r="P163" i="17"/>
  <c r="P160" i="17"/>
  <c r="P159" i="17"/>
  <c r="P161" i="17"/>
  <c r="P158" i="17"/>
  <c r="M159" i="17"/>
  <c r="M162" i="17"/>
  <c r="M158" i="17"/>
  <c r="M163" i="17"/>
  <c r="M161" i="17"/>
  <c r="M160" i="17"/>
  <c r="T159" i="17"/>
  <c r="T160" i="17"/>
  <c r="T161" i="17"/>
  <c r="T158" i="17"/>
  <c r="T162" i="17"/>
  <c r="T163" i="17"/>
  <c r="G209" i="15"/>
  <c r="F210" i="15"/>
  <c r="AY10" i="14"/>
  <c r="AX11" i="14"/>
  <c r="I137" i="17"/>
  <c r="I139" i="17"/>
  <c r="I138" i="17"/>
  <c r="I141" i="17"/>
  <c r="I140" i="17"/>
  <c r="I136" i="17"/>
  <c r="M174" i="17"/>
  <c r="M169" i="17"/>
  <c r="M172" i="17"/>
  <c r="M173" i="17"/>
  <c r="M170" i="17"/>
  <c r="M171" i="17"/>
  <c r="L141" i="17"/>
  <c r="L140" i="17"/>
  <c r="L136" i="17"/>
  <c r="L138" i="17"/>
  <c r="L137" i="17"/>
  <c r="L139" i="17"/>
  <c r="AJ182" i="17"/>
  <c r="AJ184" i="17"/>
  <c r="AJ181" i="17"/>
  <c r="AJ183" i="17"/>
  <c r="AJ180" i="17"/>
  <c r="AJ185" i="17"/>
  <c r="M141" i="17"/>
  <c r="M139" i="17"/>
  <c r="M136" i="17"/>
  <c r="M138" i="17"/>
  <c r="M140" i="17"/>
  <c r="M137" i="17"/>
  <c r="AJ136" i="17"/>
  <c r="AJ137" i="17"/>
  <c r="AJ140" i="17"/>
  <c r="AJ138" i="17"/>
  <c r="AJ141" i="17"/>
  <c r="AJ139" i="17"/>
  <c r="AE185" i="17"/>
  <c r="AE181" i="17"/>
  <c r="AE184" i="17"/>
  <c r="AE182" i="17"/>
  <c r="AE183" i="17"/>
  <c r="AE180" i="17"/>
  <c r="AA140" i="17"/>
  <c r="AA138" i="17"/>
  <c r="AA137" i="17"/>
  <c r="AA139" i="17"/>
  <c r="AA136" i="17"/>
  <c r="AA141" i="17"/>
  <c r="T139" i="17"/>
  <c r="T140" i="17"/>
  <c r="T136" i="17"/>
  <c r="T141" i="17"/>
  <c r="T138" i="17"/>
  <c r="T137" i="17"/>
  <c r="W139" i="17"/>
  <c r="W137" i="17"/>
  <c r="W136" i="17"/>
  <c r="W138" i="17"/>
  <c r="W141" i="17"/>
  <c r="W140" i="17"/>
  <c r="AK138" i="17"/>
  <c r="AK136" i="17"/>
  <c r="AK140" i="17"/>
  <c r="AK137" i="17"/>
  <c r="AK139" i="17"/>
  <c r="AK141" i="17"/>
  <c r="AP256" i="17"/>
  <c r="AQ245" i="17"/>
  <c r="S169" i="17"/>
  <c r="S170" i="17"/>
  <c r="S171" i="17"/>
  <c r="S172" i="17"/>
  <c r="S174" i="17"/>
  <c r="S173" i="17"/>
  <c r="J174" i="17"/>
  <c r="J172" i="17"/>
  <c r="J169" i="17"/>
  <c r="J173" i="17"/>
  <c r="J171" i="17"/>
  <c r="J170" i="17"/>
  <c r="X169" i="17"/>
  <c r="X171" i="17"/>
  <c r="X173" i="17"/>
  <c r="X172" i="17"/>
  <c r="X174" i="17"/>
  <c r="X170" i="17"/>
  <c r="P174" i="17"/>
  <c r="P171" i="17"/>
  <c r="P170" i="17"/>
  <c r="P173" i="17"/>
  <c r="P172" i="17"/>
  <c r="P169" i="17"/>
  <c r="H337" i="15"/>
  <c r="T336" i="15"/>
  <c r="U336" i="15"/>
  <c r="Y180" i="17"/>
  <c r="Y182" i="17"/>
  <c r="Y185" i="17"/>
  <c r="Y181" i="17"/>
  <c r="Y184" i="17"/>
  <c r="Y183" i="17"/>
  <c r="W183" i="17"/>
  <c r="W181" i="17"/>
  <c r="W185" i="17"/>
  <c r="W184" i="17"/>
  <c r="W180" i="17"/>
  <c r="W182" i="17"/>
  <c r="L180" i="17"/>
  <c r="L185" i="17"/>
  <c r="L182" i="17"/>
  <c r="L184" i="17"/>
  <c r="L183" i="17"/>
  <c r="L181" i="17"/>
  <c r="AA180" i="17"/>
  <c r="AA182" i="17"/>
  <c r="AA181" i="17"/>
  <c r="AA184" i="17"/>
  <c r="AA183" i="17"/>
  <c r="AA185" i="17"/>
  <c r="F55" i="14"/>
  <c r="AK61" i="14"/>
  <c r="AJ61" i="14"/>
  <c r="AJ58" i="14"/>
  <c r="AK64" i="14"/>
  <c r="AK58" i="14"/>
  <c r="AJ64" i="14"/>
  <c r="AJ60" i="14"/>
  <c r="AJ63" i="14"/>
  <c r="AJ62" i="14"/>
  <c r="AJ56" i="14"/>
  <c r="AK60" i="14"/>
  <c r="AK59" i="14"/>
  <c r="AJ59" i="14"/>
  <c r="AJ57" i="14"/>
  <c r="AK62" i="14"/>
  <c r="AK63" i="14"/>
  <c r="AK56" i="14"/>
  <c r="AK57" i="14"/>
  <c r="T173" i="17"/>
  <c r="T174" i="17"/>
  <c r="T170" i="17"/>
  <c r="T169" i="17"/>
  <c r="T172" i="17"/>
  <c r="T171" i="17"/>
  <c r="Z184" i="17"/>
  <c r="Z180" i="17"/>
  <c r="Z181" i="17"/>
  <c r="Z183" i="17"/>
  <c r="Z182" i="17"/>
  <c r="Z185" i="17"/>
  <c r="O139" i="17"/>
  <c r="O140" i="17"/>
  <c r="O138" i="17"/>
  <c r="O136" i="17"/>
  <c r="O137" i="17"/>
  <c r="O141" i="17"/>
  <c r="AC137" i="17"/>
  <c r="AC139" i="17"/>
  <c r="AC140" i="17"/>
  <c r="AC141" i="17"/>
  <c r="AC136" i="17"/>
  <c r="AC138" i="17"/>
  <c r="U173" i="17"/>
  <c r="U171" i="17"/>
  <c r="U170" i="17"/>
  <c r="U169" i="17"/>
  <c r="U174" i="17"/>
  <c r="U172" i="17"/>
  <c r="AI171" i="17"/>
  <c r="AI170" i="17"/>
  <c r="AI172" i="17"/>
  <c r="AI173" i="17"/>
  <c r="AI174" i="17"/>
  <c r="AI169" i="17"/>
  <c r="AB169" i="17"/>
  <c r="AB174" i="17"/>
  <c r="AB172" i="17"/>
  <c r="AB170" i="17"/>
  <c r="AB171" i="17"/>
  <c r="AB173" i="17"/>
  <c r="H893" i="15"/>
  <c r="T892" i="15"/>
  <c r="U892" i="15"/>
  <c r="AF185" i="17"/>
  <c r="AF184" i="17"/>
  <c r="AF180" i="17"/>
  <c r="AF181" i="17"/>
  <c r="AF182" i="17"/>
  <c r="AF183" i="17"/>
  <c r="J184" i="17"/>
  <c r="J180" i="17"/>
  <c r="J182" i="17"/>
  <c r="J185" i="17"/>
  <c r="J183" i="17"/>
  <c r="J181" i="17"/>
  <c r="I182" i="17"/>
  <c r="I183" i="17"/>
  <c r="I180" i="17"/>
  <c r="I184" i="17"/>
  <c r="I185" i="17"/>
  <c r="I181" i="17"/>
  <c r="Y112" i="14"/>
  <c r="W37" i="9"/>
  <c r="R137" i="17"/>
  <c r="R136" i="17"/>
  <c r="R139" i="17"/>
  <c r="R138" i="17"/>
  <c r="R141" i="17"/>
  <c r="R140" i="17"/>
  <c r="Q137" i="17"/>
  <c r="Q140" i="17"/>
  <c r="Q138" i="17"/>
  <c r="Q136" i="17"/>
  <c r="Q141" i="17"/>
  <c r="Q139" i="17"/>
  <c r="AJ174" i="17"/>
  <c r="AJ172" i="17"/>
  <c r="AJ171" i="17"/>
  <c r="AJ169" i="17"/>
  <c r="AJ170" i="17"/>
  <c r="AJ173" i="17"/>
  <c r="W173" i="17"/>
  <c r="W174" i="17"/>
  <c r="W169" i="17"/>
  <c r="W171" i="17"/>
  <c r="W170" i="17"/>
  <c r="W172" i="17"/>
  <c r="AH140" i="17"/>
  <c r="AH141" i="17"/>
  <c r="AH136" i="17"/>
  <c r="AH138" i="17"/>
  <c r="AH139" i="17"/>
  <c r="AH137" i="17"/>
  <c r="X138" i="17"/>
  <c r="X139" i="17"/>
  <c r="X140" i="17"/>
  <c r="X136" i="17"/>
  <c r="X141" i="17"/>
  <c r="X137" i="17"/>
  <c r="AF141" i="17"/>
  <c r="AF138" i="17"/>
  <c r="AF139" i="17"/>
  <c r="AF137" i="17"/>
  <c r="AF136" i="17"/>
  <c r="AF140" i="17"/>
  <c r="N137" i="17"/>
  <c r="N140" i="17"/>
  <c r="N138" i="17"/>
  <c r="N136" i="17"/>
  <c r="N139" i="17"/>
  <c r="N141" i="17"/>
  <c r="Y170" i="17"/>
  <c r="Y169" i="17"/>
  <c r="Y173" i="17"/>
  <c r="Y171" i="17"/>
  <c r="Y174" i="17"/>
  <c r="Y172" i="17"/>
  <c r="AG169" i="17"/>
  <c r="AG171" i="17"/>
  <c r="AG170" i="17"/>
  <c r="AG173" i="17"/>
  <c r="AG172" i="17"/>
  <c r="AG174" i="17"/>
  <c r="AC172" i="17"/>
  <c r="AC171" i="17"/>
  <c r="AC173" i="17"/>
  <c r="AC174" i="17"/>
  <c r="AC169" i="17"/>
  <c r="AC170" i="17"/>
  <c r="AK171" i="17"/>
  <c r="AK173" i="17"/>
  <c r="AK172" i="17"/>
  <c r="AK169" i="17"/>
  <c r="AK170" i="17"/>
  <c r="AK174" i="17"/>
  <c r="AK184" i="17"/>
  <c r="AK180" i="17"/>
  <c r="AK181" i="17"/>
  <c r="AK185" i="17"/>
  <c r="AK182" i="17"/>
  <c r="AK183" i="17"/>
  <c r="AI182" i="17"/>
  <c r="AI184" i="17"/>
  <c r="AI185" i="17"/>
  <c r="AI183" i="17"/>
  <c r="AI181" i="17"/>
  <c r="AI180" i="17"/>
  <c r="AH182" i="17"/>
  <c r="AH185" i="17"/>
  <c r="AH183" i="17"/>
  <c r="AH180" i="17"/>
  <c r="AH181" i="17"/>
  <c r="AH184" i="17"/>
  <c r="AD185" i="17"/>
  <c r="AD181" i="17"/>
  <c r="AD183" i="17"/>
  <c r="AD180" i="17"/>
  <c r="AD182" i="17"/>
  <c r="AD184" i="17"/>
  <c r="Y110" i="14"/>
  <c r="J103" i="14" s="1"/>
  <c r="Z110" i="14"/>
  <c r="O103" i="14" s="1"/>
  <c r="D212" i="17"/>
  <c r="AS211" i="17"/>
  <c r="D211" i="17"/>
  <c r="H736" i="15"/>
  <c r="U735" i="15"/>
  <c r="T735" i="15"/>
  <c r="V136" i="17"/>
  <c r="V138" i="17"/>
  <c r="V141" i="17"/>
  <c r="V137" i="17"/>
  <c r="V140" i="17"/>
  <c r="V139" i="17"/>
  <c r="AD141" i="17"/>
  <c r="AD137" i="17"/>
  <c r="AD138" i="17"/>
  <c r="AD139" i="17"/>
  <c r="AD136" i="17"/>
  <c r="AD140" i="17"/>
  <c r="H173" i="17"/>
  <c r="H170" i="17"/>
  <c r="H169" i="17"/>
  <c r="H171" i="17"/>
  <c r="H172" i="17"/>
  <c r="H174" i="17"/>
  <c r="AH169" i="17"/>
  <c r="AH174" i="17"/>
  <c r="AH172" i="17"/>
  <c r="AH173" i="17"/>
  <c r="AH170" i="17"/>
  <c r="AH171" i="17"/>
  <c r="H214" i="15"/>
  <c r="U213" i="15"/>
  <c r="T213" i="15"/>
  <c r="H180" i="17"/>
  <c r="H184" i="17"/>
  <c r="H185" i="17"/>
  <c r="H183" i="17"/>
  <c r="H181" i="17"/>
  <c r="H182" i="17"/>
  <c r="U180" i="17"/>
  <c r="U181" i="17"/>
  <c r="U185" i="17"/>
  <c r="U182" i="17"/>
  <c r="U183" i="17"/>
  <c r="U184" i="17"/>
  <c r="U812" i="15"/>
  <c r="H813" i="15"/>
  <c r="T812" i="15"/>
  <c r="T294" i="15"/>
  <c r="H295" i="15"/>
  <c r="U294" i="15"/>
  <c r="T182" i="17"/>
  <c r="T180" i="17"/>
  <c r="T184" i="17"/>
  <c r="T183" i="17"/>
  <c r="T181" i="17"/>
  <c r="T185" i="17"/>
  <c r="H269" i="15"/>
  <c r="T268" i="15"/>
  <c r="U268" i="15"/>
  <c r="AG140" i="17"/>
  <c r="AG138" i="17"/>
  <c r="AG141" i="17"/>
  <c r="AG136" i="17"/>
  <c r="AG137" i="17"/>
  <c r="AG139" i="17"/>
  <c r="AD169" i="17"/>
  <c r="AD171" i="17"/>
  <c r="AD172" i="17"/>
  <c r="AD174" i="17"/>
  <c r="AD170" i="17"/>
  <c r="AD173" i="17"/>
  <c r="I170" i="17"/>
  <c r="I173" i="17"/>
  <c r="I172" i="17"/>
  <c r="I169" i="17"/>
  <c r="I174" i="17"/>
  <c r="I171" i="17"/>
  <c r="K139" i="17"/>
  <c r="K136" i="17"/>
  <c r="K138" i="17"/>
  <c r="K140" i="17"/>
  <c r="K137" i="17"/>
  <c r="K141" i="17"/>
  <c r="N172" i="17"/>
  <c r="N173" i="17"/>
  <c r="N169" i="17"/>
  <c r="N174" i="17"/>
  <c r="N171" i="17"/>
  <c r="N170" i="17"/>
  <c r="Y46" i="14"/>
  <c r="J39" i="14" s="1"/>
  <c r="Z46" i="14"/>
  <c r="O39" i="14" s="1"/>
  <c r="H455" i="15"/>
  <c r="U454" i="15"/>
  <c r="T454" i="15"/>
  <c r="L174" i="17"/>
  <c r="L171" i="17"/>
  <c r="L172" i="17"/>
  <c r="L170" i="17"/>
  <c r="L173" i="17"/>
  <c r="L169" i="17"/>
  <c r="H695" i="15"/>
  <c r="U694" i="15"/>
  <c r="T694" i="15"/>
  <c r="Z48" i="14"/>
  <c r="X29" i="9"/>
  <c r="X183" i="17"/>
  <c r="X182" i="17"/>
  <c r="X185" i="17"/>
  <c r="X180" i="17"/>
  <c r="X181" i="17"/>
  <c r="X184" i="17"/>
  <c r="Z136" i="17"/>
  <c r="Z139" i="17"/>
  <c r="Z138" i="17"/>
  <c r="Z140" i="17"/>
  <c r="Z141" i="17"/>
  <c r="Z137" i="17"/>
  <c r="H138" i="17"/>
  <c r="H136" i="17"/>
  <c r="H137" i="17"/>
  <c r="H141" i="17"/>
  <c r="H139" i="17"/>
  <c r="H140" i="17"/>
  <c r="AB137" i="17"/>
  <c r="AB138" i="17"/>
  <c r="AB141" i="17"/>
  <c r="AB140" i="17"/>
  <c r="AB136" i="17"/>
  <c r="AB139" i="17"/>
  <c r="AF173" i="17"/>
  <c r="AF170" i="17"/>
  <c r="AF169" i="17"/>
  <c r="AF171" i="17"/>
  <c r="AF172" i="17"/>
  <c r="AF174" i="17"/>
  <c r="AA169" i="17"/>
  <c r="AA171" i="17"/>
  <c r="AA172" i="17"/>
  <c r="AA170" i="17"/>
  <c r="AA174" i="17"/>
  <c r="AA173" i="17"/>
  <c r="Q27" i="9"/>
  <c r="M112" i="4" s="1"/>
  <c r="R27" i="9"/>
  <c r="Q182" i="17"/>
  <c r="Q180" i="17"/>
  <c r="Q181" i="17"/>
  <c r="Q185" i="17"/>
  <c r="Q183" i="17"/>
  <c r="Q184" i="17"/>
  <c r="V184" i="17"/>
  <c r="V182" i="17"/>
  <c r="V181" i="17"/>
  <c r="V185" i="17"/>
  <c r="V180" i="17"/>
  <c r="V183" i="17"/>
  <c r="Z112" i="14"/>
  <c r="X37" i="9"/>
  <c r="S138" i="17"/>
  <c r="S141" i="17"/>
  <c r="S136" i="17"/>
  <c r="S139" i="17"/>
  <c r="S137" i="17"/>
  <c r="S140" i="17"/>
  <c r="U136" i="17"/>
  <c r="U137" i="17"/>
  <c r="U141" i="17"/>
  <c r="U140" i="17"/>
  <c r="U139" i="17"/>
  <c r="U138" i="17"/>
  <c r="K169" i="17"/>
  <c r="K173" i="17"/>
  <c r="K171" i="17"/>
  <c r="K174" i="17"/>
  <c r="K172" i="17"/>
  <c r="K170" i="17"/>
  <c r="Q169" i="17"/>
  <c r="Q172" i="17"/>
  <c r="Q171" i="17"/>
  <c r="Q173" i="17"/>
  <c r="Q174" i="17"/>
  <c r="Q170" i="17"/>
  <c r="L55" i="14"/>
  <c r="AL63" i="14"/>
  <c r="AL56" i="14"/>
  <c r="AM63" i="14"/>
  <c r="AM56" i="14"/>
  <c r="AL62" i="14"/>
  <c r="AL61" i="14"/>
  <c r="AM58" i="14"/>
  <c r="AL64" i="14"/>
  <c r="AL59" i="14"/>
  <c r="AL57" i="14"/>
  <c r="AM60" i="14"/>
  <c r="AM62" i="14"/>
  <c r="AM64" i="14"/>
  <c r="AL58" i="14"/>
  <c r="AM57" i="14"/>
  <c r="AM59" i="14"/>
  <c r="AM61" i="14"/>
  <c r="AL60" i="14"/>
  <c r="AQ21" i="1"/>
  <c r="U29" i="9" s="1"/>
  <c r="W29" i="9"/>
  <c r="Y48" i="14"/>
  <c r="U11" i="15"/>
  <c r="T11" i="15"/>
  <c r="H12" i="15"/>
  <c r="M185" i="17"/>
  <c r="M182" i="17"/>
  <c r="M184" i="17"/>
  <c r="M181" i="17"/>
  <c r="M180" i="17"/>
  <c r="M183" i="17"/>
  <c r="R170" i="17"/>
  <c r="R172" i="17"/>
  <c r="R171" i="17"/>
  <c r="R169" i="17"/>
  <c r="R173" i="17"/>
  <c r="R174" i="17"/>
  <c r="V171" i="17"/>
  <c r="V174" i="17"/>
  <c r="V169" i="17"/>
  <c r="V172" i="17"/>
  <c r="V170" i="17"/>
  <c r="V173" i="17"/>
  <c r="R184" i="17"/>
  <c r="R180" i="17"/>
  <c r="R185" i="17"/>
  <c r="R181" i="17"/>
  <c r="R182" i="17"/>
  <c r="R183" i="17"/>
  <c r="O185" i="17"/>
  <c r="O181" i="17"/>
  <c r="O182" i="17"/>
  <c r="O180" i="17"/>
  <c r="O183" i="17"/>
  <c r="O184" i="17"/>
  <c r="N185" i="17"/>
  <c r="N184" i="17"/>
  <c r="N182" i="17"/>
  <c r="N180" i="17"/>
  <c r="N183" i="17"/>
  <c r="N181" i="17"/>
  <c r="AB184" i="17"/>
  <c r="AB185" i="17"/>
  <c r="AB181" i="17"/>
  <c r="AB183" i="17"/>
  <c r="AB180" i="17"/>
  <c r="AB182" i="17"/>
  <c r="H534" i="15"/>
  <c r="T533" i="15"/>
  <c r="U533" i="15"/>
  <c r="P137" i="17"/>
  <c r="P136" i="17"/>
  <c r="P138" i="17"/>
  <c r="P139" i="17"/>
  <c r="P141" i="17"/>
  <c r="P140" i="17"/>
  <c r="K184" i="17"/>
  <c r="K182" i="17"/>
  <c r="K185" i="17"/>
  <c r="K181" i="17"/>
  <c r="K180" i="17"/>
  <c r="K183" i="17"/>
  <c r="AE138" i="17"/>
  <c r="AE140" i="17"/>
  <c r="AE139" i="17"/>
  <c r="AE137" i="17"/>
  <c r="AE136" i="17"/>
  <c r="AE141" i="17"/>
  <c r="AI138" i="17"/>
  <c r="AI137" i="17"/>
  <c r="AI136" i="17"/>
  <c r="AI141" i="17"/>
  <c r="AI139" i="17"/>
  <c r="AI140" i="17"/>
  <c r="AE174" i="17"/>
  <c r="AE171" i="17"/>
  <c r="AE169" i="17"/>
  <c r="AE172" i="17"/>
  <c r="AE170" i="17"/>
  <c r="AE173" i="17"/>
  <c r="H131" i="17"/>
  <c r="J140" i="17"/>
  <c r="J137" i="17"/>
  <c r="J141" i="17"/>
  <c r="J138" i="17"/>
  <c r="J139" i="17"/>
  <c r="J136" i="17"/>
  <c r="Y138" i="17"/>
  <c r="Y140" i="17"/>
  <c r="Y136" i="17"/>
  <c r="Y139" i="17"/>
  <c r="Y137" i="17"/>
  <c r="Y141" i="17"/>
  <c r="AR234" i="17"/>
  <c r="O171" i="17"/>
  <c r="O174" i="17"/>
  <c r="O169" i="17"/>
  <c r="O172" i="17"/>
  <c r="O170" i="17"/>
  <c r="O173" i="17"/>
  <c r="Z170" i="17"/>
  <c r="Z169" i="17"/>
  <c r="Z174" i="17"/>
  <c r="Z172" i="17"/>
  <c r="Z173" i="17"/>
  <c r="Z171" i="17"/>
  <c r="S183" i="17"/>
  <c r="S181" i="17"/>
  <c r="S184" i="17"/>
  <c r="S180" i="17"/>
  <c r="S185" i="17"/>
  <c r="S182" i="17"/>
  <c r="AC180" i="17"/>
  <c r="AC184" i="17"/>
  <c r="AC185" i="17"/>
  <c r="AC181" i="17"/>
  <c r="AC183" i="17"/>
  <c r="AC182" i="17"/>
  <c r="P184" i="17"/>
  <c r="P183" i="17"/>
  <c r="P185" i="17"/>
  <c r="P180" i="17"/>
  <c r="P181" i="17"/>
  <c r="P182" i="17"/>
  <c r="AG181" i="17"/>
  <c r="AG182" i="17"/>
  <c r="AG185" i="17"/>
  <c r="AG184" i="17"/>
  <c r="AG180" i="17"/>
  <c r="AG183" i="17"/>
  <c r="BO146" i="17"/>
  <c r="BJ146" i="17"/>
  <c r="CF146" i="17"/>
  <c r="CC146" i="17"/>
  <c r="BL146" i="17"/>
  <c r="BR146" i="17"/>
  <c r="BW146" i="17"/>
  <c r="BY146" i="17"/>
  <c r="BI146" i="17"/>
  <c r="CE146" i="17"/>
  <c r="BX146" i="17"/>
  <c r="BU146" i="17"/>
  <c r="BH146" i="17"/>
  <c r="BG146" i="17"/>
  <c r="CB146" i="17"/>
  <c r="E146" i="17"/>
  <c r="BQ146" i="17"/>
  <c r="BD146" i="17"/>
  <c r="BV146" i="17"/>
  <c r="E145" i="17"/>
  <c r="BK146" i="17"/>
  <c r="BM146" i="17"/>
  <c r="CD146" i="17"/>
  <c r="BP146" i="17"/>
  <c r="BZ146" i="17"/>
  <c r="BS146" i="17"/>
  <c r="BT146" i="17"/>
  <c r="BE146" i="17"/>
  <c r="BC146" i="17"/>
  <c r="BF146" i="17"/>
  <c r="BN146" i="17"/>
  <c r="CA146" i="17"/>
  <c r="AP21" i="1"/>
  <c r="T29" i="9" s="1"/>
  <c r="T773" i="15"/>
  <c r="H774" i="15"/>
  <c r="U773" i="15"/>
  <c r="V175" i="17" l="1"/>
  <c r="V164" i="17"/>
  <c r="V208" i="17"/>
  <c r="V186" i="17"/>
  <c r="V142" i="17"/>
  <c r="AD186" i="17"/>
  <c r="AD175" i="17"/>
  <c r="AD142" i="17"/>
  <c r="AD164" i="17"/>
  <c r="AA142" i="17"/>
  <c r="AA164" i="17"/>
  <c r="AA175" i="17"/>
  <c r="AA186" i="17"/>
  <c r="Y208" i="17"/>
  <c r="Y142" i="17"/>
  <c r="Y175" i="17"/>
  <c r="Y164" i="17"/>
  <c r="Y186" i="17"/>
  <c r="Z175" i="17"/>
  <c r="Z164" i="17"/>
  <c r="Z142" i="17"/>
  <c r="AC175" i="17"/>
  <c r="Z186" i="17"/>
  <c r="W186" i="17"/>
  <c r="Z208" i="17"/>
  <c r="AC164" i="17"/>
  <c r="W175" i="17"/>
  <c r="W164" i="17"/>
  <c r="W142" i="17"/>
  <c r="AC186" i="17"/>
  <c r="AC142" i="17"/>
  <c r="AC208" i="17"/>
  <c r="U186" i="17"/>
  <c r="U142" i="17"/>
  <c r="U175" i="17"/>
  <c r="U164" i="17"/>
  <c r="U208" i="17"/>
  <c r="T142" i="17"/>
  <c r="T208" i="17"/>
  <c r="T186" i="17"/>
  <c r="T175" i="17"/>
  <c r="T164" i="17"/>
  <c r="AB186" i="17"/>
  <c r="AB142" i="17"/>
  <c r="AB164" i="17"/>
  <c r="AB175" i="17"/>
  <c r="S186" i="17"/>
  <c r="S175" i="17"/>
  <c r="S164" i="17"/>
  <c r="S142" i="17"/>
  <c r="S208" i="17"/>
  <c r="X186" i="17"/>
  <c r="X142" i="17"/>
  <c r="X175" i="17"/>
  <c r="X208" i="17"/>
  <c r="X164" i="17"/>
  <c r="R142" i="17"/>
  <c r="R186" i="17"/>
  <c r="R175" i="17"/>
  <c r="P175" i="17"/>
  <c r="P164" i="17"/>
  <c r="O164" i="17"/>
  <c r="R164" i="17"/>
  <c r="Q186" i="17"/>
  <c r="Q142" i="17"/>
  <c r="Q208" i="17"/>
  <c r="Q164" i="17"/>
  <c r="Q175" i="17"/>
  <c r="O175" i="17"/>
  <c r="O186" i="17"/>
  <c r="O142" i="17"/>
  <c r="P186" i="17"/>
  <c r="P142" i="17"/>
  <c r="O208" i="17"/>
  <c r="N142" i="17"/>
  <c r="N208" i="17"/>
  <c r="N186" i="17"/>
  <c r="L175" i="17"/>
  <c r="N175" i="17"/>
  <c r="L164" i="17"/>
  <c r="N164" i="17"/>
  <c r="M175" i="17"/>
  <c r="M186" i="17"/>
  <c r="M142" i="17"/>
  <c r="M164" i="17"/>
  <c r="L186" i="17"/>
  <c r="L142" i="17"/>
  <c r="J164" i="17"/>
  <c r="J208" i="17"/>
  <c r="K142" i="17"/>
  <c r="K164" i="17"/>
  <c r="K186" i="17"/>
  <c r="K175" i="17"/>
  <c r="H164" i="17"/>
  <c r="K208" i="17"/>
  <c r="I208" i="17"/>
  <c r="H51" i="15"/>
  <c r="T50" i="15"/>
  <c r="G50" i="15" s="1"/>
  <c r="U50" i="15"/>
  <c r="T376" i="15"/>
  <c r="U376" i="15"/>
  <c r="H377" i="15"/>
  <c r="H173" i="15"/>
  <c r="U172" i="15"/>
  <c r="T172" i="15"/>
  <c r="G172" i="15" s="1"/>
  <c r="H208" i="17"/>
  <c r="Y193" i="17"/>
  <c r="Y195" i="17"/>
  <c r="Y192" i="17"/>
  <c r="Y194" i="17"/>
  <c r="Y191" i="17"/>
  <c r="Y196" i="17"/>
  <c r="X191" i="17"/>
  <c r="X196" i="17"/>
  <c r="X193" i="17"/>
  <c r="X194" i="17"/>
  <c r="X192" i="17"/>
  <c r="X195" i="17"/>
  <c r="H194" i="17"/>
  <c r="H196" i="17"/>
  <c r="H195" i="17"/>
  <c r="H191" i="17"/>
  <c r="H192" i="17"/>
  <c r="H193" i="17"/>
  <c r="AG192" i="17"/>
  <c r="AG193" i="17"/>
  <c r="AG191" i="17"/>
  <c r="AG194" i="17"/>
  <c r="AG196" i="17"/>
  <c r="AG195" i="17"/>
  <c r="J142" i="17"/>
  <c r="Z47" i="1"/>
  <c r="I47" i="1"/>
  <c r="Y47" i="1"/>
  <c r="T651" i="15"/>
  <c r="U651" i="15"/>
  <c r="H652" i="15"/>
  <c r="AB139" i="14"/>
  <c r="AB142" i="14"/>
  <c r="AB136" i="14"/>
  <c r="AB141" i="14"/>
  <c r="AB138" i="14"/>
  <c r="AB137" i="14"/>
  <c r="AB140" i="14"/>
  <c r="AB143" i="14"/>
  <c r="AB144" i="14"/>
  <c r="AF193" i="17"/>
  <c r="AF196" i="17"/>
  <c r="AF192" i="17"/>
  <c r="AF191" i="17"/>
  <c r="AF195" i="17"/>
  <c r="AF194" i="17"/>
  <c r="O194" i="17"/>
  <c r="O196" i="17"/>
  <c r="O195" i="17"/>
  <c r="O193" i="17"/>
  <c r="O192" i="17"/>
  <c r="O191" i="17"/>
  <c r="AD196" i="17"/>
  <c r="AD194" i="17"/>
  <c r="AD195" i="17"/>
  <c r="AD191" i="17"/>
  <c r="AD192" i="17"/>
  <c r="AD193" i="17"/>
  <c r="P195" i="17"/>
  <c r="P196" i="17"/>
  <c r="P191" i="17"/>
  <c r="P193" i="17"/>
  <c r="P192" i="17"/>
  <c r="P194" i="17"/>
  <c r="AD127" i="14"/>
  <c r="AD125" i="14"/>
  <c r="AD121" i="14"/>
  <c r="AD122" i="14"/>
  <c r="AD126" i="14"/>
  <c r="AD124" i="14"/>
  <c r="AD128" i="14"/>
  <c r="AD120" i="14"/>
  <c r="AD123" i="14"/>
  <c r="V39" i="9"/>
  <c r="AB39" i="9" s="1"/>
  <c r="N263" i="4" s="1"/>
  <c r="K193" i="17"/>
  <c r="K196" i="17"/>
  <c r="K191" i="17"/>
  <c r="K192" i="17"/>
  <c r="K194" i="17"/>
  <c r="K195" i="17"/>
  <c r="I192" i="17"/>
  <c r="I194" i="17"/>
  <c r="I193" i="17"/>
  <c r="I195" i="17"/>
  <c r="I196" i="17"/>
  <c r="I191" i="17"/>
  <c r="AJ191" i="17"/>
  <c r="AJ192" i="17"/>
  <c r="AJ195" i="17"/>
  <c r="AJ193" i="17"/>
  <c r="AJ194" i="17"/>
  <c r="AJ196" i="17"/>
  <c r="N196" i="17"/>
  <c r="N194" i="17"/>
  <c r="N195" i="17"/>
  <c r="N193" i="17"/>
  <c r="N191" i="17"/>
  <c r="N192" i="17"/>
  <c r="I175" i="17"/>
  <c r="Q31" i="9"/>
  <c r="M362" i="4" s="1"/>
  <c r="R31" i="9"/>
  <c r="I164" i="17"/>
  <c r="AS34" i="1"/>
  <c r="B35" i="9"/>
  <c r="N34" i="9"/>
  <c r="C111" i="17"/>
  <c r="W27" i="14"/>
  <c r="C22" i="14" s="1"/>
  <c r="AE48" i="1"/>
  <c r="A41" i="9"/>
  <c r="S40" i="9"/>
  <c r="AC193" i="17"/>
  <c r="AC196" i="17"/>
  <c r="AC191" i="17"/>
  <c r="AC195" i="17"/>
  <c r="AC192" i="17"/>
  <c r="AC194" i="17"/>
  <c r="J195" i="17"/>
  <c r="J191" i="17"/>
  <c r="J192" i="17"/>
  <c r="J194" i="17"/>
  <c r="J193" i="17"/>
  <c r="J196" i="17"/>
  <c r="V192" i="17"/>
  <c r="V191" i="17"/>
  <c r="V196" i="17"/>
  <c r="V195" i="17"/>
  <c r="V194" i="17"/>
  <c r="V193" i="17"/>
  <c r="U140" i="15"/>
  <c r="T140" i="15"/>
  <c r="G140" i="15" s="1"/>
  <c r="H141" i="15"/>
  <c r="O33" i="9"/>
  <c r="Z75" i="14"/>
  <c r="AT29" i="1"/>
  <c r="U850" i="15"/>
  <c r="T850" i="15"/>
  <c r="H851" i="15"/>
  <c r="U614" i="15"/>
  <c r="T614" i="15"/>
  <c r="H615" i="15"/>
  <c r="Z193" i="17"/>
  <c r="Z191" i="17"/>
  <c r="Z192" i="17"/>
  <c r="Z195" i="17"/>
  <c r="Z196" i="17"/>
  <c r="Z194" i="17"/>
  <c r="W192" i="17"/>
  <c r="W191" i="17"/>
  <c r="W194" i="17"/>
  <c r="W193" i="17"/>
  <c r="W196" i="17"/>
  <c r="W195" i="17"/>
  <c r="L196" i="17"/>
  <c r="L192" i="17"/>
  <c r="L195" i="17"/>
  <c r="L194" i="17"/>
  <c r="L191" i="17"/>
  <c r="L193" i="17"/>
  <c r="AH196" i="17"/>
  <c r="AH195" i="17"/>
  <c r="AH192" i="17"/>
  <c r="AH194" i="17"/>
  <c r="AH191" i="17"/>
  <c r="AH193" i="17"/>
  <c r="AH11" i="2"/>
  <c r="V12" i="2"/>
  <c r="W122" i="14"/>
  <c r="AJ42" i="1"/>
  <c r="AF42" i="1"/>
  <c r="AB42" i="1"/>
  <c r="AA42" i="1"/>
  <c r="AP42" i="1" s="1"/>
  <c r="T38" i="9" s="1"/>
  <c r="AI42" i="1"/>
  <c r="AC42" i="1"/>
  <c r="AD42" i="1"/>
  <c r="AQ42" i="1" s="1"/>
  <c r="U38" i="9" s="1"/>
  <c r="AG42" i="1"/>
  <c r="AU28" i="1"/>
  <c r="P32" i="9"/>
  <c r="T939" i="15"/>
  <c r="U939" i="15"/>
  <c r="H940" i="15"/>
  <c r="AC136" i="14"/>
  <c r="AC143" i="14"/>
  <c r="AC137" i="14"/>
  <c r="AC144" i="14"/>
  <c r="AC141" i="14"/>
  <c r="AC139" i="14"/>
  <c r="AC140" i="14"/>
  <c r="AC142" i="14"/>
  <c r="AC138" i="14"/>
  <c r="AE121" i="14"/>
  <c r="AE128" i="14"/>
  <c r="AE123" i="14"/>
  <c r="AE125" i="14"/>
  <c r="AE122" i="14"/>
  <c r="AE124" i="14"/>
  <c r="AE126" i="14"/>
  <c r="AE127" i="14"/>
  <c r="AE120" i="14"/>
  <c r="Q193" i="17"/>
  <c r="Q194" i="17"/>
  <c r="Q195" i="17"/>
  <c r="Q191" i="17"/>
  <c r="Q192" i="17"/>
  <c r="Q196" i="17"/>
  <c r="S192" i="17"/>
  <c r="S196" i="17"/>
  <c r="S191" i="17"/>
  <c r="S195" i="17"/>
  <c r="S193" i="17"/>
  <c r="S194" i="17"/>
  <c r="T193" i="17"/>
  <c r="T194" i="17"/>
  <c r="T195" i="17"/>
  <c r="T191" i="17"/>
  <c r="T192" i="17"/>
  <c r="T196" i="17"/>
  <c r="AK194" i="17"/>
  <c r="AK196" i="17"/>
  <c r="AK195" i="17"/>
  <c r="AK192" i="17"/>
  <c r="AK193" i="17"/>
  <c r="AK191" i="17"/>
  <c r="BC28" i="1"/>
  <c r="BF28" i="1"/>
  <c r="E28" i="1"/>
  <c r="BD28" i="1"/>
  <c r="BE28" i="1"/>
  <c r="H94" i="15"/>
  <c r="T93" i="15"/>
  <c r="G93" i="15" s="1"/>
  <c r="U93" i="15"/>
  <c r="AA194" i="17"/>
  <c r="AA191" i="17"/>
  <c r="AA196" i="17"/>
  <c r="AA195" i="17"/>
  <c r="AA192" i="17"/>
  <c r="AA193" i="17"/>
  <c r="AE196" i="17"/>
  <c r="AE192" i="17"/>
  <c r="AE191" i="17"/>
  <c r="AE193" i="17"/>
  <c r="AE194" i="17"/>
  <c r="AE195" i="17"/>
  <c r="R192" i="17"/>
  <c r="R193" i="17"/>
  <c r="R191" i="17"/>
  <c r="R195" i="17"/>
  <c r="R194" i="17"/>
  <c r="R196" i="17"/>
  <c r="T577" i="15"/>
  <c r="U577" i="15"/>
  <c r="H578" i="15"/>
  <c r="AJ75" i="14"/>
  <c r="AJ73" i="14"/>
  <c r="AI77" i="14"/>
  <c r="AK72" i="14"/>
  <c r="AH80" i="14"/>
  <c r="AJ72" i="14"/>
  <c r="AJ77" i="14"/>
  <c r="AH72" i="14"/>
  <c r="AI76" i="14"/>
  <c r="AK80" i="14"/>
  <c r="AK73" i="14"/>
  <c r="AH75" i="14"/>
  <c r="AH74" i="14"/>
  <c r="AK74" i="14"/>
  <c r="AI75" i="14"/>
  <c r="AI79" i="14"/>
  <c r="AH77" i="14"/>
  <c r="AK77" i="14"/>
  <c r="AK76" i="14"/>
  <c r="AH73" i="14"/>
  <c r="AK78" i="14"/>
  <c r="AH76" i="14"/>
  <c r="AJ80" i="14"/>
  <c r="AJ74" i="14"/>
  <c r="AI72" i="14"/>
  <c r="AI73" i="14"/>
  <c r="AI78" i="14"/>
  <c r="AJ78" i="14"/>
  <c r="AI74" i="14"/>
  <c r="AJ76" i="14"/>
  <c r="AI80" i="14"/>
  <c r="AJ79" i="14"/>
  <c r="AK79" i="14"/>
  <c r="AH79" i="14"/>
  <c r="AH78" i="14"/>
  <c r="AK75" i="14"/>
  <c r="V38" i="9"/>
  <c r="AB38" i="9" s="1"/>
  <c r="N13" i="4" s="1"/>
  <c r="H495" i="15"/>
  <c r="U494" i="15"/>
  <c r="T494" i="15"/>
  <c r="U193" i="17"/>
  <c r="U196" i="17"/>
  <c r="U195" i="17"/>
  <c r="U192" i="17"/>
  <c r="U191" i="17"/>
  <c r="U194" i="17"/>
  <c r="AB195" i="17"/>
  <c r="AB194" i="17"/>
  <c r="AB192" i="17"/>
  <c r="AB191" i="17"/>
  <c r="AB193" i="17"/>
  <c r="AB196" i="17"/>
  <c r="AI191" i="17"/>
  <c r="AI196" i="17"/>
  <c r="AI192" i="17"/>
  <c r="AI194" i="17"/>
  <c r="AI193" i="17"/>
  <c r="AI195" i="17"/>
  <c r="M196" i="17"/>
  <c r="M193" i="17"/>
  <c r="M194" i="17"/>
  <c r="M192" i="17"/>
  <c r="M195" i="17"/>
  <c r="M191" i="17"/>
  <c r="T413" i="15"/>
  <c r="H414" i="15"/>
  <c r="U413" i="15"/>
  <c r="G210" i="15"/>
  <c r="F211" i="15"/>
  <c r="AX12" i="14"/>
  <c r="AY11" i="14"/>
  <c r="S152" i="17"/>
  <c r="S149" i="17"/>
  <c r="S150" i="17"/>
  <c r="S148" i="17"/>
  <c r="S147" i="17"/>
  <c r="S151" i="17"/>
  <c r="AI149" i="17"/>
  <c r="AI148" i="17"/>
  <c r="AI150" i="17"/>
  <c r="AI151" i="17"/>
  <c r="AI152" i="17"/>
  <c r="AI147" i="17"/>
  <c r="AG150" i="17"/>
  <c r="AG147" i="17"/>
  <c r="AG148" i="17"/>
  <c r="AG149" i="17"/>
  <c r="AG151" i="17"/>
  <c r="AG152" i="17"/>
  <c r="AB151" i="17"/>
  <c r="AB149" i="17"/>
  <c r="AB147" i="17"/>
  <c r="AB148" i="17"/>
  <c r="AB152" i="17"/>
  <c r="AB150" i="17"/>
  <c r="AS234" i="17"/>
  <c r="D234" i="17"/>
  <c r="D235" i="17"/>
  <c r="H456" i="15"/>
  <c r="U455" i="15"/>
  <c r="T455" i="15"/>
  <c r="AN46" i="14"/>
  <c r="AN48" i="14"/>
  <c r="AO47" i="14"/>
  <c r="AO46" i="14"/>
  <c r="AO40" i="14"/>
  <c r="AO45" i="14"/>
  <c r="AO43" i="14"/>
  <c r="AN44" i="14"/>
  <c r="M39" i="14"/>
  <c r="AO48" i="14"/>
  <c r="AN41" i="14"/>
  <c r="AN47" i="14"/>
  <c r="AN40" i="14"/>
  <c r="AN43" i="14"/>
  <c r="AO44" i="14"/>
  <c r="AO42" i="14"/>
  <c r="AN42" i="14"/>
  <c r="AN45" i="14"/>
  <c r="AO41" i="14"/>
  <c r="T736" i="15"/>
  <c r="U736" i="15"/>
  <c r="H737" i="15"/>
  <c r="K152" i="17"/>
  <c r="K148" i="17"/>
  <c r="K150" i="17"/>
  <c r="K149" i="17"/>
  <c r="K151" i="17"/>
  <c r="K147" i="17"/>
  <c r="R152" i="17"/>
  <c r="R147" i="17"/>
  <c r="R151" i="17"/>
  <c r="R150" i="17"/>
  <c r="R148" i="17"/>
  <c r="R149" i="17"/>
  <c r="L152" i="17"/>
  <c r="L150" i="17"/>
  <c r="L148" i="17"/>
  <c r="L149" i="17"/>
  <c r="L147" i="17"/>
  <c r="L151" i="17"/>
  <c r="W151" i="17"/>
  <c r="W147" i="17"/>
  <c r="W150" i="17"/>
  <c r="W148" i="17"/>
  <c r="W152" i="17"/>
  <c r="W149" i="17"/>
  <c r="T12" i="15"/>
  <c r="G12" i="15" s="1"/>
  <c r="U12" i="15"/>
  <c r="H13" i="15"/>
  <c r="H270" i="15"/>
  <c r="T269" i="15"/>
  <c r="U269" i="15"/>
  <c r="BX212" i="17"/>
  <c r="BT212" i="17"/>
  <c r="BZ212" i="17"/>
  <c r="BS212" i="17"/>
  <c r="BL212" i="17"/>
  <c r="CF212" i="17"/>
  <c r="BD212" i="17"/>
  <c r="E212" i="17"/>
  <c r="BO212" i="17"/>
  <c r="CC212" i="17"/>
  <c r="BW212" i="17"/>
  <c r="BQ212" i="17"/>
  <c r="CA212" i="17"/>
  <c r="BV212" i="17"/>
  <c r="BR212" i="17"/>
  <c r="BJ212" i="17"/>
  <c r="BY212" i="17"/>
  <c r="BP212" i="17"/>
  <c r="CB212" i="17"/>
  <c r="BM212" i="17"/>
  <c r="BC212" i="17"/>
  <c r="BK212" i="17"/>
  <c r="BI212" i="17"/>
  <c r="E211" i="17"/>
  <c r="BE212" i="17"/>
  <c r="CE212" i="17"/>
  <c r="BG212" i="17"/>
  <c r="BN212" i="17"/>
  <c r="BH212" i="17"/>
  <c r="CD212" i="17"/>
  <c r="BF212" i="17"/>
  <c r="BU212" i="17"/>
  <c r="J186" i="17"/>
  <c r="U149" i="17"/>
  <c r="U150" i="17"/>
  <c r="U152" i="17"/>
  <c r="U148" i="17"/>
  <c r="U151" i="17"/>
  <c r="U147" i="17"/>
  <c r="M148" i="17"/>
  <c r="M149" i="17"/>
  <c r="M147" i="17"/>
  <c r="M151" i="17"/>
  <c r="M150" i="17"/>
  <c r="M152" i="17"/>
  <c r="G11" i="15"/>
  <c r="AL41" i="14"/>
  <c r="AL46" i="14"/>
  <c r="L39" i="14"/>
  <c r="AM41" i="14"/>
  <c r="AM40" i="14"/>
  <c r="AL45" i="14"/>
  <c r="AM45" i="14"/>
  <c r="AM42" i="14"/>
  <c r="AL44" i="14"/>
  <c r="AM48" i="14"/>
  <c r="AL42" i="14"/>
  <c r="AM44" i="14"/>
  <c r="AL43" i="14"/>
  <c r="AM43" i="14"/>
  <c r="AL48" i="14"/>
  <c r="AL47" i="14"/>
  <c r="AL40" i="14"/>
  <c r="AM46" i="14"/>
  <c r="AM47" i="14"/>
  <c r="Y27" i="14"/>
  <c r="J22" i="14" s="1"/>
  <c r="C122" i="17"/>
  <c r="H142" i="17"/>
  <c r="H696" i="15"/>
  <c r="T695" i="15"/>
  <c r="U695" i="15"/>
  <c r="I186" i="17"/>
  <c r="H150" i="17"/>
  <c r="H147" i="17"/>
  <c r="H152" i="17"/>
  <c r="H151" i="17"/>
  <c r="H148" i="17"/>
  <c r="H149" i="17"/>
  <c r="P151" i="17"/>
  <c r="P147" i="17"/>
  <c r="P150" i="17"/>
  <c r="P152" i="17"/>
  <c r="P148" i="17"/>
  <c r="P149" i="17"/>
  <c r="Q150" i="17"/>
  <c r="Q148" i="17"/>
  <c r="Q151" i="17"/>
  <c r="Q147" i="17"/>
  <c r="Q152" i="17"/>
  <c r="Q149" i="17"/>
  <c r="U534" i="15"/>
  <c r="H535" i="15"/>
  <c r="T534" i="15"/>
  <c r="J147" i="17"/>
  <c r="J149" i="17"/>
  <c r="J152" i="17"/>
  <c r="J150" i="17"/>
  <c r="J148" i="17"/>
  <c r="J151" i="17"/>
  <c r="Z152" i="17"/>
  <c r="Z149" i="17"/>
  <c r="Z150" i="17"/>
  <c r="Z151" i="17"/>
  <c r="Z148" i="17"/>
  <c r="Z147" i="17"/>
  <c r="AH152" i="17"/>
  <c r="AH151" i="17"/>
  <c r="AH150" i="17"/>
  <c r="AH148" i="17"/>
  <c r="AH149" i="17"/>
  <c r="AH147" i="17"/>
  <c r="T214" i="15"/>
  <c r="H215" i="15"/>
  <c r="U214" i="15"/>
  <c r="U337" i="15"/>
  <c r="H338" i="15"/>
  <c r="T337" i="15"/>
  <c r="J175" i="17"/>
  <c r="U813" i="15"/>
  <c r="T813" i="15"/>
  <c r="H814" i="15"/>
  <c r="Y152" i="17"/>
  <c r="Y149" i="17"/>
  <c r="Y148" i="17"/>
  <c r="Y151" i="17"/>
  <c r="Y150" i="17"/>
  <c r="Y147" i="17"/>
  <c r="AA147" i="17"/>
  <c r="AA151" i="17"/>
  <c r="AA152" i="17"/>
  <c r="AA148" i="17"/>
  <c r="AA150" i="17"/>
  <c r="AA149" i="17"/>
  <c r="AC151" i="17"/>
  <c r="AC149" i="17"/>
  <c r="AC147" i="17"/>
  <c r="AC150" i="17"/>
  <c r="AC152" i="17"/>
  <c r="AC148" i="17"/>
  <c r="AK152" i="17"/>
  <c r="AK150" i="17"/>
  <c r="AK147" i="17"/>
  <c r="AK149" i="17"/>
  <c r="AK148" i="17"/>
  <c r="AK151" i="17"/>
  <c r="H186" i="17"/>
  <c r="H894" i="15"/>
  <c r="T893" i="15"/>
  <c r="U893" i="15"/>
  <c r="AR245" i="17"/>
  <c r="T774" i="15"/>
  <c r="H775" i="15"/>
  <c r="U774" i="15"/>
  <c r="X152" i="17"/>
  <c r="X147" i="17"/>
  <c r="X150" i="17"/>
  <c r="X151" i="17"/>
  <c r="X149" i="17"/>
  <c r="X148" i="17"/>
  <c r="I147" i="17"/>
  <c r="I149" i="17"/>
  <c r="I151" i="17"/>
  <c r="I148" i="17"/>
  <c r="I152" i="17"/>
  <c r="I150" i="17"/>
  <c r="AJ151" i="17"/>
  <c r="AJ148" i="17"/>
  <c r="AJ147" i="17"/>
  <c r="AJ152" i="17"/>
  <c r="AJ150" i="17"/>
  <c r="AJ149" i="17"/>
  <c r="O151" i="17"/>
  <c r="O150" i="17"/>
  <c r="O149" i="17"/>
  <c r="O148" i="17"/>
  <c r="O147" i="17"/>
  <c r="O152" i="17"/>
  <c r="M103" i="14"/>
  <c r="H175" i="17"/>
  <c r="AP267" i="17"/>
  <c r="AQ256" i="17"/>
  <c r="AF152" i="17"/>
  <c r="AF150" i="17"/>
  <c r="AF149" i="17"/>
  <c r="AF151" i="17"/>
  <c r="AF148" i="17"/>
  <c r="AF147" i="17"/>
  <c r="AD150" i="17"/>
  <c r="AD147" i="17"/>
  <c r="AD149" i="17"/>
  <c r="AD152" i="17"/>
  <c r="AD148" i="17"/>
  <c r="AD151" i="17"/>
  <c r="AE151" i="17"/>
  <c r="AE150" i="17"/>
  <c r="AE147" i="17"/>
  <c r="AE148" i="17"/>
  <c r="AE152" i="17"/>
  <c r="AE149" i="17"/>
  <c r="V149" i="17"/>
  <c r="V148" i="17"/>
  <c r="V151" i="17"/>
  <c r="V150" i="17"/>
  <c r="V152" i="17"/>
  <c r="V147" i="17"/>
  <c r="N150" i="17"/>
  <c r="N152" i="17"/>
  <c r="N151" i="17"/>
  <c r="N149" i="17"/>
  <c r="N147" i="17"/>
  <c r="N148" i="17"/>
  <c r="T151" i="17"/>
  <c r="T148" i="17"/>
  <c r="T149" i="17"/>
  <c r="T147" i="17"/>
  <c r="T150" i="17"/>
  <c r="T152" i="17"/>
  <c r="U295" i="15"/>
  <c r="H296" i="15"/>
  <c r="T295" i="15"/>
  <c r="L103" i="14"/>
  <c r="I142" i="17"/>
  <c r="V153" i="17" l="1"/>
  <c r="V197" i="17"/>
  <c r="AD197" i="17"/>
  <c r="AD153" i="17"/>
  <c r="AA153" i="17"/>
  <c r="AA197" i="17"/>
  <c r="Y197" i="17"/>
  <c r="Y153" i="17"/>
  <c r="Z153" i="17"/>
  <c r="Z197" i="17"/>
  <c r="W153" i="17"/>
  <c r="W197" i="17"/>
  <c r="AC153" i="17"/>
  <c r="AC197" i="17"/>
  <c r="U153" i="17"/>
  <c r="U197" i="17"/>
  <c r="T197" i="17"/>
  <c r="T153" i="17"/>
  <c r="AB153" i="17"/>
  <c r="AB197" i="17"/>
  <c r="S153" i="17"/>
  <c r="S197" i="17"/>
  <c r="X153" i="17"/>
  <c r="X197" i="17"/>
  <c r="R197" i="17"/>
  <c r="R153" i="17"/>
  <c r="Q153" i="17"/>
  <c r="Q197" i="17"/>
  <c r="N197" i="17"/>
  <c r="P197" i="17"/>
  <c r="P153" i="17"/>
  <c r="O153" i="17"/>
  <c r="O197" i="17"/>
  <c r="N153" i="17"/>
  <c r="K153" i="17"/>
  <c r="M153" i="17"/>
  <c r="M197" i="17"/>
  <c r="L153" i="17"/>
  <c r="L197" i="17"/>
  <c r="K197" i="17"/>
  <c r="X38" i="9"/>
  <c r="X128" i="14"/>
  <c r="J197" i="17"/>
  <c r="H174" i="15"/>
  <c r="U173" i="15"/>
  <c r="T173" i="15"/>
  <c r="G173" i="15" s="1"/>
  <c r="I48" i="1"/>
  <c r="Z48" i="1"/>
  <c r="Y48" i="1"/>
  <c r="U414" i="15"/>
  <c r="T414" i="15"/>
  <c r="H415" i="15"/>
  <c r="X126" i="14"/>
  <c r="H119" i="14" s="1"/>
  <c r="W126" i="14"/>
  <c r="C119" i="14" s="1"/>
  <c r="H378" i="15"/>
  <c r="T377" i="15"/>
  <c r="U377" i="15"/>
  <c r="W128" i="14"/>
  <c r="W38" i="9"/>
  <c r="U851" i="15"/>
  <c r="T851" i="15"/>
  <c r="H852" i="15"/>
  <c r="V13" i="2"/>
  <c r="AH12" i="2"/>
  <c r="BE29" i="1"/>
  <c r="BF29" i="1"/>
  <c r="BC29" i="1"/>
  <c r="BD29" i="1"/>
  <c r="E29" i="1"/>
  <c r="O34" i="9"/>
  <c r="X91" i="14"/>
  <c r="AT34" i="1"/>
  <c r="H95" i="15"/>
  <c r="T94" i="15"/>
  <c r="G94" i="15" s="1"/>
  <c r="U94" i="15"/>
  <c r="U940" i="15"/>
  <c r="T940" i="15"/>
  <c r="H941" i="15"/>
  <c r="AO80" i="14"/>
  <c r="AN80" i="14"/>
  <c r="AO72" i="14"/>
  <c r="AM80" i="14"/>
  <c r="AM76" i="14"/>
  <c r="AM78" i="14"/>
  <c r="AO76" i="14"/>
  <c r="AL80" i="14"/>
  <c r="AM73" i="14"/>
  <c r="AO73" i="14"/>
  <c r="AN79" i="14"/>
  <c r="AN74" i="14"/>
  <c r="AL76" i="14"/>
  <c r="AL72" i="14"/>
  <c r="AL75" i="14"/>
  <c r="AO79" i="14"/>
  <c r="AN78" i="14"/>
  <c r="AL73" i="14"/>
  <c r="AM74" i="14"/>
  <c r="AN76" i="14"/>
  <c r="AO78" i="14"/>
  <c r="AN72" i="14"/>
  <c r="AN73" i="14"/>
  <c r="AL77" i="14"/>
  <c r="AO75" i="14"/>
  <c r="AO74" i="14"/>
  <c r="AL78" i="14"/>
  <c r="AN77" i="14"/>
  <c r="AM77" i="14"/>
  <c r="AM79" i="14"/>
  <c r="AM72" i="14"/>
  <c r="AL79" i="14"/>
  <c r="AL74" i="14"/>
  <c r="AO77" i="14"/>
  <c r="AN75" i="14"/>
  <c r="AM75" i="14"/>
  <c r="AS35" i="1"/>
  <c r="D35" i="1" s="1"/>
  <c r="N35" i="9"/>
  <c r="B36" i="9"/>
  <c r="AG47" i="1"/>
  <c r="AB47" i="1"/>
  <c r="AC47" i="1"/>
  <c r="AI47" i="1"/>
  <c r="AA47" i="1"/>
  <c r="AP47" i="1" s="1"/>
  <c r="T39" i="9" s="1"/>
  <c r="AF47" i="1"/>
  <c r="AJ47" i="1"/>
  <c r="Y122" i="14"/>
  <c r="AD47" i="1"/>
  <c r="AQ47" i="1" s="1"/>
  <c r="U39" i="9" s="1"/>
  <c r="H153" i="17"/>
  <c r="T578" i="15"/>
  <c r="H579" i="15"/>
  <c r="U578" i="15"/>
  <c r="T615" i="15"/>
  <c r="U615" i="15"/>
  <c r="H616" i="15"/>
  <c r="AU29" i="1"/>
  <c r="P33" i="9"/>
  <c r="D34" i="1"/>
  <c r="C34" i="1" s="1"/>
  <c r="BC32" i="1"/>
  <c r="H142" i="15"/>
  <c r="T141" i="15"/>
  <c r="G141" i="15" s="1"/>
  <c r="U141" i="15"/>
  <c r="V40" i="9"/>
  <c r="AB40" i="9" s="1"/>
  <c r="N163" i="4" s="1"/>
  <c r="I197" i="17"/>
  <c r="H197" i="17"/>
  <c r="H496" i="15"/>
  <c r="U495" i="15"/>
  <c r="T495" i="15"/>
  <c r="Q32" i="9"/>
  <c r="M113" i="4" s="1"/>
  <c r="R32" i="9"/>
  <c r="A42" i="9"/>
  <c r="S41" i="9"/>
  <c r="AR54" i="1"/>
  <c r="AH49" i="1"/>
  <c r="M49" i="1" s="1"/>
  <c r="W157" i="14"/>
  <c r="X159" i="14"/>
  <c r="G151" i="14" s="1"/>
  <c r="AC151" i="14" s="1"/>
  <c r="Y141" i="14"/>
  <c r="L213" i="4"/>
  <c r="AE49" i="1"/>
  <c r="AR49" i="1"/>
  <c r="W159" i="14"/>
  <c r="D151" i="14" s="1"/>
  <c r="AB151" i="14" s="1"/>
  <c r="Z143" i="14"/>
  <c r="N135" i="14" s="1"/>
  <c r="AE135" i="14" s="1"/>
  <c r="AW49" i="1"/>
  <c r="G49" i="1" s="1"/>
  <c r="AH54" i="1"/>
  <c r="M54" i="1" s="1"/>
  <c r="AV49" i="1"/>
  <c r="F49" i="1" s="1"/>
  <c r="W156" i="14"/>
  <c r="H150" i="14" s="1"/>
  <c r="Y140" i="14"/>
  <c r="O134" i="14" s="1"/>
  <c r="AW54" i="1"/>
  <c r="G54" i="1" s="1"/>
  <c r="K213" i="4"/>
  <c r="Y143" i="14"/>
  <c r="K135" i="14" s="1"/>
  <c r="AD135" i="14" s="1"/>
  <c r="C166" i="17"/>
  <c r="Y59" i="14"/>
  <c r="J54" i="14" s="1"/>
  <c r="T652" i="15"/>
  <c r="U652" i="15"/>
  <c r="H653" i="15"/>
  <c r="U51" i="15"/>
  <c r="H52" i="15"/>
  <c r="T51" i="15"/>
  <c r="G51" i="15" s="1"/>
  <c r="F212" i="15"/>
  <c r="G211" i="15"/>
  <c r="AY12" i="14"/>
  <c r="AX13" i="14"/>
  <c r="H536" i="15"/>
  <c r="U535" i="15"/>
  <c r="T535" i="15"/>
  <c r="J213" i="17"/>
  <c r="J215" i="17"/>
  <c r="J216" i="17"/>
  <c r="J218" i="17"/>
  <c r="J217" i="17"/>
  <c r="J214" i="17"/>
  <c r="AD216" i="17"/>
  <c r="AD214" i="17"/>
  <c r="AD213" i="17"/>
  <c r="AD215" i="17"/>
  <c r="AD217" i="17"/>
  <c r="AD218" i="17"/>
  <c r="T213" i="17"/>
  <c r="T214" i="17"/>
  <c r="T215" i="17"/>
  <c r="T218" i="17"/>
  <c r="T216" i="17"/>
  <c r="T217" i="17"/>
  <c r="AC215" i="17"/>
  <c r="AC216" i="17"/>
  <c r="AC214" i="17"/>
  <c r="AC217" i="17"/>
  <c r="AC218" i="17"/>
  <c r="AC213" i="17"/>
  <c r="U218" i="17"/>
  <c r="U217" i="17"/>
  <c r="U216" i="17"/>
  <c r="U215" i="17"/>
  <c r="U214" i="17"/>
  <c r="U213" i="17"/>
  <c r="T737" i="15"/>
  <c r="U737" i="15"/>
  <c r="H738" i="15"/>
  <c r="U456" i="15"/>
  <c r="T456" i="15"/>
  <c r="H457" i="15"/>
  <c r="Z218" i="17"/>
  <c r="Z217" i="17"/>
  <c r="Z214" i="17"/>
  <c r="Z213" i="17"/>
  <c r="Z216" i="17"/>
  <c r="Z215" i="17"/>
  <c r="O218" i="17"/>
  <c r="O213" i="17"/>
  <c r="O214" i="17"/>
  <c r="O217" i="17"/>
  <c r="O216" i="17"/>
  <c r="O215" i="17"/>
  <c r="T696" i="15"/>
  <c r="U696" i="15"/>
  <c r="H697" i="15"/>
  <c r="AJ217" i="17"/>
  <c r="AJ218" i="17"/>
  <c r="AJ213" i="17"/>
  <c r="AJ214" i="17"/>
  <c r="AJ215" i="17"/>
  <c r="AJ216" i="17"/>
  <c r="AH214" i="17"/>
  <c r="AH215" i="17"/>
  <c r="AH213" i="17"/>
  <c r="AH217" i="17"/>
  <c r="AH218" i="17"/>
  <c r="AH216" i="17"/>
  <c r="Y218" i="17"/>
  <c r="Y214" i="17"/>
  <c r="Y215" i="17"/>
  <c r="Y216" i="17"/>
  <c r="Y217" i="17"/>
  <c r="Y213" i="17"/>
  <c r="T894" i="15"/>
  <c r="U894" i="15"/>
  <c r="H895" i="15"/>
  <c r="T338" i="15"/>
  <c r="U338" i="15"/>
  <c r="H339" i="15"/>
  <c r="K217" i="17"/>
  <c r="K214" i="17"/>
  <c r="K216" i="17"/>
  <c r="K218" i="17"/>
  <c r="K215" i="17"/>
  <c r="K213" i="17"/>
  <c r="N214" i="17"/>
  <c r="N216" i="17"/>
  <c r="N217" i="17"/>
  <c r="N213" i="17"/>
  <c r="N215" i="17"/>
  <c r="N218" i="17"/>
  <c r="W214" i="17"/>
  <c r="W215" i="17"/>
  <c r="W218" i="17"/>
  <c r="W213" i="17"/>
  <c r="W216" i="17"/>
  <c r="W217" i="17"/>
  <c r="I218" i="17"/>
  <c r="I214" i="17"/>
  <c r="I213" i="17"/>
  <c r="I217" i="17"/>
  <c r="I216" i="17"/>
  <c r="I215" i="17"/>
  <c r="T296" i="15"/>
  <c r="H297" i="15"/>
  <c r="U296" i="15"/>
  <c r="AP278" i="17"/>
  <c r="AQ267" i="17"/>
  <c r="AS245" i="17"/>
  <c r="D246" i="17"/>
  <c r="D245" i="17"/>
  <c r="H815" i="15"/>
  <c r="T814" i="15"/>
  <c r="U814" i="15"/>
  <c r="AI217" i="17"/>
  <c r="AI215" i="17"/>
  <c r="AI218" i="17"/>
  <c r="AI214" i="17"/>
  <c r="AI216" i="17"/>
  <c r="AI213" i="17"/>
  <c r="P218" i="17"/>
  <c r="P216" i="17"/>
  <c r="P217" i="17"/>
  <c r="P214" i="17"/>
  <c r="P215" i="17"/>
  <c r="P213" i="17"/>
  <c r="AA213" i="17"/>
  <c r="AA218" i="17"/>
  <c r="AA215" i="17"/>
  <c r="AA214" i="17"/>
  <c r="AA217" i="17"/>
  <c r="AA216" i="17"/>
  <c r="AK217" i="17"/>
  <c r="AK215" i="17"/>
  <c r="AK216" i="17"/>
  <c r="AK218" i="17"/>
  <c r="AK214" i="17"/>
  <c r="AK213" i="17"/>
  <c r="T775" i="15"/>
  <c r="H776" i="15"/>
  <c r="U775" i="15"/>
  <c r="H216" i="15"/>
  <c r="U215" i="15"/>
  <c r="T215" i="15"/>
  <c r="J153" i="17"/>
  <c r="M213" i="17"/>
  <c r="M218" i="17"/>
  <c r="M216" i="17"/>
  <c r="M214" i="17"/>
  <c r="M215" i="17"/>
  <c r="M217" i="17"/>
  <c r="H217" i="17"/>
  <c r="H213" i="17"/>
  <c r="H214" i="17"/>
  <c r="H218" i="17"/>
  <c r="H216" i="17"/>
  <c r="H215" i="17"/>
  <c r="AF216" i="17"/>
  <c r="AF215" i="17"/>
  <c r="AF213" i="17"/>
  <c r="AF217" i="17"/>
  <c r="AF218" i="17"/>
  <c r="AF214" i="17"/>
  <c r="Q218" i="17"/>
  <c r="Q214" i="17"/>
  <c r="Q216" i="17"/>
  <c r="Q215" i="17"/>
  <c r="Q213" i="17"/>
  <c r="Q217" i="17"/>
  <c r="U13" i="15"/>
  <c r="T13" i="15"/>
  <c r="H14" i="15"/>
  <c r="AR256" i="17"/>
  <c r="S216" i="17"/>
  <c r="S214" i="17"/>
  <c r="S218" i="17"/>
  <c r="S213" i="17"/>
  <c r="S215" i="17"/>
  <c r="S217" i="17"/>
  <c r="R218" i="17"/>
  <c r="R217" i="17"/>
  <c r="R216" i="17"/>
  <c r="R215" i="17"/>
  <c r="R214" i="17"/>
  <c r="R213" i="17"/>
  <c r="V214" i="17"/>
  <c r="V218" i="17"/>
  <c r="V213" i="17"/>
  <c r="V215" i="17"/>
  <c r="V217" i="17"/>
  <c r="V216" i="17"/>
  <c r="X215" i="17"/>
  <c r="X216" i="17"/>
  <c r="X214" i="17"/>
  <c r="X213" i="17"/>
  <c r="X217" i="17"/>
  <c r="X218" i="17"/>
  <c r="H271" i="15"/>
  <c r="U270" i="15"/>
  <c r="T270" i="15"/>
  <c r="I153" i="17"/>
  <c r="L215" i="17"/>
  <c r="L216" i="17"/>
  <c r="L218" i="17"/>
  <c r="L214" i="17"/>
  <c r="L217" i="17"/>
  <c r="L213" i="17"/>
  <c r="AG214" i="17"/>
  <c r="AG215" i="17"/>
  <c r="AG218" i="17"/>
  <c r="AG216" i="17"/>
  <c r="AG217" i="17"/>
  <c r="AG213" i="17"/>
  <c r="AB217" i="17"/>
  <c r="AB215" i="17"/>
  <c r="AB213" i="17"/>
  <c r="AB214" i="17"/>
  <c r="AB216" i="17"/>
  <c r="AB218" i="17"/>
  <c r="AE215" i="17"/>
  <c r="AE218" i="17"/>
  <c r="AE217" i="17"/>
  <c r="AE216" i="17"/>
  <c r="AE214" i="17"/>
  <c r="AE213" i="17"/>
  <c r="BS235" i="17"/>
  <c r="BN235" i="17"/>
  <c r="BP235" i="17"/>
  <c r="E235" i="17"/>
  <c r="BZ235" i="17"/>
  <c r="BH235" i="17"/>
  <c r="CE235" i="17"/>
  <c r="BJ235" i="17"/>
  <c r="CC235" i="17"/>
  <c r="E234" i="17"/>
  <c r="BX235" i="17"/>
  <c r="BU235" i="17"/>
  <c r="BG235" i="17"/>
  <c r="BV235" i="17"/>
  <c r="CB235" i="17"/>
  <c r="BF235" i="17"/>
  <c r="BQ235" i="17"/>
  <c r="CD235" i="17"/>
  <c r="BW235" i="17"/>
  <c r="CA235" i="17"/>
  <c r="BE235" i="17"/>
  <c r="BK235" i="17"/>
  <c r="BT235" i="17"/>
  <c r="BL235" i="17"/>
  <c r="BR235" i="17"/>
  <c r="BI235" i="17"/>
  <c r="BY235" i="17"/>
  <c r="BC235" i="17"/>
  <c r="BM235" i="17"/>
  <c r="BD235" i="17"/>
  <c r="CF235" i="17"/>
  <c r="BO235" i="17"/>
  <c r="V219" i="17" l="1"/>
  <c r="V87" i="17" s="1"/>
  <c r="AD219" i="17"/>
  <c r="AD87" i="17"/>
  <c r="AA219" i="17"/>
  <c r="AA87" i="17" s="1"/>
  <c r="Y219" i="17"/>
  <c r="Y87" i="17" s="1"/>
  <c r="Z219" i="17"/>
  <c r="Z87" i="17" s="1"/>
  <c r="W219" i="17"/>
  <c r="W87" i="17" s="1"/>
  <c r="AC219" i="17"/>
  <c r="AC87" i="17" s="1"/>
  <c r="U219" i="17"/>
  <c r="U87" i="17" s="1"/>
  <c r="T219" i="17"/>
  <c r="T87" i="17" s="1"/>
  <c r="AB219" i="17"/>
  <c r="AB87" i="17" s="1"/>
  <c r="S219" i="17"/>
  <c r="S87" i="17" s="1"/>
  <c r="X219" i="17"/>
  <c r="X87" i="17" s="1"/>
  <c r="R219" i="17"/>
  <c r="R87" i="17" s="1"/>
  <c r="Q219" i="17"/>
  <c r="P219" i="17"/>
  <c r="Q87" i="17"/>
  <c r="P87" i="17"/>
  <c r="O219" i="17"/>
  <c r="O87" i="17" s="1"/>
  <c r="L219" i="17"/>
  <c r="L87" i="17" s="1"/>
  <c r="N219" i="17"/>
  <c r="K219" i="17"/>
  <c r="K87" i="17" s="1"/>
  <c r="N87" i="17"/>
  <c r="M219" i="17"/>
  <c r="M87" i="17" s="1"/>
  <c r="O35" i="9"/>
  <c r="Z91" i="14"/>
  <c r="AT35" i="1"/>
  <c r="I49" i="1"/>
  <c r="Z49" i="1"/>
  <c r="Y49" i="1"/>
  <c r="AE138" i="14"/>
  <c r="AE141" i="14"/>
  <c r="AE143" i="14"/>
  <c r="AE140" i="14"/>
  <c r="AE139" i="14"/>
  <c r="AE142" i="14"/>
  <c r="AE137" i="14"/>
  <c r="AE144" i="14"/>
  <c r="AE136" i="14"/>
  <c r="U496" i="15"/>
  <c r="T496" i="15"/>
  <c r="H497" i="15"/>
  <c r="H143" i="15"/>
  <c r="U142" i="15"/>
  <c r="T142" i="15"/>
  <c r="G142" i="15" s="1"/>
  <c r="Y128" i="14"/>
  <c r="W39" i="9"/>
  <c r="U579" i="15"/>
  <c r="T579" i="15"/>
  <c r="H580" i="15"/>
  <c r="E119" i="14"/>
  <c r="T52" i="15"/>
  <c r="G52" i="15" s="1"/>
  <c r="H53" i="15"/>
  <c r="U52" i="15"/>
  <c r="H96" i="15"/>
  <c r="U95" i="15"/>
  <c r="T95" i="15"/>
  <c r="G95" i="15" s="1"/>
  <c r="T415" i="15"/>
  <c r="U415" i="15"/>
  <c r="H416" i="15"/>
  <c r="T174" i="15"/>
  <c r="G174" i="15" s="1"/>
  <c r="U174" i="15"/>
  <c r="H175" i="15"/>
  <c r="AC160" i="14"/>
  <c r="AC155" i="14"/>
  <c r="AC157" i="14"/>
  <c r="AC159" i="14"/>
  <c r="AC153" i="14"/>
  <c r="AC152" i="14"/>
  <c r="AC154" i="14"/>
  <c r="AC158" i="14"/>
  <c r="AC156" i="14"/>
  <c r="A43" i="9"/>
  <c r="S42" i="9"/>
  <c r="AH55" i="1"/>
  <c r="M55" i="1" s="1"/>
  <c r="Q33" i="9"/>
  <c r="M412" i="4" s="1"/>
  <c r="R33" i="9"/>
  <c r="BE34" i="1"/>
  <c r="BC34" i="1"/>
  <c r="E34" i="1"/>
  <c r="BF34" i="1"/>
  <c r="BD34" i="1"/>
  <c r="T653" i="15"/>
  <c r="H654" i="15"/>
  <c r="U653" i="15"/>
  <c r="AV54" i="1"/>
  <c r="F54" i="1" s="1"/>
  <c r="C177" i="17"/>
  <c r="W75" i="14"/>
  <c r="C70" i="14" s="1"/>
  <c r="AI96" i="14"/>
  <c r="AI93" i="14"/>
  <c r="AJ92" i="14"/>
  <c r="AH89" i="14"/>
  <c r="AJ88" i="14"/>
  <c r="AJ95" i="14"/>
  <c r="AK92" i="14"/>
  <c r="AI89" i="14"/>
  <c r="AJ94" i="14"/>
  <c r="AJ89" i="14"/>
  <c r="AI88" i="14"/>
  <c r="AH96" i="14"/>
  <c r="AK90" i="14"/>
  <c r="AH90" i="14"/>
  <c r="AI90" i="14"/>
  <c r="AK94" i="14"/>
  <c r="AH93" i="14"/>
  <c r="AJ91" i="14"/>
  <c r="AH91" i="14"/>
  <c r="AK88" i="14"/>
  <c r="AH92" i="14"/>
  <c r="AI94" i="14"/>
  <c r="AI95" i="14"/>
  <c r="AK91" i="14"/>
  <c r="AH88" i="14"/>
  <c r="AK95" i="14"/>
  <c r="AH95" i="14"/>
  <c r="AJ90" i="14"/>
  <c r="AI92" i="14"/>
  <c r="AJ93" i="14"/>
  <c r="AK93" i="14"/>
  <c r="AK96" i="14"/>
  <c r="AI91" i="14"/>
  <c r="AH94" i="14"/>
  <c r="AJ96" i="14"/>
  <c r="AK89" i="14"/>
  <c r="AH13" i="2"/>
  <c r="V14" i="2"/>
  <c r="U378" i="15"/>
  <c r="T378" i="15"/>
  <c r="H379" i="15"/>
  <c r="F119" i="14"/>
  <c r="AD141" i="14"/>
  <c r="AD136" i="14"/>
  <c r="AD140" i="14"/>
  <c r="AD143" i="14"/>
  <c r="AD142" i="14"/>
  <c r="AD144" i="14"/>
  <c r="AD139" i="14"/>
  <c r="AD137" i="14"/>
  <c r="AD138" i="14"/>
  <c r="AE54" i="1"/>
  <c r="U616" i="15"/>
  <c r="H617" i="15"/>
  <c r="T616" i="15"/>
  <c r="Z128" i="14"/>
  <c r="X39" i="9"/>
  <c r="T941" i="15"/>
  <c r="U941" i="15"/>
  <c r="H942" i="15"/>
  <c r="AU34" i="1"/>
  <c r="P34" i="9"/>
  <c r="H853" i="15"/>
  <c r="U852" i="15"/>
  <c r="T852" i="15"/>
  <c r="AB154" i="14"/>
  <c r="AB158" i="14"/>
  <c r="AB155" i="14"/>
  <c r="AB157" i="14"/>
  <c r="AB153" i="14"/>
  <c r="AB160" i="14"/>
  <c r="AB152" i="14"/>
  <c r="AB159" i="14"/>
  <c r="AB156" i="14"/>
  <c r="Y126" i="14"/>
  <c r="J119" i="14" s="1"/>
  <c r="Z126" i="14"/>
  <c r="O119" i="14" s="1"/>
  <c r="B37" i="9"/>
  <c r="AS40" i="1"/>
  <c r="N36" i="9"/>
  <c r="AG48" i="1"/>
  <c r="AF48" i="1"/>
  <c r="AB48" i="1"/>
  <c r="W138" i="14"/>
  <c r="AD48" i="1"/>
  <c r="AQ48" i="1" s="1"/>
  <c r="U40" i="9" s="1"/>
  <c r="AC48" i="1"/>
  <c r="AI48" i="1"/>
  <c r="AA48" i="1"/>
  <c r="AP48" i="1" s="1"/>
  <c r="T40" i="9" s="1"/>
  <c r="AJ48" i="1"/>
  <c r="F213" i="15"/>
  <c r="G212" i="15"/>
  <c r="AY13" i="14"/>
  <c r="AX14" i="14"/>
  <c r="AH237" i="17"/>
  <c r="AH238" i="17"/>
  <c r="AH240" i="17"/>
  <c r="AH239" i="17"/>
  <c r="AH241" i="17"/>
  <c r="AH236" i="17"/>
  <c r="AB241" i="17"/>
  <c r="AB240" i="17"/>
  <c r="AB239" i="17"/>
  <c r="AB236" i="17"/>
  <c r="AB238" i="17"/>
  <c r="AB237" i="17"/>
  <c r="J219" i="17"/>
  <c r="J87" i="17" s="1"/>
  <c r="AD239" i="17"/>
  <c r="AD236" i="17"/>
  <c r="AD237" i="17"/>
  <c r="AD241" i="17"/>
  <c r="AD238" i="17"/>
  <c r="AD240" i="17"/>
  <c r="AC237" i="17"/>
  <c r="AC239" i="17"/>
  <c r="AC238" i="17"/>
  <c r="AC241" i="17"/>
  <c r="AC236" i="17"/>
  <c r="AC240" i="17"/>
  <c r="U238" i="17"/>
  <c r="U240" i="17"/>
  <c r="U237" i="17"/>
  <c r="U236" i="17"/>
  <c r="U241" i="17"/>
  <c r="U239" i="17"/>
  <c r="N237" i="17"/>
  <c r="N241" i="17"/>
  <c r="N238" i="17"/>
  <c r="N239" i="17"/>
  <c r="N236" i="17"/>
  <c r="N240" i="17"/>
  <c r="AI239" i="17"/>
  <c r="AI238" i="17"/>
  <c r="AI240" i="17"/>
  <c r="AI236" i="17"/>
  <c r="AI241" i="17"/>
  <c r="AI237" i="17"/>
  <c r="S240" i="17"/>
  <c r="S238" i="17"/>
  <c r="S236" i="17"/>
  <c r="S237" i="17"/>
  <c r="S241" i="17"/>
  <c r="S239" i="17"/>
  <c r="U14" i="15"/>
  <c r="T14" i="15"/>
  <c r="G14" i="15" s="1"/>
  <c r="H15" i="15"/>
  <c r="T216" i="15"/>
  <c r="U216" i="15"/>
  <c r="H217" i="15"/>
  <c r="H340" i="15"/>
  <c r="T339" i="15"/>
  <c r="U339" i="15"/>
  <c r="W239" i="17"/>
  <c r="W236" i="17"/>
  <c r="W237" i="17"/>
  <c r="W240" i="17"/>
  <c r="W241" i="17"/>
  <c r="W238" i="17"/>
  <c r="V239" i="17"/>
  <c r="V238" i="17"/>
  <c r="V241" i="17"/>
  <c r="V240" i="17"/>
  <c r="V236" i="17"/>
  <c r="V237" i="17"/>
  <c r="X237" i="17"/>
  <c r="X236" i="17"/>
  <c r="X241" i="17"/>
  <c r="X238" i="17"/>
  <c r="X240" i="17"/>
  <c r="X239" i="17"/>
  <c r="U697" i="15"/>
  <c r="T697" i="15"/>
  <c r="H698" i="15"/>
  <c r="T241" i="17"/>
  <c r="T239" i="17"/>
  <c r="T237" i="17"/>
  <c r="T240" i="17"/>
  <c r="T236" i="17"/>
  <c r="T238" i="17"/>
  <c r="H272" i="15"/>
  <c r="U271" i="15"/>
  <c r="T271" i="15"/>
  <c r="H777" i="15"/>
  <c r="T776" i="15"/>
  <c r="U776" i="15"/>
  <c r="BJ246" i="17"/>
  <c r="CC246" i="17"/>
  <c r="BO246" i="17"/>
  <c r="CB246" i="17"/>
  <c r="BT246" i="17"/>
  <c r="BH246" i="17"/>
  <c r="CF246" i="17"/>
  <c r="BL246" i="17"/>
  <c r="BG246" i="17"/>
  <c r="BV246" i="17"/>
  <c r="BX246" i="17"/>
  <c r="BN246" i="17"/>
  <c r="BI246" i="17"/>
  <c r="BY246" i="17"/>
  <c r="BC246" i="17"/>
  <c r="BE246" i="17"/>
  <c r="BZ246" i="17"/>
  <c r="BS246" i="17"/>
  <c r="CE246" i="17"/>
  <c r="CD246" i="17"/>
  <c r="BD246" i="17"/>
  <c r="E246" i="17"/>
  <c r="E245" i="17"/>
  <c r="BK246" i="17"/>
  <c r="CA246" i="17"/>
  <c r="BM246" i="17"/>
  <c r="BQ246" i="17"/>
  <c r="BF246" i="17"/>
  <c r="BW246" i="17"/>
  <c r="BR246" i="17"/>
  <c r="BU246" i="17"/>
  <c r="BP246" i="17"/>
  <c r="AR267" i="17"/>
  <c r="AP289" i="17"/>
  <c r="AQ278" i="17"/>
  <c r="G13" i="15"/>
  <c r="AK238" i="17"/>
  <c r="AK240" i="17"/>
  <c r="AK241" i="17"/>
  <c r="AK237" i="17"/>
  <c r="AK239" i="17"/>
  <c r="AK236" i="17"/>
  <c r="Y237" i="17"/>
  <c r="Y240" i="17"/>
  <c r="Y238" i="17"/>
  <c r="Y241" i="17"/>
  <c r="Y239" i="17"/>
  <c r="Y236" i="17"/>
  <c r="AG241" i="17"/>
  <c r="AG238" i="17"/>
  <c r="AG240" i="17"/>
  <c r="AG236" i="17"/>
  <c r="AG237" i="17"/>
  <c r="AG239" i="17"/>
  <c r="AJ236" i="17"/>
  <c r="AJ237" i="17"/>
  <c r="AJ239" i="17"/>
  <c r="AJ238" i="17"/>
  <c r="AJ241" i="17"/>
  <c r="AJ240" i="17"/>
  <c r="I236" i="17"/>
  <c r="I238" i="17"/>
  <c r="I237" i="17"/>
  <c r="I239" i="17"/>
  <c r="I240" i="17"/>
  <c r="I241" i="17"/>
  <c r="AA240" i="17"/>
  <c r="AA237" i="17"/>
  <c r="AA239" i="17"/>
  <c r="AA236" i="17"/>
  <c r="AA241" i="17"/>
  <c r="AA238" i="17"/>
  <c r="M238" i="17"/>
  <c r="M240" i="17"/>
  <c r="M237" i="17"/>
  <c r="M241" i="17"/>
  <c r="M236" i="17"/>
  <c r="M239" i="17"/>
  <c r="H739" i="15"/>
  <c r="T738" i="15"/>
  <c r="U738" i="15"/>
  <c r="P237" i="17"/>
  <c r="P241" i="17"/>
  <c r="P238" i="17"/>
  <c r="P236" i="17"/>
  <c r="P240" i="17"/>
  <c r="P239" i="17"/>
  <c r="R239" i="17"/>
  <c r="R236" i="17"/>
  <c r="R240" i="17"/>
  <c r="R237" i="17"/>
  <c r="R241" i="17"/>
  <c r="R238" i="17"/>
  <c r="J237" i="17"/>
  <c r="J236" i="17"/>
  <c r="J238" i="17"/>
  <c r="J241" i="17"/>
  <c r="J239" i="17"/>
  <c r="J240" i="17"/>
  <c r="L237" i="17"/>
  <c r="L239" i="17"/>
  <c r="L238" i="17"/>
  <c r="L240" i="17"/>
  <c r="L236" i="17"/>
  <c r="L241" i="17"/>
  <c r="AE238" i="17"/>
  <c r="AE239" i="17"/>
  <c r="AE240" i="17"/>
  <c r="AE236" i="17"/>
  <c r="AE241" i="17"/>
  <c r="AE237" i="17"/>
  <c r="AS256" i="17"/>
  <c r="D256" i="17"/>
  <c r="D257" i="17"/>
  <c r="U815" i="15"/>
  <c r="H816" i="15"/>
  <c r="T815" i="15"/>
  <c r="U297" i="15"/>
  <c r="H298" i="15"/>
  <c r="T297" i="15"/>
  <c r="H896" i="15"/>
  <c r="U895" i="15"/>
  <c r="T895" i="15"/>
  <c r="H537" i="15"/>
  <c r="T536" i="15"/>
  <c r="U536" i="15"/>
  <c r="Q236" i="17"/>
  <c r="Q238" i="17"/>
  <c r="Q240" i="17"/>
  <c r="Q241" i="17"/>
  <c r="Q239" i="17"/>
  <c r="Q237" i="17"/>
  <c r="K238" i="17"/>
  <c r="K241" i="17"/>
  <c r="K237" i="17"/>
  <c r="K239" i="17"/>
  <c r="K240" i="17"/>
  <c r="K236" i="17"/>
  <c r="O237" i="17"/>
  <c r="O240" i="17"/>
  <c r="O239" i="17"/>
  <c r="O241" i="17"/>
  <c r="O236" i="17"/>
  <c r="O238" i="17"/>
  <c r="H236" i="17"/>
  <c r="H238" i="17"/>
  <c r="H237" i="17"/>
  <c r="H240" i="17"/>
  <c r="H241" i="17"/>
  <c r="H239" i="17"/>
  <c r="AF238" i="17"/>
  <c r="AF236" i="17"/>
  <c r="AF241" i="17"/>
  <c r="AF239" i="17"/>
  <c r="AF237" i="17"/>
  <c r="AF240" i="17"/>
  <c r="Z240" i="17"/>
  <c r="Z241" i="17"/>
  <c r="Z237" i="17"/>
  <c r="Z239" i="17"/>
  <c r="Z236" i="17"/>
  <c r="Z238" i="17"/>
  <c r="H219" i="17"/>
  <c r="H87" i="17" s="1"/>
  <c r="I219" i="17"/>
  <c r="I87" i="17" s="1"/>
  <c r="H458" i="15"/>
  <c r="T457" i="15"/>
  <c r="U457" i="15"/>
  <c r="V242" i="17" l="1"/>
  <c r="AD242" i="17"/>
  <c r="AA242" i="17"/>
  <c r="Y242" i="17"/>
  <c r="Z242" i="17"/>
  <c r="W242" i="17"/>
  <c r="AC242" i="17"/>
  <c r="U242" i="17"/>
  <c r="T242" i="17"/>
  <c r="AB242" i="17"/>
  <c r="S242" i="17"/>
  <c r="X242" i="17"/>
  <c r="R242" i="17"/>
  <c r="Q242" i="17"/>
  <c r="P242" i="17"/>
  <c r="O242" i="17"/>
  <c r="M242" i="17"/>
  <c r="N242" i="17"/>
  <c r="K242" i="17"/>
  <c r="L242" i="17"/>
  <c r="I54" i="1"/>
  <c r="Y54" i="1"/>
  <c r="Z54" i="1"/>
  <c r="X144" i="14"/>
  <c r="X40" i="9"/>
  <c r="Y75" i="14"/>
  <c r="J70" i="14" s="1"/>
  <c r="C188" i="17"/>
  <c r="W144" i="14"/>
  <c r="W40" i="9"/>
  <c r="U654" i="15"/>
  <c r="T654" i="15"/>
  <c r="H655" i="15"/>
  <c r="S43" i="9"/>
  <c r="A44" i="9"/>
  <c r="Z159" i="14"/>
  <c r="N151" i="14" s="1"/>
  <c r="AE151" i="14" s="1"/>
  <c r="AR55" i="1"/>
  <c r="AV55" i="1"/>
  <c r="F55" i="1" s="1"/>
  <c r="K312" i="4"/>
  <c r="AV56" i="1"/>
  <c r="F56" i="1" s="1"/>
  <c r="W172" i="14"/>
  <c r="H166" i="14" s="1"/>
  <c r="Y157" i="14"/>
  <c r="L363" i="4"/>
  <c r="K363" i="4"/>
  <c r="AE55" i="1"/>
  <c r="W173" i="14"/>
  <c r="AW55" i="1"/>
  <c r="G55" i="1" s="1"/>
  <c r="AH56" i="1"/>
  <c r="M56" i="1" s="1"/>
  <c r="Y159" i="14"/>
  <c r="K151" i="14" s="1"/>
  <c r="AD151" i="14" s="1"/>
  <c r="AW56" i="1"/>
  <c r="G56" i="1" s="1"/>
  <c r="AR56" i="1"/>
  <c r="U53" i="15"/>
  <c r="H54" i="15"/>
  <c r="T53" i="15"/>
  <c r="G53" i="15" s="1"/>
  <c r="L119" i="14"/>
  <c r="M119" i="14"/>
  <c r="AC49" i="1"/>
  <c r="AJ49" i="1"/>
  <c r="AD49" i="1"/>
  <c r="AQ49" i="1" s="1"/>
  <c r="U41" i="9" s="1"/>
  <c r="AF49" i="1"/>
  <c r="AI49" i="1"/>
  <c r="Y138" i="14"/>
  <c r="AA49" i="1"/>
  <c r="AP49" i="1" s="1"/>
  <c r="T41" i="9" s="1"/>
  <c r="AG49" i="1"/>
  <c r="AB49" i="1"/>
  <c r="O36" i="9"/>
  <c r="X107" i="14"/>
  <c r="AT40" i="1"/>
  <c r="D40" i="1"/>
  <c r="C40" i="1" s="1"/>
  <c r="BC38" i="1"/>
  <c r="H854" i="15"/>
  <c r="T853" i="15"/>
  <c r="U853" i="15"/>
  <c r="U379" i="15"/>
  <c r="T379" i="15"/>
  <c r="H380" i="15"/>
  <c r="Y156" i="14"/>
  <c r="O150" i="14" s="1"/>
  <c r="H176" i="15"/>
  <c r="T175" i="15"/>
  <c r="G175" i="15" s="1"/>
  <c r="U175" i="15"/>
  <c r="H97" i="15"/>
  <c r="U96" i="15"/>
  <c r="T96" i="15"/>
  <c r="G96" i="15" s="1"/>
  <c r="I242" i="17"/>
  <c r="AS41" i="1"/>
  <c r="D41" i="1" s="1"/>
  <c r="N37" i="9"/>
  <c r="B38" i="9"/>
  <c r="Q34" i="9"/>
  <c r="M562" i="4" s="1"/>
  <c r="R34" i="9"/>
  <c r="T617" i="15"/>
  <c r="U617" i="15"/>
  <c r="H618" i="15"/>
  <c r="V41" i="9"/>
  <c r="AB41" i="9" s="1"/>
  <c r="N213" i="4" s="1"/>
  <c r="U143" i="15"/>
  <c r="H144" i="15"/>
  <c r="T143" i="15"/>
  <c r="G143" i="15" s="1"/>
  <c r="BD35" i="1"/>
  <c r="E35" i="1"/>
  <c r="BE35" i="1"/>
  <c r="BF35" i="1"/>
  <c r="BC35" i="1"/>
  <c r="X142" i="14"/>
  <c r="H135" i="14" s="1"/>
  <c r="W142" i="14"/>
  <c r="C135" i="14" s="1"/>
  <c r="T580" i="15"/>
  <c r="H581" i="15"/>
  <c r="U580" i="15"/>
  <c r="H498" i="15"/>
  <c r="U497" i="15"/>
  <c r="T497" i="15"/>
  <c r="AO90" i="14"/>
  <c r="AO91" i="14"/>
  <c r="AO95" i="14"/>
  <c r="AN93" i="14"/>
  <c r="AO93" i="14"/>
  <c r="AN90" i="14"/>
  <c r="AO92" i="14"/>
  <c r="AN89" i="14"/>
  <c r="AN94" i="14"/>
  <c r="AN92" i="14"/>
  <c r="AN95" i="14"/>
  <c r="AO88" i="14"/>
  <c r="AN88" i="14"/>
  <c r="AN91" i="14"/>
  <c r="AO89" i="14"/>
  <c r="AO96" i="14"/>
  <c r="AN96" i="14"/>
  <c r="AO94" i="14"/>
  <c r="AL88" i="14"/>
  <c r="AL94" i="14"/>
  <c r="AM88" i="14"/>
  <c r="AL93" i="14"/>
  <c r="AL96" i="14"/>
  <c r="AM89" i="14"/>
  <c r="AL91" i="14"/>
  <c r="AM90" i="14"/>
  <c r="AL92" i="14"/>
  <c r="AM93" i="14"/>
  <c r="AM94" i="14"/>
  <c r="AL90" i="14"/>
  <c r="AM95" i="14"/>
  <c r="AL95" i="14"/>
  <c r="AM96" i="14"/>
  <c r="AM91" i="14"/>
  <c r="AM92" i="14"/>
  <c r="AL89" i="14"/>
  <c r="H943" i="15"/>
  <c r="U942" i="15"/>
  <c r="T942" i="15"/>
  <c r="AH14" i="2"/>
  <c r="V15" i="2"/>
  <c r="T416" i="15"/>
  <c r="U416" i="15"/>
  <c r="H417" i="15"/>
  <c r="P35" i="9"/>
  <c r="AU35" i="1"/>
  <c r="F214" i="15"/>
  <c r="G213" i="15"/>
  <c r="AX15" i="14"/>
  <c r="AY14" i="14"/>
  <c r="H242" i="17"/>
  <c r="BL257" i="17"/>
  <c r="BD257" i="17"/>
  <c r="BX257" i="17"/>
  <c r="BJ257" i="17"/>
  <c r="BK257" i="17"/>
  <c r="BN257" i="17"/>
  <c r="BP257" i="17"/>
  <c r="BY257" i="17"/>
  <c r="BI257" i="17"/>
  <c r="CF257" i="17"/>
  <c r="CB257" i="17"/>
  <c r="E256" i="17"/>
  <c r="BC257" i="17"/>
  <c r="CC257" i="17"/>
  <c r="BT257" i="17"/>
  <c r="BR257" i="17"/>
  <c r="CD257" i="17"/>
  <c r="CE257" i="17"/>
  <c r="BF257" i="17"/>
  <c r="BG257" i="17"/>
  <c r="BW257" i="17"/>
  <c r="BH257" i="17"/>
  <c r="CA257" i="17"/>
  <c r="BM257" i="17"/>
  <c r="BV257" i="17"/>
  <c r="BQ257" i="17"/>
  <c r="BE257" i="17"/>
  <c r="BO257" i="17"/>
  <c r="BZ257" i="17"/>
  <c r="BU257" i="17"/>
  <c r="BS257" i="17"/>
  <c r="E257" i="17"/>
  <c r="K249" i="17"/>
  <c r="K247" i="17"/>
  <c r="K248" i="17"/>
  <c r="K252" i="17"/>
  <c r="K251" i="17"/>
  <c r="K250" i="17"/>
  <c r="AI252" i="17"/>
  <c r="AI247" i="17"/>
  <c r="AI251" i="17"/>
  <c r="AI248" i="17"/>
  <c r="AI250" i="17"/>
  <c r="AI249" i="17"/>
  <c r="S249" i="17"/>
  <c r="S247" i="17"/>
  <c r="S250" i="17"/>
  <c r="S252" i="17"/>
  <c r="S251" i="17"/>
  <c r="S248" i="17"/>
  <c r="AG249" i="17"/>
  <c r="AG252" i="17"/>
  <c r="AG251" i="17"/>
  <c r="AG248" i="17"/>
  <c r="AG247" i="17"/>
  <c r="AG250" i="17"/>
  <c r="U458" i="15"/>
  <c r="H459" i="15"/>
  <c r="T458" i="15"/>
  <c r="U537" i="15"/>
  <c r="T537" i="15"/>
  <c r="H538" i="15"/>
  <c r="J242" i="17"/>
  <c r="V250" i="17"/>
  <c r="V251" i="17"/>
  <c r="V248" i="17"/>
  <c r="V249" i="17"/>
  <c r="V252" i="17"/>
  <c r="V247" i="17"/>
  <c r="AJ247" i="17"/>
  <c r="AJ248" i="17"/>
  <c r="AJ249" i="17"/>
  <c r="AJ252" i="17"/>
  <c r="AJ251" i="17"/>
  <c r="AJ250" i="17"/>
  <c r="AC249" i="17"/>
  <c r="AC250" i="17"/>
  <c r="AC252" i="17"/>
  <c r="AC251" i="17"/>
  <c r="AC247" i="17"/>
  <c r="AC248" i="17"/>
  <c r="T251" i="17"/>
  <c r="T247" i="17"/>
  <c r="T249" i="17"/>
  <c r="T248" i="17"/>
  <c r="T250" i="17"/>
  <c r="T252" i="17"/>
  <c r="H699" i="15"/>
  <c r="T698" i="15"/>
  <c r="U698" i="15"/>
  <c r="H740" i="15"/>
  <c r="U739" i="15"/>
  <c r="T739" i="15"/>
  <c r="AR278" i="17"/>
  <c r="R250" i="17"/>
  <c r="R248" i="17"/>
  <c r="R247" i="17"/>
  <c r="R249" i="17"/>
  <c r="R251" i="17"/>
  <c r="R252" i="17"/>
  <c r="X247" i="17"/>
  <c r="X249" i="17"/>
  <c r="X250" i="17"/>
  <c r="X248" i="17"/>
  <c r="X252" i="17"/>
  <c r="X251" i="17"/>
  <c r="AA247" i="17"/>
  <c r="AA251" i="17"/>
  <c r="AA248" i="17"/>
  <c r="AA250" i="17"/>
  <c r="AA249" i="17"/>
  <c r="AA252" i="17"/>
  <c r="AH251" i="17"/>
  <c r="AH247" i="17"/>
  <c r="AH252" i="17"/>
  <c r="AH250" i="17"/>
  <c r="AH248" i="17"/>
  <c r="AH249" i="17"/>
  <c r="AB249" i="17"/>
  <c r="AB251" i="17"/>
  <c r="AB248" i="17"/>
  <c r="AB247" i="17"/>
  <c r="AB252" i="17"/>
  <c r="AB250" i="17"/>
  <c r="Y249" i="17"/>
  <c r="Y251" i="17"/>
  <c r="Y252" i="17"/>
  <c r="Y248" i="17"/>
  <c r="Y247" i="17"/>
  <c r="Y250" i="17"/>
  <c r="T777" i="15"/>
  <c r="H778" i="15"/>
  <c r="U777" i="15"/>
  <c r="H897" i="15"/>
  <c r="T896" i="15"/>
  <c r="U896" i="15"/>
  <c r="U816" i="15"/>
  <c r="T816" i="15"/>
  <c r="H817" i="15"/>
  <c r="AQ289" i="17"/>
  <c r="AP300" i="17"/>
  <c r="AF249" i="17"/>
  <c r="AF251" i="17"/>
  <c r="AF247" i="17"/>
  <c r="AF252" i="17"/>
  <c r="AF250" i="17"/>
  <c r="AF248" i="17"/>
  <c r="AE250" i="17"/>
  <c r="AE251" i="17"/>
  <c r="AE247" i="17"/>
  <c r="AE249" i="17"/>
  <c r="AE248" i="17"/>
  <c r="AE252" i="17"/>
  <c r="L247" i="17"/>
  <c r="L250" i="17"/>
  <c r="L251" i="17"/>
  <c r="L249" i="17"/>
  <c r="L248" i="17"/>
  <c r="L252" i="17"/>
  <c r="O247" i="17"/>
  <c r="O248" i="17"/>
  <c r="O252" i="17"/>
  <c r="O250" i="17"/>
  <c r="O251" i="17"/>
  <c r="O249" i="17"/>
  <c r="H341" i="15"/>
  <c r="T340" i="15"/>
  <c r="U340" i="15"/>
  <c r="U217" i="15"/>
  <c r="H218" i="15"/>
  <c r="T217" i="15"/>
  <c r="K115" i="4"/>
  <c r="L115" i="4"/>
  <c r="D268" i="17"/>
  <c r="D267" i="17"/>
  <c r="AS267" i="17"/>
  <c r="N252" i="17"/>
  <c r="N247" i="17"/>
  <c r="N248" i="17"/>
  <c r="N251" i="17"/>
  <c r="N250" i="17"/>
  <c r="N249" i="17"/>
  <c r="U249" i="17"/>
  <c r="U252" i="17"/>
  <c r="U250" i="17"/>
  <c r="U251" i="17"/>
  <c r="U247" i="17"/>
  <c r="U248" i="17"/>
  <c r="P251" i="17"/>
  <c r="P249" i="17"/>
  <c r="P248" i="17"/>
  <c r="P247" i="17"/>
  <c r="P250" i="17"/>
  <c r="P252" i="17"/>
  <c r="J248" i="17"/>
  <c r="J251" i="17"/>
  <c r="J252" i="17"/>
  <c r="J250" i="17"/>
  <c r="J247" i="17"/>
  <c r="J249" i="17"/>
  <c r="Q249" i="17"/>
  <c r="Q248" i="17"/>
  <c r="Q251" i="17"/>
  <c r="Q250" i="17"/>
  <c r="Q247" i="17"/>
  <c r="Q252" i="17"/>
  <c r="H299" i="15"/>
  <c r="U298" i="15"/>
  <c r="T298" i="15"/>
  <c r="Z247" i="17"/>
  <c r="Z251" i="17"/>
  <c r="Z252" i="17"/>
  <c r="Z249" i="17"/>
  <c r="Z248" i="17"/>
  <c r="Z250" i="17"/>
  <c r="H247" i="17"/>
  <c r="H249" i="17"/>
  <c r="H250" i="17"/>
  <c r="H248" i="17"/>
  <c r="H251" i="17"/>
  <c r="H252" i="17"/>
  <c r="AK248" i="17"/>
  <c r="AK252" i="17"/>
  <c r="AK250" i="17"/>
  <c r="AK251" i="17"/>
  <c r="AK247" i="17"/>
  <c r="AK249" i="17"/>
  <c r="T272" i="15"/>
  <c r="H273" i="15"/>
  <c r="U272" i="15"/>
  <c r="I251" i="17"/>
  <c r="I250" i="17"/>
  <c r="I248" i="17"/>
  <c r="I249" i="17"/>
  <c r="I252" i="17"/>
  <c r="I247" i="17"/>
  <c r="W248" i="17"/>
  <c r="W252" i="17"/>
  <c r="W247" i="17"/>
  <c r="W250" i="17"/>
  <c r="W249" i="17"/>
  <c r="W251" i="17"/>
  <c r="AD247" i="17"/>
  <c r="AD252" i="17"/>
  <c r="AD250" i="17"/>
  <c r="AD248" i="17"/>
  <c r="AD251" i="17"/>
  <c r="AD249" i="17"/>
  <c r="M251" i="17"/>
  <c r="M249" i="17"/>
  <c r="M250" i="17"/>
  <c r="M248" i="17"/>
  <c r="M247" i="17"/>
  <c r="M252" i="17"/>
  <c r="U15" i="15"/>
  <c r="H16" i="15"/>
  <c r="T15" i="15"/>
  <c r="G15" i="15" s="1"/>
  <c r="V253" i="17" l="1"/>
  <c r="AD253" i="17"/>
  <c r="AA253" i="17"/>
  <c r="Y253" i="17"/>
  <c r="Z253" i="17"/>
  <c r="W253" i="17"/>
  <c r="AC253" i="17"/>
  <c r="U253" i="17"/>
  <c r="T253" i="17"/>
  <c r="AB253" i="17"/>
  <c r="S253" i="17"/>
  <c r="X253" i="17"/>
  <c r="Q253" i="17"/>
  <c r="R253" i="17"/>
  <c r="P253" i="17"/>
  <c r="O253" i="17"/>
  <c r="N253" i="17"/>
  <c r="M253" i="17"/>
  <c r="L253" i="17"/>
  <c r="K253" i="17"/>
  <c r="U417" i="15"/>
  <c r="T417" i="15"/>
  <c r="H418" i="15"/>
  <c r="H582" i="15"/>
  <c r="U581" i="15"/>
  <c r="T581" i="15"/>
  <c r="O37" i="9"/>
  <c r="AT41" i="1"/>
  <c r="Z107" i="14"/>
  <c r="U176" i="15"/>
  <c r="T176" i="15"/>
  <c r="G176" i="15" s="1"/>
  <c r="H177" i="15"/>
  <c r="T380" i="15"/>
  <c r="H381" i="15"/>
  <c r="U380" i="15"/>
  <c r="BD40" i="1"/>
  <c r="E40" i="1"/>
  <c r="BC40" i="1"/>
  <c r="BE40" i="1"/>
  <c r="BF40" i="1"/>
  <c r="T655" i="15"/>
  <c r="H656" i="15"/>
  <c r="U655" i="15"/>
  <c r="H145" i="15"/>
  <c r="T144" i="15"/>
  <c r="G144" i="15" s="1"/>
  <c r="U144" i="15"/>
  <c r="AJ107" i="14"/>
  <c r="AJ106" i="14"/>
  <c r="AK104" i="14"/>
  <c r="AH105" i="14"/>
  <c r="AK112" i="14"/>
  <c r="AH110" i="14"/>
  <c r="AJ112" i="14"/>
  <c r="AI105" i="14"/>
  <c r="AI106" i="14"/>
  <c r="AH108" i="14"/>
  <c r="AJ108" i="14"/>
  <c r="AH112" i="14"/>
  <c r="AJ111" i="14"/>
  <c r="AK105" i="14"/>
  <c r="AJ110" i="14"/>
  <c r="AI107" i="14"/>
  <c r="AI109" i="14"/>
  <c r="AI104" i="14"/>
  <c r="AH111" i="14"/>
  <c r="AJ109" i="14"/>
  <c r="AK107" i="14"/>
  <c r="AK111" i="14"/>
  <c r="AH104" i="14"/>
  <c r="AJ104" i="14"/>
  <c r="AI108" i="14"/>
  <c r="AH107" i="14"/>
  <c r="AH109" i="14"/>
  <c r="AK109" i="14"/>
  <c r="AI111" i="14"/>
  <c r="AI110" i="14"/>
  <c r="AK108" i="14"/>
  <c r="AH106" i="14"/>
  <c r="AJ105" i="14"/>
  <c r="AK106" i="14"/>
  <c r="AI112" i="14"/>
  <c r="AK110" i="14"/>
  <c r="Y144" i="14"/>
  <c r="W41" i="9"/>
  <c r="AH15" i="2"/>
  <c r="V16" i="2"/>
  <c r="T618" i="15"/>
  <c r="U618" i="15"/>
  <c r="H619" i="15"/>
  <c r="AU40" i="1"/>
  <c r="P36" i="9"/>
  <c r="AD153" i="14"/>
  <c r="AD158" i="14"/>
  <c r="AD154" i="14"/>
  <c r="AD160" i="14"/>
  <c r="AD156" i="14"/>
  <c r="AD152" i="14"/>
  <c r="AD155" i="14"/>
  <c r="AD157" i="14"/>
  <c r="AD159" i="14"/>
  <c r="H55" i="15"/>
  <c r="T54" i="15"/>
  <c r="G54" i="15" s="1"/>
  <c r="U54" i="15"/>
  <c r="F135" i="14"/>
  <c r="AE155" i="14"/>
  <c r="AE156" i="14"/>
  <c r="AE154" i="14"/>
  <c r="AE153" i="14"/>
  <c r="AE152" i="14"/>
  <c r="AE157" i="14"/>
  <c r="AE158" i="14"/>
  <c r="AE160" i="14"/>
  <c r="AE159" i="14"/>
  <c r="E135" i="14"/>
  <c r="AJ54" i="1"/>
  <c r="AC54" i="1"/>
  <c r="AG54" i="1"/>
  <c r="AD54" i="1"/>
  <c r="AQ54" i="1" s="1"/>
  <c r="U42" i="9" s="1"/>
  <c r="AF54" i="1"/>
  <c r="W154" i="14"/>
  <c r="AB54" i="1"/>
  <c r="AA54" i="1"/>
  <c r="AP54" i="1" s="1"/>
  <c r="T42" i="9" s="1"/>
  <c r="AI54" i="1"/>
  <c r="N38" i="9"/>
  <c r="B39" i="9"/>
  <c r="AS42" i="1"/>
  <c r="D42" i="1" s="1"/>
  <c r="Z142" i="14"/>
  <c r="O135" i="14" s="1"/>
  <c r="Y142" i="14"/>
  <c r="J135" i="14" s="1"/>
  <c r="T498" i="15"/>
  <c r="H499" i="15"/>
  <c r="U498" i="15"/>
  <c r="C199" i="17"/>
  <c r="W91" i="14"/>
  <c r="C86" i="14" s="1"/>
  <c r="H98" i="15"/>
  <c r="U97" i="15"/>
  <c r="T97" i="15"/>
  <c r="G97" i="15" s="1"/>
  <c r="U854" i="15"/>
  <c r="H855" i="15"/>
  <c r="T854" i="15"/>
  <c r="Z144" i="14"/>
  <c r="X41" i="9"/>
  <c r="Z55" i="1"/>
  <c r="I55" i="1"/>
  <c r="Y55" i="1"/>
  <c r="Q35" i="9"/>
  <c r="M512" i="4" s="1"/>
  <c r="R35" i="9"/>
  <c r="U943" i="15"/>
  <c r="T943" i="15"/>
  <c r="H944" i="15"/>
  <c r="A45" i="9"/>
  <c r="S44" i="9"/>
  <c r="X175" i="14"/>
  <c r="G167" i="14" s="1"/>
  <c r="AC167" i="14" s="1"/>
  <c r="L312" i="4"/>
  <c r="Y173" i="14"/>
  <c r="W175" i="14"/>
  <c r="D167" i="14" s="1"/>
  <c r="AB167" i="14" s="1"/>
  <c r="K563" i="4"/>
  <c r="AV61" i="1"/>
  <c r="F61" i="1" s="1"/>
  <c r="AE56" i="1"/>
  <c r="V42" i="9"/>
  <c r="AB42" i="9" s="1"/>
  <c r="F215" i="15"/>
  <c r="G214" i="15"/>
  <c r="AY15" i="14"/>
  <c r="AX16" i="14"/>
  <c r="H818" i="15"/>
  <c r="T817" i="15"/>
  <c r="U817" i="15"/>
  <c r="T258" i="17"/>
  <c r="T260" i="17"/>
  <c r="T259" i="17"/>
  <c r="T262" i="17"/>
  <c r="T261" i="17"/>
  <c r="T263" i="17"/>
  <c r="L261" i="17"/>
  <c r="L259" i="17"/>
  <c r="L260" i="17"/>
  <c r="L263" i="17"/>
  <c r="L262" i="17"/>
  <c r="L258" i="17"/>
  <c r="O262" i="17"/>
  <c r="O258" i="17"/>
  <c r="O261" i="17"/>
  <c r="O260" i="17"/>
  <c r="O263" i="17"/>
  <c r="O259" i="17"/>
  <c r="H741" i="15"/>
  <c r="U740" i="15"/>
  <c r="T740" i="15"/>
  <c r="J258" i="17"/>
  <c r="J260" i="17"/>
  <c r="J259" i="17"/>
  <c r="J262" i="17"/>
  <c r="J261" i="17"/>
  <c r="J263" i="17"/>
  <c r="K259" i="17"/>
  <c r="K260" i="17"/>
  <c r="K258" i="17"/>
  <c r="K263" i="17"/>
  <c r="K261" i="17"/>
  <c r="K262" i="17"/>
  <c r="AG259" i="17"/>
  <c r="AG261" i="17"/>
  <c r="AG260" i="17"/>
  <c r="AG263" i="17"/>
  <c r="AG262" i="17"/>
  <c r="AG258" i="17"/>
  <c r="AC262" i="17"/>
  <c r="AC258" i="17"/>
  <c r="AC259" i="17"/>
  <c r="AC263" i="17"/>
  <c r="AC261" i="17"/>
  <c r="AC260" i="17"/>
  <c r="H17" i="15"/>
  <c r="U16" i="15"/>
  <c r="T16" i="15"/>
  <c r="G16" i="15" s="1"/>
  <c r="V258" i="17"/>
  <c r="V263" i="17"/>
  <c r="V259" i="17"/>
  <c r="V260" i="17"/>
  <c r="V262" i="17"/>
  <c r="V261" i="17"/>
  <c r="AJ258" i="17"/>
  <c r="AJ262" i="17"/>
  <c r="AJ263" i="17"/>
  <c r="AJ261" i="17"/>
  <c r="AJ260" i="17"/>
  <c r="AJ259" i="17"/>
  <c r="AK263" i="17"/>
  <c r="AK259" i="17"/>
  <c r="AK262" i="17"/>
  <c r="AK258" i="17"/>
  <c r="AK260" i="17"/>
  <c r="AK261" i="17"/>
  <c r="I259" i="17"/>
  <c r="I261" i="17"/>
  <c r="I263" i="17"/>
  <c r="I258" i="17"/>
  <c r="I262" i="17"/>
  <c r="I260" i="17"/>
  <c r="AA263" i="17"/>
  <c r="AA261" i="17"/>
  <c r="AA262" i="17"/>
  <c r="AA260" i="17"/>
  <c r="AA258" i="17"/>
  <c r="AA259" i="17"/>
  <c r="AI260" i="17"/>
  <c r="AI258" i="17"/>
  <c r="AI262" i="17"/>
  <c r="AI261" i="17"/>
  <c r="AI259" i="17"/>
  <c r="AI263" i="17"/>
  <c r="N260" i="17"/>
  <c r="N262" i="17"/>
  <c r="N263" i="17"/>
  <c r="N258" i="17"/>
  <c r="N261" i="17"/>
  <c r="N259" i="17"/>
  <c r="Q258" i="17"/>
  <c r="Q261" i="17"/>
  <c r="Q259" i="17"/>
  <c r="Q263" i="17"/>
  <c r="Q262" i="17"/>
  <c r="Q260" i="17"/>
  <c r="BY268" i="17"/>
  <c r="BF268" i="17"/>
  <c r="BM268" i="17"/>
  <c r="BZ268" i="17"/>
  <c r="BK268" i="17"/>
  <c r="BD268" i="17"/>
  <c r="CD268" i="17"/>
  <c r="BH268" i="17"/>
  <c r="BW268" i="17"/>
  <c r="E268" i="17"/>
  <c r="BS268" i="17"/>
  <c r="BI268" i="17"/>
  <c r="BO268" i="17"/>
  <c r="BJ268" i="17"/>
  <c r="BV268" i="17"/>
  <c r="BL268" i="17"/>
  <c r="BE268" i="17"/>
  <c r="BU268" i="17"/>
  <c r="E267" i="17"/>
  <c r="CE268" i="17"/>
  <c r="CA268" i="17"/>
  <c r="BG268" i="17"/>
  <c r="CB268" i="17"/>
  <c r="BR268" i="17"/>
  <c r="BN268" i="17"/>
  <c r="BT268" i="17"/>
  <c r="CF268" i="17"/>
  <c r="BP268" i="17"/>
  <c r="BX268" i="17"/>
  <c r="BC268" i="17"/>
  <c r="BQ268" i="17"/>
  <c r="CC268" i="17"/>
  <c r="R260" i="17"/>
  <c r="R262" i="17"/>
  <c r="R258" i="17"/>
  <c r="R259" i="17"/>
  <c r="R261" i="17"/>
  <c r="R263" i="17"/>
  <c r="W258" i="17"/>
  <c r="W259" i="17"/>
  <c r="W260" i="17"/>
  <c r="W261" i="17"/>
  <c r="W262" i="17"/>
  <c r="W263" i="17"/>
  <c r="AD258" i="17"/>
  <c r="AD259" i="17"/>
  <c r="AD262" i="17"/>
  <c r="AD263" i="17"/>
  <c r="AD260" i="17"/>
  <c r="AD261" i="17"/>
  <c r="T299" i="15"/>
  <c r="H300" i="15"/>
  <c r="U299" i="15"/>
  <c r="AQ300" i="17"/>
  <c r="AP311" i="17"/>
  <c r="U897" i="15"/>
  <c r="H898" i="15"/>
  <c r="T897" i="15"/>
  <c r="T153" i="15"/>
  <c r="G153" i="15" s="1"/>
  <c r="U153" i="15"/>
  <c r="X262" i="17"/>
  <c r="X258" i="17"/>
  <c r="X259" i="17"/>
  <c r="X260" i="17"/>
  <c r="X261" i="17"/>
  <c r="X263" i="17"/>
  <c r="AF263" i="17"/>
  <c r="AF262" i="17"/>
  <c r="AF258" i="17"/>
  <c r="AF259" i="17"/>
  <c r="AF260" i="17"/>
  <c r="AF261" i="17"/>
  <c r="Y261" i="17"/>
  <c r="Y263" i="17"/>
  <c r="Y262" i="17"/>
  <c r="Y260" i="17"/>
  <c r="Y259" i="17"/>
  <c r="Y258" i="17"/>
  <c r="U261" i="17"/>
  <c r="U263" i="17"/>
  <c r="U262" i="17"/>
  <c r="U258" i="17"/>
  <c r="U259" i="17"/>
  <c r="U260" i="17"/>
  <c r="H253" i="17"/>
  <c r="T218" i="15"/>
  <c r="U218" i="15"/>
  <c r="H219" i="15"/>
  <c r="AR289" i="17"/>
  <c r="H700" i="15"/>
  <c r="U699" i="15"/>
  <c r="T699" i="15"/>
  <c r="T459" i="15"/>
  <c r="H460" i="15"/>
  <c r="U459" i="15"/>
  <c r="Z258" i="17"/>
  <c r="Z262" i="17"/>
  <c r="Z259" i="17"/>
  <c r="Z261" i="17"/>
  <c r="Z263" i="17"/>
  <c r="Z260" i="17"/>
  <c r="M262" i="17"/>
  <c r="M261" i="17"/>
  <c r="M259" i="17"/>
  <c r="M258" i="17"/>
  <c r="M260" i="17"/>
  <c r="M263" i="17"/>
  <c r="AH262" i="17"/>
  <c r="AH260" i="17"/>
  <c r="AH258" i="17"/>
  <c r="AH259" i="17"/>
  <c r="AH261" i="17"/>
  <c r="AH263" i="17"/>
  <c r="S263" i="17"/>
  <c r="S258" i="17"/>
  <c r="S259" i="17"/>
  <c r="S260" i="17"/>
  <c r="S261" i="17"/>
  <c r="S262" i="17"/>
  <c r="H342" i="15"/>
  <c r="T341" i="15"/>
  <c r="U341" i="15"/>
  <c r="I253" i="17"/>
  <c r="H274" i="15"/>
  <c r="T273" i="15"/>
  <c r="U273" i="15"/>
  <c r="J253" i="17"/>
  <c r="H779" i="15"/>
  <c r="T778" i="15"/>
  <c r="U778" i="15"/>
  <c r="D278" i="17"/>
  <c r="D279" i="17"/>
  <c r="AS278" i="17"/>
  <c r="H539" i="15"/>
  <c r="U538" i="15"/>
  <c r="T538" i="15"/>
  <c r="AE261" i="17"/>
  <c r="AE258" i="17"/>
  <c r="AE260" i="17"/>
  <c r="AE259" i="17"/>
  <c r="AE263" i="17"/>
  <c r="AE262" i="17"/>
  <c r="AB262" i="17"/>
  <c r="AB261" i="17"/>
  <c r="AB260" i="17"/>
  <c r="AB259" i="17"/>
  <c r="AB263" i="17"/>
  <c r="AB258" i="17"/>
  <c r="H263" i="17"/>
  <c r="H262" i="17"/>
  <c r="H261" i="17"/>
  <c r="H259" i="17"/>
  <c r="H258" i="17"/>
  <c r="H260" i="17"/>
  <c r="P262" i="17"/>
  <c r="P259" i="17"/>
  <c r="P263" i="17"/>
  <c r="P258" i="17"/>
  <c r="P260" i="17"/>
  <c r="P261" i="17"/>
  <c r="V264" i="17" l="1"/>
  <c r="AD264" i="17"/>
  <c r="AA264" i="17"/>
  <c r="Y264" i="17"/>
  <c r="Z264" i="17"/>
  <c r="W264" i="17"/>
  <c r="AC264" i="17"/>
  <c r="U264" i="17"/>
  <c r="T264" i="17"/>
  <c r="AB264" i="17"/>
  <c r="S264" i="17"/>
  <c r="X264" i="17"/>
  <c r="R264" i="17"/>
  <c r="Q264" i="17"/>
  <c r="P264" i="17"/>
  <c r="O264" i="17"/>
  <c r="N264" i="17"/>
  <c r="M264" i="17"/>
  <c r="L264" i="17"/>
  <c r="K264" i="17"/>
  <c r="I56" i="1"/>
  <c r="Z56" i="1"/>
  <c r="Y56" i="1"/>
  <c r="AE61" i="1"/>
  <c r="H945" i="15"/>
  <c r="T944" i="15"/>
  <c r="U944" i="15"/>
  <c r="B40" i="9"/>
  <c r="N39" i="9"/>
  <c r="AS47" i="1"/>
  <c r="H620" i="15"/>
  <c r="T619" i="15"/>
  <c r="U619" i="15"/>
  <c r="M135" i="14"/>
  <c r="O38" i="9"/>
  <c r="X123" i="14"/>
  <c r="AT42" i="1"/>
  <c r="X160" i="14"/>
  <c r="X42" i="9"/>
  <c r="U177" i="15"/>
  <c r="T177" i="15"/>
  <c r="G177" i="15" s="1"/>
  <c r="H178" i="15"/>
  <c r="Y91" i="14"/>
  <c r="J86" i="14" s="1"/>
  <c r="C210" i="17"/>
  <c r="T855" i="15"/>
  <c r="H856" i="15"/>
  <c r="U855" i="15"/>
  <c r="U499" i="15"/>
  <c r="H500" i="15"/>
  <c r="T499" i="15"/>
  <c r="V17" i="2"/>
  <c r="AH16" i="2"/>
  <c r="AC168" i="14"/>
  <c r="AC170" i="14"/>
  <c r="AC172" i="14"/>
  <c r="AC174" i="14"/>
  <c r="AC175" i="14"/>
  <c r="AC171" i="14"/>
  <c r="AC176" i="14"/>
  <c r="AC173" i="14"/>
  <c r="AC169" i="14"/>
  <c r="T55" i="15"/>
  <c r="G55" i="15" s="1"/>
  <c r="U55" i="15"/>
  <c r="H56" i="15"/>
  <c r="AO105" i="14"/>
  <c r="AN108" i="14"/>
  <c r="AM110" i="14"/>
  <c r="AM106" i="14"/>
  <c r="AM105" i="14"/>
  <c r="AL107" i="14"/>
  <c r="AL105" i="14"/>
  <c r="AM107" i="14"/>
  <c r="AL104" i="14"/>
  <c r="AO104" i="14"/>
  <c r="AO109" i="14"/>
  <c r="AN104" i="14"/>
  <c r="AN109" i="14"/>
  <c r="AO108" i="14"/>
  <c r="AN105" i="14"/>
  <c r="AO106" i="14"/>
  <c r="AL110" i="14"/>
  <c r="AL106" i="14"/>
  <c r="AO112" i="14"/>
  <c r="AL109" i="14"/>
  <c r="AO110" i="14"/>
  <c r="AN107" i="14"/>
  <c r="AL108" i="14"/>
  <c r="AL111" i="14"/>
  <c r="AN111" i="14"/>
  <c r="AM108" i="14"/>
  <c r="AM112" i="14"/>
  <c r="AN106" i="14"/>
  <c r="AO107" i="14"/>
  <c r="AL112" i="14"/>
  <c r="AM104" i="14"/>
  <c r="AM109" i="14"/>
  <c r="AO111" i="14"/>
  <c r="AN110" i="14"/>
  <c r="AN112" i="14"/>
  <c r="AM111" i="14"/>
  <c r="U582" i="15"/>
  <c r="T582" i="15"/>
  <c r="H583" i="15"/>
  <c r="U145" i="15"/>
  <c r="H146" i="15"/>
  <c r="T145" i="15"/>
  <c r="G145" i="15" s="1"/>
  <c r="BC41" i="1"/>
  <c r="BD41" i="1"/>
  <c r="BF41" i="1"/>
  <c r="BE41" i="1"/>
  <c r="E41" i="1"/>
  <c r="U418" i="15"/>
  <c r="T418" i="15"/>
  <c r="H419" i="15"/>
  <c r="V44" i="9"/>
  <c r="AB44" i="9" s="1"/>
  <c r="N312" i="4" s="1"/>
  <c r="W158" i="14"/>
  <c r="C151" i="14" s="1"/>
  <c r="X158" i="14"/>
  <c r="H151" i="14" s="1"/>
  <c r="Q36" i="9"/>
  <c r="R36" i="9"/>
  <c r="L135" i="14"/>
  <c r="P37" i="9"/>
  <c r="AU41" i="1"/>
  <c r="AB173" i="14"/>
  <c r="AB172" i="14"/>
  <c r="AB171" i="14"/>
  <c r="AB169" i="14"/>
  <c r="AB174" i="14"/>
  <c r="AB170" i="14"/>
  <c r="AB175" i="14"/>
  <c r="AB168" i="14"/>
  <c r="AB176" i="14"/>
  <c r="A46" i="9"/>
  <c r="S45" i="9"/>
  <c r="Z175" i="14"/>
  <c r="N167" i="14" s="1"/>
  <c r="AE167" i="14" s="1"/>
  <c r="AW61" i="1"/>
  <c r="G61" i="1" s="1"/>
  <c r="AH61" i="1"/>
  <c r="M61" i="1" s="1"/>
  <c r="AR61" i="1"/>
  <c r="X191" i="14"/>
  <c r="G183" i="14" s="1"/>
  <c r="AC183" i="14" s="1"/>
  <c r="L563" i="4"/>
  <c r="Y172" i="14"/>
  <c r="O166" i="14" s="1"/>
  <c r="Y175" i="14"/>
  <c r="K167" i="14" s="1"/>
  <c r="AD167" i="14" s="1"/>
  <c r="AB55" i="1"/>
  <c r="AC55" i="1"/>
  <c r="Y154" i="14"/>
  <c r="AF55" i="1"/>
  <c r="AG55" i="1"/>
  <c r="AD55" i="1"/>
  <c r="AQ55" i="1" s="1"/>
  <c r="U43" i="9" s="1"/>
  <c r="AJ55" i="1"/>
  <c r="AA55" i="1"/>
  <c r="AP55" i="1" s="1"/>
  <c r="T43" i="9" s="1"/>
  <c r="AI55" i="1"/>
  <c r="H99" i="15"/>
  <c r="T98" i="15"/>
  <c r="G98" i="15" s="1"/>
  <c r="U98" i="15"/>
  <c r="W160" i="14"/>
  <c r="W42" i="9"/>
  <c r="H657" i="15"/>
  <c r="T656" i="15"/>
  <c r="U656" i="15"/>
  <c r="H382" i="15"/>
  <c r="U381" i="15"/>
  <c r="T381" i="15"/>
  <c r="V43" i="9"/>
  <c r="AB43" i="9" s="1"/>
  <c r="N363" i="4" s="1"/>
  <c r="F216" i="15"/>
  <c r="G215" i="15"/>
  <c r="AY16" i="14"/>
  <c r="AX17" i="14"/>
  <c r="AK270" i="17"/>
  <c r="AK272" i="17"/>
  <c r="AK269" i="17"/>
  <c r="AK274" i="17"/>
  <c r="AK271" i="17"/>
  <c r="AK273" i="17"/>
  <c r="H540" i="15"/>
  <c r="T539" i="15"/>
  <c r="U539" i="15"/>
  <c r="H275" i="15"/>
  <c r="U274" i="15"/>
  <c r="T274" i="15"/>
  <c r="H343" i="15"/>
  <c r="U342" i="15"/>
  <c r="T342" i="15"/>
  <c r="AC274" i="17"/>
  <c r="AC273" i="17"/>
  <c r="AC269" i="17"/>
  <c r="AC271" i="17"/>
  <c r="AC270" i="17"/>
  <c r="AC272" i="17"/>
  <c r="AF273" i="17"/>
  <c r="AF274" i="17"/>
  <c r="AF271" i="17"/>
  <c r="AF269" i="17"/>
  <c r="AF270" i="17"/>
  <c r="AF272" i="17"/>
  <c r="T274" i="17"/>
  <c r="T270" i="17"/>
  <c r="T271" i="17"/>
  <c r="T273" i="17"/>
  <c r="T272" i="17"/>
  <c r="T269" i="17"/>
  <c r="P269" i="17"/>
  <c r="P271" i="17"/>
  <c r="P270" i="17"/>
  <c r="P272" i="17"/>
  <c r="P273" i="17"/>
  <c r="P274" i="17"/>
  <c r="H742" i="15"/>
  <c r="U741" i="15"/>
  <c r="T741" i="15"/>
  <c r="U269" i="17"/>
  <c r="U271" i="17"/>
  <c r="U270" i="17"/>
  <c r="U273" i="17"/>
  <c r="U274" i="17"/>
  <c r="U272" i="17"/>
  <c r="AJ270" i="17"/>
  <c r="AJ271" i="17"/>
  <c r="AJ274" i="17"/>
  <c r="AJ273" i="17"/>
  <c r="AJ269" i="17"/>
  <c r="AJ272" i="17"/>
  <c r="N273" i="17"/>
  <c r="N271" i="17"/>
  <c r="N272" i="17"/>
  <c r="N270" i="17"/>
  <c r="N269" i="17"/>
  <c r="N274" i="17"/>
  <c r="AE270" i="17"/>
  <c r="AE274" i="17"/>
  <c r="AE269" i="17"/>
  <c r="AE273" i="17"/>
  <c r="AE271" i="17"/>
  <c r="AE272" i="17"/>
  <c r="I264" i="17"/>
  <c r="H819" i="15"/>
  <c r="T818" i="15"/>
  <c r="U818" i="15"/>
  <c r="Y269" i="17"/>
  <c r="Y272" i="17"/>
  <c r="Y273" i="17"/>
  <c r="Y271" i="17"/>
  <c r="Y274" i="17"/>
  <c r="Y270" i="17"/>
  <c r="Z271" i="17"/>
  <c r="Z273" i="17"/>
  <c r="Z272" i="17"/>
  <c r="Z270" i="17"/>
  <c r="Z274" i="17"/>
  <c r="Z269" i="17"/>
  <c r="K271" i="17"/>
  <c r="K269" i="17"/>
  <c r="K270" i="17"/>
  <c r="K274" i="17"/>
  <c r="K272" i="17"/>
  <c r="K273" i="17"/>
  <c r="T779" i="15"/>
  <c r="H780" i="15"/>
  <c r="U779" i="15"/>
  <c r="AS289" i="17"/>
  <c r="D290" i="17"/>
  <c r="D289" i="17"/>
  <c r="AP322" i="17"/>
  <c r="AQ311" i="17"/>
  <c r="U300" i="15"/>
  <c r="H301" i="15"/>
  <c r="T300" i="15"/>
  <c r="S271" i="17"/>
  <c r="S273" i="17"/>
  <c r="S270" i="17"/>
  <c r="S274" i="17"/>
  <c r="S272" i="17"/>
  <c r="S269" i="17"/>
  <c r="J271" i="17"/>
  <c r="J269" i="17"/>
  <c r="J273" i="17"/>
  <c r="J274" i="17"/>
  <c r="J270" i="17"/>
  <c r="J272" i="17"/>
  <c r="AB273" i="17"/>
  <c r="AB271" i="17"/>
  <c r="AB269" i="17"/>
  <c r="AB270" i="17"/>
  <c r="AB274" i="17"/>
  <c r="AB272" i="17"/>
  <c r="AD273" i="17"/>
  <c r="AD274" i="17"/>
  <c r="AD269" i="17"/>
  <c r="AD270" i="17"/>
  <c r="AD271" i="17"/>
  <c r="AD272" i="17"/>
  <c r="H220" i="15"/>
  <c r="T219" i="15"/>
  <c r="U219" i="15"/>
  <c r="AR300" i="17"/>
  <c r="AH271" i="17"/>
  <c r="AH272" i="17"/>
  <c r="AH274" i="17"/>
  <c r="AH269" i="17"/>
  <c r="AH270" i="17"/>
  <c r="AH273" i="17"/>
  <c r="W271" i="17"/>
  <c r="W274" i="17"/>
  <c r="W272" i="17"/>
  <c r="W269" i="17"/>
  <c r="W273" i="17"/>
  <c r="W270" i="17"/>
  <c r="Q269" i="17"/>
  <c r="Q273" i="17"/>
  <c r="Q270" i="17"/>
  <c r="Q271" i="17"/>
  <c r="Q274" i="17"/>
  <c r="Q272" i="17"/>
  <c r="M273" i="17"/>
  <c r="M271" i="17"/>
  <c r="M274" i="17"/>
  <c r="M269" i="17"/>
  <c r="M272" i="17"/>
  <c r="M270" i="17"/>
  <c r="H899" i="15"/>
  <c r="U898" i="15"/>
  <c r="T898" i="15"/>
  <c r="R272" i="17"/>
  <c r="R273" i="17"/>
  <c r="R270" i="17"/>
  <c r="R274" i="17"/>
  <c r="R269" i="17"/>
  <c r="R271" i="17"/>
  <c r="H264" i="17"/>
  <c r="U154" i="15"/>
  <c r="T154" i="15"/>
  <c r="G154" i="15" s="1"/>
  <c r="V274" i="17"/>
  <c r="V273" i="17"/>
  <c r="V271" i="17"/>
  <c r="V270" i="17"/>
  <c r="V269" i="17"/>
  <c r="V272" i="17"/>
  <c r="AG271" i="17"/>
  <c r="AG274" i="17"/>
  <c r="AG269" i="17"/>
  <c r="AG270" i="17"/>
  <c r="AG273" i="17"/>
  <c r="AG272" i="17"/>
  <c r="AA272" i="17"/>
  <c r="AA271" i="17"/>
  <c r="AA274" i="17"/>
  <c r="AA270" i="17"/>
  <c r="AA269" i="17"/>
  <c r="AA273" i="17"/>
  <c r="AI270" i="17"/>
  <c r="AI272" i="17"/>
  <c r="AI273" i="17"/>
  <c r="AI274" i="17"/>
  <c r="AI271" i="17"/>
  <c r="AI269" i="17"/>
  <c r="H18" i="15"/>
  <c r="U17" i="15"/>
  <c r="T17" i="15"/>
  <c r="G17" i="15" s="1"/>
  <c r="X270" i="17"/>
  <c r="X271" i="17"/>
  <c r="X269" i="17"/>
  <c r="X274" i="17"/>
  <c r="X273" i="17"/>
  <c r="X272" i="17"/>
  <c r="BZ279" i="17"/>
  <c r="BR279" i="17"/>
  <c r="BG279" i="17"/>
  <c r="E279" i="17"/>
  <c r="BW279" i="17"/>
  <c r="BJ279" i="17"/>
  <c r="BD279" i="17"/>
  <c r="BX279" i="17"/>
  <c r="BI279" i="17"/>
  <c r="BV279" i="17"/>
  <c r="BU279" i="17"/>
  <c r="BO279" i="17"/>
  <c r="BC279" i="17"/>
  <c r="BF279" i="17"/>
  <c r="BK279" i="17"/>
  <c r="CD279" i="17"/>
  <c r="BY279" i="17"/>
  <c r="BQ279" i="17"/>
  <c r="CE279" i="17"/>
  <c r="CC279" i="17"/>
  <c r="BH279" i="17"/>
  <c r="BM279" i="17"/>
  <c r="BT279" i="17"/>
  <c r="BP279" i="17"/>
  <c r="BE279" i="17"/>
  <c r="CF279" i="17"/>
  <c r="BS279" i="17"/>
  <c r="BL279" i="17"/>
  <c r="CB279" i="17"/>
  <c r="CA279" i="17"/>
  <c r="BN279" i="17"/>
  <c r="E278" i="17"/>
  <c r="H461" i="15"/>
  <c r="T460" i="15"/>
  <c r="U460" i="15"/>
  <c r="H701" i="15"/>
  <c r="U700" i="15"/>
  <c r="T700" i="15"/>
  <c r="H274" i="17"/>
  <c r="H269" i="17"/>
  <c r="H273" i="17"/>
  <c r="H270" i="17"/>
  <c r="H272" i="17"/>
  <c r="H271" i="17"/>
  <c r="L273" i="17"/>
  <c r="L269" i="17"/>
  <c r="L270" i="17"/>
  <c r="L272" i="17"/>
  <c r="L271" i="17"/>
  <c r="L274" i="17"/>
  <c r="O273" i="17"/>
  <c r="O271" i="17"/>
  <c r="O269" i="17"/>
  <c r="O272" i="17"/>
  <c r="O274" i="17"/>
  <c r="O270" i="17"/>
  <c r="I273" i="17"/>
  <c r="I271" i="17"/>
  <c r="I270" i="17"/>
  <c r="I269" i="17"/>
  <c r="I272" i="17"/>
  <c r="I274" i="17"/>
  <c r="J264" i="17"/>
  <c r="AA275" i="17" l="1"/>
  <c r="V275" i="17"/>
  <c r="AD275" i="17"/>
  <c r="Y275" i="17"/>
  <c r="Z275" i="17"/>
  <c r="W275" i="17"/>
  <c r="AC275" i="17"/>
  <c r="U275" i="17"/>
  <c r="T275" i="17"/>
  <c r="AB275" i="17"/>
  <c r="S275" i="17"/>
  <c r="X275" i="17"/>
  <c r="R275" i="17"/>
  <c r="Q275" i="17"/>
  <c r="P275" i="17"/>
  <c r="O275" i="17"/>
  <c r="N275" i="17"/>
  <c r="M275" i="17"/>
  <c r="L275" i="17"/>
  <c r="K275" i="17"/>
  <c r="U657" i="15"/>
  <c r="T657" i="15"/>
  <c r="H658" i="15"/>
  <c r="BC42" i="1"/>
  <c r="E42" i="1"/>
  <c r="BD42" i="1"/>
  <c r="BF42" i="1"/>
  <c r="BE42" i="1"/>
  <c r="AE168" i="14"/>
  <c r="AE175" i="14"/>
  <c r="AE171" i="14"/>
  <c r="AE173" i="14"/>
  <c r="AE169" i="14"/>
  <c r="AE176" i="14"/>
  <c r="AE174" i="14"/>
  <c r="AE170" i="14"/>
  <c r="AE172" i="14"/>
  <c r="AI121" i="14"/>
  <c r="AI128" i="14"/>
  <c r="AH121" i="14"/>
  <c r="AJ128" i="14"/>
  <c r="AJ123" i="14"/>
  <c r="AH122" i="14"/>
  <c r="AH125" i="14"/>
  <c r="AK128" i="14"/>
  <c r="AJ121" i="14"/>
  <c r="AI125" i="14"/>
  <c r="AH123" i="14"/>
  <c r="AK122" i="14"/>
  <c r="AJ126" i="14"/>
  <c r="AH126" i="14"/>
  <c r="AH127" i="14"/>
  <c r="AI127" i="14"/>
  <c r="AJ125" i="14"/>
  <c r="AK123" i="14"/>
  <c r="AI123" i="14"/>
  <c r="AH128" i="14"/>
  <c r="AK126" i="14"/>
  <c r="AK124" i="14"/>
  <c r="AK125" i="14"/>
  <c r="AJ122" i="14"/>
  <c r="AH124" i="14"/>
  <c r="AI124" i="14"/>
  <c r="AJ120" i="14"/>
  <c r="AJ124" i="14"/>
  <c r="AK120" i="14"/>
  <c r="AI120" i="14"/>
  <c r="AI126" i="14"/>
  <c r="AJ127" i="14"/>
  <c r="AK121" i="14"/>
  <c r="AH120" i="14"/>
  <c r="AI122" i="14"/>
  <c r="AK127" i="14"/>
  <c r="R37" i="9"/>
  <c r="Q37" i="9"/>
  <c r="M63" i="4" s="1"/>
  <c r="E151" i="14"/>
  <c r="AH17" i="2"/>
  <c r="V18" i="2"/>
  <c r="P38" i="9"/>
  <c r="AU42" i="1"/>
  <c r="H946" i="15"/>
  <c r="U945" i="15"/>
  <c r="T945" i="15"/>
  <c r="Z160" i="14"/>
  <c r="X43" i="9"/>
  <c r="H420" i="15"/>
  <c r="U419" i="15"/>
  <c r="T419" i="15"/>
  <c r="U178" i="15"/>
  <c r="T178" i="15"/>
  <c r="G178" i="15" s="1"/>
  <c r="H179" i="15"/>
  <c r="Y160" i="14"/>
  <c r="W43" i="9"/>
  <c r="AD171" i="14"/>
  <c r="AD172" i="14"/>
  <c r="AD169" i="14"/>
  <c r="AD168" i="14"/>
  <c r="AD175" i="14"/>
  <c r="AD176" i="14"/>
  <c r="AD174" i="14"/>
  <c r="AD170" i="14"/>
  <c r="AD173" i="14"/>
  <c r="W107" i="14"/>
  <c r="C102" i="14" s="1"/>
  <c r="C233" i="17"/>
  <c r="H147" i="15"/>
  <c r="T146" i="15"/>
  <c r="G146" i="15" s="1"/>
  <c r="U146" i="15"/>
  <c r="U500" i="15"/>
  <c r="H501" i="15"/>
  <c r="T500" i="15"/>
  <c r="U620" i="15"/>
  <c r="T620" i="15"/>
  <c r="H621" i="15"/>
  <c r="Y61" i="1"/>
  <c r="Z61" i="1"/>
  <c r="V45" i="9" s="1"/>
  <c r="AB45" i="9" s="1"/>
  <c r="N563" i="4" s="1"/>
  <c r="I61" i="1"/>
  <c r="U382" i="15"/>
  <c r="T382" i="15"/>
  <c r="H383" i="15"/>
  <c r="H100" i="15"/>
  <c r="U99" i="15"/>
  <c r="T99" i="15"/>
  <c r="G99" i="15" s="1"/>
  <c r="Z158" i="14"/>
  <c r="O151" i="14" s="1"/>
  <c r="Y158" i="14"/>
  <c r="J151" i="14" s="1"/>
  <c r="AC192" i="14"/>
  <c r="AC184" i="14"/>
  <c r="AC188" i="14"/>
  <c r="AC185" i="14"/>
  <c r="AC189" i="14"/>
  <c r="AC186" i="14"/>
  <c r="AC187" i="14"/>
  <c r="AC190" i="14"/>
  <c r="AC191" i="14"/>
  <c r="S46" i="9"/>
  <c r="A47" i="9"/>
  <c r="L513" i="4"/>
  <c r="H57" i="15"/>
  <c r="U56" i="15"/>
  <c r="T56" i="15"/>
  <c r="G56" i="15" s="1"/>
  <c r="BC45" i="1"/>
  <c r="D47" i="1"/>
  <c r="C47" i="1" s="1"/>
  <c r="AG56" i="1"/>
  <c r="AB56" i="1"/>
  <c r="AA56" i="1"/>
  <c r="AP56" i="1" s="1"/>
  <c r="T44" i="9" s="1"/>
  <c r="AI56" i="1"/>
  <c r="AJ56" i="1"/>
  <c r="W170" i="14"/>
  <c r="AF56" i="1"/>
  <c r="AD56" i="1"/>
  <c r="AQ56" i="1" s="1"/>
  <c r="U44" i="9" s="1"/>
  <c r="AC56" i="1"/>
  <c r="U583" i="15"/>
  <c r="H584" i="15"/>
  <c r="T583" i="15"/>
  <c r="O39" i="9"/>
  <c r="Z123" i="14"/>
  <c r="AT47" i="1"/>
  <c r="K413" i="4"/>
  <c r="K513" i="4"/>
  <c r="T856" i="15"/>
  <c r="U856" i="15"/>
  <c r="H857" i="15"/>
  <c r="F151" i="14"/>
  <c r="N40" i="9"/>
  <c r="B41" i="9"/>
  <c r="AS48" i="1"/>
  <c r="D48" i="1" s="1"/>
  <c r="F217" i="15"/>
  <c r="G216" i="15"/>
  <c r="AX18" i="14"/>
  <c r="AY17" i="14"/>
  <c r="AD282" i="17"/>
  <c r="AD281" i="17"/>
  <c r="AD284" i="17"/>
  <c r="AD280" i="17"/>
  <c r="AD283" i="17"/>
  <c r="AD285" i="17"/>
  <c r="AG285" i="17"/>
  <c r="AG283" i="17"/>
  <c r="AG284" i="17"/>
  <c r="AG282" i="17"/>
  <c r="AG281" i="17"/>
  <c r="AG280" i="17"/>
  <c r="M285" i="17"/>
  <c r="M281" i="17"/>
  <c r="M280" i="17"/>
  <c r="M284" i="17"/>
  <c r="M283" i="17"/>
  <c r="M282" i="17"/>
  <c r="H283" i="17"/>
  <c r="H284" i="17"/>
  <c r="H282" i="17"/>
  <c r="H281" i="17"/>
  <c r="H285" i="17"/>
  <c r="H280" i="17"/>
  <c r="AB284" i="17"/>
  <c r="AB283" i="17"/>
  <c r="AB280" i="17"/>
  <c r="AB285" i="17"/>
  <c r="AB282" i="17"/>
  <c r="AB281" i="17"/>
  <c r="I275" i="17"/>
  <c r="AK284" i="17"/>
  <c r="AK282" i="17"/>
  <c r="AK283" i="17"/>
  <c r="AK281" i="17"/>
  <c r="AK280" i="17"/>
  <c r="AK285" i="17"/>
  <c r="V284" i="17"/>
  <c r="V281" i="17"/>
  <c r="V285" i="17"/>
  <c r="V283" i="17"/>
  <c r="V282" i="17"/>
  <c r="V280" i="17"/>
  <c r="V286" i="17" s="1"/>
  <c r="AA284" i="17"/>
  <c r="AA281" i="17"/>
  <c r="AA285" i="17"/>
  <c r="AA280" i="17"/>
  <c r="AA282" i="17"/>
  <c r="AA283" i="17"/>
  <c r="W280" i="17"/>
  <c r="W284" i="17"/>
  <c r="W285" i="17"/>
  <c r="W283" i="17"/>
  <c r="W282" i="17"/>
  <c r="W281" i="17"/>
  <c r="H221" i="15"/>
  <c r="T220" i="15"/>
  <c r="U220" i="15"/>
  <c r="N285" i="17"/>
  <c r="N280" i="17"/>
  <c r="N281" i="17"/>
  <c r="N284" i="17"/>
  <c r="N282" i="17"/>
  <c r="N283" i="17"/>
  <c r="H900" i="15"/>
  <c r="U899" i="15"/>
  <c r="T899" i="15"/>
  <c r="H275" i="17"/>
  <c r="AC285" i="17"/>
  <c r="AC280" i="17"/>
  <c r="AC284" i="17"/>
  <c r="AC283" i="17"/>
  <c r="AC282" i="17"/>
  <c r="AC281" i="17"/>
  <c r="H743" i="15"/>
  <c r="T742" i="15"/>
  <c r="U742" i="15"/>
  <c r="J281" i="17"/>
  <c r="J282" i="17"/>
  <c r="J283" i="17"/>
  <c r="J280" i="17"/>
  <c r="J284" i="17"/>
  <c r="J285" i="17"/>
  <c r="AE285" i="17"/>
  <c r="AE283" i="17"/>
  <c r="AE280" i="17"/>
  <c r="AE281" i="17"/>
  <c r="AE284" i="17"/>
  <c r="AE282" i="17"/>
  <c r="D301" i="17"/>
  <c r="AS300" i="17"/>
  <c r="D300" i="17"/>
  <c r="U285" i="17"/>
  <c r="U280" i="17"/>
  <c r="U282" i="17"/>
  <c r="U281" i="17"/>
  <c r="U283" i="17"/>
  <c r="U284" i="17"/>
  <c r="U275" i="15"/>
  <c r="H276" i="15"/>
  <c r="T275" i="15"/>
  <c r="J275" i="17"/>
  <c r="U701" i="15"/>
  <c r="T701" i="15"/>
  <c r="H702" i="15"/>
  <c r="AF284" i="17"/>
  <c r="AF285" i="17"/>
  <c r="AF283" i="17"/>
  <c r="AF282" i="17"/>
  <c r="AF280" i="17"/>
  <c r="AF281" i="17"/>
  <c r="R282" i="17"/>
  <c r="R285" i="17"/>
  <c r="R284" i="17"/>
  <c r="R283" i="17"/>
  <c r="R281" i="17"/>
  <c r="R280" i="17"/>
  <c r="K281" i="17"/>
  <c r="K282" i="17"/>
  <c r="K283" i="17"/>
  <c r="K280" i="17"/>
  <c r="K285" i="17"/>
  <c r="K284" i="17"/>
  <c r="O282" i="17"/>
  <c r="O285" i="17"/>
  <c r="O280" i="17"/>
  <c r="O281" i="17"/>
  <c r="O284" i="17"/>
  <c r="O283" i="17"/>
  <c r="U155" i="15"/>
  <c r="T155" i="15"/>
  <c r="G155" i="15" s="1"/>
  <c r="T301" i="15"/>
  <c r="U301" i="15"/>
  <c r="H302" i="15"/>
  <c r="T780" i="15"/>
  <c r="U780" i="15"/>
  <c r="H781" i="15"/>
  <c r="H19" i="15"/>
  <c r="U18" i="15"/>
  <c r="T18" i="15"/>
  <c r="G18" i="15" s="1"/>
  <c r="H541" i="15"/>
  <c r="T540" i="15"/>
  <c r="U540" i="15"/>
  <c r="AI282" i="17"/>
  <c r="AI285" i="17"/>
  <c r="AI284" i="17"/>
  <c r="AI281" i="17"/>
  <c r="AI283" i="17"/>
  <c r="AI280" i="17"/>
  <c r="S281" i="17"/>
  <c r="S285" i="17"/>
  <c r="S284" i="17"/>
  <c r="S282" i="17"/>
  <c r="S280" i="17"/>
  <c r="S283" i="17"/>
  <c r="Y280" i="17"/>
  <c r="Y283" i="17"/>
  <c r="Y284" i="17"/>
  <c r="Y281" i="17"/>
  <c r="Y285" i="17"/>
  <c r="Y282" i="17"/>
  <c r="P280" i="17"/>
  <c r="P283" i="17"/>
  <c r="P284" i="17"/>
  <c r="P285" i="17"/>
  <c r="P281" i="17"/>
  <c r="P282" i="17"/>
  <c r="I285" i="17"/>
  <c r="I280" i="17"/>
  <c r="I281" i="17"/>
  <c r="I282" i="17"/>
  <c r="I283" i="17"/>
  <c r="I284" i="17"/>
  <c r="Q280" i="17"/>
  <c r="Q283" i="17"/>
  <c r="Q285" i="17"/>
  <c r="Q282" i="17"/>
  <c r="Q281" i="17"/>
  <c r="Q284" i="17"/>
  <c r="AH283" i="17"/>
  <c r="AH281" i="17"/>
  <c r="AH282" i="17"/>
  <c r="AH285" i="17"/>
  <c r="AH280" i="17"/>
  <c r="AH284" i="17"/>
  <c r="T280" i="17"/>
  <c r="T285" i="17"/>
  <c r="T283" i="17"/>
  <c r="T281" i="17"/>
  <c r="T282" i="17"/>
  <c r="T284" i="17"/>
  <c r="AR311" i="17"/>
  <c r="CC290" i="17"/>
  <c r="CB290" i="17"/>
  <c r="BQ290" i="17"/>
  <c r="BI290" i="17"/>
  <c r="BZ290" i="17"/>
  <c r="BN290" i="17"/>
  <c r="BU290" i="17"/>
  <c r="BF290" i="17"/>
  <c r="CF290" i="17"/>
  <c r="BY290" i="17"/>
  <c r="BJ290" i="17"/>
  <c r="BD290" i="17"/>
  <c r="BK290" i="17"/>
  <c r="CD290" i="17"/>
  <c r="BE290" i="17"/>
  <c r="E290" i="17"/>
  <c r="E289" i="17"/>
  <c r="BL290" i="17"/>
  <c r="BT290" i="17"/>
  <c r="CE290" i="17"/>
  <c r="BX290" i="17"/>
  <c r="CA290" i="17"/>
  <c r="BR290" i="17"/>
  <c r="BW290" i="17"/>
  <c r="BV290" i="17"/>
  <c r="BP290" i="17"/>
  <c r="BO290" i="17"/>
  <c r="BS290" i="17"/>
  <c r="BH290" i="17"/>
  <c r="BC290" i="17"/>
  <c r="BM290" i="17"/>
  <c r="BG290" i="17"/>
  <c r="H462" i="15"/>
  <c r="U461" i="15"/>
  <c r="T461" i="15"/>
  <c r="X280" i="17"/>
  <c r="X281" i="17"/>
  <c r="X283" i="17"/>
  <c r="X284" i="17"/>
  <c r="X285" i="17"/>
  <c r="X282" i="17"/>
  <c r="AJ285" i="17"/>
  <c r="AJ282" i="17"/>
  <c r="AJ283" i="17"/>
  <c r="AJ284" i="17"/>
  <c r="AJ280" i="17"/>
  <c r="AJ281" i="17"/>
  <c r="Z280" i="17"/>
  <c r="Z284" i="17"/>
  <c r="Z282" i="17"/>
  <c r="Z281" i="17"/>
  <c r="Z285" i="17"/>
  <c r="Z283" i="17"/>
  <c r="L284" i="17"/>
  <c r="L285" i="17"/>
  <c r="L283" i="17"/>
  <c r="L281" i="17"/>
  <c r="L280" i="17"/>
  <c r="L282" i="17"/>
  <c r="AP333" i="17"/>
  <c r="AQ322" i="17"/>
  <c r="U819" i="15"/>
  <c r="H820" i="15"/>
  <c r="T819" i="15"/>
  <c r="H344" i="15"/>
  <c r="U343" i="15"/>
  <c r="T343" i="15"/>
  <c r="AD286" i="17" l="1"/>
  <c r="AA286" i="17"/>
  <c r="Y286" i="17"/>
  <c r="Z286" i="17"/>
  <c r="W286" i="17"/>
  <c r="AC286" i="17"/>
  <c r="U286" i="17"/>
  <c r="T286" i="17"/>
  <c r="AB286" i="17"/>
  <c r="S286" i="17"/>
  <c r="X286" i="17"/>
  <c r="R286" i="17"/>
  <c r="Q286" i="17"/>
  <c r="P286" i="17"/>
  <c r="O286" i="17"/>
  <c r="N286" i="17"/>
  <c r="M286" i="17"/>
  <c r="L286" i="17"/>
  <c r="K286" i="17"/>
  <c r="T420" i="15"/>
  <c r="H421" i="15"/>
  <c r="U420" i="15"/>
  <c r="B42" i="9"/>
  <c r="N41" i="9"/>
  <c r="AS49" i="1"/>
  <c r="D49" i="1" s="1"/>
  <c r="BD47" i="1"/>
  <c r="E47" i="1"/>
  <c r="BF47" i="1"/>
  <c r="BC47" i="1"/>
  <c r="BE47" i="1"/>
  <c r="X176" i="14"/>
  <c r="X44" i="9"/>
  <c r="L151" i="14"/>
  <c r="M151" i="14"/>
  <c r="O40" i="9"/>
  <c r="AT48" i="1"/>
  <c r="X139" i="14"/>
  <c r="AL125" i="14"/>
  <c r="AM122" i="14"/>
  <c r="AL128" i="14"/>
  <c r="AN127" i="14"/>
  <c r="AO121" i="14"/>
  <c r="AO128" i="14"/>
  <c r="AL120" i="14"/>
  <c r="AM125" i="14"/>
  <c r="AO122" i="14"/>
  <c r="AO127" i="14"/>
  <c r="AO125" i="14"/>
  <c r="AL127" i="14"/>
  <c r="AM128" i="14"/>
  <c r="AL121" i="14"/>
  <c r="AN122" i="14"/>
  <c r="AO120" i="14"/>
  <c r="AL126" i="14"/>
  <c r="AM121" i="14"/>
  <c r="AO123" i="14"/>
  <c r="AN125" i="14"/>
  <c r="AM124" i="14"/>
  <c r="AN123" i="14"/>
  <c r="AL122" i="14"/>
  <c r="AM126" i="14"/>
  <c r="AN121" i="14"/>
  <c r="AN126" i="14"/>
  <c r="AL123" i="14"/>
  <c r="AM127" i="14"/>
  <c r="AN124" i="14"/>
  <c r="AN128" i="14"/>
  <c r="AM123" i="14"/>
  <c r="AL124" i="14"/>
  <c r="AM120" i="14"/>
  <c r="AN120" i="14"/>
  <c r="AO124" i="14"/>
  <c r="AO126" i="14"/>
  <c r="Y107" i="14"/>
  <c r="J102" i="14" s="1"/>
  <c r="C244" i="17"/>
  <c r="AU47" i="1"/>
  <c r="P39" i="9"/>
  <c r="W176" i="14"/>
  <c r="W44" i="9"/>
  <c r="U501" i="15"/>
  <c r="T501" i="15"/>
  <c r="H502" i="15"/>
  <c r="T179" i="15"/>
  <c r="G179" i="15" s="1"/>
  <c r="H180" i="15"/>
  <c r="U179" i="15"/>
  <c r="X174" i="14"/>
  <c r="H167" i="14" s="1"/>
  <c r="W174" i="14"/>
  <c r="C167" i="14" s="1"/>
  <c r="U946" i="15"/>
  <c r="H947" i="15"/>
  <c r="T946" i="15"/>
  <c r="U658" i="15"/>
  <c r="H659" i="15"/>
  <c r="T658" i="15"/>
  <c r="H101" i="15"/>
  <c r="U100" i="15"/>
  <c r="T100" i="15"/>
  <c r="G100" i="15" s="1"/>
  <c r="AJ61" i="1"/>
  <c r="AA61" i="1"/>
  <c r="AB61" i="1"/>
  <c r="AD61" i="1"/>
  <c r="AC61" i="1"/>
  <c r="Y170" i="14"/>
  <c r="AI61" i="1"/>
  <c r="AF61" i="1"/>
  <c r="AG61" i="1"/>
  <c r="H585" i="15"/>
  <c r="U584" i="15"/>
  <c r="T584" i="15"/>
  <c r="A48" i="9"/>
  <c r="S47" i="9"/>
  <c r="L14" i="4"/>
  <c r="U383" i="15"/>
  <c r="H384" i="15"/>
  <c r="T383" i="15"/>
  <c r="R38" i="9"/>
  <c r="Q38" i="9"/>
  <c r="M13" i="4" s="1"/>
  <c r="H858" i="15"/>
  <c r="U857" i="15"/>
  <c r="T857" i="15"/>
  <c r="H58" i="15"/>
  <c r="U57" i="15"/>
  <c r="T57" i="15"/>
  <c r="G57" i="15" s="1"/>
  <c r="H622" i="15"/>
  <c r="T621" i="15"/>
  <c r="U621" i="15"/>
  <c r="U147" i="15"/>
  <c r="H148" i="15"/>
  <c r="T147" i="15"/>
  <c r="G147" i="15" s="1"/>
  <c r="V19" i="2"/>
  <c r="AH18" i="2"/>
  <c r="F218" i="15"/>
  <c r="G217" i="15"/>
  <c r="AY18" i="14"/>
  <c r="AX19" i="14"/>
  <c r="U296" i="17"/>
  <c r="U292" i="17"/>
  <c r="U293" i="17"/>
  <c r="U294" i="17"/>
  <c r="U291" i="17"/>
  <c r="U295" i="17"/>
  <c r="Q291" i="17"/>
  <c r="Q296" i="17"/>
  <c r="Q292" i="17"/>
  <c r="Q294" i="17"/>
  <c r="Q295" i="17"/>
  <c r="Q293" i="17"/>
  <c r="AD295" i="17"/>
  <c r="AD293" i="17"/>
  <c r="AD296" i="17"/>
  <c r="AD292" i="17"/>
  <c r="AD294" i="17"/>
  <c r="AD291" i="17"/>
  <c r="AG295" i="17"/>
  <c r="AG292" i="17"/>
  <c r="AG294" i="17"/>
  <c r="AG296" i="17"/>
  <c r="AG293" i="17"/>
  <c r="AG291" i="17"/>
  <c r="AR322" i="17"/>
  <c r="AA293" i="17"/>
  <c r="AA291" i="17"/>
  <c r="AA294" i="17"/>
  <c r="AA292" i="17"/>
  <c r="AA295" i="17"/>
  <c r="AA296" i="17"/>
  <c r="AK295" i="17"/>
  <c r="AK294" i="17"/>
  <c r="AK296" i="17"/>
  <c r="AK291" i="17"/>
  <c r="AK293" i="17"/>
  <c r="AK292" i="17"/>
  <c r="AH295" i="17"/>
  <c r="AH294" i="17"/>
  <c r="AH292" i="17"/>
  <c r="AH291" i="17"/>
  <c r="AH293" i="17"/>
  <c r="AH296" i="17"/>
  <c r="J286" i="17"/>
  <c r="AP344" i="17"/>
  <c r="AQ333" i="17"/>
  <c r="R295" i="17"/>
  <c r="R292" i="17"/>
  <c r="R294" i="17"/>
  <c r="R296" i="17"/>
  <c r="R293" i="17"/>
  <c r="R291" i="17"/>
  <c r="W292" i="17"/>
  <c r="W293" i="17"/>
  <c r="W295" i="17"/>
  <c r="W296" i="17"/>
  <c r="W291" i="17"/>
  <c r="W294" i="17"/>
  <c r="J292" i="17"/>
  <c r="J291" i="17"/>
  <c r="J294" i="17"/>
  <c r="J296" i="17"/>
  <c r="J295" i="17"/>
  <c r="J293" i="17"/>
  <c r="Z293" i="17"/>
  <c r="Z295" i="17"/>
  <c r="Z292" i="17"/>
  <c r="Z294" i="17"/>
  <c r="Z291" i="17"/>
  <c r="Z296" i="17"/>
  <c r="D311" i="17"/>
  <c r="AS311" i="17"/>
  <c r="D312" i="17"/>
  <c r="I286" i="17"/>
  <c r="T781" i="15"/>
  <c r="U781" i="15"/>
  <c r="H782" i="15"/>
  <c r="T702" i="15"/>
  <c r="U702" i="15"/>
  <c r="H703" i="15"/>
  <c r="T221" i="15"/>
  <c r="U221" i="15"/>
  <c r="H222" i="15"/>
  <c r="T344" i="15"/>
  <c r="U344" i="15"/>
  <c r="H345" i="15"/>
  <c r="H295" i="17"/>
  <c r="H293" i="17"/>
  <c r="H291" i="17"/>
  <c r="H296" i="17"/>
  <c r="H294" i="17"/>
  <c r="H292" i="17"/>
  <c r="AF293" i="17"/>
  <c r="AF295" i="17"/>
  <c r="AF296" i="17"/>
  <c r="AF291" i="17"/>
  <c r="AF292" i="17"/>
  <c r="AF294" i="17"/>
  <c r="AI294" i="17"/>
  <c r="AI295" i="17"/>
  <c r="AI291" i="17"/>
  <c r="AI292" i="17"/>
  <c r="AI296" i="17"/>
  <c r="AI293" i="17"/>
  <c r="S292" i="17"/>
  <c r="S291" i="17"/>
  <c r="S295" i="17"/>
  <c r="S294" i="17"/>
  <c r="S293" i="17"/>
  <c r="S296" i="17"/>
  <c r="CB301" i="17"/>
  <c r="BR301" i="17"/>
  <c r="CC301" i="17"/>
  <c r="BL301" i="17"/>
  <c r="BN301" i="17"/>
  <c r="BJ301" i="17"/>
  <c r="BV301" i="17"/>
  <c r="BO301" i="17"/>
  <c r="BT301" i="17"/>
  <c r="BC301" i="17"/>
  <c r="BZ301" i="17"/>
  <c r="BX301" i="17"/>
  <c r="BE301" i="17"/>
  <c r="CA301" i="17"/>
  <c r="CD301" i="17"/>
  <c r="BP301" i="17"/>
  <c r="BM301" i="17"/>
  <c r="E300" i="17"/>
  <c r="BI301" i="17"/>
  <c r="CE301" i="17"/>
  <c r="BS301" i="17"/>
  <c r="BK301" i="17"/>
  <c r="CF301" i="17"/>
  <c r="E301" i="17"/>
  <c r="BF301" i="17"/>
  <c r="BU301" i="17"/>
  <c r="BD301" i="17"/>
  <c r="BW301" i="17"/>
  <c r="BQ301" i="17"/>
  <c r="BH301" i="17"/>
  <c r="BG301" i="17"/>
  <c r="BY301" i="17"/>
  <c r="AB292" i="17"/>
  <c r="AB294" i="17"/>
  <c r="AB296" i="17"/>
  <c r="AB295" i="17"/>
  <c r="AB291" i="17"/>
  <c r="AB293" i="17"/>
  <c r="L294" i="17"/>
  <c r="L292" i="17"/>
  <c r="L293" i="17"/>
  <c r="L296" i="17"/>
  <c r="L295" i="17"/>
  <c r="L291" i="17"/>
  <c r="K293" i="17"/>
  <c r="K294" i="17"/>
  <c r="K295" i="17"/>
  <c r="K291" i="17"/>
  <c r="K292" i="17"/>
  <c r="K296" i="17"/>
  <c r="U156" i="15"/>
  <c r="T156" i="15"/>
  <c r="H821" i="15"/>
  <c r="T820" i="15"/>
  <c r="U820" i="15"/>
  <c r="H463" i="15"/>
  <c r="U462" i="15"/>
  <c r="T462" i="15"/>
  <c r="X291" i="17"/>
  <c r="X293" i="17"/>
  <c r="X292" i="17"/>
  <c r="X296" i="17"/>
  <c r="X295" i="17"/>
  <c r="X294" i="17"/>
  <c r="AJ291" i="17"/>
  <c r="AJ292" i="17"/>
  <c r="AJ294" i="17"/>
  <c r="AJ296" i="17"/>
  <c r="AJ295" i="17"/>
  <c r="AJ293" i="17"/>
  <c r="I292" i="17"/>
  <c r="I295" i="17"/>
  <c r="I296" i="17"/>
  <c r="I294" i="17"/>
  <c r="I293" i="17"/>
  <c r="I291" i="17"/>
  <c r="N294" i="17"/>
  <c r="N293" i="17"/>
  <c r="N296" i="17"/>
  <c r="N292" i="17"/>
  <c r="N291" i="17"/>
  <c r="N295" i="17"/>
  <c r="T302" i="15"/>
  <c r="U302" i="15"/>
  <c r="H303" i="15"/>
  <c r="U541" i="15"/>
  <c r="H542" i="15"/>
  <c r="T541" i="15"/>
  <c r="U19" i="15"/>
  <c r="T19" i="15"/>
  <c r="G19" i="15" s="1"/>
  <c r="H20" i="15"/>
  <c r="M291" i="17"/>
  <c r="M296" i="17"/>
  <c r="M292" i="17"/>
  <c r="M294" i="17"/>
  <c r="M293" i="17"/>
  <c r="M295" i="17"/>
  <c r="AC296" i="17"/>
  <c r="AC292" i="17"/>
  <c r="AC291" i="17"/>
  <c r="AC294" i="17"/>
  <c r="AC295" i="17"/>
  <c r="AC293" i="17"/>
  <c r="P295" i="17"/>
  <c r="P293" i="17"/>
  <c r="P296" i="17"/>
  <c r="P292" i="17"/>
  <c r="P291" i="17"/>
  <c r="P294" i="17"/>
  <c r="AE296" i="17"/>
  <c r="AE293" i="17"/>
  <c r="AE294" i="17"/>
  <c r="AE291" i="17"/>
  <c r="AE292" i="17"/>
  <c r="AE295" i="17"/>
  <c r="T296" i="17"/>
  <c r="T291" i="17"/>
  <c r="T293" i="17"/>
  <c r="T295" i="17"/>
  <c r="T292" i="17"/>
  <c r="T294" i="17"/>
  <c r="Y295" i="17"/>
  <c r="Y291" i="17"/>
  <c r="Y294" i="17"/>
  <c r="Y292" i="17"/>
  <c r="Y293" i="17"/>
  <c r="Y296" i="17"/>
  <c r="O295" i="17"/>
  <c r="O292" i="17"/>
  <c r="O291" i="17"/>
  <c r="O293" i="17"/>
  <c r="O296" i="17"/>
  <c r="O294" i="17"/>
  <c r="V292" i="17"/>
  <c r="V293" i="17"/>
  <c r="V294" i="17"/>
  <c r="V296" i="17"/>
  <c r="V291" i="17"/>
  <c r="V295" i="17"/>
  <c r="U276" i="15"/>
  <c r="U278" i="15" s="1"/>
  <c r="T276" i="15"/>
  <c r="T743" i="15"/>
  <c r="H744" i="15"/>
  <c r="U743" i="15"/>
  <c r="T900" i="15"/>
  <c r="U900" i="15"/>
  <c r="H901" i="15"/>
  <c r="H286" i="17"/>
  <c r="V297" i="17" l="1"/>
  <c r="AD297" i="17"/>
  <c r="AA297" i="17"/>
  <c r="Y297" i="17"/>
  <c r="Z297" i="17"/>
  <c r="W297" i="17"/>
  <c r="AC297" i="17"/>
  <c r="U297" i="17"/>
  <c r="T297" i="17"/>
  <c r="AB297" i="17"/>
  <c r="S297" i="17"/>
  <c r="X297" i="17"/>
  <c r="R297" i="17"/>
  <c r="N297" i="17"/>
  <c r="Q297" i="17"/>
  <c r="P297" i="17"/>
  <c r="O297" i="17"/>
  <c r="M297" i="17"/>
  <c r="L297" i="17"/>
  <c r="K297" i="17"/>
  <c r="H149" i="15"/>
  <c r="U148" i="15"/>
  <c r="T148" i="15"/>
  <c r="G148" i="15" s="1"/>
  <c r="Z176" i="14"/>
  <c r="X45" i="9"/>
  <c r="T659" i="15"/>
  <c r="H660" i="15"/>
  <c r="U659" i="15"/>
  <c r="H948" i="15"/>
  <c r="U947" i="15"/>
  <c r="T947" i="15"/>
  <c r="U180" i="15"/>
  <c r="H181" i="15"/>
  <c r="T180" i="15"/>
  <c r="G180" i="15" s="1"/>
  <c r="Q39" i="9"/>
  <c r="M263" i="4" s="1"/>
  <c r="R39" i="9"/>
  <c r="Y176" i="14"/>
  <c r="W45" i="9"/>
  <c r="O41" i="9"/>
  <c r="Z139" i="14"/>
  <c r="AT49" i="1"/>
  <c r="H59" i="15"/>
  <c r="U58" i="15"/>
  <c r="T58" i="15"/>
  <c r="G58" i="15" s="1"/>
  <c r="T384" i="15"/>
  <c r="H385" i="15"/>
  <c r="U384" i="15"/>
  <c r="Z174" i="14"/>
  <c r="O167" i="14" s="1"/>
  <c r="Y174" i="14"/>
  <c r="J167" i="14" s="1"/>
  <c r="H102" i="15"/>
  <c r="U101" i="15"/>
  <c r="T101" i="15"/>
  <c r="G101" i="15" s="1"/>
  <c r="N42" i="9"/>
  <c r="B43" i="9"/>
  <c r="AS54" i="1"/>
  <c r="H422" i="15"/>
  <c r="U421" i="15"/>
  <c r="T421" i="15"/>
  <c r="V20" i="2"/>
  <c r="AH19" i="2"/>
  <c r="H623" i="15"/>
  <c r="T622" i="15"/>
  <c r="U622" i="15"/>
  <c r="A49" i="9"/>
  <c r="S48" i="9"/>
  <c r="T502" i="15"/>
  <c r="U502" i="15"/>
  <c r="H503" i="15"/>
  <c r="AK142" i="14"/>
  <c r="AK136" i="14"/>
  <c r="AK141" i="14"/>
  <c r="AH137" i="14"/>
  <c r="AK138" i="14"/>
  <c r="AJ141" i="14"/>
  <c r="AH140" i="14"/>
  <c r="AI141" i="14"/>
  <c r="AH142" i="14"/>
  <c r="AJ142" i="14"/>
  <c r="AJ144" i="14"/>
  <c r="AH144" i="14"/>
  <c r="AI142" i="14"/>
  <c r="AI144" i="14"/>
  <c r="AJ138" i="14"/>
  <c r="AK137" i="14"/>
  <c r="AI136" i="14"/>
  <c r="AI137" i="14"/>
  <c r="AI143" i="14"/>
  <c r="AK139" i="14"/>
  <c r="AJ136" i="14"/>
  <c r="AH138" i="14"/>
  <c r="AH139" i="14"/>
  <c r="AJ143" i="14"/>
  <c r="AK140" i="14"/>
  <c r="AI139" i="14"/>
  <c r="AI138" i="14"/>
  <c r="AK144" i="14"/>
  <c r="AJ140" i="14"/>
  <c r="AH143" i="14"/>
  <c r="AH136" i="14"/>
  <c r="AK143" i="14"/>
  <c r="AJ139" i="14"/>
  <c r="AJ137" i="14"/>
  <c r="AI140" i="14"/>
  <c r="AH141" i="14"/>
  <c r="W123" i="14"/>
  <c r="C118" i="14" s="1"/>
  <c r="C255" i="17"/>
  <c r="AQ61" i="1"/>
  <c r="U45" i="9" s="1"/>
  <c r="BF48" i="1"/>
  <c r="BD48" i="1"/>
  <c r="E48" i="1"/>
  <c r="BC48" i="1"/>
  <c r="BE48" i="1"/>
  <c r="H586" i="15"/>
  <c r="U585" i="15"/>
  <c r="T585" i="15"/>
  <c r="AP61" i="1"/>
  <c r="T45" i="9" s="1"/>
  <c r="U858" i="15"/>
  <c r="H859" i="15"/>
  <c r="T858" i="15"/>
  <c r="E167" i="14"/>
  <c r="P40" i="9"/>
  <c r="AU48" i="1"/>
  <c r="F167" i="14"/>
  <c r="F219" i="15"/>
  <c r="G218" i="15"/>
  <c r="AX20" i="14"/>
  <c r="AY19" i="14"/>
  <c r="L307" i="17"/>
  <c r="L305" i="17"/>
  <c r="L306" i="17"/>
  <c r="L303" i="17"/>
  <c r="L302" i="17"/>
  <c r="L304" i="17"/>
  <c r="AK304" i="17"/>
  <c r="AK302" i="17"/>
  <c r="AK305" i="17"/>
  <c r="AK307" i="17"/>
  <c r="AK306" i="17"/>
  <c r="AK303" i="17"/>
  <c r="AI307" i="17"/>
  <c r="AI302" i="17"/>
  <c r="AI306" i="17"/>
  <c r="AI303" i="17"/>
  <c r="AI305" i="17"/>
  <c r="AI304" i="17"/>
  <c r="AA302" i="17"/>
  <c r="AA305" i="17"/>
  <c r="AA303" i="17"/>
  <c r="AA304" i="17"/>
  <c r="AA307" i="17"/>
  <c r="AA306" i="17"/>
  <c r="H297" i="17"/>
  <c r="V304" i="17"/>
  <c r="V303" i="17"/>
  <c r="V307" i="17"/>
  <c r="V302" i="17"/>
  <c r="V305" i="17"/>
  <c r="V306" i="17"/>
  <c r="X304" i="17"/>
  <c r="X305" i="17"/>
  <c r="X302" i="17"/>
  <c r="X306" i="17"/>
  <c r="X303" i="17"/>
  <c r="X307" i="17"/>
  <c r="J304" i="17"/>
  <c r="J303" i="17"/>
  <c r="J302" i="17"/>
  <c r="J305" i="17"/>
  <c r="J307" i="17"/>
  <c r="J306" i="17"/>
  <c r="S303" i="17"/>
  <c r="S304" i="17"/>
  <c r="S305" i="17"/>
  <c r="S302" i="17"/>
  <c r="S307" i="17"/>
  <c r="S306" i="17"/>
  <c r="T222" i="15"/>
  <c r="U222" i="15"/>
  <c r="H223" i="15"/>
  <c r="J297" i="17"/>
  <c r="AR333" i="17"/>
  <c r="AF303" i="17"/>
  <c r="AF306" i="17"/>
  <c r="AF302" i="17"/>
  <c r="AF304" i="17"/>
  <c r="AF305" i="17"/>
  <c r="AF307" i="17"/>
  <c r="T113" i="15"/>
  <c r="G113" i="15" s="1"/>
  <c r="U113" i="15"/>
  <c r="H745" i="15"/>
  <c r="T744" i="15"/>
  <c r="U744" i="15"/>
  <c r="H543" i="15"/>
  <c r="U542" i="15"/>
  <c r="T542" i="15"/>
  <c r="AB302" i="17"/>
  <c r="AB307" i="17"/>
  <c r="AB305" i="17"/>
  <c r="AB303" i="17"/>
  <c r="AB306" i="17"/>
  <c r="AB304" i="17"/>
  <c r="AJ303" i="17"/>
  <c r="AJ307" i="17"/>
  <c r="AJ302" i="17"/>
  <c r="AJ305" i="17"/>
  <c r="AJ306" i="17"/>
  <c r="AJ304" i="17"/>
  <c r="AC304" i="17"/>
  <c r="AC303" i="17"/>
  <c r="AC307" i="17"/>
  <c r="AC306" i="17"/>
  <c r="AC305" i="17"/>
  <c r="AC302" i="17"/>
  <c r="Q304" i="17"/>
  <c r="Q305" i="17"/>
  <c r="Q302" i="17"/>
  <c r="Q307" i="17"/>
  <c r="Q306" i="17"/>
  <c r="Q303" i="17"/>
  <c r="AP355" i="17"/>
  <c r="AQ344" i="17"/>
  <c r="T463" i="15"/>
  <c r="H464" i="15"/>
  <c r="U463" i="15"/>
  <c r="M302" i="17"/>
  <c r="M306" i="17"/>
  <c r="M305" i="17"/>
  <c r="M304" i="17"/>
  <c r="M307" i="17"/>
  <c r="M303" i="17"/>
  <c r="P306" i="17"/>
  <c r="P305" i="17"/>
  <c r="P304" i="17"/>
  <c r="P307" i="17"/>
  <c r="P303" i="17"/>
  <c r="P302" i="17"/>
  <c r="O306" i="17"/>
  <c r="O303" i="17"/>
  <c r="O304" i="17"/>
  <c r="O307" i="17"/>
  <c r="O305" i="17"/>
  <c r="O302" i="17"/>
  <c r="D323" i="17"/>
  <c r="D322" i="17"/>
  <c r="AS322" i="17"/>
  <c r="T821" i="15"/>
  <c r="H822" i="15"/>
  <c r="U821" i="15"/>
  <c r="I302" i="17"/>
  <c r="I305" i="17"/>
  <c r="I304" i="17"/>
  <c r="I303" i="17"/>
  <c r="I307" i="17"/>
  <c r="I306" i="17"/>
  <c r="N305" i="17"/>
  <c r="N304" i="17"/>
  <c r="N306" i="17"/>
  <c r="N307" i="17"/>
  <c r="N302" i="17"/>
  <c r="N303" i="17"/>
  <c r="AE304" i="17"/>
  <c r="AE303" i="17"/>
  <c r="AE307" i="17"/>
  <c r="AE305" i="17"/>
  <c r="AE306" i="17"/>
  <c r="AE302" i="17"/>
  <c r="AH304" i="17"/>
  <c r="AH307" i="17"/>
  <c r="AH306" i="17"/>
  <c r="AH302" i="17"/>
  <c r="AH303" i="17"/>
  <c r="AH305" i="17"/>
  <c r="H21" i="15"/>
  <c r="U20" i="15"/>
  <c r="T20" i="15"/>
  <c r="G20" i="15" s="1"/>
  <c r="AD304" i="17"/>
  <c r="AD306" i="17"/>
  <c r="AD302" i="17"/>
  <c r="AD303" i="17"/>
  <c r="AD307" i="17"/>
  <c r="AD305" i="17"/>
  <c r="U302" i="17"/>
  <c r="U304" i="17"/>
  <c r="U305" i="17"/>
  <c r="U307" i="17"/>
  <c r="U303" i="17"/>
  <c r="U306" i="17"/>
  <c r="T307" i="17"/>
  <c r="T304" i="17"/>
  <c r="T302" i="17"/>
  <c r="T306" i="17"/>
  <c r="T305" i="17"/>
  <c r="T303" i="17"/>
  <c r="T345" i="15"/>
  <c r="H346" i="15"/>
  <c r="U345" i="15"/>
  <c r="T278" i="15"/>
  <c r="H304" i="15"/>
  <c r="U303" i="15"/>
  <c r="T303" i="15"/>
  <c r="I297" i="17"/>
  <c r="G156" i="15"/>
  <c r="Z306" i="17"/>
  <c r="Z304" i="17"/>
  <c r="Z302" i="17"/>
  <c r="Z303" i="17"/>
  <c r="Z305" i="17"/>
  <c r="Z307" i="17"/>
  <c r="H307" i="17"/>
  <c r="H305" i="17"/>
  <c r="H304" i="17"/>
  <c r="H302" i="17"/>
  <c r="H306" i="17"/>
  <c r="H303" i="17"/>
  <c r="W303" i="17"/>
  <c r="W302" i="17"/>
  <c r="W304" i="17"/>
  <c r="W307" i="17"/>
  <c r="W306" i="17"/>
  <c r="W305" i="17"/>
  <c r="U703" i="15"/>
  <c r="T703" i="15"/>
  <c r="H704" i="15"/>
  <c r="U782" i="15"/>
  <c r="H783" i="15"/>
  <c r="T782" i="15"/>
  <c r="U901" i="15"/>
  <c r="H902" i="15"/>
  <c r="T901" i="15"/>
  <c r="K305" i="17"/>
  <c r="K302" i="17"/>
  <c r="K303" i="17"/>
  <c r="K307" i="17"/>
  <c r="K306" i="17"/>
  <c r="K304" i="17"/>
  <c r="R304" i="17"/>
  <c r="R307" i="17"/>
  <c r="R302" i="17"/>
  <c r="R303" i="17"/>
  <c r="R305" i="17"/>
  <c r="R306" i="17"/>
  <c r="Y306" i="17"/>
  <c r="Y307" i="17"/>
  <c r="Y303" i="17"/>
  <c r="Y302" i="17"/>
  <c r="Y305" i="17"/>
  <c r="Y304" i="17"/>
  <c r="AG304" i="17"/>
  <c r="AG307" i="17"/>
  <c r="AG306" i="17"/>
  <c r="AG303" i="17"/>
  <c r="AG305" i="17"/>
  <c r="AG302" i="17"/>
  <c r="BV312" i="17"/>
  <c r="BL312" i="17"/>
  <c r="BO312" i="17"/>
  <c r="CA312" i="17"/>
  <c r="CF312" i="17"/>
  <c r="BI312" i="17"/>
  <c r="BM312" i="17"/>
  <c r="BC312" i="17"/>
  <c r="CB312" i="17"/>
  <c r="BU312" i="17"/>
  <c r="BK312" i="17"/>
  <c r="BE312" i="17"/>
  <c r="E311" i="17"/>
  <c r="BZ312" i="17"/>
  <c r="BJ312" i="17"/>
  <c r="BX312" i="17"/>
  <c r="E312" i="17"/>
  <c r="BS312" i="17"/>
  <c r="BN312" i="17"/>
  <c r="BQ312" i="17"/>
  <c r="BR312" i="17"/>
  <c r="CC312" i="17"/>
  <c r="BY312" i="17"/>
  <c r="BH312" i="17"/>
  <c r="BT312" i="17"/>
  <c r="BG312" i="17"/>
  <c r="CE312" i="17"/>
  <c r="BD312" i="17"/>
  <c r="BF312" i="17"/>
  <c r="BP312" i="17"/>
  <c r="BW312" i="17"/>
  <c r="CD312" i="17"/>
  <c r="V308" i="17" l="1"/>
  <c r="AD308" i="17"/>
  <c r="AA308" i="17"/>
  <c r="Y308" i="17"/>
  <c r="Z308" i="17"/>
  <c r="W308" i="17"/>
  <c r="AC308" i="17"/>
  <c r="U308" i="17"/>
  <c r="T308" i="17"/>
  <c r="AB308" i="17"/>
  <c r="S308" i="17"/>
  <c r="X308" i="17"/>
  <c r="R308" i="17"/>
  <c r="P308" i="17"/>
  <c r="Q308" i="17"/>
  <c r="O308" i="17"/>
  <c r="L308" i="17"/>
  <c r="N308" i="17"/>
  <c r="M308" i="17"/>
  <c r="K308" i="17"/>
  <c r="O42" i="9"/>
  <c r="AT54" i="1"/>
  <c r="X155" i="14"/>
  <c r="H661" i="15"/>
  <c r="T660" i="15"/>
  <c r="U660" i="15"/>
  <c r="H60" i="15"/>
  <c r="T59" i="15"/>
  <c r="G59" i="15" s="1"/>
  <c r="U59" i="15"/>
  <c r="I308" i="17"/>
  <c r="R40" i="9"/>
  <c r="Q40" i="9"/>
  <c r="M163" i="4" s="1"/>
  <c r="H587" i="15"/>
  <c r="U586" i="15"/>
  <c r="T586" i="15"/>
  <c r="V21" i="2"/>
  <c r="AH20" i="2"/>
  <c r="BD49" i="1"/>
  <c r="BC49" i="1"/>
  <c r="E49" i="1"/>
  <c r="BF49" i="1"/>
  <c r="BE49" i="1"/>
  <c r="H182" i="15"/>
  <c r="T181" i="15"/>
  <c r="G181" i="15" s="1"/>
  <c r="U181" i="15"/>
  <c r="P41" i="9"/>
  <c r="AU49" i="1"/>
  <c r="M167" i="14"/>
  <c r="U149" i="15"/>
  <c r="H150" i="15"/>
  <c r="T149" i="15"/>
  <c r="H860" i="15"/>
  <c r="T859" i="15"/>
  <c r="U859" i="15"/>
  <c r="S49" i="9"/>
  <c r="A50" i="9"/>
  <c r="H103" i="15"/>
  <c r="U102" i="15"/>
  <c r="T102" i="15"/>
  <c r="G102" i="15" s="1"/>
  <c r="U385" i="15"/>
  <c r="T385" i="15"/>
  <c r="H386" i="15"/>
  <c r="H308" i="17"/>
  <c r="T503" i="15"/>
  <c r="H504" i="15"/>
  <c r="U503" i="15"/>
  <c r="T422" i="15"/>
  <c r="H423" i="15"/>
  <c r="U422" i="15"/>
  <c r="Y123" i="14"/>
  <c r="J118" i="14" s="1"/>
  <c r="C266" i="17"/>
  <c r="AO139" i="14"/>
  <c r="AN141" i="14"/>
  <c r="AL139" i="14"/>
  <c r="AM144" i="14"/>
  <c r="AO136" i="14"/>
  <c r="AO144" i="14"/>
  <c r="AL141" i="14"/>
  <c r="AM136" i="14"/>
  <c r="AN144" i="14"/>
  <c r="AN142" i="14"/>
  <c r="AM143" i="14"/>
  <c r="AM142" i="14"/>
  <c r="AO142" i="14"/>
  <c r="AO137" i="14"/>
  <c r="AO143" i="14"/>
  <c r="AL142" i="14"/>
  <c r="AL137" i="14"/>
  <c r="AN138" i="14"/>
  <c r="AO141" i="14"/>
  <c r="AN143" i="14"/>
  <c r="AM141" i="14"/>
  <c r="AL136" i="14"/>
  <c r="AO138" i="14"/>
  <c r="AO140" i="14"/>
  <c r="AL140" i="14"/>
  <c r="AM140" i="14"/>
  <c r="AL138" i="14"/>
  <c r="AL144" i="14"/>
  <c r="AM139" i="14"/>
  <c r="AN137" i="14"/>
  <c r="AN136" i="14"/>
  <c r="AM138" i="14"/>
  <c r="AL143" i="14"/>
  <c r="AM137" i="14"/>
  <c r="AN140" i="14"/>
  <c r="AN139" i="14"/>
  <c r="BC52" i="1"/>
  <c r="D54" i="1"/>
  <c r="C54" i="1" s="1"/>
  <c r="H949" i="15"/>
  <c r="U948" i="15"/>
  <c r="T948" i="15"/>
  <c r="H624" i="15"/>
  <c r="T623" i="15"/>
  <c r="U623" i="15"/>
  <c r="B44" i="9"/>
  <c r="N43" i="9"/>
  <c r="AS55" i="1"/>
  <c r="D55" i="1" s="1"/>
  <c r="L167" i="14"/>
  <c r="F220" i="15"/>
  <c r="G219" i="15"/>
  <c r="AX21" i="14"/>
  <c r="AY20" i="14"/>
  <c r="AR344" i="17"/>
  <c r="D333" i="17"/>
  <c r="AS333" i="17"/>
  <c r="D334" i="17"/>
  <c r="I314" i="17"/>
  <c r="I315" i="17"/>
  <c r="I317" i="17"/>
  <c r="I316" i="17"/>
  <c r="I313" i="17"/>
  <c r="I318" i="17"/>
  <c r="V316" i="17"/>
  <c r="V314" i="17"/>
  <c r="V318" i="17"/>
  <c r="V317" i="17"/>
  <c r="V313" i="17"/>
  <c r="V319" i="17" s="1"/>
  <c r="V315" i="17"/>
  <c r="J316" i="17"/>
  <c r="J314" i="17"/>
  <c r="J315" i="17"/>
  <c r="J313" i="17"/>
  <c r="J317" i="17"/>
  <c r="J318" i="17"/>
  <c r="AF316" i="17"/>
  <c r="AF314" i="17"/>
  <c r="AF315" i="17"/>
  <c r="AF317" i="17"/>
  <c r="AF318" i="17"/>
  <c r="AF313" i="17"/>
  <c r="T346" i="15"/>
  <c r="H347" i="15"/>
  <c r="U346" i="15"/>
  <c r="T513" i="15"/>
  <c r="U513" i="15"/>
  <c r="AQ355" i="17"/>
  <c r="AP378" i="17"/>
  <c r="AJ315" i="17"/>
  <c r="AJ314" i="17"/>
  <c r="AJ316" i="17"/>
  <c r="AJ318" i="17"/>
  <c r="AJ317" i="17"/>
  <c r="AJ313" i="17"/>
  <c r="T317" i="17"/>
  <c r="T314" i="17"/>
  <c r="T315" i="17"/>
  <c r="T318" i="17"/>
  <c r="T313" i="17"/>
  <c r="T316" i="17"/>
  <c r="P314" i="17"/>
  <c r="P316" i="17"/>
  <c r="P315" i="17"/>
  <c r="P317" i="17"/>
  <c r="P313" i="17"/>
  <c r="P318" i="17"/>
  <c r="H544" i="15"/>
  <c r="T543" i="15"/>
  <c r="U543" i="15"/>
  <c r="U745" i="15"/>
  <c r="H746" i="15"/>
  <c r="T745" i="15"/>
  <c r="Y318" i="17"/>
  <c r="Y316" i="17"/>
  <c r="Y314" i="17"/>
  <c r="Y317" i="17"/>
  <c r="Y315" i="17"/>
  <c r="Y313" i="17"/>
  <c r="AG313" i="17"/>
  <c r="AG316" i="17"/>
  <c r="AG318" i="17"/>
  <c r="AG315" i="17"/>
  <c r="AG314" i="17"/>
  <c r="AG317" i="17"/>
  <c r="AA317" i="17"/>
  <c r="AA313" i="17"/>
  <c r="AA314" i="17"/>
  <c r="AA318" i="17"/>
  <c r="AA316" i="17"/>
  <c r="AA315" i="17"/>
  <c r="H784" i="15"/>
  <c r="T783" i="15"/>
  <c r="U783" i="15"/>
  <c r="T21" i="15"/>
  <c r="G21" i="15" s="1"/>
  <c r="H22" i="15"/>
  <c r="U21" i="15"/>
  <c r="T114" i="15"/>
  <c r="G114" i="15" s="1"/>
  <c r="U114" i="15"/>
  <c r="W315" i="17"/>
  <c r="W314" i="17"/>
  <c r="W318" i="17"/>
  <c r="W316" i="17"/>
  <c r="W313" i="17"/>
  <c r="W317" i="17"/>
  <c r="T902" i="15"/>
  <c r="H903" i="15"/>
  <c r="U902" i="15"/>
  <c r="CB323" i="17"/>
  <c r="BS323" i="17"/>
  <c r="BK323" i="17"/>
  <c r="BQ323" i="17"/>
  <c r="BH323" i="17"/>
  <c r="CD323" i="17"/>
  <c r="BO323" i="17"/>
  <c r="BT323" i="17"/>
  <c r="BV323" i="17"/>
  <c r="BY323" i="17"/>
  <c r="BM323" i="17"/>
  <c r="BJ323" i="17"/>
  <c r="BL323" i="17"/>
  <c r="BN323" i="17"/>
  <c r="BW323" i="17"/>
  <c r="BC323" i="17"/>
  <c r="CF323" i="17"/>
  <c r="BD323" i="17"/>
  <c r="BR323" i="17"/>
  <c r="BF323" i="17"/>
  <c r="BX323" i="17"/>
  <c r="CE323" i="17"/>
  <c r="BZ323" i="17"/>
  <c r="CC323" i="17"/>
  <c r="E323" i="17"/>
  <c r="BP323" i="17"/>
  <c r="BU323" i="17"/>
  <c r="E322" i="17"/>
  <c r="CA323" i="17"/>
  <c r="BI323" i="17"/>
  <c r="BG323" i="17"/>
  <c r="BE323" i="17"/>
  <c r="H465" i="15"/>
  <c r="U464" i="15"/>
  <c r="T464" i="15"/>
  <c r="L315" i="17"/>
  <c r="L314" i="17"/>
  <c r="L313" i="17"/>
  <c r="L318" i="17"/>
  <c r="L317" i="17"/>
  <c r="L316" i="17"/>
  <c r="Q313" i="17"/>
  <c r="Q318" i="17"/>
  <c r="Q317" i="17"/>
  <c r="Q315" i="17"/>
  <c r="Q314" i="17"/>
  <c r="Q316" i="17"/>
  <c r="U223" i="15"/>
  <c r="T223" i="15"/>
  <c r="H224" i="15"/>
  <c r="AD318" i="17"/>
  <c r="AD317" i="17"/>
  <c r="AD315" i="17"/>
  <c r="AD314" i="17"/>
  <c r="AD313" i="17"/>
  <c r="AD316" i="17"/>
  <c r="R315" i="17"/>
  <c r="R317" i="17"/>
  <c r="R316" i="17"/>
  <c r="R313" i="17"/>
  <c r="R318" i="17"/>
  <c r="R314" i="17"/>
  <c r="U704" i="15"/>
  <c r="H705" i="15"/>
  <c r="T704" i="15"/>
  <c r="K317" i="17"/>
  <c r="K315" i="17"/>
  <c r="K314" i="17"/>
  <c r="K318" i="17"/>
  <c r="K313" i="17"/>
  <c r="K316" i="17"/>
  <c r="AK315" i="17"/>
  <c r="AK314" i="17"/>
  <c r="AK318" i="17"/>
  <c r="AK313" i="17"/>
  <c r="AK317" i="17"/>
  <c r="AK316" i="17"/>
  <c r="S314" i="17"/>
  <c r="S313" i="17"/>
  <c r="S318" i="17"/>
  <c r="S316" i="17"/>
  <c r="S315" i="17"/>
  <c r="S317" i="17"/>
  <c r="X314" i="17"/>
  <c r="X316" i="17"/>
  <c r="X313" i="17"/>
  <c r="X315" i="17"/>
  <c r="X317" i="17"/>
  <c r="X318" i="17"/>
  <c r="Z314" i="17"/>
  <c r="Z318" i="17"/>
  <c r="Z313" i="17"/>
  <c r="Z316" i="17"/>
  <c r="Z317" i="17"/>
  <c r="Z315" i="17"/>
  <c r="AI315" i="17"/>
  <c r="AI313" i="17"/>
  <c r="AI318" i="17"/>
  <c r="AI316" i="17"/>
  <c r="AI314" i="17"/>
  <c r="AI317" i="17"/>
  <c r="M317" i="17"/>
  <c r="M316" i="17"/>
  <c r="M313" i="17"/>
  <c r="M315" i="17"/>
  <c r="M314" i="17"/>
  <c r="M318" i="17"/>
  <c r="AC313" i="17"/>
  <c r="AC317" i="17"/>
  <c r="AC316" i="17"/>
  <c r="AC315" i="17"/>
  <c r="AC318" i="17"/>
  <c r="AC314" i="17"/>
  <c r="H316" i="17"/>
  <c r="H313" i="17"/>
  <c r="H317" i="17"/>
  <c r="H315" i="17"/>
  <c r="H318" i="17"/>
  <c r="H314" i="17"/>
  <c r="AB313" i="17"/>
  <c r="AB318" i="17"/>
  <c r="AB316" i="17"/>
  <c r="AB314" i="17"/>
  <c r="AB317" i="17"/>
  <c r="AB315" i="17"/>
  <c r="O318" i="17"/>
  <c r="O314" i="17"/>
  <c r="O315" i="17"/>
  <c r="O313" i="17"/>
  <c r="O316" i="17"/>
  <c r="O317" i="17"/>
  <c r="U314" i="17"/>
  <c r="U313" i="17"/>
  <c r="U318" i="17"/>
  <c r="U316" i="17"/>
  <c r="U317" i="17"/>
  <c r="U315" i="17"/>
  <c r="AH313" i="17"/>
  <c r="AH318" i="17"/>
  <c r="AH314" i="17"/>
  <c r="AH317" i="17"/>
  <c r="AH316" i="17"/>
  <c r="AH315" i="17"/>
  <c r="AE318" i="17"/>
  <c r="AE314" i="17"/>
  <c r="AE313" i="17"/>
  <c r="AE316" i="17"/>
  <c r="AE315" i="17"/>
  <c r="AE317" i="17"/>
  <c r="N316" i="17"/>
  <c r="N314" i="17"/>
  <c r="N317" i="17"/>
  <c r="N315" i="17"/>
  <c r="N318" i="17"/>
  <c r="N313" i="17"/>
  <c r="H305" i="15"/>
  <c r="T304" i="15"/>
  <c r="U304" i="15"/>
  <c r="H823" i="15"/>
  <c r="U822" i="15"/>
  <c r="T822" i="15"/>
  <c r="J308" i="17"/>
  <c r="AD319" i="17" l="1"/>
  <c r="AA319" i="17"/>
  <c r="Y319" i="17"/>
  <c r="Z319" i="17"/>
  <c r="W319" i="17"/>
  <c r="AC319" i="17"/>
  <c r="U319" i="17"/>
  <c r="T319" i="17"/>
  <c r="AB319" i="17"/>
  <c r="S319" i="17"/>
  <c r="X319" i="17"/>
  <c r="K319" i="17"/>
  <c r="R319" i="17"/>
  <c r="P319" i="17"/>
  <c r="Q319" i="17"/>
  <c r="O319" i="17"/>
  <c r="N319" i="17"/>
  <c r="M319" i="17"/>
  <c r="L319" i="17"/>
  <c r="U386" i="15"/>
  <c r="T386" i="15"/>
  <c r="H387" i="15"/>
  <c r="A51" i="9"/>
  <c r="S50" i="9"/>
  <c r="AH21" i="2"/>
  <c r="V22" i="2"/>
  <c r="T60" i="15"/>
  <c r="G60" i="15" s="1"/>
  <c r="H61" i="15"/>
  <c r="U60" i="15"/>
  <c r="T624" i="15"/>
  <c r="H625" i="15"/>
  <c r="U624" i="15"/>
  <c r="H505" i="15"/>
  <c r="T504" i="15"/>
  <c r="U504" i="15"/>
  <c r="T949" i="15"/>
  <c r="H950" i="15"/>
  <c r="U949" i="15"/>
  <c r="H588" i="15"/>
  <c r="T587" i="15"/>
  <c r="U587" i="15"/>
  <c r="T661" i="15"/>
  <c r="H662" i="15"/>
  <c r="U661" i="15"/>
  <c r="U860" i="15"/>
  <c r="T860" i="15"/>
  <c r="H861" i="15"/>
  <c r="W139" i="14"/>
  <c r="C134" i="14" s="1"/>
  <c r="C277" i="17"/>
  <c r="AH152" i="14"/>
  <c r="AI153" i="14"/>
  <c r="AH159" i="14"/>
  <c r="AH157" i="14"/>
  <c r="AK157" i="14"/>
  <c r="AJ154" i="14"/>
  <c r="AI158" i="14"/>
  <c r="AH153" i="14"/>
  <c r="AJ158" i="14"/>
  <c r="AJ152" i="14"/>
  <c r="AH160" i="14"/>
  <c r="AH158" i="14"/>
  <c r="AK158" i="14"/>
  <c r="AK156" i="14"/>
  <c r="AK152" i="14"/>
  <c r="AI152" i="14"/>
  <c r="AH154" i="14"/>
  <c r="AJ160" i="14"/>
  <c r="AK153" i="14"/>
  <c r="AJ159" i="14"/>
  <c r="AI159" i="14"/>
  <c r="AI154" i="14"/>
  <c r="AJ156" i="14"/>
  <c r="AJ155" i="14"/>
  <c r="AI157" i="14"/>
  <c r="AH156" i="14"/>
  <c r="AK154" i="14"/>
  <c r="AJ157" i="14"/>
  <c r="AK155" i="14"/>
  <c r="AI156" i="14"/>
  <c r="AI160" i="14"/>
  <c r="AJ153" i="14"/>
  <c r="AK159" i="14"/>
  <c r="AI155" i="14"/>
  <c r="AH155" i="14"/>
  <c r="AK160" i="14"/>
  <c r="O43" i="9"/>
  <c r="AT55" i="1"/>
  <c r="Z155" i="14"/>
  <c r="U103" i="15"/>
  <c r="T103" i="15"/>
  <c r="G103" i="15" s="1"/>
  <c r="H104" i="15"/>
  <c r="G149" i="15"/>
  <c r="U182" i="15"/>
  <c r="T182" i="15"/>
  <c r="G182" i="15" s="1"/>
  <c r="H183" i="15"/>
  <c r="E54" i="1"/>
  <c r="BD54" i="1"/>
  <c r="BC54" i="1"/>
  <c r="BF54" i="1"/>
  <c r="BE54" i="1"/>
  <c r="I319" i="17"/>
  <c r="N44" i="9"/>
  <c r="B45" i="9"/>
  <c r="AS56" i="1"/>
  <c r="D56" i="1" s="1"/>
  <c r="T423" i="15"/>
  <c r="H424" i="15"/>
  <c r="U423" i="15"/>
  <c r="H151" i="15"/>
  <c r="U150" i="15"/>
  <c r="T150" i="15"/>
  <c r="G150" i="15" s="1"/>
  <c r="R41" i="9"/>
  <c r="Q41" i="9"/>
  <c r="M213" i="4" s="1"/>
  <c r="P42" i="9"/>
  <c r="AU54" i="1"/>
  <c r="F221" i="15"/>
  <c r="G220" i="15"/>
  <c r="AX22" i="14"/>
  <c r="AY21" i="14"/>
  <c r="T224" i="15"/>
  <c r="H225" i="15"/>
  <c r="U224" i="15"/>
  <c r="N328" i="17"/>
  <c r="N327" i="17"/>
  <c r="N324" i="17"/>
  <c r="N326" i="17"/>
  <c r="N325" i="17"/>
  <c r="N329" i="17"/>
  <c r="AJ329" i="17"/>
  <c r="AJ328" i="17"/>
  <c r="AJ325" i="17"/>
  <c r="AJ324" i="17"/>
  <c r="AJ326" i="17"/>
  <c r="AJ327" i="17"/>
  <c r="S326" i="17"/>
  <c r="S324" i="17"/>
  <c r="S325" i="17"/>
  <c r="S328" i="17"/>
  <c r="S329" i="17"/>
  <c r="S327" i="17"/>
  <c r="AI324" i="17"/>
  <c r="AI328" i="17"/>
  <c r="AI325" i="17"/>
  <c r="AI329" i="17"/>
  <c r="AI326" i="17"/>
  <c r="AI327" i="17"/>
  <c r="BC334" i="17"/>
  <c r="BE334" i="17"/>
  <c r="BQ334" i="17"/>
  <c r="BP334" i="17"/>
  <c r="BY334" i="17"/>
  <c r="CC334" i="17"/>
  <c r="CF334" i="17"/>
  <c r="CD334" i="17"/>
  <c r="BI334" i="17"/>
  <c r="BW334" i="17"/>
  <c r="BD334" i="17"/>
  <c r="E333" i="17"/>
  <c r="BK334" i="17"/>
  <c r="CA334" i="17"/>
  <c r="BZ334" i="17"/>
  <c r="BN334" i="17"/>
  <c r="BS334" i="17"/>
  <c r="BO334" i="17"/>
  <c r="BM334" i="17"/>
  <c r="BT334" i="17"/>
  <c r="E334" i="17"/>
  <c r="BH334" i="17"/>
  <c r="BX334" i="17"/>
  <c r="BR334" i="17"/>
  <c r="BJ334" i="17"/>
  <c r="BV334" i="17"/>
  <c r="BG334" i="17"/>
  <c r="CE334" i="17"/>
  <c r="BL334" i="17"/>
  <c r="BF334" i="17"/>
  <c r="CB334" i="17"/>
  <c r="BU334" i="17"/>
  <c r="AF325" i="17"/>
  <c r="AF326" i="17"/>
  <c r="AF328" i="17"/>
  <c r="AF324" i="17"/>
  <c r="AF329" i="17"/>
  <c r="AF327" i="17"/>
  <c r="AC329" i="17"/>
  <c r="AC327" i="17"/>
  <c r="AC324" i="17"/>
  <c r="AC326" i="17"/>
  <c r="AC328" i="17"/>
  <c r="AC325" i="17"/>
  <c r="Q324" i="17"/>
  <c r="Q326" i="17"/>
  <c r="Q325" i="17"/>
  <c r="Q327" i="17"/>
  <c r="Q328" i="17"/>
  <c r="Q329" i="17"/>
  <c r="M324" i="17"/>
  <c r="M329" i="17"/>
  <c r="M328" i="17"/>
  <c r="M327" i="17"/>
  <c r="M325" i="17"/>
  <c r="M326" i="17"/>
  <c r="H23" i="15"/>
  <c r="T22" i="15"/>
  <c r="G22" i="15" s="1"/>
  <c r="U22" i="15"/>
  <c r="T633" i="15"/>
  <c r="U633" i="15"/>
  <c r="T784" i="15"/>
  <c r="H785" i="15"/>
  <c r="U784" i="15"/>
  <c r="H319" i="17"/>
  <c r="U115" i="15"/>
  <c r="T115" i="15"/>
  <c r="G115" i="15" s="1"/>
  <c r="U329" i="17"/>
  <c r="U325" i="17"/>
  <c r="U324" i="17"/>
  <c r="U327" i="17"/>
  <c r="U328" i="17"/>
  <c r="U326" i="17"/>
  <c r="I328" i="17"/>
  <c r="I324" i="17"/>
  <c r="I326" i="17"/>
  <c r="I327" i="17"/>
  <c r="I329" i="17"/>
  <c r="I325" i="17"/>
  <c r="AD328" i="17"/>
  <c r="AD324" i="17"/>
  <c r="AD326" i="17"/>
  <c r="AD327" i="17"/>
  <c r="AD329" i="17"/>
  <c r="AD325" i="17"/>
  <c r="X328" i="17"/>
  <c r="X329" i="17"/>
  <c r="X325" i="17"/>
  <c r="X324" i="17"/>
  <c r="X326" i="17"/>
  <c r="X327" i="17"/>
  <c r="W326" i="17"/>
  <c r="W328" i="17"/>
  <c r="W325" i="17"/>
  <c r="W327" i="17"/>
  <c r="W329" i="17"/>
  <c r="W324" i="17"/>
  <c r="R326" i="17"/>
  <c r="R325" i="17"/>
  <c r="R327" i="17"/>
  <c r="R329" i="17"/>
  <c r="R328" i="17"/>
  <c r="R324" i="17"/>
  <c r="P324" i="17"/>
  <c r="P327" i="17"/>
  <c r="P328" i="17"/>
  <c r="P326" i="17"/>
  <c r="P325" i="17"/>
  <c r="P329" i="17"/>
  <c r="T823" i="15"/>
  <c r="U823" i="15"/>
  <c r="H824" i="15"/>
  <c r="H466" i="15"/>
  <c r="U465" i="15"/>
  <c r="T465" i="15"/>
  <c r="AK324" i="17"/>
  <c r="AK325" i="17"/>
  <c r="AK326" i="17"/>
  <c r="AK329" i="17"/>
  <c r="AK328" i="17"/>
  <c r="AK327" i="17"/>
  <c r="AA324" i="17"/>
  <c r="AA327" i="17"/>
  <c r="AA329" i="17"/>
  <c r="AA326" i="17"/>
  <c r="AA328" i="17"/>
  <c r="AA325" i="17"/>
  <c r="AG326" i="17"/>
  <c r="AG329" i="17"/>
  <c r="AG328" i="17"/>
  <c r="AG324" i="17"/>
  <c r="AG325" i="17"/>
  <c r="AG327" i="17"/>
  <c r="U393" i="15"/>
  <c r="T393" i="15"/>
  <c r="AP389" i="17"/>
  <c r="AQ378" i="17"/>
  <c r="U514" i="15"/>
  <c r="T514" i="15"/>
  <c r="U347" i="15"/>
  <c r="H348" i="15"/>
  <c r="T347" i="15"/>
  <c r="Z325" i="17"/>
  <c r="Z329" i="17"/>
  <c r="Z326" i="17"/>
  <c r="Z328" i="17"/>
  <c r="Z327" i="17"/>
  <c r="Z324" i="17"/>
  <c r="T593" i="15"/>
  <c r="U593" i="15"/>
  <c r="H306" i="15"/>
  <c r="T305" i="15"/>
  <c r="U305" i="15"/>
  <c r="J327" i="17"/>
  <c r="J328" i="17"/>
  <c r="J329" i="17"/>
  <c r="J326" i="17"/>
  <c r="J324" i="17"/>
  <c r="J325" i="17"/>
  <c r="AH325" i="17"/>
  <c r="AH329" i="17"/>
  <c r="AH324" i="17"/>
  <c r="AH327" i="17"/>
  <c r="AH328" i="17"/>
  <c r="AH326" i="17"/>
  <c r="H325" i="17"/>
  <c r="H326" i="17"/>
  <c r="H327" i="17"/>
  <c r="H324" i="17"/>
  <c r="H328" i="17"/>
  <c r="H329" i="17"/>
  <c r="Y327" i="17"/>
  <c r="Y324" i="17"/>
  <c r="Y325" i="17"/>
  <c r="Y328" i="17"/>
  <c r="Y326" i="17"/>
  <c r="Y329" i="17"/>
  <c r="U746" i="15"/>
  <c r="T746" i="15"/>
  <c r="H747" i="15"/>
  <c r="AR355" i="17"/>
  <c r="K326" i="17"/>
  <c r="K329" i="17"/>
  <c r="K327" i="17"/>
  <c r="K328" i="17"/>
  <c r="K324" i="17"/>
  <c r="K325" i="17"/>
  <c r="O329" i="17"/>
  <c r="O326" i="17"/>
  <c r="O328" i="17"/>
  <c r="O327" i="17"/>
  <c r="O324" i="17"/>
  <c r="O325" i="17"/>
  <c r="V326" i="17"/>
  <c r="V325" i="17"/>
  <c r="V324" i="17"/>
  <c r="V328" i="17"/>
  <c r="V327" i="17"/>
  <c r="V329" i="17"/>
  <c r="H904" i="15"/>
  <c r="U903" i="15"/>
  <c r="T903" i="15"/>
  <c r="T544" i="15"/>
  <c r="H545" i="15"/>
  <c r="U544" i="15"/>
  <c r="H706" i="15"/>
  <c r="U705" i="15"/>
  <c r="T705" i="15"/>
  <c r="L328" i="17"/>
  <c r="L325" i="17"/>
  <c r="L327" i="17"/>
  <c r="L324" i="17"/>
  <c r="L326" i="17"/>
  <c r="L329" i="17"/>
  <c r="AE326" i="17"/>
  <c r="AE329" i="17"/>
  <c r="AE325" i="17"/>
  <c r="AE328" i="17"/>
  <c r="AE327" i="17"/>
  <c r="AE324" i="17"/>
  <c r="AB324" i="17"/>
  <c r="AB326" i="17"/>
  <c r="AB325" i="17"/>
  <c r="AB327" i="17"/>
  <c r="AB329" i="17"/>
  <c r="AB328" i="17"/>
  <c r="T326" i="17"/>
  <c r="T328" i="17"/>
  <c r="T329" i="17"/>
  <c r="T327" i="17"/>
  <c r="T324" i="17"/>
  <c r="T325" i="17"/>
  <c r="J319" i="17"/>
  <c r="V330" i="17" l="1"/>
  <c r="AD330" i="17"/>
  <c r="AA330" i="17"/>
  <c r="Z330" i="17"/>
  <c r="Y330" i="17"/>
  <c r="W330" i="17"/>
  <c r="AC330" i="17"/>
  <c r="U330" i="17"/>
  <c r="T330" i="17"/>
  <c r="AB330" i="17"/>
  <c r="S330" i="17"/>
  <c r="X330" i="17"/>
  <c r="R330" i="17"/>
  <c r="Q330" i="17"/>
  <c r="P330" i="17"/>
  <c r="O330" i="17"/>
  <c r="N330" i="17"/>
  <c r="M330" i="17"/>
  <c r="L330" i="17"/>
  <c r="K330" i="17"/>
  <c r="O44" i="9"/>
  <c r="X171" i="14"/>
  <c r="AT56" i="1"/>
  <c r="T183" i="15"/>
  <c r="G183" i="15" s="1"/>
  <c r="H184" i="15"/>
  <c r="U183" i="15"/>
  <c r="AM155" i="14"/>
  <c r="AM154" i="14"/>
  <c r="AO155" i="14"/>
  <c r="AN160" i="14"/>
  <c r="AN157" i="14"/>
  <c r="AM158" i="14"/>
  <c r="AM157" i="14"/>
  <c r="AN153" i="14"/>
  <c r="AO158" i="14"/>
  <c r="AL160" i="14"/>
  <c r="AL155" i="14"/>
  <c r="AO154" i="14"/>
  <c r="AN159" i="14"/>
  <c r="AM156" i="14"/>
  <c r="AL154" i="14"/>
  <c r="AM152" i="14"/>
  <c r="AO153" i="14"/>
  <c r="AN156" i="14"/>
  <c r="AM159" i="14"/>
  <c r="AL157" i="14"/>
  <c r="AL159" i="14"/>
  <c r="AN154" i="14"/>
  <c r="AN152" i="14"/>
  <c r="AL158" i="14"/>
  <c r="AM160" i="14"/>
  <c r="AO160" i="14"/>
  <c r="AO157" i="14"/>
  <c r="AL152" i="14"/>
  <c r="AL153" i="14"/>
  <c r="AN155" i="14"/>
  <c r="AO156" i="14"/>
  <c r="AM153" i="14"/>
  <c r="AL156" i="14"/>
  <c r="AN158" i="14"/>
  <c r="AO152" i="14"/>
  <c r="AO159" i="14"/>
  <c r="T625" i="15"/>
  <c r="U625" i="15"/>
  <c r="H626" i="15"/>
  <c r="BC55" i="1"/>
  <c r="BD55" i="1"/>
  <c r="E55" i="1"/>
  <c r="BF55" i="1"/>
  <c r="BE55" i="1"/>
  <c r="Y139" i="14"/>
  <c r="J134" i="14" s="1"/>
  <c r="C288" i="17"/>
  <c r="T151" i="15"/>
  <c r="H152" i="15"/>
  <c r="U151" i="15"/>
  <c r="P43" i="9"/>
  <c r="AU55" i="1"/>
  <c r="T861" i="15"/>
  <c r="H862" i="15"/>
  <c r="U861" i="15"/>
  <c r="U61" i="15"/>
  <c r="T61" i="15"/>
  <c r="G61" i="15" s="1"/>
  <c r="H62" i="15"/>
  <c r="U588" i="15"/>
  <c r="H589" i="15"/>
  <c r="T588" i="15"/>
  <c r="S51" i="9"/>
  <c r="A52" i="9"/>
  <c r="N45" i="9"/>
  <c r="B46" i="9"/>
  <c r="AS61" i="1"/>
  <c r="Q42" i="9"/>
  <c r="R42" i="9"/>
  <c r="U424" i="15"/>
  <c r="T424" i="15"/>
  <c r="H425" i="15"/>
  <c r="AH22" i="2"/>
  <c r="V23" i="2"/>
  <c r="T387" i="15"/>
  <c r="H388" i="15"/>
  <c r="U387" i="15"/>
  <c r="T104" i="15"/>
  <c r="G104" i="15" s="1"/>
  <c r="H105" i="15"/>
  <c r="U104" i="15"/>
  <c r="U505" i="15"/>
  <c r="H506" i="15"/>
  <c r="T505" i="15"/>
  <c r="T662" i="15"/>
  <c r="H663" i="15"/>
  <c r="U662" i="15"/>
  <c r="T950" i="15"/>
  <c r="H951" i="15"/>
  <c r="U950" i="15"/>
  <c r="F222" i="15"/>
  <c r="G221" i="15"/>
  <c r="AY22" i="14"/>
  <c r="AX23" i="14"/>
  <c r="U116" i="15"/>
  <c r="T116" i="15"/>
  <c r="AJ338" i="17"/>
  <c r="AJ335" i="17"/>
  <c r="AJ336" i="17"/>
  <c r="AJ340" i="17"/>
  <c r="AJ337" i="17"/>
  <c r="AJ339" i="17"/>
  <c r="Y339" i="17"/>
  <c r="Y338" i="17"/>
  <c r="Y335" i="17"/>
  <c r="Y336" i="17"/>
  <c r="Y337" i="17"/>
  <c r="Y340" i="17"/>
  <c r="U335" i="17"/>
  <c r="U336" i="17"/>
  <c r="U338" i="17"/>
  <c r="U337" i="17"/>
  <c r="U339" i="17"/>
  <c r="U340" i="17"/>
  <c r="U706" i="15"/>
  <c r="T706" i="15"/>
  <c r="H707" i="15"/>
  <c r="L340" i="17"/>
  <c r="L338" i="17"/>
  <c r="L339" i="17"/>
  <c r="L336" i="17"/>
  <c r="L335" i="17"/>
  <c r="L337" i="17"/>
  <c r="R340" i="17"/>
  <c r="R335" i="17"/>
  <c r="R339" i="17"/>
  <c r="R336" i="17"/>
  <c r="R338" i="17"/>
  <c r="R337" i="17"/>
  <c r="I337" i="17"/>
  <c r="I335" i="17"/>
  <c r="I340" i="17"/>
  <c r="I338" i="17"/>
  <c r="I339" i="17"/>
  <c r="I336" i="17"/>
  <c r="V339" i="17"/>
  <c r="V337" i="17"/>
  <c r="V335" i="17"/>
  <c r="V336" i="17"/>
  <c r="V340" i="17"/>
  <c r="V338" i="17"/>
  <c r="H330" i="17"/>
  <c r="AB337" i="17"/>
  <c r="AB339" i="17"/>
  <c r="AB340" i="17"/>
  <c r="AB335" i="17"/>
  <c r="AB336" i="17"/>
  <c r="AB338" i="17"/>
  <c r="I330" i="17"/>
  <c r="T785" i="15"/>
  <c r="H786" i="15"/>
  <c r="U785" i="15"/>
  <c r="O336" i="17"/>
  <c r="O339" i="17"/>
  <c r="O337" i="17"/>
  <c r="O335" i="17"/>
  <c r="O338" i="17"/>
  <c r="O340" i="17"/>
  <c r="X335" i="17"/>
  <c r="X340" i="17"/>
  <c r="X338" i="17"/>
  <c r="X336" i="17"/>
  <c r="X339" i="17"/>
  <c r="X337" i="17"/>
  <c r="N337" i="17"/>
  <c r="N339" i="17"/>
  <c r="N335" i="17"/>
  <c r="N336" i="17"/>
  <c r="N338" i="17"/>
  <c r="N340" i="17"/>
  <c r="H337" i="17"/>
  <c r="H339" i="17"/>
  <c r="H338" i="17"/>
  <c r="H335" i="17"/>
  <c r="H336" i="17"/>
  <c r="H340" i="17"/>
  <c r="T824" i="15"/>
  <c r="U824" i="15"/>
  <c r="H825" i="15"/>
  <c r="H24" i="15"/>
  <c r="T23" i="15"/>
  <c r="G23" i="15" s="1"/>
  <c r="U23" i="15"/>
  <c r="Z339" i="17"/>
  <c r="Z337" i="17"/>
  <c r="Z336" i="17"/>
  <c r="Z335" i="17"/>
  <c r="Z338" i="17"/>
  <c r="Z340" i="17"/>
  <c r="W337" i="17"/>
  <c r="W336" i="17"/>
  <c r="W335" i="17"/>
  <c r="W339" i="17"/>
  <c r="W338" i="17"/>
  <c r="W340" i="17"/>
  <c r="S340" i="17"/>
  <c r="S338" i="17"/>
  <c r="S336" i="17"/>
  <c r="S337" i="17"/>
  <c r="S339" i="17"/>
  <c r="S335" i="17"/>
  <c r="AI339" i="17"/>
  <c r="AI340" i="17"/>
  <c r="AI335" i="17"/>
  <c r="AI336" i="17"/>
  <c r="AI337" i="17"/>
  <c r="AI338" i="17"/>
  <c r="H546" i="15"/>
  <c r="U545" i="15"/>
  <c r="T545" i="15"/>
  <c r="J330" i="17"/>
  <c r="AR378" i="17"/>
  <c r="AG338" i="17"/>
  <c r="AG337" i="17"/>
  <c r="AG335" i="17"/>
  <c r="AG340" i="17"/>
  <c r="AG336" i="17"/>
  <c r="AG339" i="17"/>
  <c r="AC337" i="17"/>
  <c r="AC339" i="17"/>
  <c r="AC338" i="17"/>
  <c r="AC340" i="17"/>
  <c r="AC336" i="17"/>
  <c r="AC335" i="17"/>
  <c r="AE335" i="17"/>
  <c r="AE339" i="17"/>
  <c r="AE336" i="17"/>
  <c r="AE337" i="17"/>
  <c r="AE340" i="17"/>
  <c r="AE338" i="17"/>
  <c r="AK337" i="17"/>
  <c r="AK338" i="17"/>
  <c r="AK339" i="17"/>
  <c r="AK336" i="17"/>
  <c r="AK335" i="17"/>
  <c r="AK340" i="17"/>
  <c r="U225" i="15"/>
  <c r="H226" i="15"/>
  <c r="T225" i="15"/>
  <c r="T594" i="15"/>
  <c r="U594" i="15"/>
  <c r="AA339" i="17"/>
  <c r="AA335" i="17"/>
  <c r="AA337" i="17"/>
  <c r="AA340" i="17"/>
  <c r="AA338" i="17"/>
  <c r="AA336" i="17"/>
  <c r="J340" i="17"/>
  <c r="J335" i="17"/>
  <c r="J337" i="17"/>
  <c r="J336" i="17"/>
  <c r="J339" i="17"/>
  <c r="J338" i="17"/>
  <c r="T673" i="15"/>
  <c r="U673" i="15"/>
  <c r="U306" i="15"/>
  <c r="H307" i="15"/>
  <c r="T306" i="15"/>
  <c r="AQ389" i="17"/>
  <c r="AP400" i="17"/>
  <c r="T466" i="15"/>
  <c r="H467" i="15"/>
  <c r="U466" i="15"/>
  <c r="K339" i="17"/>
  <c r="K338" i="17"/>
  <c r="K340" i="17"/>
  <c r="K337" i="17"/>
  <c r="K336" i="17"/>
  <c r="K335" i="17"/>
  <c r="M335" i="17"/>
  <c r="M340" i="17"/>
  <c r="M339" i="17"/>
  <c r="M338" i="17"/>
  <c r="M336" i="17"/>
  <c r="M337" i="17"/>
  <c r="AF335" i="17"/>
  <c r="AF338" i="17"/>
  <c r="AF340" i="17"/>
  <c r="AF336" i="17"/>
  <c r="AF339" i="17"/>
  <c r="AF337" i="17"/>
  <c r="AH336" i="17"/>
  <c r="AH335" i="17"/>
  <c r="AH337" i="17"/>
  <c r="AH339" i="17"/>
  <c r="AH338" i="17"/>
  <c r="AH340" i="17"/>
  <c r="T348" i="15"/>
  <c r="H349" i="15"/>
  <c r="U348" i="15"/>
  <c r="U515" i="15"/>
  <c r="T515" i="15"/>
  <c r="T339" i="17"/>
  <c r="T337" i="17"/>
  <c r="T336" i="17"/>
  <c r="T338" i="17"/>
  <c r="T340" i="17"/>
  <c r="T335" i="17"/>
  <c r="H748" i="15"/>
  <c r="T747" i="15"/>
  <c r="U747" i="15"/>
  <c r="U904" i="15"/>
  <c r="H905" i="15"/>
  <c r="T904" i="15"/>
  <c r="T394" i="15"/>
  <c r="U394" i="15"/>
  <c r="T634" i="15"/>
  <c r="U634" i="15"/>
  <c r="Q339" i="17"/>
  <c r="Q335" i="17"/>
  <c r="Q338" i="17"/>
  <c r="Q336" i="17"/>
  <c r="Q337" i="17"/>
  <c r="Q340" i="17"/>
  <c r="P340" i="17"/>
  <c r="P336" i="17"/>
  <c r="P338" i="17"/>
  <c r="P339" i="17"/>
  <c r="P337" i="17"/>
  <c r="P335" i="17"/>
  <c r="AD340" i="17"/>
  <c r="AD338" i="17"/>
  <c r="AD335" i="17"/>
  <c r="AD339" i="17"/>
  <c r="AD336" i="17"/>
  <c r="AD337" i="17"/>
  <c r="V341" i="17" l="1"/>
  <c r="AD341" i="17"/>
  <c r="AA341" i="17"/>
  <c r="Y341" i="17"/>
  <c r="Z341" i="17"/>
  <c r="AC341" i="17"/>
  <c r="W341" i="17"/>
  <c r="U341" i="17"/>
  <c r="T341" i="17"/>
  <c r="AB341" i="17"/>
  <c r="S341" i="17"/>
  <c r="X341" i="17"/>
  <c r="P341" i="17"/>
  <c r="R341" i="17"/>
  <c r="Q341" i="17"/>
  <c r="O341" i="17"/>
  <c r="N341" i="17"/>
  <c r="M341" i="17"/>
  <c r="K341" i="17"/>
  <c r="L341" i="17"/>
  <c r="O45" i="9"/>
  <c r="AT61" i="1"/>
  <c r="Z171" i="14"/>
  <c r="T152" i="15"/>
  <c r="G152" i="15" s="1"/>
  <c r="U152" i="15"/>
  <c r="U158" i="15" s="1"/>
  <c r="H153" i="15"/>
  <c r="H154" i="15" s="1"/>
  <c r="H155" i="15" s="1"/>
  <c r="H156" i="15" s="1"/>
  <c r="B47" i="9"/>
  <c r="N46" i="9"/>
  <c r="AS62" i="1"/>
  <c r="D62" i="1" s="1"/>
  <c r="H63" i="15"/>
  <c r="T62" i="15"/>
  <c r="G62" i="15" s="1"/>
  <c r="U62" i="15"/>
  <c r="H952" i="15"/>
  <c r="U951" i="15"/>
  <c r="T951" i="15"/>
  <c r="H426" i="15"/>
  <c r="U425" i="15"/>
  <c r="T425" i="15"/>
  <c r="H590" i="15"/>
  <c r="T589" i="15"/>
  <c r="U589" i="15"/>
  <c r="G151" i="15"/>
  <c r="T626" i="15"/>
  <c r="U626" i="15"/>
  <c r="H627" i="15"/>
  <c r="H185" i="15"/>
  <c r="U184" i="15"/>
  <c r="T184" i="15"/>
  <c r="G184" i="15" s="1"/>
  <c r="H507" i="15"/>
  <c r="U506" i="15"/>
  <c r="T506" i="15"/>
  <c r="H106" i="15"/>
  <c r="U105" i="15"/>
  <c r="T105" i="15"/>
  <c r="G105" i="15" s="1"/>
  <c r="U862" i="15"/>
  <c r="T862" i="15"/>
  <c r="H863" i="15"/>
  <c r="E56" i="1"/>
  <c r="BD56" i="1"/>
  <c r="BF56" i="1"/>
  <c r="BC56" i="1"/>
  <c r="BE56" i="1"/>
  <c r="U663" i="15"/>
  <c r="H664" i="15"/>
  <c r="T663" i="15"/>
  <c r="W155" i="14"/>
  <c r="C150" i="14" s="1"/>
  <c r="C299" i="17"/>
  <c r="AH168" i="14"/>
  <c r="AI169" i="14"/>
  <c r="AJ170" i="14"/>
  <c r="AJ174" i="14"/>
  <c r="AH171" i="14"/>
  <c r="AH169" i="14"/>
  <c r="AH174" i="14"/>
  <c r="AJ169" i="14"/>
  <c r="AK173" i="14"/>
  <c r="AH170" i="14"/>
  <c r="AI175" i="14"/>
  <c r="AI172" i="14"/>
  <c r="AK174" i="14"/>
  <c r="AK170" i="14"/>
  <c r="AK176" i="14"/>
  <c r="AK168" i="14"/>
  <c r="AJ175" i="14"/>
  <c r="AI168" i="14"/>
  <c r="AI170" i="14"/>
  <c r="AH173" i="14"/>
  <c r="AJ172" i="14"/>
  <c r="AJ168" i="14"/>
  <c r="AK171" i="14"/>
  <c r="AI173" i="14"/>
  <c r="AH175" i="14"/>
  <c r="AI176" i="14"/>
  <c r="AK172" i="14"/>
  <c r="AK169" i="14"/>
  <c r="AH172" i="14"/>
  <c r="AI171" i="14"/>
  <c r="AJ173" i="14"/>
  <c r="AJ176" i="14"/>
  <c r="AH176" i="14"/>
  <c r="AI174" i="14"/>
  <c r="AK175" i="14"/>
  <c r="AJ171" i="14"/>
  <c r="AH23" i="2"/>
  <c r="V24" i="2"/>
  <c r="U388" i="15"/>
  <c r="H389" i="15"/>
  <c r="T388" i="15"/>
  <c r="P44" i="9"/>
  <c r="AU56" i="1"/>
  <c r="D61" i="1"/>
  <c r="C61" i="1" s="1"/>
  <c r="BC59" i="1"/>
  <c r="S52" i="9"/>
  <c r="A53" i="9"/>
  <c r="Q43" i="9"/>
  <c r="M363" i="4" s="1"/>
  <c r="R43" i="9"/>
  <c r="F223" i="15"/>
  <c r="G222" i="15"/>
  <c r="AX24" i="14"/>
  <c r="AY23" i="14"/>
  <c r="T516" i="15"/>
  <c r="U516" i="15"/>
  <c r="U349" i="15"/>
  <c r="T349" i="15"/>
  <c r="H350" i="15"/>
  <c r="H468" i="15"/>
  <c r="T467" i="15"/>
  <c r="U467" i="15"/>
  <c r="H308" i="15"/>
  <c r="T307" i="15"/>
  <c r="U307" i="15"/>
  <c r="J341" i="17"/>
  <c r="U953" i="15"/>
  <c r="T953" i="15"/>
  <c r="I341" i="17"/>
  <c r="AQ400" i="17"/>
  <c r="AP411" i="17"/>
  <c r="H227" i="15"/>
  <c r="T226" i="15"/>
  <c r="U226" i="15"/>
  <c r="H25" i="15"/>
  <c r="U24" i="15"/>
  <c r="T24" i="15"/>
  <c r="G24" i="15" s="1"/>
  <c r="T707" i="15"/>
  <c r="U707" i="15"/>
  <c r="H708" i="15"/>
  <c r="AR389" i="17"/>
  <c r="T674" i="15"/>
  <c r="U674" i="15"/>
  <c r="H826" i="15"/>
  <c r="U825" i="15"/>
  <c r="T825" i="15"/>
  <c r="G116" i="15"/>
  <c r="T395" i="15"/>
  <c r="U395" i="15"/>
  <c r="T905" i="15"/>
  <c r="U905" i="15"/>
  <c r="H906" i="15"/>
  <c r="T786" i="15"/>
  <c r="H787" i="15"/>
  <c r="U786" i="15"/>
  <c r="U595" i="15"/>
  <c r="T595" i="15"/>
  <c r="U635" i="15"/>
  <c r="T635" i="15"/>
  <c r="H341" i="17"/>
  <c r="U748" i="15"/>
  <c r="T748" i="15"/>
  <c r="H749" i="15"/>
  <c r="U433" i="15"/>
  <c r="T433" i="15"/>
  <c r="T546" i="15"/>
  <c r="U546" i="15"/>
  <c r="H547" i="15"/>
  <c r="T158" i="15" l="1"/>
  <c r="O46" i="9"/>
  <c r="X187" i="14"/>
  <c r="AT62" i="1"/>
  <c r="Y155" i="14"/>
  <c r="J150" i="14" s="1"/>
  <c r="C310" i="17"/>
  <c r="H186" i="15"/>
  <c r="T185" i="15"/>
  <c r="G185" i="15" s="1"/>
  <c r="U185" i="15"/>
  <c r="U590" i="15"/>
  <c r="T590" i="15"/>
  <c r="H591" i="15"/>
  <c r="B48" i="9"/>
  <c r="N47" i="9"/>
  <c r="AS63" i="1"/>
  <c r="D63" i="1" s="1"/>
  <c r="Q44" i="9"/>
  <c r="R44" i="9"/>
  <c r="H628" i="15"/>
  <c r="T627" i="15"/>
  <c r="U627" i="15"/>
  <c r="T106" i="15"/>
  <c r="U106" i="15"/>
  <c r="H107" i="15"/>
  <c r="U63" i="15"/>
  <c r="H64" i="15"/>
  <c r="T63" i="15"/>
  <c r="G63" i="15" s="1"/>
  <c r="H390" i="15"/>
  <c r="T389" i="15"/>
  <c r="U389" i="15"/>
  <c r="H427" i="15"/>
  <c r="T426" i="15"/>
  <c r="U426" i="15"/>
  <c r="A54" i="9"/>
  <c r="S53" i="9"/>
  <c r="AN169" i="14"/>
  <c r="AO169" i="14"/>
  <c r="AM169" i="14"/>
  <c r="AL169" i="14"/>
  <c r="AM173" i="14"/>
  <c r="AO174" i="14"/>
  <c r="AN171" i="14"/>
  <c r="AL171" i="14"/>
  <c r="AL172" i="14"/>
  <c r="AO168" i="14"/>
  <c r="AO172" i="14"/>
  <c r="AM175" i="14"/>
  <c r="AL175" i="14"/>
  <c r="AN175" i="14"/>
  <c r="AN176" i="14"/>
  <c r="AL176" i="14"/>
  <c r="AM174" i="14"/>
  <c r="AN170" i="14"/>
  <c r="AN173" i="14"/>
  <c r="AM170" i="14"/>
  <c r="AL170" i="14"/>
  <c r="AO171" i="14"/>
  <c r="AO170" i="14"/>
  <c r="AM171" i="14"/>
  <c r="AL174" i="14"/>
  <c r="AN168" i="14"/>
  <c r="AN172" i="14"/>
  <c r="AO176" i="14"/>
  <c r="AM176" i="14"/>
  <c r="AM168" i="14"/>
  <c r="AO175" i="14"/>
  <c r="AO173" i="14"/>
  <c r="AN174" i="14"/>
  <c r="AM172" i="14"/>
  <c r="AL168" i="14"/>
  <c r="AL173" i="14"/>
  <c r="AH24" i="2"/>
  <c r="V25" i="2"/>
  <c r="T863" i="15"/>
  <c r="U863" i="15"/>
  <c r="H864" i="15"/>
  <c r="H508" i="15"/>
  <c r="T507" i="15"/>
  <c r="U507" i="15"/>
  <c r="BF61" i="1"/>
  <c r="E61" i="1"/>
  <c r="BC61" i="1"/>
  <c r="BD61" i="1"/>
  <c r="BE61" i="1"/>
  <c r="U664" i="15"/>
  <c r="T664" i="15"/>
  <c r="H665" i="15"/>
  <c r="H953" i="15"/>
  <c r="H954" i="15" s="1"/>
  <c r="U952" i="15"/>
  <c r="T952" i="15"/>
  <c r="P45" i="9"/>
  <c r="AU61" i="1"/>
  <c r="F224" i="15"/>
  <c r="G223" i="15"/>
  <c r="AY24" i="14"/>
  <c r="AX25" i="14"/>
  <c r="U396" i="15"/>
  <c r="T396" i="15"/>
  <c r="U636" i="15"/>
  <c r="T636" i="15"/>
  <c r="H26" i="15"/>
  <c r="T25" i="15"/>
  <c r="G25" i="15" s="1"/>
  <c r="U25" i="15"/>
  <c r="T675" i="15"/>
  <c r="U675" i="15"/>
  <c r="U468" i="15"/>
  <c r="H469" i="15"/>
  <c r="T468" i="15"/>
  <c r="T434" i="15"/>
  <c r="U434" i="15"/>
  <c r="T787" i="15"/>
  <c r="U787" i="15"/>
  <c r="H788" i="15"/>
  <c r="T906" i="15"/>
  <c r="H907" i="15"/>
  <c r="U906" i="15"/>
  <c r="U708" i="15"/>
  <c r="H709" i="15"/>
  <c r="T708" i="15"/>
  <c r="H827" i="15"/>
  <c r="U826" i="15"/>
  <c r="T826" i="15"/>
  <c r="H228" i="15"/>
  <c r="U227" i="15"/>
  <c r="T227" i="15"/>
  <c r="AQ411" i="17"/>
  <c r="AP422" i="17"/>
  <c r="T954" i="15"/>
  <c r="H955" i="15"/>
  <c r="U954" i="15"/>
  <c r="T308" i="15"/>
  <c r="H309" i="15"/>
  <c r="U308" i="15"/>
  <c r="U350" i="15"/>
  <c r="T350" i="15"/>
  <c r="H351" i="15"/>
  <c r="H548" i="15"/>
  <c r="T547" i="15"/>
  <c r="U547" i="15"/>
  <c r="T749" i="15"/>
  <c r="H750" i="15"/>
  <c r="U749" i="15"/>
  <c r="U596" i="15"/>
  <c r="T596" i="15"/>
  <c r="AR400" i="17"/>
  <c r="AH25" i="2" l="1"/>
  <c r="V26" i="2"/>
  <c r="U427" i="15"/>
  <c r="H428" i="15"/>
  <c r="T427" i="15"/>
  <c r="O47" i="9"/>
  <c r="Z187" i="14"/>
  <c r="AT63" i="1"/>
  <c r="T665" i="15"/>
  <c r="H666" i="15"/>
  <c r="U665" i="15"/>
  <c r="G106" i="15"/>
  <c r="B49" i="9"/>
  <c r="N48" i="9"/>
  <c r="AS68" i="1"/>
  <c r="H592" i="15"/>
  <c r="U591" i="15"/>
  <c r="T591" i="15"/>
  <c r="H391" i="15"/>
  <c r="U390" i="15"/>
  <c r="T390" i="15"/>
  <c r="BC62" i="1"/>
  <c r="E62" i="1"/>
  <c r="BF62" i="1"/>
  <c r="T508" i="15"/>
  <c r="U508" i="15"/>
  <c r="H509" i="15"/>
  <c r="U628" i="15"/>
  <c r="T628" i="15"/>
  <c r="H629" i="15"/>
  <c r="R45" i="9"/>
  <c r="Q45" i="9"/>
  <c r="M563" i="4" s="1"/>
  <c r="T864" i="15"/>
  <c r="U864" i="15"/>
  <c r="H865" i="15"/>
  <c r="S54" i="9"/>
  <c r="A55" i="9"/>
  <c r="H65" i="15"/>
  <c r="T64" i="15"/>
  <c r="G64" i="15" s="1"/>
  <c r="U64" i="15"/>
  <c r="W171" i="14"/>
  <c r="C166" i="14" s="1"/>
  <c r="C321" i="17"/>
  <c r="P46" i="9"/>
  <c r="AU62" i="1"/>
  <c r="M312" i="4"/>
  <c r="H108" i="15"/>
  <c r="U107" i="15"/>
  <c r="T107" i="15"/>
  <c r="G107" i="15" s="1"/>
  <c r="U186" i="15"/>
  <c r="T186" i="15"/>
  <c r="G186" i="15" s="1"/>
  <c r="H187" i="15"/>
  <c r="F225" i="15"/>
  <c r="G224" i="15"/>
  <c r="AY25" i="14"/>
  <c r="AX26" i="14"/>
  <c r="AP433" i="17"/>
  <c r="AQ422" i="17"/>
  <c r="H352" i="15"/>
  <c r="U351" i="15"/>
  <c r="T351" i="15"/>
  <c r="AR411" i="17"/>
  <c r="U907" i="15"/>
  <c r="T907" i="15"/>
  <c r="H908" i="15"/>
  <c r="T709" i="15"/>
  <c r="U709" i="15"/>
  <c r="H710" i="15"/>
  <c r="U228" i="15"/>
  <c r="H229" i="15"/>
  <c r="T228" i="15"/>
  <c r="U193" i="15"/>
  <c r="T193" i="15"/>
  <c r="G193" i="15" s="1"/>
  <c r="H470" i="15"/>
  <c r="T469" i="15"/>
  <c r="U469" i="15"/>
  <c r="T309" i="15"/>
  <c r="H310" i="15"/>
  <c r="U309" i="15"/>
  <c r="U827" i="15"/>
  <c r="H828" i="15"/>
  <c r="T827" i="15"/>
  <c r="U788" i="15"/>
  <c r="T788" i="15"/>
  <c r="H789" i="15"/>
  <c r="U435" i="15"/>
  <c r="T435" i="15"/>
  <c r="U750" i="15"/>
  <c r="H751" i="15"/>
  <c r="T750" i="15"/>
  <c r="H549" i="15"/>
  <c r="T548" i="15"/>
  <c r="U548" i="15"/>
  <c r="T955" i="15"/>
  <c r="H956" i="15"/>
  <c r="U955" i="15"/>
  <c r="T676" i="15"/>
  <c r="U676" i="15"/>
  <c r="T26" i="15"/>
  <c r="G26" i="15" s="1"/>
  <c r="H27" i="15"/>
  <c r="U26" i="15"/>
  <c r="H429" i="15" l="1"/>
  <c r="U428" i="15"/>
  <c r="T428" i="15"/>
  <c r="S55" i="9"/>
  <c r="A56" i="9"/>
  <c r="T666" i="15"/>
  <c r="H667" i="15"/>
  <c r="U666" i="15"/>
  <c r="U592" i="15"/>
  <c r="U598" i="15" s="1"/>
  <c r="T592" i="15"/>
  <c r="T598" i="15" s="1"/>
  <c r="H593" i="15"/>
  <c r="H594" i="15" s="1"/>
  <c r="H595" i="15" s="1"/>
  <c r="H596" i="15" s="1"/>
  <c r="V27" i="2"/>
  <c r="AH26" i="2"/>
  <c r="T629" i="15"/>
  <c r="H630" i="15"/>
  <c r="U629" i="15"/>
  <c r="H109" i="15"/>
  <c r="T108" i="15"/>
  <c r="G108" i="15" s="1"/>
  <c r="U108" i="15"/>
  <c r="T865" i="15"/>
  <c r="H866" i="15"/>
  <c r="U865" i="15"/>
  <c r="BC66" i="1"/>
  <c r="D68" i="1"/>
  <c r="C68" i="1" s="1"/>
  <c r="O48" i="9"/>
  <c r="AT68" i="1"/>
  <c r="X203" i="14"/>
  <c r="BF63" i="1"/>
  <c r="E63" i="1"/>
  <c r="BC63" i="1"/>
  <c r="Q46" i="9"/>
  <c r="M513" i="4" s="1"/>
  <c r="R46" i="9"/>
  <c r="U65" i="15"/>
  <c r="T65" i="15"/>
  <c r="G65" i="15" s="1"/>
  <c r="H66" i="15"/>
  <c r="N49" i="9"/>
  <c r="B50" i="9"/>
  <c r="AS69" i="1"/>
  <c r="D69" i="1" s="1"/>
  <c r="H188" i="15"/>
  <c r="T187" i="15"/>
  <c r="G187" i="15" s="1"/>
  <c r="U187" i="15"/>
  <c r="H510" i="15"/>
  <c r="U509" i="15"/>
  <c r="T509" i="15"/>
  <c r="P47" i="9"/>
  <c r="AU63" i="1"/>
  <c r="Y171" i="14"/>
  <c r="J166" i="14" s="1"/>
  <c r="C332" i="17"/>
  <c r="T391" i="15"/>
  <c r="H392" i="15"/>
  <c r="U391" i="15"/>
  <c r="F226" i="15"/>
  <c r="G225" i="15"/>
  <c r="AY26" i="14"/>
  <c r="AX27" i="14"/>
  <c r="T310" i="15"/>
  <c r="H311" i="15"/>
  <c r="U310" i="15"/>
  <c r="T828" i="15"/>
  <c r="U828" i="15"/>
  <c r="H829" i="15"/>
  <c r="U956" i="15"/>
  <c r="U958" i="15" s="1"/>
  <c r="T956" i="15"/>
  <c r="U549" i="15"/>
  <c r="T549" i="15"/>
  <c r="H550" i="15"/>
  <c r="H790" i="15"/>
  <c r="U789" i="15"/>
  <c r="T789" i="15"/>
  <c r="U352" i="15"/>
  <c r="T352" i="15"/>
  <c r="H353" i="15"/>
  <c r="H230" i="15"/>
  <c r="T229" i="15"/>
  <c r="U229" i="15"/>
  <c r="H711" i="15"/>
  <c r="U710" i="15"/>
  <c r="T710" i="15"/>
  <c r="T27" i="15"/>
  <c r="G27" i="15" s="1"/>
  <c r="U27" i="15"/>
  <c r="H28" i="15"/>
  <c r="AR422" i="17"/>
  <c r="AP444" i="17"/>
  <c r="AQ433" i="17"/>
  <c r="U436" i="15"/>
  <c r="T436" i="15"/>
  <c r="H471" i="15"/>
  <c r="T470" i="15"/>
  <c r="U470" i="15"/>
  <c r="H752" i="15"/>
  <c r="U751" i="15"/>
  <c r="T751" i="15"/>
  <c r="T194" i="15"/>
  <c r="G194" i="15" s="1"/>
  <c r="U194" i="15"/>
  <c r="T908" i="15"/>
  <c r="U908" i="15"/>
  <c r="H909" i="15"/>
  <c r="H867" i="15" l="1"/>
  <c r="T866" i="15"/>
  <c r="U866" i="15"/>
  <c r="T630" i="15"/>
  <c r="U630" i="15"/>
  <c r="H631" i="15"/>
  <c r="BC68" i="1"/>
  <c r="E68" i="1"/>
  <c r="BF68" i="1"/>
  <c r="U429" i="15"/>
  <c r="T429" i="15"/>
  <c r="H430" i="15"/>
  <c r="H393" i="15"/>
  <c r="H394" i="15" s="1"/>
  <c r="H395" i="15" s="1"/>
  <c r="H396" i="15" s="1"/>
  <c r="U392" i="15"/>
  <c r="U398" i="15" s="1"/>
  <c r="T392" i="15"/>
  <c r="T398" i="15" s="1"/>
  <c r="Q47" i="9"/>
  <c r="M413" i="4" s="1"/>
  <c r="R47" i="9"/>
  <c r="T188" i="15"/>
  <c r="G188" i="15" s="1"/>
  <c r="H189" i="15"/>
  <c r="U188" i="15"/>
  <c r="W187" i="14"/>
  <c r="C182" i="14" s="1"/>
  <c r="C343" i="17"/>
  <c r="P48" i="9"/>
  <c r="AU68" i="1"/>
  <c r="V28" i="2"/>
  <c r="AH27" i="2"/>
  <c r="B51" i="9"/>
  <c r="N50" i="9"/>
  <c r="AS74" i="1"/>
  <c r="T667" i="15"/>
  <c r="H668" i="15"/>
  <c r="U667" i="15"/>
  <c r="O49" i="9"/>
  <c r="AT69" i="1"/>
  <c r="Z203" i="14"/>
  <c r="A57" i="9"/>
  <c r="S56" i="9"/>
  <c r="H511" i="15"/>
  <c r="U510" i="15"/>
  <c r="T510" i="15"/>
  <c r="U66" i="15"/>
  <c r="H67" i="15"/>
  <c r="T66" i="15"/>
  <c r="G66" i="15" s="1"/>
  <c r="H110" i="15"/>
  <c r="T109" i="15"/>
  <c r="G109" i="15" s="1"/>
  <c r="U109" i="15"/>
  <c r="F227" i="15"/>
  <c r="G226" i="15"/>
  <c r="AX28" i="14"/>
  <c r="AY27" i="14"/>
  <c r="H472" i="15"/>
  <c r="U471" i="15"/>
  <c r="T471" i="15"/>
  <c r="U873" i="15"/>
  <c r="T873" i="15"/>
  <c r="H910" i="15"/>
  <c r="U909" i="15"/>
  <c r="T909" i="15"/>
  <c r="T195" i="15"/>
  <c r="G195" i="15" s="1"/>
  <c r="U195" i="15"/>
  <c r="T829" i="15"/>
  <c r="U829" i="15"/>
  <c r="H830" i="15"/>
  <c r="H712" i="15"/>
  <c r="U711" i="15"/>
  <c r="T711" i="15"/>
  <c r="AP455" i="17"/>
  <c r="AQ444" i="17"/>
  <c r="H29" i="15"/>
  <c r="U28" i="15"/>
  <c r="T28" i="15"/>
  <c r="G28" i="15" s="1"/>
  <c r="H354" i="15"/>
  <c r="T353" i="15"/>
  <c r="U353" i="15"/>
  <c r="H791" i="15"/>
  <c r="U790" i="15"/>
  <c r="T790" i="15"/>
  <c r="H551" i="15"/>
  <c r="U550" i="15"/>
  <c r="T550" i="15"/>
  <c r="AR433" i="17"/>
  <c r="U752" i="15"/>
  <c r="H753" i="15"/>
  <c r="T752" i="15"/>
  <c r="T230" i="15"/>
  <c r="H231" i="15"/>
  <c r="U230" i="15"/>
  <c r="U311" i="15"/>
  <c r="H312" i="15"/>
  <c r="T311" i="15"/>
  <c r="T958" i="15"/>
  <c r="P49" i="9" l="1"/>
  <c r="AU69" i="1"/>
  <c r="O50" i="9"/>
  <c r="X237" i="14"/>
  <c r="AT74" i="1"/>
  <c r="Y187" i="14"/>
  <c r="J182" i="14" s="1"/>
  <c r="C354" i="17"/>
  <c r="N51" i="9"/>
  <c r="B52" i="9"/>
  <c r="AS75" i="1"/>
  <c r="D75" i="1" s="1"/>
  <c r="T511" i="15"/>
  <c r="U511" i="15"/>
  <c r="H512" i="15"/>
  <c r="Q48" i="9"/>
  <c r="M14" i="4" s="1"/>
  <c r="R48" i="9"/>
  <c r="H868" i="15"/>
  <c r="T867" i="15"/>
  <c r="U867" i="15"/>
  <c r="U110" i="15"/>
  <c r="T110" i="15"/>
  <c r="H111" i="15"/>
  <c r="S57" i="9"/>
  <c r="A58" i="9"/>
  <c r="U668" i="15"/>
  <c r="T668" i="15"/>
  <c r="H669" i="15"/>
  <c r="T430" i="15"/>
  <c r="U430" i="15"/>
  <c r="H431" i="15"/>
  <c r="T67" i="15"/>
  <c r="G67" i="15" s="1"/>
  <c r="H68" i="15"/>
  <c r="U67" i="15"/>
  <c r="V29" i="2"/>
  <c r="AH28" i="2"/>
  <c r="H190" i="15"/>
  <c r="T189" i="15"/>
  <c r="G189" i="15" s="1"/>
  <c r="U189" i="15"/>
  <c r="U631" i="15"/>
  <c r="H632" i="15"/>
  <c r="T631" i="15"/>
  <c r="BF69" i="1"/>
  <c r="E69" i="1"/>
  <c r="BC69" i="1"/>
  <c r="D74" i="1"/>
  <c r="C74" i="1" s="1"/>
  <c r="BC72" i="1"/>
  <c r="F228" i="15"/>
  <c r="G227" i="15"/>
  <c r="AX29" i="14"/>
  <c r="AY28" i="14"/>
  <c r="U472" i="15"/>
  <c r="H473" i="15"/>
  <c r="T472" i="15"/>
  <c r="U312" i="15"/>
  <c r="T312" i="15"/>
  <c r="H313" i="15"/>
  <c r="U753" i="15"/>
  <c r="H754" i="15"/>
  <c r="T753" i="15"/>
  <c r="U29" i="15"/>
  <c r="T29" i="15"/>
  <c r="G29" i="15" s="1"/>
  <c r="H30" i="15"/>
  <c r="H911" i="15"/>
  <c r="T910" i="15"/>
  <c r="U910" i="15"/>
  <c r="AR444" i="17"/>
  <c r="U712" i="15"/>
  <c r="T712" i="15"/>
  <c r="H713" i="15"/>
  <c r="T874" i="15"/>
  <c r="U874" i="15"/>
  <c r="H355" i="15"/>
  <c r="U354" i="15"/>
  <c r="T354" i="15"/>
  <c r="H552" i="15"/>
  <c r="U551" i="15"/>
  <c r="T551" i="15"/>
  <c r="AP466" i="17"/>
  <c r="AQ455" i="17"/>
  <c r="T196" i="15"/>
  <c r="U196" i="15"/>
  <c r="T231" i="15"/>
  <c r="U231" i="15"/>
  <c r="H232" i="15"/>
  <c r="H831" i="15"/>
  <c r="T830" i="15"/>
  <c r="U830" i="15"/>
  <c r="H792" i="15"/>
  <c r="U791" i="15"/>
  <c r="T791" i="15"/>
  <c r="T431" i="15" l="1"/>
  <c r="U431" i="15"/>
  <c r="H432" i="15"/>
  <c r="U512" i="15"/>
  <c r="U518" i="15" s="1"/>
  <c r="T512" i="15"/>
  <c r="T518" i="15" s="1"/>
  <c r="H513" i="15"/>
  <c r="H514" i="15" s="1"/>
  <c r="H515" i="15" s="1"/>
  <c r="H516" i="15" s="1"/>
  <c r="BF74" i="1"/>
  <c r="E74" i="1"/>
  <c r="BC74" i="1"/>
  <c r="H191" i="15"/>
  <c r="U190" i="15"/>
  <c r="T190" i="15"/>
  <c r="G190" i="15" s="1"/>
  <c r="T868" i="15"/>
  <c r="U868" i="15"/>
  <c r="H869" i="15"/>
  <c r="P50" i="9"/>
  <c r="AU74" i="1"/>
  <c r="V30" i="2"/>
  <c r="AH30" i="2" s="1"/>
  <c r="AH29" i="2"/>
  <c r="U669" i="15"/>
  <c r="H670" i="15"/>
  <c r="T669" i="15"/>
  <c r="U111" i="15"/>
  <c r="H112" i="15"/>
  <c r="T111" i="15"/>
  <c r="G111" i="15" s="1"/>
  <c r="N52" i="9"/>
  <c r="B53" i="9"/>
  <c r="AS76" i="1"/>
  <c r="D76" i="1" s="1"/>
  <c r="Q49" i="9"/>
  <c r="M64" i="4" s="1"/>
  <c r="R49" i="9"/>
  <c r="U632" i="15"/>
  <c r="U638" i="15" s="1"/>
  <c r="T632" i="15"/>
  <c r="T638" i="15" s="1"/>
  <c r="H633" i="15"/>
  <c r="H634" i="15" s="1"/>
  <c r="H635" i="15" s="1"/>
  <c r="H636" i="15" s="1"/>
  <c r="G110" i="15"/>
  <c r="O51" i="9"/>
  <c r="AT75" i="1"/>
  <c r="Z237" i="14"/>
  <c r="H69" i="15"/>
  <c r="T68" i="15"/>
  <c r="G68" i="15" s="1"/>
  <c r="U68" i="15"/>
  <c r="S58" i="9"/>
  <c r="A59" i="9"/>
  <c r="W203" i="14"/>
  <c r="C198" i="14" s="1"/>
  <c r="C377" i="17"/>
  <c r="F229" i="15"/>
  <c r="G228" i="15"/>
  <c r="AY29" i="14"/>
  <c r="AX30" i="14"/>
  <c r="AR455" i="17"/>
  <c r="H233" i="15"/>
  <c r="T232" i="15"/>
  <c r="U232" i="15"/>
  <c r="AP477" i="17"/>
  <c r="AQ466" i="17"/>
  <c r="U473" i="15"/>
  <c r="H474" i="15"/>
  <c r="T473" i="15"/>
  <c r="T552" i="15"/>
  <c r="U552" i="15"/>
  <c r="H553" i="15"/>
  <c r="U313" i="15"/>
  <c r="H314" i="15"/>
  <c r="T313" i="15"/>
  <c r="T875" i="15"/>
  <c r="U875" i="15"/>
  <c r="U831" i="15"/>
  <c r="T831" i="15"/>
  <c r="H832" i="15"/>
  <c r="T355" i="15"/>
  <c r="U355" i="15"/>
  <c r="H356" i="15"/>
  <c r="H912" i="15"/>
  <c r="U911" i="15"/>
  <c r="T911" i="15"/>
  <c r="U30" i="15"/>
  <c r="H31" i="15"/>
  <c r="T30" i="15"/>
  <c r="G30" i="15" s="1"/>
  <c r="U792" i="15"/>
  <c r="H793" i="15"/>
  <c r="T792" i="15"/>
  <c r="G196" i="15"/>
  <c r="H714" i="15"/>
  <c r="U713" i="15"/>
  <c r="T713" i="15"/>
  <c r="U754" i="15"/>
  <c r="H755" i="15"/>
  <c r="T754" i="15"/>
  <c r="T112" i="15" l="1"/>
  <c r="G112" i="15" s="1"/>
  <c r="U112" i="15"/>
  <c r="U118" i="15" s="1"/>
  <c r="H113" i="15"/>
  <c r="H114" i="15" s="1"/>
  <c r="H115" i="15" s="1"/>
  <c r="H116" i="15" s="1"/>
  <c r="BC75" i="1"/>
  <c r="BF75" i="1"/>
  <c r="E75" i="1"/>
  <c r="P51" i="9"/>
  <c r="AU75" i="1"/>
  <c r="Y203" i="14"/>
  <c r="J198" i="14" s="1"/>
  <c r="C388" i="17"/>
  <c r="R50" i="9"/>
  <c r="Q50" i="9"/>
  <c r="M214" i="4" s="1"/>
  <c r="T69" i="15"/>
  <c r="G69" i="15" s="1"/>
  <c r="U69" i="15"/>
  <c r="H70" i="15"/>
  <c r="K8" i="6"/>
  <c r="S59" i="9"/>
  <c r="B54" i="9"/>
  <c r="N53" i="9"/>
  <c r="AS77" i="1"/>
  <c r="D77" i="1" s="1"/>
  <c r="T670" i="15"/>
  <c r="U670" i="15"/>
  <c r="H671" i="15"/>
  <c r="H870" i="15"/>
  <c r="U869" i="15"/>
  <c r="T869" i="15"/>
  <c r="O52" i="9"/>
  <c r="X271" i="14"/>
  <c r="AT76" i="1"/>
  <c r="T191" i="15"/>
  <c r="U191" i="15"/>
  <c r="H192" i="15"/>
  <c r="U432" i="15"/>
  <c r="U438" i="15" s="1"/>
  <c r="H433" i="15"/>
  <c r="H434" i="15" s="1"/>
  <c r="H435" i="15" s="1"/>
  <c r="H436" i="15" s="1"/>
  <c r="T432" i="15"/>
  <c r="T438" i="15" s="1"/>
  <c r="F230" i="15"/>
  <c r="G229" i="15"/>
  <c r="AX31" i="14"/>
  <c r="AY30" i="14"/>
  <c r="U31" i="15"/>
  <c r="T31" i="15"/>
  <c r="G31" i="15" s="1"/>
  <c r="H32" i="15"/>
  <c r="U314" i="15"/>
  <c r="H315" i="15"/>
  <c r="T314" i="15"/>
  <c r="H794" i="15"/>
  <c r="U793" i="15"/>
  <c r="T793" i="15"/>
  <c r="T73" i="15"/>
  <c r="G73" i="15" s="1"/>
  <c r="U73" i="15"/>
  <c r="AP488" i="17"/>
  <c r="AQ477" i="17"/>
  <c r="T356" i="15"/>
  <c r="U356" i="15"/>
  <c r="U358" i="15" s="1"/>
  <c r="U912" i="15"/>
  <c r="H913" i="15"/>
  <c r="T912" i="15"/>
  <c r="T714" i="15"/>
  <c r="H715" i="15"/>
  <c r="U714" i="15"/>
  <c r="T876" i="15"/>
  <c r="U876" i="15"/>
  <c r="H234" i="15"/>
  <c r="U233" i="15"/>
  <c r="T233" i="15"/>
  <c r="G233" i="15" s="1"/>
  <c r="H756" i="15"/>
  <c r="T755" i="15"/>
  <c r="U755" i="15"/>
  <c r="H554" i="15"/>
  <c r="U553" i="15"/>
  <c r="T553" i="15"/>
  <c r="T832" i="15"/>
  <c r="U832" i="15"/>
  <c r="H833" i="15"/>
  <c r="U474" i="15"/>
  <c r="H475" i="15"/>
  <c r="T474" i="15"/>
  <c r="AR466" i="17"/>
  <c r="N54" i="9" l="1"/>
  <c r="B55" i="9"/>
  <c r="AS82" i="1"/>
  <c r="T192" i="15"/>
  <c r="G192" i="15" s="1"/>
  <c r="U192" i="15"/>
  <c r="U198" i="15" s="1"/>
  <c r="H193" i="15"/>
  <c r="H194" i="15" s="1"/>
  <c r="H195" i="15" s="1"/>
  <c r="H196" i="15" s="1"/>
  <c r="H871" i="15"/>
  <c r="T870" i="15"/>
  <c r="U870" i="15"/>
  <c r="G191" i="15"/>
  <c r="T671" i="15"/>
  <c r="U671" i="15"/>
  <c r="H672" i="15"/>
  <c r="U70" i="15"/>
  <c r="T70" i="15"/>
  <c r="G70" i="15" s="1"/>
  <c r="H71" i="15"/>
  <c r="E76" i="1"/>
  <c r="BF76" i="1"/>
  <c r="BC76" i="1"/>
  <c r="R51" i="9"/>
  <c r="Q51" i="9"/>
  <c r="M264" i="4" s="1"/>
  <c r="P52" i="9"/>
  <c r="AU76" i="1"/>
  <c r="O53" i="9"/>
  <c r="Z271" i="14"/>
  <c r="AT77" i="1"/>
  <c r="T118" i="15"/>
  <c r="W237" i="14"/>
  <c r="C232" i="14" s="1"/>
  <c r="C399" i="17"/>
  <c r="F231" i="15"/>
  <c r="G230" i="15"/>
  <c r="AX32" i="14"/>
  <c r="AY31" i="14"/>
  <c r="H476" i="15"/>
  <c r="T475" i="15"/>
  <c r="U475" i="15"/>
  <c r="H555" i="15"/>
  <c r="T554" i="15"/>
  <c r="U554" i="15"/>
  <c r="T358" i="15"/>
  <c r="T315" i="15"/>
  <c r="U315" i="15"/>
  <c r="H316" i="15"/>
  <c r="U715" i="15"/>
  <c r="H716" i="15"/>
  <c r="T715" i="15"/>
  <c r="T913" i="15"/>
  <c r="U913" i="15"/>
  <c r="H914" i="15"/>
  <c r="AR477" i="17"/>
  <c r="AP499" i="17"/>
  <c r="AQ488" i="17"/>
  <c r="T234" i="15"/>
  <c r="G234" i="15" s="1"/>
  <c r="U234" i="15"/>
  <c r="H235" i="15"/>
  <c r="U833" i="15"/>
  <c r="H834" i="15"/>
  <c r="T833" i="15"/>
  <c r="T794" i="15"/>
  <c r="H795" i="15"/>
  <c r="U794" i="15"/>
  <c r="T32" i="15"/>
  <c r="G32" i="15" s="1"/>
  <c r="H33" i="15"/>
  <c r="U32" i="15"/>
  <c r="T756" i="15"/>
  <c r="U756" i="15"/>
  <c r="U758" i="15" s="1"/>
  <c r="U74" i="15"/>
  <c r="T74" i="15"/>
  <c r="G74" i="15" s="1"/>
  <c r="Q52" i="9" l="1"/>
  <c r="M114" i="4" s="1"/>
  <c r="R52" i="9"/>
  <c r="P53" i="9"/>
  <c r="AU77" i="1"/>
  <c r="U71" i="15"/>
  <c r="T71" i="15"/>
  <c r="G71" i="15" s="1"/>
  <c r="H72" i="15"/>
  <c r="U871" i="15"/>
  <c r="T871" i="15"/>
  <c r="H872" i="15"/>
  <c r="D82" i="1"/>
  <c r="C82" i="1" s="1"/>
  <c r="BC80" i="1"/>
  <c r="Y237" i="14"/>
  <c r="J232" i="14" s="1"/>
  <c r="C410" i="17"/>
  <c r="H673" i="15"/>
  <c r="H674" i="15" s="1"/>
  <c r="H675" i="15" s="1"/>
  <c r="H676" i="15" s="1"/>
  <c r="T672" i="15"/>
  <c r="T678" i="15" s="1"/>
  <c r="U672" i="15"/>
  <c r="U678" i="15" s="1"/>
  <c r="N55" i="9"/>
  <c r="B56" i="9"/>
  <c r="AS83" i="1"/>
  <c r="D83" i="1" s="1"/>
  <c r="O54" i="9"/>
  <c r="AT82" i="1"/>
  <c r="X305" i="14"/>
  <c r="E77" i="1"/>
  <c r="BC77" i="1"/>
  <c r="BF77" i="1"/>
  <c r="T198" i="15"/>
  <c r="F232" i="15"/>
  <c r="G231" i="15"/>
  <c r="AX33" i="14"/>
  <c r="AY32" i="14"/>
  <c r="U795" i="15"/>
  <c r="T795" i="15"/>
  <c r="H796" i="15"/>
  <c r="AQ499" i="17"/>
  <c r="AP522" i="17"/>
  <c r="T716" i="15"/>
  <c r="U716" i="15"/>
  <c r="U718" i="15" s="1"/>
  <c r="U75" i="15"/>
  <c r="T75" i="15"/>
  <c r="G75" i="15" s="1"/>
  <c r="T316" i="15"/>
  <c r="U316" i="15"/>
  <c r="U318" i="15" s="1"/>
  <c r="H556" i="15"/>
  <c r="U555" i="15"/>
  <c r="T555" i="15"/>
  <c r="T476" i="15"/>
  <c r="U476" i="15"/>
  <c r="U478" i="15" s="1"/>
  <c r="H34" i="15"/>
  <c r="T33" i="15"/>
  <c r="G33" i="15" s="1"/>
  <c r="U33" i="15"/>
  <c r="U834" i="15"/>
  <c r="H835" i="15"/>
  <c r="T834" i="15"/>
  <c r="T758" i="15"/>
  <c r="U914" i="15"/>
  <c r="H915" i="15"/>
  <c r="T914" i="15"/>
  <c r="T235" i="15"/>
  <c r="G235" i="15" s="1"/>
  <c r="U235" i="15"/>
  <c r="H236" i="15"/>
  <c r="AR488" i="17"/>
  <c r="BF82" i="1" l="1"/>
  <c r="BC82" i="1"/>
  <c r="E82" i="1"/>
  <c r="U72" i="15"/>
  <c r="T72" i="15"/>
  <c r="G72" i="15" s="1"/>
  <c r="H73" i="15"/>
  <c r="H74" i="15" s="1"/>
  <c r="H75" i="15" s="1"/>
  <c r="H76" i="15" s="1"/>
  <c r="P54" i="9"/>
  <c r="AU82" i="1"/>
  <c r="B57" i="9"/>
  <c r="N56" i="9"/>
  <c r="AS88" i="1"/>
  <c r="R53" i="9"/>
  <c r="Q53" i="9"/>
  <c r="M164" i="4" s="1"/>
  <c r="O55" i="9"/>
  <c r="AT83" i="1"/>
  <c r="Z305" i="14"/>
  <c r="U872" i="15"/>
  <c r="U878" i="15" s="1"/>
  <c r="T872" i="15"/>
  <c r="T878" i="15" s="1"/>
  <c r="H873" i="15"/>
  <c r="H874" i="15" s="1"/>
  <c r="H875" i="15" s="1"/>
  <c r="H876" i="15" s="1"/>
  <c r="W271" i="14"/>
  <c r="C266" i="14" s="1"/>
  <c r="C421" i="17"/>
  <c r="F233" i="15"/>
  <c r="F234" i="15" s="1"/>
  <c r="F235" i="15" s="1"/>
  <c r="F236" i="15" s="1"/>
  <c r="F237" i="15" s="1"/>
  <c r="F238" i="15" s="1"/>
  <c r="F239" i="15" s="1"/>
  <c r="F240" i="15" s="1"/>
  <c r="F241" i="15" s="1"/>
  <c r="F242" i="15" s="1"/>
  <c r="F243" i="15" s="1"/>
  <c r="F244" i="15" s="1"/>
  <c r="F245" i="15" s="1"/>
  <c r="F246" i="15" s="1"/>
  <c r="F247" i="15" s="1"/>
  <c r="G232" i="15"/>
  <c r="AY33" i="14"/>
  <c r="AX34" i="14"/>
  <c r="U236" i="15"/>
  <c r="U238" i="15" s="1"/>
  <c r="T236" i="15"/>
  <c r="T76" i="15"/>
  <c r="U76" i="15"/>
  <c r="H836" i="15"/>
  <c r="T835" i="15"/>
  <c r="U835" i="15"/>
  <c r="H35" i="15"/>
  <c r="U34" i="15"/>
  <c r="T34" i="15"/>
  <c r="G34" i="15" s="1"/>
  <c r="T318" i="15"/>
  <c r="U915" i="15"/>
  <c r="T915" i="15"/>
  <c r="H916" i="15"/>
  <c r="AP533" i="17"/>
  <c r="AQ522" i="17"/>
  <c r="AR499" i="17"/>
  <c r="U796" i="15"/>
  <c r="U798" i="15" s="1"/>
  <c r="T796" i="15"/>
  <c r="T478" i="15"/>
  <c r="T556" i="15"/>
  <c r="U556" i="15"/>
  <c r="U558" i="15" s="1"/>
  <c r="T718" i="15"/>
  <c r="U78" i="15" l="1"/>
  <c r="Y271" i="14"/>
  <c r="J266" i="14" s="1"/>
  <c r="C432" i="17"/>
  <c r="P55" i="9"/>
  <c r="AU83" i="1"/>
  <c r="D88" i="1"/>
  <c r="C88" i="1" s="1"/>
  <c r="BC86" i="1"/>
  <c r="O56" i="9"/>
  <c r="X339" i="14"/>
  <c r="AT88" i="1"/>
  <c r="N57" i="9"/>
  <c r="B58" i="9"/>
  <c r="AS89" i="1"/>
  <c r="D89" i="1" s="1"/>
  <c r="BC83" i="1"/>
  <c r="E83" i="1"/>
  <c r="BF83" i="1"/>
  <c r="R54" i="9"/>
  <c r="Q54" i="9"/>
  <c r="G247" i="15"/>
  <c r="F248" i="15"/>
  <c r="AX35" i="14"/>
  <c r="AY34" i="14"/>
  <c r="AP544" i="17"/>
  <c r="AQ533" i="17"/>
  <c r="T558" i="15"/>
  <c r="T836" i="15"/>
  <c r="U836" i="15"/>
  <c r="U838" i="15" s="1"/>
  <c r="G76" i="15"/>
  <c r="T78" i="15"/>
  <c r="G273" i="15"/>
  <c r="U916" i="15"/>
  <c r="U918" i="15" s="1"/>
  <c r="T916" i="15"/>
  <c r="CB8" i="14"/>
  <c r="BL8" i="14"/>
  <c r="BH8" i="14"/>
  <c r="G236" i="15"/>
  <c r="T238" i="15"/>
  <c r="T798" i="15"/>
  <c r="AR522" i="17"/>
  <c r="CX8" i="14"/>
  <c r="CX9" i="14" s="1"/>
  <c r="CX10" i="14" s="1"/>
  <c r="CX11" i="14" s="1"/>
  <c r="CX12" i="14" s="1"/>
  <c r="CX13" i="14" s="1"/>
  <c r="CX14" i="14" s="1"/>
  <c r="CX15" i="14" s="1"/>
  <c r="CX16" i="14" s="1"/>
  <c r="CX17" i="14" s="1"/>
  <c r="CX18" i="14" s="1"/>
  <c r="CX19" i="14" s="1"/>
  <c r="CX20" i="14" s="1"/>
  <c r="CX21" i="14" s="1"/>
  <c r="CX22" i="14" s="1"/>
  <c r="CX23" i="14" s="1"/>
  <c r="CX24" i="14" s="1"/>
  <c r="CX25" i="14" s="1"/>
  <c r="CX26" i="14" s="1"/>
  <c r="CX27" i="14" s="1"/>
  <c r="CX28" i="14" s="1"/>
  <c r="CX29" i="14" s="1"/>
  <c r="CX30" i="14" s="1"/>
  <c r="CX31" i="14" s="1"/>
  <c r="CX32" i="14" s="1"/>
  <c r="CX33" i="14" s="1"/>
  <c r="CX34" i="14" s="1"/>
  <c r="CX35" i="14" s="1"/>
  <c r="CX36" i="14" s="1"/>
  <c r="CX37" i="14" s="1"/>
  <c r="H36" i="15"/>
  <c r="BZ8" i="14" s="1"/>
  <c r="T35" i="15"/>
  <c r="G35" i="15" s="1"/>
  <c r="U35" i="15"/>
  <c r="BR8" i="14"/>
  <c r="BT8" i="14"/>
  <c r="P56" i="9" l="1"/>
  <c r="AU88" i="1"/>
  <c r="CP8" i="14"/>
  <c r="B59" i="9"/>
  <c r="N58" i="9"/>
  <c r="AS90" i="1"/>
  <c r="D90" i="1" s="1"/>
  <c r="R55" i="9"/>
  <c r="Q55" i="9"/>
  <c r="M364" i="4" s="1"/>
  <c r="BV8" i="14"/>
  <c r="BV9" i="14" s="1"/>
  <c r="M313" i="4"/>
  <c r="O57" i="9"/>
  <c r="P57" i="9" s="1"/>
  <c r="Z339" i="14"/>
  <c r="AT89" i="1"/>
  <c r="W305" i="14"/>
  <c r="C300" i="14" s="1"/>
  <c r="C443" i="17"/>
  <c r="E88" i="1"/>
  <c r="BF88" i="1"/>
  <c r="BC88" i="1"/>
  <c r="BP8" i="14"/>
  <c r="DF8" i="14"/>
  <c r="DF9" i="14" s="1"/>
  <c r="DF10" i="14" s="1"/>
  <c r="DF11" i="14" s="1"/>
  <c r="DF12" i="14" s="1"/>
  <c r="DF13" i="14" s="1"/>
  <c r="DF14" i="14" s="1"/>
  <c r="DF15" i="14" s="1"/>
  <c r="DF16" i="14" s="1"/>
  <c r="DF17" i="14" s="1"/>
  <c r="DF18" i="14" s="1"/>
  <c r="DF19" i="14" s="1"/>
  <c r="DF20" i="14" s="1"/>
  <c r="DF21" i="14" s="1"/>
  <c r="DF22" i="14" s="1"/>
  <c r="DF23" i="14" s="1"/>
  <c r="DF24" i="14" s="1"/>
  <c r="DF25" i="14" s="1"/>
  <c r="DF26" i="14" s="1"/>
  <c r="DF27" i="14" s="1"/>
  <c r="DF28" i="14" s="1"/>
  <c r="DF29" i="14" s="1"/>
  <c r="DF30" i="14" s="1"/>
  <c r="DF31" i="14" s="1"/>
  <c r="DF32" i="14" s="1"/>
  <c r="DF33" i="14" s="1"/>
  <c r="DF34" i="14" s="1"/>
  <c r="DF35" i="14" s="1"/>
  <c r="DF36" i="14" s="1"/>
  <c r="DF37" i="14" s="1"/>
  <c r="CH8" i="14"/>
  <c r="AZ8" i="14"/>
  <c r="BD8" i="14"/>
  <c r="CT8" i="14"/>
  <c r="CT9" i="14" s="1"/>
  <c r="CT10" i="14" s="1"/>
  <c r="CT11" i="14" s="1"/>
  <c r="CT12" i="14" s="1"/>
  <c r="CT13" i="14" s="1"/>
  <c r="CT14" i="14" s="1"/>
  <c r="CT15" i="14" s="1"/>
  <c r="CT16" i="14" s="1"/>
  <c r="CT17" i="14" s="1"/>
  <c r="CT18" i="14" s="1"/>
  <c r="CT19" i="14" s="1"/>
  <c r="CT20" i="14" s="1"/>
  <c r="CT21" i="14" s="1"/>
  <c r="CT22" i="14" s="1"/>
  <c r="CT23" i="14" s="1"/>
  <c r="CT24" i="14" s="1"/>
  <c r="CT25" i="14" s="1"/>
  <c r="CT26" i="14" s="1"/>
  <c r="CT27" i="14" s="1"/>
  <c r="CT28" i="14" s="1"/>
  <c r="CT29" i="14" s="1"/>
  <c r="CT30" i="14" s="1"/>
  <c r="CT31" i="14" s="1"/>
  <c r="CT32" i="14" s="1"/>
  <c r="CT33" i="14" s="1"/>
  <c r="CT34" i="14" s="1"/>
  <c r="CT35" i="14" s="1"/>
  <c r="CT36" i="14" s="1"/>
  <c r="CT37" i="14" s="1"/>
  <c r="CR8" i="14"/>
  <c r="CS8" i="14" s="1"/>
  <c r="BJ8" i="14"/>
  <c r="DB8" i="14"/>
  <c r="DB9" i="14" s="1"/>
  <c r="DB10" i="14" s="1"/>
  <c r="DB11" i="14" s="1"/>
  <c r="DB12" i="14" s="1"/>
  <c r="DB13" i="14" s="1"/>
  <c r="DB14" i="14" s="1"/>
  <c r="DB15" i="14" s="1"/>
  <c r="DB16" i="14" s="1"/>
  <c r="DB17" i="14" s="1"/>
  <c r="DB18" i="14" s="1"/>
  <c r="DB19" i="14" s="1"/>
  <c r="DB20" i="14" s="1"/>
  <c r="DB21" i="14" s="1"/>
  <c r="DB22" i="14" s="1"/>
  <c r="DB23" i="14" s="1"/>
  <c r="DB24" i="14" s="1"/>
  <c r="DB25" i="14" s="1"/>
  <c r="DB26" i="14" s="1"/>
  <c r="DB27" i="14" s="1"/>
  <c r="DB28" i="14" s="1"/>
  <c r="DB29" i="14" s="1"/>
  <c r="DB30" i="14" s="1"/>
  <c r="DB31" i="14" s="1"/>
  <c r="DB32" i="14" s="1"/>
  <c r="DB33" i="14" s="1"/>
  <c r="DB34" i="14" s="1"/>
  <c r="DB35" i="14" s="1"/>
  <c r="DB36" i="14" s="1"/>
  <c r="DB37" i="14" s="1"/>
  <c r="BN8" i="14"/>
  <c r="BO8" i="14" s="1"/>
  <c r="CV8" i="14"/>
  <c r="CV9" i="14" s="1"/>
  <c r="CV10" i="14" s="1"/>
  <c r="CV11" i="14" s="1"/>
  <c r="CV12" i="14" s="1"/>
  <c r="CV13" i="14" s="1"/>
  <c r="CV14" i="14" s="1"/>
  <c r="CV15" i="14" s="1"/>
  <c r="CV16" i="14" s="1"/>
  <c r="CV17" i="14" s="1"/>
  <c r="CV18" i="14" s="1"/>
  <c r="CV19" i="14" s="1"/>
  <c r="CV20" i="14" s="1"/>
  <c r="CV21" i="14" s="1"/>
  <c r="CV22" i="14" s="1"/>
  <c r="CV23" i="14" s="1"/>
  <c r="CV24" i="14" s="1"/>
  <c r="CV25" i="14" s="1"/>
  <c r="CV26" i="14" s="1"/>
  <c r="CV27" i="14" s="1"/>
  <c r="CV28" i="14" s="1"/>
  <c r="CV29" i="14" s="1"/>
  <c r="CV30" i="14" s="1"/>
  <c r="CV31" i="14" s="1"/>
  <c r="CV32" i="14" s="1"/>
  <c r="CV33" i="14" s="1"/>
  <c r="CV34" i="14" s="1"/>
  <c r="CV35" i="14" s="1"/>
  <c r="CV36" i="14" s="1"/>
  <c r="CV37" i="14" s="1"/>
  <c r="G248" i="15"/>
  <c r="F249" i="15"/>
  <c r="AY35" i="14"/>
  <c r="AX36" i="14"/>
  <c r="BZ9" i="14"/>
  <c r="CA8" i="14"/>
  <c r="CH9" i="14"/>
  <c r="CI8" i="14"/>
  <c r="CB9" i="14"/>
  <c r="CC8" i="14"/>
  <c r="T918" i="15"/>
  <c r="AP555" i="17"/>
  <c r="AQ544" i="17"/>
  <c r="BK8" i="14"/>
  <c r="BJ9" i="14"/>
  <c r="BI8" i="14"/>
  <c r="BH9" i="14"/>
  <c r="BW8" i="14"/>
  <c r="BF8" i="14"/>
  <c r="BT9" i="14"/>
  <c r="BU8" i="14"/>
  <c r="BS8" i="14"/>
  <c r="BR9" i="14"/>
  <c r="BM8" i="14"/>
  <c r="BL9" i="14"/>
  <c r="T36" i="15"/>
  <c r="U36" i="15"/>
  <c r="U38" i="15" s="1"/>
  <c r="CJ8" i="14"/>
  <c r="CN8" i="14"/>
  <c r="BX8" i="14"/>
  <c r="DD8" i="14"/>
  <c r="DD9" i="14" s="1"/>
  <c r="DD10" i="14" s="1"/>
  <c r="DD11" i="14" s="1"/>
  <c r="DD12" i="14" s="1"/>
  <c r="DD13" i="14" s="1"/>
  <c r="DD14" i="14" s="1"/>
  <c r="DD15" i="14" s="1"/>
  <c r="DD16" i="14" s="1"/>
  <c r="DD17" i="14" s="1"/>
  <c r="DD18" i="14" s="1"/>
  <c r="DD19" i="14" s="1"/>
  <c r="DD20" i="14" s="1"/>
  <c r="DD21" i="14" s="1"/>
  <c r="DD22" i="14" s="1"/>
  <c r="DD23" i="14" s="1"/>
  <c r="DD24" i="14" s="1"/>
  <c r="DD25" i="14" s="1"/>
  <c r="DD26" i="14" s="1"/>
  <c r="DD27" i="14" s="1"/>
  <c r="DD28" i="14" s="1"/>
  <c r="DD29" i="14" s="1"/>
  <c r="DD30" i="14" s="1"/>
  <c r="DD31" i="14" s="1"/>
  <c r="DD32" i="14" s="1"/>
  <c r="DD33" i="14" s="1"/>
  <c r="DD34" i="14" s="1"/>
  <c r="DD35" i="14" s="1"/>
  <c r="DD36" i="14" s="1"/>
  <c r="DD37" i="14" s="1"/>
  <c r="G274" i="15"/>
  <c r="BE8" i="14"/>
  <c r="BD9" i="14"/>
  <c r="BA8" i="14"/>
  <c r="AZ9" i="14"/>
  <c r="AR533" i="17"/>
  <c r="T838" i="15"/>
  <c r="CL8" i="14"/>
  <c r="CF8" i="14"/>
  <c r="DH8" i="14"/>
  <c r="DH9" i="14" s="1"/>
  <c r="DH10" i="14" s="1"/>
  <c r="DH11" i="14" s="1"/>
  <c r="DH12" i="14" s="1"/>
  <c r="DH13" i="14" s="1"/>
  <c r="DH14" i="14" s="1"/>
  <c r="DH15" i="14" s="1"/>
  <c r="DH16" i="14" s="1"/>
  <c r="DH17" i="14" s="1"/>
  <c r="DH18" i="14" s="1"/>
  <c r="DH19" i="14" s="1"/>
  <c r="DH20" i="14" s="1"/>
  <c r="DH21" i="14" s="1"/>
  <c r="DH22" i="14" s="1"/>
  <c r="DH23" i="14" s="1"/>
  <c r="DH24" i="14" s="1"/>
  <c r="DH25" i="14" s="1"/>
  <c r="DH26" i="14" s="1"/>
  <c r="DH27" i="14" s="1"/>
  <c r="DH28" i="14" s="1"/>
  <c r="DH29" i="14" s="1"/>
  <c r="DH30" i="14" s="1"/>
  <c r="DH31" i="14" s="1"/>
  <c r="DH32" i="14" s="1"/>
  <c r="DH33" i="14" s="1"/>
  <c r="DH34" i="14" s="1"/>
  <c r="DH35" i="14" s="1"/>
  <c r="DH36" i="14" s="1"/>
  <c r="DH37" i="14" s="1"/>
  <c r="CP9" i="14"/>
  <c r="CQ8" i="14"/>
  <c r="BQ8" i="14"/>
  <c r="BP9" i="14"/>
  <c r="BB8" i="14"/>
  <c r="CZ8" i="14"/>
  <c r="CZ9" i="14" s="1"/>
  <c r="CZ10" i="14" s="1"/>
  <c r="CZ11" i="14" s="1"/>
  <c r="CZ12" i="14" s="1"/>
  <c r="CZ13" i="14" s="1"/>
  <c r="CZ14" i="14" s="1"/>
  <c r="CZ15" i="14" s="1"/>
  <c r="CZ16" i="14" s="1"/>
  <c r="CZ17" i="14" s="1"/>
  <c r="CZ18" i="14" s="1"/>
  <c r="CZ19" i="14" s="1"/>
  <c r="CZ20" i="14" s="1"/>
  <c r="CZ21" i="14" s="1"/>
  <c r="CZ22" i="14" s="1"/>
  <c r="CZ23" i="14" s="1"/>
  <c r="CZ24" i="14" s="1"/>
  <c r="CZ25" i="14" s="1"/>
  <c r="CZ26" i="14" s="1"/>
  <c r="CZ27" i="14" s="1"/>
  <c r="CZ28" i="14" s="1"/>
  <c r="CZ29" i="14" s="1"/>
  <c r="CZ30" i="14" s="1"/>
  <c r="CZ31" i="14" s="1"/>
  <c r="CZ32" i="14" s="1"/>
  <c r="CZ33" i="14" s="1"/>
  <c r="CZ34" i="14" s="1"/>
  <c r="CZ35" i="14" s="1"/>
  <c r="CZ36" i="14" s="1"/>
  <c r="CZ37" i="14" s="1"/>
  <c r="CD8" i="14"/>
  <c r="Y305" i="14" l="1"/>
  <c r="J300" i="14" s="1"/>
  <c r="C454" i="17"/>
  <c r="BF89" i="1"/>
  <c r="E89" i="1"/>
  <c r="BC89" i="1"/>
  <c r="O58" i="9"/>
  <c r="X373" i="14"/>
  <c r="AT90" i="1"/>
  <c r="Q57" i="9"/>
  <c r="R57" i="9"/>
  <c r="B60" i="9"/>
  <c r="N59" i="9"/>
  <c r="AS91" i="1"/>
  <c r="D91" i="1" s="1"/>
  <c r="Q56" i="9"/>
  <c r="M414" i="4" s="1"/>
  <c r="R56" i="9"/>
  <c r="BN9" i="14"/>
  <c r="CR9" i="14"/>
  <c r="G249" i="15"/>
  <c r="F250" i="15"/>
  <c r="AX37" i="14"/>
  <c r="AY37" i="14" s="1"/>
  <c r="AY36" i="14"/>
  <c r="CK8" i="14"/>
  <c r="CJ9" i="14"/>
  <c r="CG8" i="14"/>
  <c r="CF9" i="14"/>
  <c r="CL9" i="14"/>
  <c r="CM8" i="14"/>
  <c r="BS9" i="14"/>
  <c r="BR10" i="14"/>
  <c r="BG8" i="14"/>
  <c r="BF9" i="14"/>
  <c r="BB9" i="14"/>
  <c r="BC8" i="14"/>
  <c r="BP10" i="14"/>
  <c r="BQ9" i="14"/>
  <c r="AR544" i="17"/>
  <c r="G36" i="15"/>
  <c r="T38" i="15"/>
  <c r="AQ555" i="17"/>
  <c r="AP566" i="17"/>
  <c r="CC9" i="14"/>
  <c r="CB10" i="14"/>
  <c r="BA9" i="14"/>
  <c r="AZ10" i="14"/>
  <c r="CP10" i="14"/>
  <c r="CQ9" i="14"/>
  <c r="G275" i="15"/>
  <c r="CI9" i="14"/>
  <c r="CH10" i="14"/>
  <c r="BL10" i="14"/>
  <c r="BM9" i="14"/>
  <c r="BU9" i="14"/>
  <c r="BT10" i="14"/>
  <c r="BV10" i="14"/>
  <c r="BW9" i="14"/>
  <c r="CN9" i="14"/>
  <c r="CO8" i="14"/>
  <c r="BJ10" i="14"/>
  <c r="BK9" i="14"/>
  <c r="CE8" i="14"/>
  <c r="CD9" i="14"/>
  <c r="BO9" i="14"/>
  <c r="BN10" i="14"/>
  <c r="CS9" i="14"/>
  <c r="CR10" i="14"/>
  <c r="BE9" i="14"/>
  <c r="BD10" i="14"/>
  <c r="BX9" i="14"/>
  <c r="BY8" i="14"/>
  <c r="BH10" i="14"/>
  <c r="BI9" i="14"/>
  <c r="BZ10" i="14"/>
  <c r="CA9" i="14"/>
  <c r="W339" i="14" l="1"/>
  <c r="C334" i="14" s="1"/>
  <c r="C465" i="17"/>
  <c r="P58" i="9"/>
  <c r="AU90" i="1"/>
  <c r="O59" i="9"/>
  <c r="Z373" i="14"/>
  <c r="AT91" i="1"/>
  <c r="B61" i="9"/>
  <c r="N60" i="9"/>
  <c r="O60" i="9" s="1"/>
  <c r="B62" i="9"/>
  <c r="AS98" i="1"/>
  <c r="Y339" i="14"/>
  <c r="J334" i="14" s="1"/>
  <c r="C476" i="17"/>
  <c r="BF90" i="1"/>
  <c r="E90" i="1"/>
  <c r="BC90" i="1"/>
  <c r="G250" i="15"/>
  <c r="F251" i="15"/>
  <c r="BL11" i="14"/>
  <c r="BM10" i="14"/>
  <c r="CC10" i="14"/>
  <c r="CB11" i="14"/>
  <c r="BF10" i="14"/>
  <c r="BG9" i="14"/>
  <c r="BZ11" i="14"/>
  <c r="CA10" i="14"/>
  <c r="CD10" i="14"/>
  <c r="CE9" i="14"/>
  <c r="CO9" i="14"/>
  <c r="CN10" i="14"/>
  <c r="CI10" i="14"/>
  <c r="CH11" i="14"/>
  <c r="G276" i="15"/>
  <c r="AP577" i="17"/>
  <c r="AQ566" i="17"/>
  <c r="CJ10" i="14"/>
  <c r="CK9" i="14"/>
  <c r="CP11" i="14"/>
  <c r="CQ10" i="14"/>
  <c r="AR555" i="17"/>
  <c r="CS10" i="14"/>
  <c r="CR11" i="14"/>
  <c r="BA10" i="14"/>
  <c r="AZ11" i="14"/>
  <c r="BK10" i="14"/>
  <c r="BJ11" i="14"/>
  <c r="BU10" i="14"/>
  <c r="BT11" i="14"/>
  <c r="CM9" i="14"/>
  <c r="CL10" i="14"/>
  <c r="BE10" i="14"/>
  <c r="BD11" i="14"/>
  <c r="BS10" i="14"/>
  <c r="BR11" i="14"/>
  <c r="BH11" i="14"/>
  <c r="BI10" i="14"/>
  <c r="BN11" i="14"/>
  <c r="BO10" i="14"/>
  <c r="BW10" i="14"/>
  <c r="BV11" i="14"/>
  <c r="CG9" i="14"/>
  <c r="CF10" i="14"/>
  <c r="BX10" i="14"/>
  <c r="BY9" i="14"/>
  <c r="BQ10" i="14"/>
  <c r="BP11" i="14"/>
  <c r="BB10" i="14"/>
  <c r="BC9" i="14"/>
  <c r="N61" i="9" l="1"/>
  <c r="AS99" i="1"/>
  <c r="D99" i="1" s="1"/>
  <c r="BC91" i="1"/>
  <c r="E91" i="1"/>
  <c r="BF91" i="1"/>
  <c r="P59" i="9"/>
  <c r="AU91" i="1"/>
  <c r="D98" i="1"/>
  <c r="C98" i="1" s="1"/>
  <c r="BC96" i="1"/>
  <c r="Q58" i="9"/>
  <c r="R58" i="9"/>
  <c r="B64" i="9"/>
  <c r="N62" i="9"/>
  <c r="B63" i="9"/>
  <c r="AS104" i="1"/>
  <c r="P60" i="9"/>
  <c r="AU98" i="1"/>
  <c r="G251" i="15"/>
  <c r="F252" i="15"/>
  <c r="BD12" i="14"/>
  <c r="BE11" i="14"/>
  <c r="BR12" i="14"/>
  <c r="BS11" i="14"/>
  <c r="CM10" i="14"/>
  <c r="CL11" i="14"/>
  <c r="BA11" i="14"/>
  <c r="AZ12" i="14"/>
  <c r="AR566" i="17"/>
  <c r="BY10" i="14"/>
  <c r="BX11" i="14"/>
  <c r="BT12" i="14"/>
  <c r="BU11" i="14"/>
  <c r="AQ577" i="17"/>
  <c r="AP588" i="17"/>
  <c r="CN11" i="14"/>
  <c r="CO10" i="14"/>
  <c r="BG10" i="14"/>
  <c r="BF11" i="14"/>
  <c r="BC10" i="14"/>
  <c r="BB11" i="14"/>
  <c r="CG10" i="14"/>
  <c r="CF11" i="14"/>
  <c r="BH12" i="14"/>
  <c r="BI11" i="14"/>
  <c r="BJ12" i="14"/>
  <c r="BK11" i="14"/>
  <c r="CE10" i="14"/>
  <c r="CD11" i="14"/>
  <c r="CB12" i="14"/>
  <c r="CC11" i="14"/>
  <c r="CQ11" i="14"/>
  <c r="CP12" i="14"/>
  <c r="CI11" i="14"/>
  <c r="CH12" i="14"/>
  <c r="CA11" i="14"/>
  <c r="BZ12" i="14"/>
  <c r="BN12" i="14"/>
  <c r="BO11" i="14"/>
  <c r="CS11" i="14"/>
  <c r="CR12" i="14"/>
  <c r="BP12" i="14"/>
  <c r="BQ11" i="14"/>
  <c r="BV12" i="14"/>
  <c r="BW11" i="14"/>
  <c r="CK10" i="14"/>
  <c r="CJ11" i="14"/>
  <c r="BM11" i="14"/>
  <c r="BL12" i="14"/>
  <c r="N63" i="9" l="1"/>
  <c r="AS105" i="1"/>
  <c r="D105" i="1" s="1"/>
  <c r="R59" i="9"/>
  <c r="Q59" i="9"/>
  <c r="D104" i="1"/>
  <c r="C104" i="1" s="1"/>
  <c r="BC102" i="1"/>
  <c r="AT104" i="1"/>
  <c r="X441" i="14"/>
  <c r="O62" i="9"/>
  <c r="AS110" i="1"/>
  <c r="N64" i="9"/>
  <c r="B65" i="9"/>
  <c r="W373" i="14"/>
  <c r="C368" i="14" s="1"/>
  <c r="C487" i="17"/>
  <c r="Q60" i="9"/>
  <c r="R60" i="9"/>
  <c r="AT99" i="1"/>
  <c r="Z407" i="14"/>
  <c r="O61" i="9"/>
  <c r="F253" i="15"/>
  <c r="G252" i="15"/>
  <c r="BK12" i="14"/>
  <c r="BJ13" i="14"/>
  <c r="CO11" i="14"/>
  <c r="CN12" i="14"/>
  <c r="BQ12" i="14"/>
  <c r="BP13" i="14"/>
  <c r="BN13" i="14"/>
  <c r="BO12" i="14"/>
  <c r="CQ12" i="14"/>
  <c r="CP13" i="14"/>
  <c r="BI12" i="14"/>
  <c r="BH13" i="14"/>
  <c r="AQ588" i="17"/>
  <c r="AP599" i="17"/>
  <c r="BY11" i="14"/>
  <c r="BX12" i="14"/>
  <c r="AR577" i="17"/>
  <c r="BR13" i="14"/>
  <c r="BS12" i="14"/>
  <c r="BD13" i="14"/>
  <c r="BE12" i="14"/>
  <c r="BV13" i="14"/>
  <c r="BW12" i="14"/>
  <c r="BC11" i="14"/>
  <c r="BB12" i="14"/>
  <c r="CH13" i="14"/>
  <c r="CI12" i="14"/>
  <c r="CB13" i="14"/>
  <c r="CC12" i="14"/>
  <c r="CM11" i="14"/>
  <c r="CL12" i="14"/>
  <c r="AZ13" i="14"/>
  <c r="BA12" i="14"/>
  <c r="BZ13" i="14"/>
  <c r="CA12" i="14"/>
  <c r="CG11" i="14"/>
  <c r="CF12" i="14"/>
  <c r="BL13" i="14"/>
  <c r="BM12" i="14"/>
  <c r="CJ12" i="14"/>
  <c r="CK11" i="14"/>
  <c r="CR13" i="14"/>
  <c r="CS12" i="14"/>
  <c r="CE11" i="14"/>
  <c r="CD12" i="14"/>
  <c r="BF12" i="14"/>
  <c r="BG11" i="14"/>
  <c r="BT13" i="14"/>
  <c r="BU12" i="14"/>
  <c r="BC104" i="1" l="1"/>
  <c r="E104" i="1"/>
  <c r="BF104" i="1"/>
  <c r="W407" i="14"/>
  <c r="C402" i="14" s="1"/>
  <c r="C521" i="17"/>
  <c r="B66" i="9"/>
  <c r="AS111" i="1"/>
  <c r="D111" i="1" s="1"/>
  <c r="N65" i="9"/>
  <c r="P61" i="9"/>
  <c r="AU99" i="1"/>
  <c r="O64" i="9"/>
  <c r="X475" i="14"/>
  <c r="AT110" i="1"/>
  <c r="Y373" i="14"/>
  <c r="J368" i="14" s="1"/>
  <c r="C498" i="17"/>
  <c r="BC108" i="1"/>
  <c r="D110" i="1"/>
  <c r="C110" i="1" s="1"/>
  <c r="E99" i="1"/>
  <c r="BC99" i="1"/>
  <c r="BF99" i="1"/>
  <c r="P62" i="9"/>
  <c r="AU104" i="1"/>
  <c r="O63" i="9"/>
  <c r="Z441" i="14"/>
  <c r="AT105" i="1"/>
  <c r="F254" i="15"/>
  <c r="G253" i="15"/>
  <c r="BH14" i="14"/>
  <c r="BI13" i="14"/>
  <c r="CF13" i="14"/>
  <c r="CG12" i="14"/>
  <c r="CC13" i="14"/>
  <c r="CB14" i="14"/>
  <c r="AQ599" i="17"/>
  <c r="AP624" i="17"/>
  <c r="BB13" i="14"/>
  <c r="BC12" i="14"/>
  <c r="CI13" i="14"/>
  <c r="CH14" i="14"/>
  <c r="BU13" i="14"/>
  <c r="BT14" i="14"/>
  <c r="CL13" i="14"/>
  <c r="CM12" i="14"/>
  <c r="BQ13" i="14"/>
  <c r="BP14" i="14"/>
  <c r="CE12" i="14"/>
  <c r="CD13" i="14"/>
  <c r="AR588" i="17"/>
  <c r="BW13" i="14"/>
  <c r="BV14" i="14"/>
  <c r="CR14" i="14"/>
  <c r="CS13" i="14"/>
  <c r="BZ14" i="14"/>
  <c r="CA13" i="14"/>
  <c r="BS13" i="14"/>
  <c r="BR14" i="14"/>
  <c r="CP14" i="14"/>
  <c r="CQ13" i="14"/>
  <c r="CK12" i="14"/>
  <c r="CJ13" i="14"/>
  <c r="BA13" i="14"/>
  <c r="AZ14" i="14"/>
  <c r="BD14" i="14"/>
  <c r="BE13" i="14"/>
  <c r="BX13" i="14"/>
  <c r="BY12" i="14"/>
  <c r="BK13" i="14"/>
  <c r="BJ14" i="14"/>
  <c r="BM13" i="14"/>
  <c r="BL14" i="14"/>
  <c r="CO12" i="14"/>
  <c r="CN13" i="14"/>
  <c r="BG12" i="14"/>
  <c r="BF13" i="14"/>
  <c r="BO13" i="14"/>
  <c r="BN14" i="14"/>
  <c r="R62" i="9" l="1"/>
  <c r="Q62" i="9"/>
  <c r="N66" i="9"/>
  <c r="B67" i="9"/>
  <c r="AS116" i="1"/>
  <c r="E110" i="1"/>
  <c r="BF110" i="1"/>
  <c r="BC110" i="1"/>
  <c r="AU110" i="1"/>
  <c r="P64" i="9"/>
  <c r="E105" i="1"/>
  <c r="BF105" i="1"/>
  <c r="BC105" i="1"/>
  <c r="R61" i="9"/>
  <c r="Q61" i="9"/>
  <c r="M314" i="4" s="1"/>
  <c r="P63" i="9"/>
  <c r="AU105" i="1"/>
  <c r="O65" i="9"/>
  <c r="P65" i="9" s="1"/>
  <c r="AT111" i="1"/>
  <c r="G254" i="15"/>
  <c r="F255" i="15"/>
  <c r="BA14" i="14"/>
  <c r="AZ15" i="14"/>
  <c r="BQ14" i="14"/>
  <c r="BP15" i="14"/>
  <c r="BU14" i="14"/>
  <c r="BT15" i="14"/>
  <c r="CH15" i="14"/>
  <c r="CI14" i="14"/>
  <c r="CJ14" i="14"/>
  <c r="CK13" i="14"/>
  <c r="BC13" i="14"/>
  <c r="BB14" i="14"/>
  <c r="CB15" i="14"/>
  <c r="CC14" i="14"/>
  <c r="BK14" i="14"/>
  <c r="BJ15" i="14"/>
  <c r="AP635" i="17"/>
  <c r="AQ624" i="17"/>
  <c r="BX14" i="14"/>
  <c r="BY13" i="14"/>
  <c r="BF14" i="14"/>
  <c r="BG13" i="14"/>
  <c r="CP15" i="14"/>
  <c r="CQ14" i="14"/>
  <c r="CA14" i="14"/>
  <c r="BZ15" i="14"/>
  <c r="CF14" i="14"/>
  <c r="CG13" i="14"/>
  <c r="CN14" i="14"/>
  <c r="CO13" i="14"/>
  <c r="AR599" i="17"/>
  <c r="BM14" i="14"/>
  <c r="BL15" i="14"/>
  <c r="BD15" i="14"/>
  <c r="BE14" i="14"/>
  <c r="BS14" i="14"/>
  <c r="BR15" i="14"/>
  <c r="BV15" i="14"/>
  <c r="BW14" i="14"/>
  <c r="CD14" i="14"/>
  <c r="CE13" i="14"/>
  <c r="BO14" i="14"/>
  <c r="BN15" i="14"/>
  <c r="CR15" i="14"/>
  <c r="CS14" i="14"/>
  <c r="CL14" i="14"/>
  <c r="CM13" i="14"/>
  <c r="BH15" i="14"/>
  <c r="BI14" i="14"/>
  <c r="Y407" i="14" l="1"/>
  <c r="J402" i="14" s="1"/>
  <c r="C532" i="17"/>
  <c r="E111" i="1"/>
  <c r="BC111" i="1"/>
  <c r="BF111" i="1"/>
  <c r="D116" i="1"/>
  <c r="C116" i="1" s="1"/>
  <c r="BC114" i="1"/>
  <c r="R65" i="9"/>
  <c r="Q65" i="9"/>
  <c r="B68" i="9"/>
  <c r="AS117" i="1"/>
  <c r="D117" i="1" s="1"/>
  <c r="N67" i="9"/>
  <c r="R64" i="9"/>
  <c r="Q64" i="9"/>
  <c r="X509" i="14"/>
  <c r="O66" i="9"/>
  <c r="AT116" i="1"/>
  <c r="R63" i="9"/>
  <c r="Q63" i="9"/>
  <c r="W441" i="14"/>
  <c r="C436" i="14" s="1"/>
  <c r="C543" i="17"/>
  <c r="F256" i="15"/>
  <c r="G255" i="15"/>
  <c r="CL15" i="14"/>
  <c r="CM14" i="14"/>
  <c r="CI15" i="14"/>
  <c r="CH16" i="14"/>
  <c r="BV16" i="14"/>
  <c r="BW15" i="14"/>
  <c r="BQ15" i="14"/>
  <c r="BP16" i="14"/>
  <c r="BM15" i="14"/>
  <c r="BL16" i="14"/>
  <c r="CD15" i="14"/>
  <c r="CE14" i="14"/>
  <c r="CG14" i="14"/>
  <c r="CF15" i="14"/>
  <c r="BU15" i="14"/>
  <c r="BT16" i="14"/>
  <c r="BO15" i="14"/>
  <c r="BN16" i="14"/>
  <c r="BF15" i="14"/>
  <c r="BG14" i="14"/>
  <c r="CR16" i="14"/>
  <c r="CS15" i="14"/>
  <c r="BS15" i="14"/>
  <c r="BR16" i="14"/>
  <c r="AR624" i="17"/>
  <c r="CK14" i="14"/>
  <c r="CJ15" i="14"/>
  <c r="CB16" i="14"/>
  <c r="CC15" i="14"/>
  <c r="CO14" i="14"/>
  <c r="CN15" i="14"/>
  <c r="BZ16" i="14"/>
  <c r="CA15" i="14"/>
  <c r="AP646" i="17"/>
  <c r="AQ635" i="17"/>
  <c r="AZ16" i="14"/>
  <c r="BA15" i="14"/>
  <c r="CQ15" i="14"/>
  <c r="CP16" i="14"/>
  <c r="BK15" i="14"/>
  <c r="BJ16" i="14"/>
  <c r="BB15" i="14"/>
  <c r="BC14" i="14"/>
  <c r="BH16" i="14"/>
  <c r="BI15" i="14"/>
  <c r="BE15" i="14"/>
  <c r="BD16" i="14"/>
  <c r="BX15" i="14"/>
  <c r="BY14" i="14"/>
  <c r="W475" i="14" l="1"/>
  <c r="C470" i="14" s="1"/>
  <c r="C565" i="17"/>
  <c r="O67" i="9"/>
  <c r="Z509" i="14"/>
  <c r="AT117" i="1"/>
  <c r="Y441" i="14"/>
  <c r="J436" i="14" s="1"/>
  <c r="C554" i="17"/>
  <c r="N68" i="9"/>
  <c r="AS124" i="1"/>
  <c r="B70" i="9"/>
  <c r="B69" i="9"/>
  <c r="E116" i="1"/>
  <c r="BC116" i="1"/>
  <c r="BF116" i="1"/>
  <c r="P66" i="9"/>
  <c r="AU116" i="1"/>
  <c r="Y475" i="14"/>
  <c r="J470" i="14" s="1"/>
  <c r="C576" i="17"/>
  <c r="F257" i="15"/>
  <c r="G256" i="15"/>
  <c r="BM16" i="14"/>
  <c r="BL17" i="14"/>
  <c r="BK16" i="14"/>
  <c r="BJ17" i="14"/>
  <c r="CP17" i="14"/>
  <c r="CQ16" i="14"/>
  <c r="BF16" i="14"/>
  <c r="BG15" i="14"/>
  <c r="CJ16" i="14"/>
  <c r="CK15" i="14"/>
  <c r="CC16" i="14"/>
  <c r="CB17" i="14"/>
  <c r="BX16" i="14"/>
  <c r="BY15" i="14"/>
  <c r="BA16" i="14"/>
  <c r="AZ17" i="14"/>
  <c r="BN17" i="14"/>
  <c r="BO16" i="14"/>
  <c r="BT17" i="14"/>
  <c r="BU16" i="14"/>
  <c r="BW16" i="14"/>
  <c r="BV17" i="14"/>
  <c r="BI16" i="14"/>
  <c r="BH17" i="14"/>
  <c r="CA16" i="14"/>
  <c r="BZ17" i="14"/>
  <c r="CI16" i="14"/>
  <c r="CH17" i="14"/>
  <c r="CS16" i="14"/>
  <c r="CR17" i="14"/>
  <c r="CE15" i="14"/>
  <c r="CD16" i="14"/>
  <c r="BC15" i="14"/>
  <c r="BB16" i="14"/>
  <c r="BE16" i="14"/>
  <c r="BD17" i="14"/>
  <c r="AR635" i="17"/>
  <c r="BR17" i="14"/>
  <c r="BS16" i="14"/>
  <c r="CG15" i="14"/>
  <c r="CF16" i="14"/>
  <c r="BQ16" i="14"/>
  <c r="BP17" i="14"/>
  <c r="CL16" i="14"/>
  <c r="CM15" i="14"/>
  <c r="CN16" i="14"/>
  <c r="CO15" i="14"/>
  <c r="AQ646" i="17"/>
  <c r="AP657" i="17"/>
  <c r="R66" i="9" l="1"/>
  <c r="Q66" i="9"/>
  <c r="O68" i="9"/>
  <c r="AT124" i="1"/>
  <c r="X543" i="14"/>
  <c r="BF117" i="1"/>
  <c r="BC117" i="1"/>
  <c r="E117" i="1"/>
  <c r="N69" i="9"/>
  <c r="AS125" i="1"/>
  <c r="D125" i="1" s="1"/>
  <c r="P67" i="9"/>
  <c r="AU117" i="1"/>
  <c r="N70" i="9"/>
  <c r="B71" i="9"/>
  <c r="AS130" i="1"/>
  <c r="D124" i="1"/>
  <c r="C124" i="1" s="1"/>
  <c r="BC122" i="1"/>
  <c r="F258" i="15"/>
  <c r="G257" i="15"/>
  <c r="CB18" i="14"/>
  <c r="CC17" i="14"/>
  <c r="CF17" i="14"/>
  <c r="CG16" i="14"/>
  <c r="CE16" i="14"/>
  <c r="CD17" i="14"/>
  <c r="CH18" i="14"/>
  <c r="CI17" i="14"/>
  <c r="BX17" i="14"/>
  <c r="BY16" i="14"/>
  <c r="CJ17" i="14"/>
  <c r="CK16" i="14"/>
  <c r="AQ657" i="17"/>
  <c r="AP682" i="17"/>
  <c r="CS17" i="14"/>
  <c r="CR18" i="14"/>
  <c r="BU17" i="14"/>
  <c r="BT18" i="14"/>
  <c r="AR646" i="17"/>
  <c r="CN17" i="14"/>
  <c r="CO16" i="14"/>
  <c r="BR18" i="14"/>
  <c r="BS17" i="14"/>
  <c r="BG16" i="14"/>
  <c r="BF17" i="14"/>
  <c r="BN18" i="14"/>
  <c r="BO17" i="14"/>
  <c r="BV18" i="14"/>
  <c r="BW17" i="14"/>
  <c r="CM16" i="14"/>
  <c r="CL17" i="14"/>
  <c r="BZ18" i="14"/>
  <c r="CA17" i="14"/>
  <c r="BH18" i="14"/>
  <c r="BI17" i="14"/>
  <c r="AZ18" i="14"/>
  <c r="BA17" i="14"/>
  <c r="CQ17" i="14"/>
  <c r="CP18" i="14"/>
  <c r="BQ17" i="14"/>
  <c r="BP18" i="14"/>
  <c r="BD18" i="14"/>
  <c r="BE17" i="14"/>
  <c r="BB17" i="14"/>
  <c r="BC16" i="14"/>
  <c r="BJ18" i="14"/>
  <c r="BK17" i="14"/>
  <c r="BM17" i="14"/>
  <c r="BL18" i="14"/>
  <c r="D130" i="1" l="1"/>
  <c r="C130" i="1" s="1"/>
  <c r="BC128" i="1"/>
  <c r="AS131" i="1"/>
  <c r="D131" i="1" s="1"/>
  <c r="B72" i="9"/>
  <c r="N71" i="9"/>
  <c r="O70" i="9"/>
  <c r="AT130" i="1"/>
  <c r="Q67" i="9"/>
  <c r="R67" i="9"/>
  <c r="BC124" i="1"/>
  <c r="BF124" i="1"/>
  <c r="E124" i="1"/>
  <c r="P68" i="9"/>
  <c r="AU124" i="1"/>
  <c r="AT125" i="1"/>
  <c r="O69" i="9"/>
  <c r="Z543" i="14"/>
  <c r="W509" i="14"/>
  <c r="C504" i="14" s="1"/>
  <c r="C587" i="17"/>
  <c r="G258" i="15"/>
  <c r="F259" i="15"/>
  <c r="BC17" i="14"/>
  <c r="BB18" i="14"/>
  <c r="BU18" i="14"/>
  <c r="BT19" i="14"/>
  <c r="BH19" i="14"/>
  <c r="BI18" i="14"/>
  <c r="CO17" i="14"/>
  <c r="CN18" i="14"/>
  <c r="CH19" i="14"/>
  <c r="CI18" i="14"/>
  <c r="CC18" i="14"/>
  <c r="CB19" i="14"/>
  <c r="BD19" i="14"/>
  <c r="BE18" i="14"/>
  <c r="CA18" i="14"/>
  <c r="BZ19" i="14"/>
  <c r="CP19" i="14"/>
  <c r="CQ18" i="14"/>
  <c r="BW18" i="14"/>
  <c r="BV19" i="14"/>
  <c r="BO18" i="14"/>
  <c r="BN19" i="14"/>
  <c r="BG17" i="14"/>
  <c r="BF18" i="14"/>
  <c r="AQ682" i="17"/>
  <c r="AP693" i="17"/>
  <c r="CE17" i="14"/>
  <c r="CD18" i="14"/>
  <c r="AR657" i="17"/>
  <c r="CJ18" i="14"/>
  <c r="CK17" i="14"/>
  <c r="BK18" i="14"/>
  <c r="BJ19" i="14"/>
  <c r="CS18" i="14"/>
  <c r="CR19" i="14"/>
  <c r="BM18" i="14"/>
  <c r="BL19" i="14"/>
  <c r="BQ18" i="14"/>
  <c r="BP19" i="14"/>
  <c r="AZ19" i="14"/>
  <c r="BA18" i="14"/>
  <c r="CL18" i="14"/>
  <c r="CM17" i="14"/>
  <c r="BS18" i="14"/>
  <c r="BR19" i="14"/>
  <c r="BX18" i="14"/>
  <c r="BY17" i="14"/>
  <c r="CF18" i="14"/>
  <c r="CG17" i="14"/>
  <c r="BF125" i="1" l="1"/>
  <c r="BC125" i="1"/>
  <c r="E125" i="1"/>
  <c r="E130" i="1"/>
  <c r="BF130" i="1"/>
  <c r="BC130" i="1"/>
  <c r="AU130" i="1"/>
  <c r="P70" i="9"/>
  <c r="O71" i="9"/>
  <c r="AT131" i="1"/>
  <c r="Z577" i="14"/>
  <c r="R68" i="9"/>
  <c r="Q68" i="9"/>
  <c r="N72" i="9"/>
  <c r="B73" i="9"/>
  <c r="AS139" i="1"/>
  <c r="P69" i="9"/>
  <c r="AU125" i="1"/>
  <c r="Y509" i="14"/>
  <c r="J504" i="14" s="1"/>
  <c r="C598" i="17"/>
  <c r="F260" i="15"/>
  <c r="G259" i="15"/>
  <c r="AR682" i="17"/>
  <c r="CP20" i="14"/>
  <c r="CQ19" i="14"/>
  <c r="CC19" i="14"/>
  <c r="CB20" i="14"/>
  <c r="CL19" i="14"/>
  <c r="CM18" i="14"/>
  <c r="CG18" i="14"/>
  <c r="CF19" i="14"/>
  <c r="BG18" i="14"/>
  <c r="BF19" i="14"/>
  <c r="BH20" i="14"/>
  <c r="BI19" i="14"/>
  <c r="BJ20" i="14"/>
  <c r="BK19" i="14"/>
  <c r="AP704" i="17"/>
  <c r="AQ704" i="17" s="1"/>
  <c r="AQ693" i="17"/>
  <c r="AZ20" i="14"/>
  <c r="BA19" i="14"/>
  <c r="CK18" i="14"/>
  <c r="CJ19" i="14"/>
  <c r="BU19" i="14"/>
  <c r="BT20" i="14"/>
  <c r="CS19" i="14"/>
  <c r="CR20" i="14"/>
  <c r="BE19" i="14"/>
  <c r="BD20" i="14"/>
  <c r="BX19" i="14"/>
  <c r="BY18" i="14"/>
  <c r="BP20" i="14"/>
  <c r="BQ19" i="14"/>
  <c r="BO19" i="14"/>
  <c r="BN20" i="14"/>
  <c r="CI19" i="14"/>
  <c r="CH20" i="14"/>
  <c r="CA19" i="14"/>
  <c r="BZ20" i="14"/>
  <c r="CO18" i="14"/>
  <c r="CN19" i="14"/>
  <c r="BB19" i="14"/>
  <c r="BC18" i="14"/>
  <c r="BR20" i="14"/>
  <c r="BS19" i="14"/>
  <c r="BM19" i="14"/>
  <c r="BL20" i="14"/>
  <c r="CD19" i="14"/>
  <c r="CE18" i="14"/>
  <c r="BV20" i="14"/>
  <c r="BW19" i="14"/>
  <c r="O72" i="9" l="1"/>
  <c r="X611" i="14"/>
  <c r="AT139" i="1"/>
  <c r="W543" i="14"/>
  <c r="C538" i="14" s="1"/>
  <c r="C623" i="17"/>
  <c r="E131" i="1"/>
  <c r="BC131" i="1"/>
  <c r="BF131" i="1"/>
  <c r="B74" i="9"/>
  <c r="N73" i="9"/>
  <c r="AS144" i="1"/>
  <c r="Q69" i="9"/>
  <c r="R69" i="9"/>
  <c r="P71" i="9"/>
  <c r="AU131" i="1"/>
  <c r="D139" i="1"/>
  <c r="C139" i="1" s="1"/>
  <c r="BC137" i="1"/>
  <c r="Q70" i="9"/>
  <c r="R70" i="9"/>
  <c r="F261" i="15"/>
  <c r="G260" i="15"/>
  <c r="CL20" i="14"/>
  <c r="CM19" i="14"/>
  <c r="BV21" i="14"/>
  <c r="BW20" i="14"/>
  <c r="BC19" i="14"/>
  <c r="BB20" i="14"/>
  <c r="CI20" i="14"/>
  <c r="CH21" i="14"/>
  <c r="BD21" i="14"/>
  <c r="BE20" i="14"/>
  <c r="CJ20" i="14"/>
  <c r="CK19" i="14"/>
  <c r="CC20" i="14"/>
  <c r="CB21" i="14"/>
  <c r="BH21" i="14"/>
  <c r="BI20" i="14"/>
  <c r="BR21" i="14"/>
  <c r="BS20" i="14"/>
  <c r="BY19" i="14"/>
  <c r="BX20" i="14"/>
  <c r="BJ21" i="14"/>
  <c r="BK20" i="14"/>
  <c r="CD20" i="14"/>
  <c r="CE19" i="14"/>
  <c r="BO20" i="14"/>
  <c r="BN21" i="14"/>
  <c r="CS20" i="14"/>
  <c r="CR21" i="14"/>
  <c r="BF20" i="14"/>
  <c r="BG19" i="14"/>
  <c r="CN20" i="14"/>
  <c r="CO19" i="14"/>
  <c r="BM20" i="14"/>
  <c r="BL21" i="14"/>
  <c r="BZ21" i="14"/>
  <c r="CA20" i="14"/>
  <c r="AZ21" i="14"/>
  <c r="BA20" i="14"/>
  <c r="CQ20" i="14"/>
  <c r="CP21" i="14"/>
  <c r="AR693" i="17"/>
  <c r="CG19" i="14"/>
  <c r="CF20" i="14"/>
  <c r="BQ20" i="14"/>
  <c r="BP21" i="14"/>
  <c r="BU20" i="14"/>
  <c r="BT21" i="14"/>
  <c r="AR704" i="17"/>
  <c r="R71" i="9" l="1"/>
  <c r="Q71" i="9"/>
  <c r="Y543" i="14"/>
  <c r="J538" i="14" s="1"/>
  <c r="C634" i="17"/>
  <c r="W577" i="14"/>
  <c r="C572" i="14" s="1"/>
  <c r="C645" i="17"/>
  <c r="BC142" i="1"/>
  <c r="D144" i="1"/>
  <c r="C144" i="1" s="1"/>
  <c r="O73" i="9"/>
  <c r="Z611" i="14"/>
  <c r="AT144" i="1"/>
  <c r="BC139" i="1"/>
  <c r="BF139" i="1"/>
  <c r="E139" i="1"/>
  <c r="N74" i="9"/>
  <c r="AS152" i="1"/>
  <c r="P72" i="9"/>
  <c r="AU139" i="1"/>
  <c r="G261" i="15"/>
  <c r="F262" i="15"/>
  <c r="BX21" i="14"/>
  <c r="BY20" i="14"/>
  <c r="BO21" i="14"/>
  <c r="BN22" i="14"/>
  <c r="CK20" i="14"/>
  <c r="CJ21" i="14"/>
  <c r="BV22" i="14"/>
  <c r="BW21" i="14"/>
  <c r="CN21" i="14"/>
  <c r="CO20" i="14"/>
  <c r="CF21" i="14"/>
  <c r="CG20" i="14"/>
  <c r="AZ22" i="14"/>
  <c r="BA21" i="14"/>
  <c r="BR22" i="14"/>
  <c r="BS21" i="14"/>
  <c r="BD22" i="14"/>
  <c r="BE21" i="14"/>
  <c r="CM20" i="14"/>
  <c r="CL21" i="14"/>
  <c r="CP22" i="14"/>
  <c r="CQ21" i="14"/>
  <c r="CR22" i="14"/>
  <c r="CS21" i="14"/>
  <c r="BP22" i="14"/>
  <c r="BQ21" i="14"/>
  <c r="BZ22" i="14"/>
  <c r="CA21" i="14"/>
  <c r="CE20" i="14"/>
  <c r="CD21" i="14"/>
  <c r="CC21" i="14"/>
  <c r="CB22" i="14"/>
  <c r="CI21" i="14"/>
  <c r="CH22" i="14"/>
  <c r="BL22" i="14"/>
  <c r="BM21" i="14"/>
  <c r="BI21" i="14"/>
  <c r="BH22" i="14"/>
  <c r="BT22" i="14"/>
  <c r="BU21" i="14"/>
  <c r="BG20" i="14"/>
  <c r="BF21" i="14"/>
  <c r="BJ22" i="14"/>
  <c r="BK21" i="14"/>
  <c r="BC20" i="14"/>
  <c r="BB21" i="14"/>
  <c r="O74" i="9" l="1"/>
  <c r="X645" i="14"/>
  <c r="AT152" i="1"/>
  <c r="BC150" i="1"/>
  <c r="D152" i="1"/>
  <c r="C152" i="1" s="1"/>
  <c r="BC144" i="1"/>
  <c r="BF144" i="1"/>
  <c r="E144" i="1"/>
  <c r="R72" i="9"/>
  <c r="Q72" i="9"/>
  <c r="AU144" i="1"/>
  <c r="P73" i="9"/>
  <c r="Y577" i="14"/>
  <c r="J572" i="14" s="1"/>
  <c r="C656" i="17"/>
  <c r="F263" i="15"/>
  <c r="G262" i="15"/>
  <c r="CE21" i="14"/>
  <c r="CD22" i="14"/>
  <c r="CS22" i="14"/>
  <c r="CR23" i="14"/>
  <c r="BX22" i="14"/>
  <c r="BY21" i="14"/>
  <c r="CQ22" i="14"/>
  <c r="CP23" i="14"/>
  <c r="BW22" i="14"/>
  <c r="BV23" i="14"/>
  <c r="CL22" i="14"/>
  <c r="CM21" i="14"/>
  <c r="CF22" i="14"/>
  <c r="CG21" i="14"/>
  <c r="CJ22" i="14"/>
  <c r="CK21" i="14"/>
  <c r="BU22" i="14"/>
  <c r="BT23" i="14"/>
  <c r="CI22" i="14"/>
  <c r="CH23" i="14"/>
  <c r="CA22" i="14"/>
  <c r="BZ23" i="14"/>
  <c r="BE22" i="14"/>
  <c r="BD23" i="14"/>
  <c r="BL23" i="14"/>
  <c r="BM22" i="14"/>
  <c r="BA22" i="14"/>
  <c r="AZ23" i="14"/>
  <c r="BC21" i="14"/>
  <c r="BB22" i="14"/>
  <c r="BI22" i="14"/>
  <c r="BH23" i="14"/>
  <c r="BN23" i="14"/>
  <c r="BO22" i="14"/>
  <c r="BK22" i="14"/>
  <c r="BJ23" i="14"/>
  <c r="CB23" i="14"/>
  <c r="CC22" i="14"/>
  <c r="BP23" i="14"/>
  <c r="BQ22" i="14"/>
  <c r="BS22" i="14"/>
  <c r="BR23" i="14"/>
  <c r="BG21" i="14"/>
  <c r="BF22" i="14"/>
  <c r="CN22" i="14"/>
  <c r="CO21" i="14"/>
  <c r="Q73" i="9" l="1"/>
  <c r="R73" i="9"/>
  <c r="W611" i="14"/>
  <c r="C606" i="14" s="1"/>
  <c r="C681" i="17"/>
  <c r="BF152" i="1"/>
  <c r="BC152" i="1"/>
  <c r="E152" i="1"/>
  <c r="P74" i="9"/>
  <c r="AU152" i="1"/>
  <c r="F264" i="15"/>
  <c r="G263" i="15"/>
  <c r="BG22" i="14"/>
  <c r="BF23" i="14"/>
  <c r="CC23" i="14"/>
  <c r="CB24" i="14"/>
  <c r="CJ23" i="14"/>
  <c r="CK22" i="14"/>
  <c r="CP24" i="14"/>
  <c r="CQ23" i="14"/>
  <c r="BB23" i="14"/>
  <c r="BC22" i="14"/>
  <c r="BS23" i="14"/>
  <c r="BR24" i="14"/>
  <c r="BJ24" i="14"/>
  <c r="BK23" i="14"/>
  <c r="BA23" i="14"/>
  <c r="AZ24" i="14"/>
  <c r="CA23" i="14"/>
  <c r="BZ24" i="14"/>
  <c r="CH24" i="14"/>
  <c r="CI23" i="14"/>
  <c r="BY22" i="14"/>
  <c r="BX23" i="14"/>
  <c r="BO23" i="14"/>
  <c r="BN24" i="14"/>
  <c r="BL24" i="14"/>
  <c r="BM23" i="14"/>
  <c r="CL23" i="14"/>
  <c r="CM22" i="14"/>
  <c r="CR24" i="14"/>
  <c r="CS23" i="14"/>
  <c r="CG22" i="14"/>
  <c r="CF23" i="14"/>
  <c r="BH24" i="14"/>
  <c r="BI23" i="14"/>
  <c r="BU23" i="14"/>
  <c r="BT24" i="14"/>
  <c r="BW23" i="14"/>
  <c r="BV24" i="14"/>
  <c r="CN23" i="14"/>
  <c r="CO22" i="14"/>
  <c r="BP24" i="14"/>
  <c r="BQ23" i="14"/>
  <c r="CD23" i="14"/>
  <c r="CE22" i="14"/>
  <c r="BE23" i="14"/>
  <c r="BD24" i="14"/>
  <c r="R74" i="9" l="1"/>
  <c r="Q74" i="9"/>
  <c r="Y611" i="14"/>
  <c r="J606" i="14" s="1"/>
  <c r="C692" i="17"/>
  <c r="F265" i="15"/>
  <c r="G264" i="15"/>
  <c r="CG23" i="14"/>
  <c r="CF24" i="14"/>
  <c r="BO24" i="14"/>
  <c r="BN25" i="14"/>
  <c r="BS24" i="14"/>
  <c r="BR25" i="14"/>
  <c r="CB25" i="14"/>
  <c r="CC24" i="14"/>
  <c r="BQ24" i="14"/>
  <c r="BP25" i="14"/>
  <c r="BH25" i="14"/>
  <c r="BI24" i="14"/>
  <c r="BD25" i="14"/>
  <c r="BE24" i="14"/>
  <c r="CO23" i="14"/>
  <c r="CN24" i="14"/>
  <c r="BB24" i="14"/>
  <c r="BC23" i="14"/>
  <c r="BV25" i="14"/>
  <c r="BW24" i="14"/>
  <c r="BY23" i="14"/>
  <c r="BX24" i="14"/>
  <c r="BA24" i="14"/>
  <c r="AZ25" i="14"/>
  <c r="BM24" i="14"/>
  <c r="BL25" i="14"/>
  <c r="CA24" i="14"/>
  <c r="BZ25" i="14"/>
  <c r="CR25" i="14"/>
  <c r="CS24" i="14"/>
  <c r="CD24" i="14"/>
  <c r="CE23" i="14"/>
  <c r="CL24" i="14"/>
  <c r="CM23" i="14"/>
  <c r="CQ24" i="14"/>
  <c r="CP25" i="14"/>
  <c r="BU24" i="14"/>
  <c r="BT25" i="14"/>
  <c r="BG23" i="14"/>
  <c r="BF24" i="14"/>
  <c r="CH25" i="14"/>
  <c r="CI24" i="14"/>
  <c r="BJ25" i="14"/>
  <c r="BK24" i="14"/>
  <c r="CK23" i="14"/>
  <c r="CJ24" i="14"/>
  <c r="W645" i="14" l="1"/>
  <c r="C640" i="14" s="1"/>
  <c r="C703" i="17"/>
  <c r="F266" i="15"/>
  <c r="G265" i="15"/>
  <c r="BK25" i="14"/>
  <c r="BJ26" i="14"/>
  <c r="CA25" i="14"/>
  <c r="BZ26" i="14"/>
  <c r="BV26" i="14"/>
  <c r="BW25" i="14"/>
  <c r="CI25" i="14"/>
  <c r="CH26" i="14"/>
  <c r="CL25" i="14"/>
  <c r="CM24" i="14"/>
  <c r="BL26" i="14"/>
  <c r="BM25" i="14"/>
  <c r="BR26" i="14"/>
  <c r="BS25" i="14"/>
  <c r="BF25" i="14"/>
  <c r="BG24" i="14"/>
  <c r="CE24" i="14"/>
  <c r="CD25" i="14"/>
  <c r="AZ26" i="14"/>
  <c r="BA25" i="14"/>
  <c r="BH26" i="14"/>
  <c r="BI25" i="14"/>
  <c r="BN26" i="14"/>
  <c r="BO25" i="14"/>
  <c r="CB26" i="14"/>
  <c r="CC25" i="14"/>
  <c r="BQ25" i="14"/>
  <c r="BP26" i="14"/>
  <c r="BC24" i="14"/>
  <c r="BB25" i="14"/>
  <c r="CJ25" i="14"/>
  <c r="CK24" i="14"/>
  <c r="BT26" i="14"/>
  <c r="BU25" i="14"/>
  <c r="BY24" i="14"/>
  <c r="BX25" i="14"/>
  <c r="CO24" i="14"/>
  <c r="CN25" i="14"/>
  <c r="CG24" i="14"/>
  <c r="CF25" i="14"/>
  <c r="BD26" i="14"/>
  <c r="BE25" i="14"/>
  <c r="CP26" i="14"/>
  <c r="CQ25" i="14"/>
  <c r="CR26" i="14"/>
  <c r="CS25" i="14"/>
  <c r="F267" i="15" l="1"/>
  <c r="G266" i="15"/>
  <c r="CH27" i="14"/>
  <c r="CI26" i="14"/>
  <c r="CS26" i="14"/>
  <c r="CR27" i="14"/>
  <c r="CK25" i="14"/>
  <c r="CJ26" i="14"/>
  <c r="BN27" i="14"/>
  <c r="BO26" i="14"/>
  <c r="BF26" i="14"/>
  <c r="BG25" i="14"/>
  <c r="CP27" i="14"/>
  <c r="CQ26" i="14"/>
  <c r="BR27" i="14"/>
  <c r="BS26" i="14"/>
  <c r="CA26" i="14"/>
  <c r="BZ27" i="14"/>
  <c r="CF26" i="14"/>
  <c r="CG25" i="14"/>
  <c r="CN26" i="14"/>
  <c r="CO25" i="14"/>
  <c r="BC25" i="14"/>
  <c r="BB26" i="14"/>
  <c r="BH27" i="14"/>
  <c r="BI26" i="14"/>
  <c r="BA26" i="14"/>
  <c r="AZ27" i="14"/>
  <c r="BM26" i="14"/>
  <c r="BL27" i="14"/>
  <c r="BV27" i="14"/>
  <c r="BW26" i="14"/>
  <c r="BY25" i="14"/>
  <c r="BX26" i="14"/>
  <c r="BQ26" i="14"/>
  <c r="BP27" i="14"/>
  <c r="CD26" i="14"/>
  <c r="CE25" i="14"/>
  <c r="BK26" i="14"/>
  <c r="BJ27" i="14"/>
  <c r="BD27" i="14"/>
  <c r="BE26" i="14"/>
  <c r="BT27" i="14"/>
  <c r="BU26" i="14"/>
  <c r="CC26" i="14"/>
  <c r="CB27" i="14"/>
  <c r="CM25" i="14"/>
  <c r="CL26" i="14"/>
  <c r="F268" i="15" l="1"/>
  <c r="G267" i="15"/>
  <c r="BZ28" i="14"/>
  <c r="CA27" i="14"/>
  <c r="BH28" i="14"/>
  <c r="BI27" i="14"/>
  <c r="BL28" i="14"/>
  <c r="BM27" i="14"/>
  <c r="BC26" i="14"/>
  <c r="BB27" i="14"/>
  <c r="CD27" i="14"/>
  <c r="CE26" i="14"/>
  <c r="BS27" i="14"/>
  <c r="BR28" i="14"/>
  <c r="AZ28" i="14"/>
  <c r="BA27" i="14"/>
  <c r="CS27" i="14"/>
  <c r="CR28" i="14"/>
  <c r="CM26" i="14"/>
  <c r="CL27" i="14"/>
  <c r="BJ28" i="14"/>
  <c r="BK27" i="14"/>
  <c r="BP28" i="14"/>
  <c r="BQ27" i="14"/>
  <c r="BU27" i="14"/>
  <c r="BT28" i="14"/>
  <c r="CO26" i="14"/>
  <c r="CN27" i="14"/>
  <c r="CP28" i="14"/>
  <c r="CQ27" i="14"/>
  <c r="BW27" i="14"/>
  <c r="BV28" i="14"/>
  <c r="BN28" i="14"/>
  <c r="BO27" i="14"/>
  <c r="CC27" i="14"/>
  <c r="CB28" i="14"/>
  <c r="CK26" i="14"/>
  <c r="CJ27" i="14"/>
  <c r="BX27" i="14"/>
  <c r="BY26" i="14"/>
  <c r="BE27" i="14"/>
  <c r="BD28" i="14"/>
  <c r="CG26" i="14"/>
  <c r="CF27" i="14"/>
  <c r="BG26" i="14"/>
  <c r="BF27" i="14"/>
  <c r="CI27" i="14"/>
  <c r="CH28" i="14"/>
  <c r="F269" i="15" l="1"/>
  <c r="G268" i="15"/>
  <c r="CB29" i="14"/>
  <c r="CC28" i="14"/>
  <c r="CE27" i="14"/>
  <c r="CD28" i="14"/>
  <c r="BO28" i="14"/>
  <c r="BN29" i="14"/>
  <c r="CO27" i="14"/>
  <c r="CN28" i="14"/>
  <c r="CM27" i="14"/>
  <c r="CL28" i="14"/>
  <c r="CS28" i="14"/>
  <c r="CR29" i="14"/>
  <c r="BF28" i="14"/>
  <c r="BG27" i="14"/>
  <c r="BW28" i="14"/>
  <c r="BV29" i="14"/>
  <c r="AZ29" i="14"/>
  <c r="BA28" i="14"/>
  <c r="BM28" i="14"/>
  <c r="BL29" i="14"/>
  <c r="CF28" i="14"/>
  <c r="CG27" i="14"/>
  <c r="CJ28" i="14"/>
  <c r="CK27" i="14"/>
  <c r="BS28" i="14"/>
  <c r="BR29" i="14"/>
  <c r="CA28" i="14"/>
  <c r="BZ29" i="14"/>
  <c r="CI28" i="14"/>
  <c r="CH29" i="14"/>
  <c r="BE28" i="14"/>
  <c r="BD29" i="14"/>
  <c r="BU28" i="14"/>
  <c r="BT29" i="14"/>
  <c r="BB28" i="14"/>
  <c r="BC27" i="14"/>
  <c r="BY27" i="14"/>
  <c r="BX28" i="14"/>
  <c r="BQ28" i="14"/>
  <c r="BP29" i="14"/>
  <c r="CQ28" i="14"/>
  <c r="CP29" i="14"/>
  <c r="BJ29" i="14"/>
  <c r="BK28" i="14"/>
  <c r="BI28" i="14"/>
  <c r="BH29" i="14"/>
  <c r="F270" i="15" l="1"/>
  <c r="G269" i="15"/>
  <c r="CN29" i="14"/>
  <c r="CO28" i="14"/>
  <c r="BI29" i="14"/>
  <c r="BH30" i="14"/>
  <c r="BY28" i="14"/>
  <c r="BX29" i="14"/>
  <c r="CI29" i="14"/>
  <c r="CH30" i="14"/>
  <c r="BO29" i="14"/>
  <c r="BN30" i="14"/>
  <c r="BP30" i="14"/>
  <c r="BQ29" i="14"/>
  <c r="BE29" i="14"/>
  <c r="BD30" i="14"/>
  <c r="BV30" i="14"/>
  <c r="BW29" i="14"/>
  <c r="CG28" i="14"/>
  <c r="CF29" i="14"/>
  <c r="BG28" i="14"/>
  <c r="BF29" i="14"/>
  <c r="CJ29" i="14"/>
  <c r="CK28" i="14"/>
  <c r="BZ30" i="14"/>
  <c r="CA29" i="14"/>
  <c r="BL30" i="14"/>
  <c r="BM29" i="14"/>
  <c r="CS29" i="14"/>
  <c r="CR30" i="14"/>
  <c r="CE28" i="14"/>
  <c r="CD29" i="14"/>
  <c r="BJ30" i="14"/>
  <c r="BK29" i="14"/>
  <c r="BB29" i="14"/>
  <c r="BC28" i="14"/>
  <c r="CP30" i="14"/>
  <c r="CQ29" i="14"/>
  <c r="BT30" i="14"/>
  <c r="BU29" i="14"/>
  <c r="BS29" i="14"/>
  <c r="BR30" i="14"/>
  <c r="CM28" i="14"/>
  <c r="CL29" i="14"/>
  <c r="AZ30" i="14"/>
  <c r="BA29" i="14"/>
  <c r="CC29" i="14"/>
  <c r="CB30" i="14"/>
  <c r="F271" i="15" l="1"/>
  <c r="G270" i="15"/>
  <c r="BK30" i="14"/>
  <c r="BJ31" i="14"/>
  <c r="CD30" i="14"/>
  <c r="CE29" i="14"/>
  <c r="BT31" i="14"/>
  <c r="BU30" i="14"/>
  <c r="CJ30" i="14"/>
  <c r="CK29" i="14"/>
  <c r="BZ31" i="14"/>
  <c r="CA30" i="14"/>
  <c r="BE30" i="14"/>
  <c r="BD31" i="14"/>
  <c r="BY29" i="14"/>
  <c r="BX30" i="14"/>
  <c r="CS30" i="14"/>
  <c r="CR31" i="14"/>
  <c r="BG29" i="14"/>
  <c r="BF30" i="14"/>
  <c r="BH31" i="14"/>
  <c r="BI30" i="14"/>
  <c r="CI30" i="14"/>
  <c r="CH31" i="14"/>
  <c r="BW30" i="14"/>
  <c r="BV31" i="14"/>
  <c r="CL30" i="14"/>
  <c r="CM29" i="14"/>
  <c r="CF30" i="14"/>
  <c r="CG29" i="14"/>
  <c r="BN31" i="14"/>
  <c r="BO30" i="14"/>
  <c r="BS30" i="14"/>
  <c r="BR31" i="14"/>
  <c r="CN30" i="14"/>
  <c r="CO29" i="14"/>
  <c r="CC30" i="14"/>
  <c r="CB31" i="14"/>
  <c r="AZ31" i="14"/>
  <c r="BA30" i="14"/>
  <c r="CP31" i="14"/>
  <c r="CQ30" i="14"/>
  <c r="BP31" i="14"/>
  <c r="BQ30" i="14"/>
  <c r="BB30" i="14"/>
  <c r="BC29" i="14"/>
  <c r="BL31" i="14"/>
  <c r="BM30" i="14"/>
  <c r="F272" i="15" l="1"/>
  <c r="G271" i="15"/>
  <c r="CP32" i="14"/>
  <c r="CQ31" i="14"/>
  <c r="CK30" i="14"/>
  <c r="CJ31" i="14"/>
  <c r="BV32" i="14"/>
  <c r="BW31" i="14"/>
  <c r="CR32" i="14"/>
  <c r="CS31" i="14"/>
  <c r="BX31" i="14"/>
  <c r="BY30" i="14"/>
  <c r="BL32" i="14"/>
  <c r="BM31" i="14"/>
  <c r="AZ32" i="14"/>
  <c r="BA31" i="14"/>
  <c r="BN32" i="14"/>
  <c r="BO31" i="14"/>
  <c r="BU31" i="14"/>
  <c r="BT32" i="14"/>
  <c r="BF31" i="14"/>
  <c r="BG30" i="14"/>
  <c r="BK31" i="14"/>
  <c r="BJ32" i="14"/>
  <c r="BP32" i="14"/>
  <c r="BQ31" i="14"/>
  <c r="CO30" i="14"/>
  <c r="CN31" i="14"/>
  <c r="CL31" i="14"/>
  <c r="CM30" i="14"/>
  <c r="BE31" i="14"/>
  <c r="BD32" i="14"/>
  <c r="BZ32" i="14"/>
  <c r="CA31" i="14"/>
  <c r="BS31" i="14"/>
  <c r="BR32" i="14"/>
  <c r="CI31" i="14"/>
  <c r="CH32" i="14"/>
  <c r="CC31" i="14"/>
  <c r="CB32" i="14"/>
  <c r="BB31" i="14"/>
  <c r="BC30" i="14"/>
  <c r="CF31" i="14"/>
  <c r="CG30" i="14"/>
  <c r="BH32" i="14"/>
  <c r="BI31" i="14"/>
  <c r="CD31" i="14"/>
  <c r="CE30" i="14"/>
  <c r="G272" i="15" l="1"/>
  <c r="F273" i="15"/>
  <c r="F274" i="15" s="1"/>
  <c r="F275" i="15" s="1"/>
  <c r="F276" i="15" s="1"/>
  <c r="F277" i="15" s="1"/>
  <c r="F278" i="15" s="1"/>
  <c r="F279" i="15" s="1"/>
  <c r="F280" i="15" s="1"/>
  <c r="F281" i="15" s="1"/>
  <c r="F282" i="15" s="1"/>
  <c r="F283" i="15" s="1"/>
  <c r="F284" i="15" s="1"/>
  <c r="F285" i="15" s="1"/>
  <c r="F286" i="15" s="1"/>
  <c r="F287" i="15" s="1"/>
  <c r="BD33" i="14"/>
  <c r="BE32" i="14"/>
  <c r="BA32" i="14"/>
  <c r="AZ33" i="14"/>
  <c r="BW32" i="14"/>
  <c r="BV33" i="14"/>
  <c r="CS32" i="14"/>
  <c r="CR33" i="14"/>
  <c r="CE31" i="14"/>
  <c r="CD32" i="14"/>
  <c r="CH33" i="14"/>
  <c r="CI32" i="14"/>
  <c r="CJ32" i="14"/>
  <c r="CK31" i="14"/>
  <c r="BB32" i="14"/>
  <c r="BC31" i="14"/>
  <c r="CA32" i="14"/>
  <c r="BZ33" i="14"/>
  <c r="BQ32" i="14"/>
  <c r="BP33" i="14"/>
  <c r="BO32" i="14"/>
  <c r="BN33" i="14"/>
  <c r="CC32" i="14"/>
  <c r="CB33" i="14"/>
  <c r="BK32" i="14"/>
  <c r="BJ33" i="14"/>
  <c r="CM31" i="14"/>
  <c r="CL32" i="14"/>
  <c r="BG31" i="14"/>
  <c r="BF32" i="14"/>
  <c r="BL33" i="14"/>
  <c r="BM32" i="14"/>
  <c r="BS32" i="14"/>
  <c r="BR33" i="14"/>
  <c r="CO31" i="14"/>
  <c r="CN32" i="14"/>
  <c r="BU32" i="14"/>
  <c r="BT33" i="14"/>
  <c r="BH33" i="14"/>
  <c r="BI32" i="14"/>
  <c r="CG31" i="14"/>
  <c r="CF32" i="14"/>
  <c r="BX32" i="14"/>
  <c r="BY31" i="14"/>
  <c r="CQ32" i="14"/>
  <c r="CP33" i="14"/>
  <c r="G287" i="15" l="1"/>
  <c r="F288" i="15"/>
  <c r="BC32" i="14"/>
  <c r="BB33" i="14"/>
  <c r="CN33" i="14"/>
  <c r="CO32" i="14"/>
  <c r="BO33" i="14"/>
  <c r="BN34" i="14"/>
  <c r="CJ33" i="14"/>
  <c r="CK32" i="14"/>
  <c r="CG32" i="14"/>
  <c r="CF33" i="14"/>
  <c r="BR34" i="14"/>
  <c r="BS33" i="14"/>
  <c r="BJ34" i="14"/>
  <c r="BK33" i="14"/>
  <c r="BQ33" i="14"/>
  <c r="BP34" i="14"/>
  <c r="AZ34" i="14"/>
  <c r="BA33" i="14"/>
  <c r="CP34" i="14"/>
  <c r="CQ33" i="14"/>
  <c r="BT34" i="14"/>
  <c r="BU33" i="14"/>
  <c r="BF33" i="14"/>
  <c r="BG32" i="14"/>
  <c r="BW33" i="14"/>
  <c r="BV34" i="14"/>
  <c r="BX33" i="14"/>
  <c r="BY32" i="14"/>
  <c r="CI33" i="14"/>
  <c r="CH34" i="14"/>
  <c r="CB34" i="14"/>
  <c r="CC33" i="14"/>
  <c r="CA33" i="14"/>
  <c r="BZ34" i="14"/>
  <c r="CD33" i="14"/>
  <c r="CE32" i="14"/>
  <c r="CR34" i="14"/>
  <c r="CS33" i="14"/>
  <c r="CM32" i="14"/>
  <c r="CL33" i="14"/>
  <c r="BH34" i="14"/>
  <c r="BI33" i="14"/>
  <c r="BM33" i="14"/>
  <c r="BL34" i="14"/>
  <c r="BE33" i="14"/>
  <c r="BD34" i="14"/>
  <c r="G288" i="15" l="1"/>
  <c r="F289" i="15"/>
  <c r="BO34" i="14"/>
  <c r="BN35" i="14"/>
  <c r="CS34" i="14"/>
  <c r="CR35" i="14"/>
  <c r="BU34" i="14"/>
  <c r="BT35" i="14"/>
  <c r="BK34" i="14"/>
  <c r="BJ35" i="14"/>
  <c r="BL35" i="14"/>
  <c r="BM34" i="14"/>
  <c r="CA34" i="14"/>
  <c r="BZ35" i="14"/>
  <c r="BW34" i="14"/>
  <c r="BV35" i="14"/>
  <c r="CG33" i="14"/>
  <c r="CF34" i="14"/>
  <c r="BC33" i="14"/>
  <c r="BB34" i="14"/>
  <c r="AZ35" i="14"/>
  <c r="BA34" i="14"/>
  <c r="CD34" i="14"/>
  <c r="CE33" i="14"/>
  <c r="BX34" i="14"/>
  <c r="BY33" i="14"/>
  <c r="CL34" i="14"/>
  <c r="CM33" i="14"/>
  <c r="BD35" i="14"/>
  <c r="BE34" i="14"/>
  <c r="CI34" i="14"/>
  <c r="CH35" i="14"/>
  <c r="CQ34" i="14"/>
  <c r="CP35" i="14"/>
  <c r="BR35" i="14"/>
  <c r="BS34" i="14"/>
  <c r="CN34" i="14"/>
  <c r="CO33" i="14"/>
  <c r="BH35" i="14"/>
  <c r="BI34" i="14"/>
  <c r="BQ34" i="14"/>
  <c r="BP35" i="14"/>
  <c r="CC34" i="14"/>
  <c r="CB35" i="14"/>
  <c r="BF34" i="14"/>
  <c r="BG33" i="14"/>
  <c r="CK33" i="14"/>
  <c r="CJ34" i="14"/>
  <c r="G289" i="15" l="1"/>
  <c r="F290" i="15"/>
  <c r="BQ35" i="14"/>
  <c r="BP36" i="14"/>
  <c r="CQ35" i="14"/>
  <c r="CP36" i="14"/>
  <c r="BJ36" i="14"/>
  <c r="BK35" i="14"/>
  <c r="BY34" i="14"/>
  <c r="BX35" i="14"/>
  <c r="CH36" i="14"/>
  <c r="CI35" i="14"/>
  <c r="BT36" i="14"/>
  <c r="BU35" i="14"/>
  <c r="BZ36" i="14"/>
  <c r="CA35" i="14"/>
  <c r="CR36" i="14"/>
  <c r="CS35" i="14"/>
  <c r="BV36" i="14"/>
  <c r="BW35" i="14"/>
  <c r="BF35" i="14"/>
  <c r="BG34" i="14"/>
  <c r="CO34" i="14"/>
  <c r="CN35" i="14"/>
  <c r="BD36" i="14"/>
  <c r="BE35" i="14"/>
  <c r="BA35" i="14"/>
  <c r="AZ36" i="14"/>
  <c r="CC35" i="14"/>
  <c r="CB36" i="14"/>
  <c r="BC34" i="14"/>
  <c r="BB35" i="14"/>
  <c r="BO35" i="14"/>
  <c r="BN36" i="14"/>
  <c r="CF35" i="14"/>
  <c r="CG34" i="14"/>
  <c r="CK34" i="14"/>
  <c r="CJ35" i="14"/>
  <c r="BI35" i="14"/>
  <c r="BH36" i="14"/>
  <c r="CD35" i="14"/>
  <c r="CE34" i="14"/>
  <c r="BR36" i="14"/>
  <c r="BS35" i="14"/>
  <c r="CL35" i="14"/>
  <c r="CM34" i="14"/>
  <c r="BM35" i="14"/>
  <c r="BL36" i="14"/>
  <c r="F291" i="15" l="1"/>
  <c r="G290" i="15"/>
  <c r="BX36" i="14"/>
  <c r="BY35" i="14"/>
  <c r="BD37" i="14"/>
  <c r="BE37" i="14" s="1"/>
  <c r="BE36" i="14"/>
  <c r="CR37" i="14"/>
  <c r="CS37" i="14" s="1"/>
  <c r="CS36" i="14"/>
  <c r="CJ36" i="14"/>
  <c r="CK35" i="14"/>
  <c r="BC35" i="14"/>
  <c r="BB36" i="14"/>
  <c r="CM35" i="14"/>
  <c r="CL36" i="14"/>
  <c r="CC36" i="14"/>
  <c r="CB37" i="14"/>
  <c r="CC37" i="14" s="1"/>
  <c r="CP37" i="14"/>
  <c r="CQ37" i="14" s="1"/>
  <c r="CQ36" i="14"/>
  <c r="CO35" i="14"/>
  <c r="CN36" i="14"/>
  <c r="CA36" i="14"/>
  <c r="BZ37" i="14"/>
  <c r="CA37" i="14" s="1"/>
  <c r="BR37" i="14"/>
  <c r="BS37" i="14" s="1"/>
  <c r="BS36" i="14"/>
  <c r="BG35" i="14"/>
  <c r="BF36" i="14"/>
  <c r="BT37" i="14"/>
  <c r="BU37" i="14" s="1"/>
  <c r="BU36" i="14"/>
  <c r="BM36" i="14"/>
  <c r="BL37" i="14"/>
  <c r="BM37" i="14" s="1"/>
  <c r="BI36" i="14"/>
  <c r="BH37" i="14"/>
  <c r="BI37" i="14" s="1"/>
  <c r="BN37" i="14"/>
  <c r="BO37" i="14" s="1"/>
  <c r="BO36" i="14"/>
  <c r="AZ37" i="14"/>
  <c r="BA37" i="14" s="1"/>
  <c r="BA36" i="14"/>
  <c r="BP37" i="14"/>
  <c r="BQ37" i="14" s="1"/>
  <c r="BQ36" i="14"/>
  <c r="BJ37" i="14"/>
  <c r="BK37" i="14" s="1"/>
  <c r="BK36" i="14"/>
  <c r="CD36" i="14"/>
  <c r="CE35" i="14"/>
  <c r="CF36" i="14"/>
  <c r="CG35" i="14"/>
  <c r="BV37" i="14"/>
  <c r="BW37" i="14" s="1"/>
  <c r="BW36" i="14"/>
  <c r="CH37" i="14"/>
  <c r="CI37" i="14" s="1"/>
  <c r="CI36" i="14"/>
  <c r="G291" i="15" l="1"/>
  <c r="F292" i="15"/>
  <c r="G313" i="15"/>
  <c r="CJ37" i="14"/>
  <c r="CK37" i="14" s="1"/>
  <c r="CK36" i="14"/>
  <c r="CM36" i="14"/>
  <c r="CL37" i="14"/>
  <c r="CM37" i="14" s="1"/>
  <c r="BG36" i="14"/>
  <c r="BF37" i="14"/>
  <c r="BG37" i="14" s="1"/>
  <c r="CN37" i="14"/>
  <c r="CO37" i="14" s="1"/>
  <c r="CO36" i="14"/>
  <c r="BC36" i="14"/>
  <c r="BB37" i="14"/>
  <c r="BC37" i="14" s="1"/>
  <c r="CG36" i="14"/>
  <c r="CF37" i="14"/>
  <c r="CG37" i="14" s="1"/>
  <c r="CD37" i="14"/>
  <c r="CE37" i="14" s="1"/>
  <c r="CE36" i="14"/>
  <c r="BX37" i="14"/>
  <c r="BY37" i="14" s="1"/>
  <c r="BY36" i="14"/>
  <c r="F293" i="15" l="1"/>
  <c r="G292" i="15"/>
  <c r="G314" i="15"/>
  <c r="G293" i="15" l="1"/>
  <c r="F294" i="15"/>
  <c r="G315" i="15"/>
  <c r="F295" i="15" l="1"/>
  <c r="G294" i="15"/>
  <c r="G316" i="15"/>
  <c r="F296" i="15" l="1"/>
  <c r="G295" i="15"/>
  <c r="F297" i="15" l="1"/>
  <c r="G296" i="15"/>
  <c r="F298" i="15" l="1"/>
  <c r="G297" i="15"/>
  <c r="F299" i="15" l="1"/>
  <c r="G298" i="15"/>
  <c r="G299" i="15" l="1"/>
  <c r="F300" i="15"/>
  <c r="F301" i="15" l="1"/>
  <c r="G300" i="15"/>
  <c r="F302" i="15" l="1"/>
  <c r="G301" i="15"/>
  <c r="F303" i="15" l="1"/>
  <c r="G302" i="15"/>
  <c r="F304" i="15" l="1"/>
  <c r="G303" i="15"/>
  <c r="F305" i="15" l="1"/>
  <c r="G304" i="15"/>
  <c r="F306" i="15" l="1"/>
  <c r="G305" i="15"/>
  <c r="F307" i="15" l="1"/>
  <c r="G306" i="15"/>
  <c r="F308" i="15" l="1"/>
  <c r="G307" i="15"/>
  <c r="F309" i="15" l="1"/>
  <c r="G308" i="15"/>
  <c r="F310" i="15" l="1"/>
  <c r="G309" i="15"/>
  <c r="F311" i="15" l="1"/>
  <c r="G310" i="15"/>
  <c r="F312" i="15" l="1"/>
  <c r="G311" i="15"/>
  <c r="G312" i="15" l="1"/>
  <c r="F313" i="15"/>
  <c r="F314" i="15" s="1"/>
  <c r="F315" i="15" s="1"/>
  <c r="F316" i="15" s="1"/>
  <c r="F317" i="15" s="1"/>
  <c r="F318" i="15" s="1"/>
  <c r="F319" i="15" s="1"/>
  <c r="F320" i="15" s="1"/>
  <c r="F321" i="15" s="1"/>
  <c r="F322" i="15" s="1"/>
  <c r="F323" i="15" s="1"/>
  <c r="F324" i="15" s="1"/>
  <c r="F325" i="15" s="1"/>
  <c r="F326" i="15" s="1"/>
  <c r="F327" i="15" s="1"/>
  <c r="F328" i="15" l="1"/>
  <c r="G327" i="15"/>
  <c r="G328" i="15" l="1"/>
  <c r="F329" i="15"/>
  <c r="F330" i="15" l="1"/>
  <c r="G329" i="15"/>
  <c r="G330" i="15" l="1"/>
  <c r="F331" i="15"/>
  <c r="G331" i="15" l="1"/>
  <c r="F332" i="15"/>
  <c r="G332" i="15" l="1"/>
  <c r="F333" i="15"/>
  <c r="F334" i="15" l="1"/>
  <c r="G333" i="15"/>
  <c r="F335" i="15" l="1"/>
  <c r="G334" i="15"/>
  <c r="F336" i="15" l="1"/>
  <c r="G335" i="15"/>
  <c r="G353" i="15"/>
  <c r="G336" i="15" l="1"/>
  <c r="F337" i="15"/>
  <c r="G354" i="15"/>
  <c r="G337" i="15" l="1"/>
  <c r="F338" i="15"/>
  <c r="G355" i="15"/>
  <c r="F339" i="15" l="1"/>
  <c r="G338" i="15"/>
  <c r="G356" i="15"/>
  <c r="G339" i="15" l="1"/>
  <c r="F340" i="15"/>
  <c r="G340" i="15" l="1"/>
  <c r="F341" i="15"/>
  <c r="G341" i="15" l="1"/>
  <c r="F342" i="15"/>
  <c r="F343" i="15" l="1"/>
  <c r="G342" i="15"/>
  <c r="F344" i="15" l="1"/>
  <c r="G343" i="15"/>
  <c r="F345" i="15" l="1"/>
  <c r="G344" i="15"/>
  <c r="F346" i="15" l="1"/>
  <c r="G345" i="15"/>
  <c r="F347" i="15" l="1"/>
  <c r="G346" i="15"/>
  <c r="G347" i="15" l="1"/>
  <c r="F348" i="15"/>
  <c r="G348" i="15" l="1"/>
  <c r="F349" i="15"/>
  <c r="F350" i="15" l="1"/>
  <c r="G349" i="15"/>
  <c r="F351" i="15" l="1"/>
  <c r="G350" i="15"/>
  <c r="F352" i="15" l="1"/>
  <c r="G351" i="15"/>
  <c r="G352" i="15" l="1"/>
  <c r="F353" i="15"/>
  <c r="F354" i="15" s="1"/>
  <c r="F355" i="15" s="1"/>
  <c r="F356" i="15" s="1"/>
  <c r="F357" i="15" s="1"/>
  <c r="F358" i="15" s="1"/>
  <c r="F359" i="15" s="1"/>
  <c r="F360" i="15" s="1"/>
  <c r="F361" i="15" s="1"/>
  <c r="F362" i="15" s="1"/>
  <c r="F363" i="15" s="1"/>
  <c r="F364" i="15" s="1"/>
  <c r="F365" i="15" s="1"/>
  <c r="F366" i="15" s="1"/>
  <c r="F367" i="15" s="1"/>
  <c r="G367" i="15" l="1"/>
  <c r="F368" i="15"/>
  <c r="G368" i="15" l="1"/>
  <c r="F369" i="15"/>
  <c r="G369" i="15" l="1"/>
  <c r="F370" i="15"/>
  <c r="F371" i="15" l="1"/>
  <c r="G370" i="15"/>
  <c r="G371" i="15" l="1"/>
  <c r="F372" i="15"/>
  <c r="G372" i="15" l="1"/>
  <c r="F373" i="15"/>
  <c r="F374" i="15" l="1"/>
  <c r="G373" i="15"/>
  <c r="F375" i="15" l="1"/>
  <c r="G374" i="15"/>
  <c r="F376" i="15" l="1"/>
  <c r="G375" i="15"/>
  <c r="F377" i="15" l="1"/>
  <c r="G376" i="15"/>
  <c r="G377" i="15" l="1"/>
  <c r="F378" i="15"/>
  <c r="F379" i="15" l="1"/>
  <c r="G378" i="15"/>
  <c r="F380" i="15" l="1"/>
  <c r="G379" i="15"/>
  <c r="G393" i="15"/>
  <c r="F381" i="15" l="1"/>
  <c r="G380" i="15"/>
  <c r="G394" i="15"/>
  <c r="F382" i="15" l="1"/>
  <c r="G381" i="15"/>
  <c r="G395" i="15"/>
  <c r="G382" i="15" l="1"/>
  <c r="F383" i="15"/>
  <c r="G396" i="15"/>
  <c r="F384" i="15" l="1"/>
  <c r="G383" i="15"/>
  <c r="F385" i="15" l="1"/>
  <c r="G384" i="15"/>
  <c r="G385" i="15" l="1"/>
  <c r="F386" i="15"/>
  <c r="G386" i="15" l="1"/>
  <c r="F387" i="15"/>
  <c r="G387" i="15" l="1"/>
  <c r="F388" i="15"/>
  <c r="G388" i="15" l="1"/>
  <c r="F389" i="15"/>
  <c r="G389" i="15" l="1"/>
  <c r="F390" i="15"/>
  <c r="G390" i="15" l="1"/>
  <c r="F391" i="15"/>
  <c r="G391" i="15" l="1"/>
  <c r="F392" i="15"/>
  <c r="G392" i="15" l="1"/>
  <c r="F393" i="15"/>
  <c r="F394" i="15" s="1"/>
  <c r="F395" i="15" s="1"/>
  <c r="F396" i="15" s="1"/>
  <c r="F397" i="15" s="1"/>
  <c r="F398" i="15" s="1"/>
  <c r="F399" i="15" s="1"/>
  <c r="F400" i="15" s="1"/>
  <c r="F401" i="15" s="1"/>
  <c r="F402" i="15" s="1"/>
  <c r="F403" i="15" s="1"/>
  <c r="F404" i="15" s="1"/>
  <c r="F405" i="15" s="1"/>
  <c r="F406" i="15" s="1"/>
  <c r="F407" i="15" s="1"/>
  <c r="F408" i="15" l="1"/>
  <c r="G407" i="15"/>
  <c r="F409" i="15" l="1"/>
  <c r="G408" i="15"/>
  <c r="G409" i="15" l="1"/>
  <c r="F410" i="15"/>
  <c r="F411" i="15" l="1"/>
  <c r="G410" i="15"/>
  <c r="G411" i="15" l="1"/>
  <c r="F412" i="15"/>
  <c r="G412" i="15" l="1"/>
  <c r="F413" i="15"/>
  <c r="F414" i="15" l="1"/>
  <c r="G413" i="15"/>
  <c r="F415" i="15" l="1"/>
  <c r="G414" i="15"/>
  <c r="F416" i="15" l="1"/>
  <c r="G415" i="15"/>
  <c r="G416" i="15" l="1"/>
  <c r="F417" i="15"/>
  <c r="F418" i="15" l="1"/>
  <c r="G417" i="15"/>
  <c r="G418" i="15" l="1"/>
  <c r="F419" i="15"/>
  <c r="G419" i="15" l="1"/>
  <c r="F420" i="15"/>
  <c r="F421" i="15" l="1"/>
  <c r="G420" i="15"/>
  <c r="F422" i="15" l="1"/>
  <c r="G421" i="15"/>
  <c r="F423" i="15" l="1"/>
  <c r="G422" i="15"/>
  <c r="F424" i="15" l="1"/>
  <c r="G423" i="15"/>
  <c r="G433" i="15"/>
  <c r="G424" i="15" l="1"/>
  <c r="F425" i="15"/>
  <c r="G434" i="15"/>
  <c r="F426" i="15" l="1"/>
  <c r="G425" i="15"/>
  <c r="G435" i="15"/>
  <c r="F427" i="15" l="1"/>
  <c r="G426" i="15"/>
  <c r="G436" i="15"/>
  <c r="F428" i="15" l="1"/>
  <c r="G427" i="15"/>
  <c r="F429" i="15" l="1"/>
  <c r="G428" i="15"/>
  <c r="F430" i="15" l="1"/>
  <c r="G429" i="15"/>
  <c r="F431" i="15" l="1"/>
  <c r="G430" i="15"/>
  <c r="G431" i="15" l="1"/>
  <c r="F432" i="15"/>
  <c r="G432" i="15" l="1"/>
  <c r="F433" i="15"/>
  <c r="F434" i="15" s="1"/>
  <c r="F435" i="15" s="1"/>
  <c r="F436" i="15" s="1"/>
  <c r="F437" i="15" s="1"/>
  <c r="F438" i="15" s="1"/>
  <c r="F439" i="15" s="1"/>
  <c r="F440" i="15" s="1"/>
  <c r="F441" i="15" s="1"/>
  <c r="F442" i="15" s="1"/>
  <c r="F443" i="15" s="1"/>
  <c r="F444" i="15" s="1"/>
  <c r="F445" i="15" s="1"/>
  <c r="F446" i="15" s="1"/>
  <c r="F447" i="15" s="1"/>
  <c r="G447" i="15" l="1"/>
  <c r="F448" i="15"/>
  <c r="F449" i="15" l="1"/>
  <c r="G448" i="15"/>
  <c r="G449" i="15" l="1"/>
  <c r="F450" i="15"/>
  <c r="F451" i="15" l="1"/>
  <c r="G450" i="15"/>
  <c r="G451" i="15" l="1"/>
  <c r="F452" i="15"/>
  <c r="F453" i="15" l="1"/>
  <c r="G452" i="15"/>
  <c r="F454" i="15" l="1"/>
  <c r="G453" i="15"/>
  <c r="G454" i="15" l="1"/>
  <c r="F455" i="15"/>
  <c r="G455" i="15" l="1"/>
  <c r="F456" i="15"/>
  <c r="G456" i="15" l="1"/>
  <c r="F457" i="15"/>
  <c r="G457" i="15" l="1"/>
  <c r="F458" i="15"/>
  <c r="G458" i="15" l="1"/>
  <c r="F459" i="15"/>
  <c r="F460" i="15" l="1"/>
  <c r="G459" i="15"/>
  <c r="F461" i="15" l="1"/>
  <c r="G460" i="15"/>
  <c r="F462" i="15" l="1"/>
  <c r="G461" i="15"/>
  <c r="F463" i="15" l="1"/>
  <c r="G462" i="15"/>
  <c r="F464" i="15" l="1"/>
  <c r="G463" i="15"/>
  <c r="F465" i="15" l="1"/>
  <c r="G464" i="15"/>
  <c r="F466" i="15" l="1"/>
  <c r="G465" i="15"/>
  <c r="G466" i="15" l="1"/>
  <c r="F467" i="15"/>
  <c r="G467" i="15" l="1"/>
  <c r="F468" i="15"/>
  <c r="G473" i="15"/>
  <c r="G468" i="15" l="1"/>
  <c r="F469" i="15"/>
  <c r="G474" i="15"/>
  <c r="G469" i="15" l="1"/>
  <c r="F470" i="15"/>
  <c r="G475" i="15"/>
  <c r="G470" i="15" l="1"/>
  <c r="F471" i="15"/>
  <c r="G476" i="15"/>
  <c r="F472" i="15" l="1"/>
  <c r="G471" i="15"/>
  <c r="F473" i="15" l="1"/>
  <c r="F474" i="15" s="1"/>
  <c r="F475" i="15" s="1"/>
  <c r="F476" i="15" s="1"/>
  <c r="F477" i="15" s="1"/>
  <c r="F478" i="15" s="1"/>
  <c r="F479" i="15" s="1"/>
  <c r="F480" i="15" s="1"/>
  <c r="F481" i="15" s="1"/>
  <c r="F482" i="15" s="1"/>
  <c r="F483" i="15" s="1"/>
  <c r="F484" i="15" s="1"/>
  <c r="F485" i="15" s="1"/>
  <c r="F486" i="15" s="1"/>
  <c r="F487" i="15" s="1"/>
  <c r="G472" i="15"/>
  <c r="F488" i="15" l="1"/>
  <c r="G487" i="15"/>
  <c r="G488" i="15" l="1"/>
  <c r="F489" i="15"/>
  <c r="F490" i="15" l="1"/>
  <c r="G489" i="15"/>
  <c r="F491" i="15" l="1"/>
  <c r="G490" i="15"/>
  <c r="F492" i="15" l="1"/>
  <c r="G491" i="15"/>
  <c r="F493" i="15" l="1"/>
  <c r="G492" i="15"/>
  <c r="F494" i="15" l="1"/>
  <c r="G493" i="15"/>
  <c r="F495" i="15" l="1"/>
  <c r="G494" i="15"/>
  <c r="F496" i="15" l="1"/>
  <c r="G495" i="15"/>
  <c r="G496" i="15" l="1"/>
  <c r="F497" i="15"/>
  <c r="F498" i="15" l="1"/>
  <c r="G497" i="15"/>
  <c r="G498" i="15" l="1"/>
  <c r="F499" i="15"/>
  <c r="G499" i="15" l="1"/>
  <c r="F500" i="15"/>
  <c r="G500" i="15" l="1"/>
  <c r="F501" i="15"/>
  <c r="F502" i="15" l="1"/>
  <c r="G501" i="15"/>
  <c r="F503" i="15" l="1"/>
  <c r="G502" i="15"/>
  <c r="F504" i="15" l="1"/>
  <c r="G503" i="15"/>
  <c r="F505" i="15" l="1"/>
  <c r="G504" i="15"/>
  <c r="F506" i="15" l="1"/>
  <c r="G505" i="15"/>
  <c r="G506" i="15" l="1"/>
  <c r="F507" i="15"/>
  <c r="G507" i="15" l="1"/>
  <c r="F508" i="15"/>
  <c r="F509" i="15" l="1"/>
  <c r="G508" i="15"/>
  <c r="F510" i="15" l="1"/>
  <c r="G509" i="15"/>
  <c r="F511" i="15" l="1"/>
  <c r="G510" i="15"/>
  <c r="F512" i="15" l="1"/>
  <c r="G511" i="15"/>
  <c r="G513" i="15"/>
  <c r="F513" i="15" l="1"/>
  <c r="F514" i="15" s="1"/>
  <c r="G512" i="15"/>
  <c r="F515" i="15"/>
  <c r="G514" i="15"/>
  <c r="F516" i="15" l="1"/>
  <c r="G515" i="15"/>
  <c r="F517" i="15" l="1"/>
  <c r="F518" i="15" s="1"/>
  <c r="F519" i="15" s="1"/>
  <c r="F520" i="15" s="1"/>
  <c r="F521" i="15" s="1"/>
  <c r="F522" i="15" s="1"/>
  <c r="F523" i="15" s="1"/>
  <c r="F524" i="15" s="1"/>
  <c r="F525" i="15" s="1"/>
  <c r="F526" i="15" s="1"/>
  <c r="F527" i="15" s="1"/>
  <c r="G516" i="15"/>
  <c r="G527" i="15" l="1"/>
  <c r="F528" i="15"/>
  <c r="F529" i="15" l="1"/>
  <c r="G528" i="15"/>
  <c r="G529" i="15" l="1"/>
  <c r="F530" i="15"/>
  <c r="F531" i="15" l="1"/>
  <c r="G530" i="15"/>
  <c r="F532" i="15" l="1"/>
  <c r="G531" i="15"/>
  <c r="F533" i="15" l="1"/>
  <c r="G532" i="15"/>
  <c r="F534" i="15" l="1"/>
  <c r="G533" i="15"/>
  <c r="F535" i="15" l="1"/>
  <c r="G534" i="15"/>
  <c r="F536" i="15" l="1"/>
  <c r="G535" i="15"/>
  <c r="F537" i="15" l="1"/>
  <c r="G536" i="15"/>
  <c r="F538" i="15" l="1"/>
  <c r="G537" i="15"/>
  <c r="F539" i="15" l="1"/>
  <c r="G538" i="15"/>
  <c r="F540" i="15" l="1"/>
  <c r="G539" i="15"/>
  <c r="F541" i="15" l="1"/>
  <c r="G540" i="15"/>
  <c r="F542" i="15" l="1"/>
  <c r="G541" i="15"/>
  <c r="F543" i="15" l="1"/>
  <c r="G542" i="15"/>
  <c r="F544" i="15" l="1"/>
  <c r="G543" i="15"/>
  <c r="F545" i="15" l="1"/>
  <c r="G544" i="15"/>
  <c r="F546" i="15" l="1"/>
  <c r="G545" i="15"/>
  <c r="F547" i="15" l="1"/>
  <c r="G546" i="15"/>
  <c r="F548" i="15" l="1"/>
  <c r="G547" i="15"/>
  <c r="F549" i="15" l="1"/>
  <c r="G548" i="15"/>
  <c r="F550" i="15" l="1"/>
  <c r="G549" i="15"/>
  <c r="F551" i="15" l="1"/>
  <c r="G550" i="15"/>
  <c r="F552" i="15" l="1"/>
  <c r="G551" i="15"/>
  <c r="F553" i="15" l="1"/>
  <c r="G552" i="15"/>
  <c r="F554" i="15" l="1"/>
  <c r="G553" i="15"/>
  <c r="F555" i="15" l="1"/>
  <c r="G554" i="15"/>
  <c r="F556" i="15" l="1"/>
  <c r="G555" i="15"/>
  <c r="F557" i="15" l="1"/>
  <c r="F558" i="15" s="1"/>
  <c r="F559" i="15" s="1"/>
  <c r="F560" i="15" s="1"/>
  <c r="F561" i="15" s="1"/>
  <c r="F562" i="15" s="1"/>
  <c r="F563" i="15" s="1"/>
  <c r="F564" i="15" s="1"/>
  <c r="F565" i="15" s="1"/>
  <c r="F566" i="15" s="1"/>
  <c r="F567" i="15" s="1"/>
  <c r="G556" i="15"/>
  <c r="F568" i="15" l="1"/>
  <c r="G567" i="15"/>
  <c r="F569" i="15" l="1"/>
  <c r="G568" i="15"/>
  <c r="F570" i="15" l="1"/>
  <c r="G569" i="15"/>
  <c r="G570" i="15" l="1"/>
  <c r="F571" i="15"/>
  <c r="F572" i="15" l="1"/>
  <c r="G571" i="15"/>
  <c r="G572" i="15" l="1"/>
  <c r="F573" i="15"/>
  <c r="F574" i="15" l="1"/>
  <c r="G573" i="15"/>
  <c r="G574" i="15" l="1"/>
  <c r="F575" i="15"/>
  <c r="F576" i="15" l="1"/>
  <c r="G575" i="15"/>
  <c r="F577" i="15" l="1"/>
  <c r="G576" i="15"/>
  <c r="G577" i="15" l="1"/>
  <c r="F578" i="15"/>
  <c r="F579" i="15" l="1"/>
  <c r="G578" i="15"/>
  <c r="G579" i="15" l="1"/>
  <c r="F580" i="15"/>
  <c r="F581" i="15" l="1"/>
  <c r="G580" i="15"/>
  <c r="F582" i="15" l="1"/>
  <c r="G581" i="15"/>
  <c r="F583" i="15" l="1"/>
  <c r="G582" i="15"/>
  <c r="F584" i="15" l="1"/>
  <c r="G583" i="15"/>
  <c r="F585" i="15" l="1"/>
  <c r="G584" i="15"/>
  <c r="F586" i="15" l="1"/>
  <c r="G585" i="15"/>
  <c r="F587" i="15" l="1"/>
  <c r="G586" i="15"/>
  <c r="F588" i="15" l="1"/>
  <c r="G587" i="15"/>
  <c r="F589" i="15" l="1"/>
  <c r="G588" i="15"/>
  <c r="F590" i="15" l="1"/>
  <c r="G589" i="15"/>
  <c r="F591" i="15" l="1"/>
  <c r="G590" i="15"/>
  <c r="F592" i="15" l="1"/>
  <c r="G591" i="15"/>
  <c r="F593" i="15" l="1"/>
  <c r="G592" i="15"/>
  <c r="F594" i="15" l="1"/>
  <c r="G593" i="15"/>
  <c r="F595" i="15" l="1"/>
  <c r="G594" i="15"/>
  <c r="F596" i="15" l="1"/>
  <c r="G595" i="15"/>
  <c r="F597" i="15" l="1"/>
  <c r="F598" i="15" s="1"/>
  <c r="F599" i="15" s="1"/>
  <c r="F600" i="15" s="1"/>
  <c r="F601" i="15" s="1"/>
  <c r="F602" i="15" s="1"/>
  <c r="F603" i="15" s="1"/>
  <c r="F604" i="15" s="1"/>
  <c r="F605" i="15" s="1"/>
  <c r="F606" i="15" s="1"/>
  <c r="F607" i="15" s="1"/>
  <c r="G596" i="15"/>
  <c r="G607" i="15" l="1"/>
  <c r="F608" i="15"/>
  <c r="F609" i="15" l="1"/>
  <c r="G608" i="15"/>
  <c r="G609" i="15" l="1"/>
  <c r="F610" i="15"/>
  <c r="F611" i="15" l="1"/>
  <c r="G610" i="15"/>
  <c r="G611" i="15" l="1"/>
  <c r="F612" i="15"/>
  <c r="F613" i="15" l="1"/>
  <c r="G612" i="15"/>
  <c r="F614" i="15" l="1"/>
  <c r="G613" i="15"/>
  <c r="G614" i="15" l="1"/>
  <c r="F615" i="15"/>
  <c r="G615" i="15" l="1"/>
  <c r="F616" i="15"/>
  <c r="F617" i="15" l="1"/>
  <c r="G616" i="15"/>
  <c r="G617" i="15" l="1"/>
  <c r="F618" i="15"/>
  <c r="F619" i="15" l="1"/>
  <c r="G618" i="15"/>
  <c r="F620" i="15" l="1"/>
  <c r="G619" i="15"/>
  <c r="F621" i="15" l="1"/>
  <c r="G620" i="15"/>
  <c r="F622" i="15" l="1"/>
  <c r="G621" i="15"/>
  <c r="F623" i="15" l="1"/>
  <c r="G622" i="15"/>
  <c r="F624" i="15" l="1"/>
  <c r="G623" i="15"/>
  <c r="F625" i="15" l="1"/>
  <c r="G624" i="15"/>
  <c r="F626" i="15" l="1"/>
  <c r="G625" i="15"/>
  <c r="F627" i="15" l="1"/>
  <c r="G626" i="15"/>
  <c r="F628" i="15" l="1"/>
  <c r="G627" i="15"/>
  <c r="F629" i="15" l="1"/>
  <c r="G628" i="15"/>
  <c r="F630" i="15" l="1"/>
  <c r="G629" i="15"/>
  <c r="F631" i="15" l="1"/>
  <c r="G630" i="15"/>
  <c r="F632" i="15" l="1"/>
  <c r="G631" i="15"/>
  <c r="F633" i="15" l="1"/>
  <c r="G632" i="15"/>
  <c r="F634" i="15" l="1"/>
  <c r="G633" i="15"/>
  <c r="F635" i="15" l="1"/>
  <c r="G634" i="15"/>
  <c r="F636" i="15" l="1"/>
  <c r="G635" i="15"/>
  <c r="F637" i="15" l="1"/>
  <c r="F638" i="15" s="1"/>
  <c r="F639" i="15" s="1"/>
  <c r="F640" i="15" s="1"/>
  <c r="F641" i="15" s="1"/>
  <c r="F642" i="15" s="1"/>
  <c r="F643" i="15" s="1"/>
  <c r="F644" i="15" s="1"/>
  <c r="F645" i="15" s="1"/>
  <c r="F646" i="15" s="1"/>
  <c r="F647" i="15" s="1"/>
  <c r="G636" i="15"/>
  <c r="F648" i="15" l="1"/>
  <c r="G647" i="15"/>
  <c r="F649" i="15" l="1"/>
  <c r="G648" i="15"/>
  <c r="G649" i="15" l="1"/>
  <c r="F650" i="15"/>
  <c r="F651" i="15" l="1"/>
  <c r="G650" i="15"/>
  <c r="G651" i="15" l="1"/>
  <c r="F652" i="15"/>
  <c r="F653" i="15" l="1"/>
  <c r="G652" i="15"/>
  <c r="G653" i="15" l="1"/>
  <c r="F654" i="15"/>
  <c r="G654" i="15" l="1"/>
  <c r="F655" i="15"/>
  <c r="F656" i="15" l="1"/>
  <c r="G655" i="15"/>
  <c r="F657" i="15" l="1"/>
  <c r="G656" i="15"/>
  <c r="F658" i="15" l="1"/>
  <c r="G657" i="15"/>
  <c r="F659" i="15" l="1"/>
  <c r="G658" i="15"/>
  <c r="F660" i="15" l="1"/>
  <c r="G659" i="15"/>
  <c r="F661" i="15" l="1"/>
  <c r="G660" i="15"/>
  <c r="F662" i="15" l="1"/>
  <c r="G661" i="15"/>
  <c r="F663" i="15" l="1"/>
  <c r="G662" i="15"/>
  <c r="F664" i="15" l="1"/>
  <c r="G663" i="15"/>
  <c r="F665" i="15" l="1"/>
  <c r="G664" i="15"/>
  <c r="F666" i="15" l="1"/>
  <c r="G665" i="15"/>
  <c r="F667" i="15" l="1"/>
  <c r="G666" i="15"/>
  <c r="F668" i="15" l="1"/>
  <c r="G667" i="15"/>
  <c r="F669" i="15" l="1"/>
  <c r="G668" i="15"/>
  <c r="F670" i="15" l="1"/>
  <c r="G669" i="15"/>
  <c r="F671" i="15" l="1"/>
  <c r="G670" i="15"/>
  <c r="F672" i="15" l="1"/>
  <c r="G671" i="15"/>
  <c r="F673" i="15" l="1"/>
  <c r="G672" i="15"/>
  <c r="F674" i="15" l="1"/>
  <c r="G673" i="15"/>
  <c r="F675" i="15" l="1"/>
  <c r="G674" i="15"/>
  <c r="F676" i="15" l="1"/>
  <c r="G675" i="15"/>
  <c r="F677" i="15" l="1"/>
  <c r="F678" i="15" s="1"/>
  <c r="F679" i="15" s="1"/>
  <c r="F680" i="15" s="1"/>
  <c r="F681" i="15" s="1"/>
  <c r="F682" i="15" s="1"/>
  <c r="F683" i="15" s="1"/>
  <c r="F684" i="15" s="1"/>
  <c r="F685" i="15" s="1"/>
  <c r="F686" i="15" s="1"/>
  <c r="F687" i="15" s="1"/>
  <c r="G676" i="15"/>
  <c r="G687" i="15" l="1"/>
  <c r="F688" i="15"/>
  <c r="G688" i="15" l="1"/>
  <c r="F689" i="15"/>
  <c r="F690" i="15" l="1"/>
  <c r="G689" i="15"/>
  <c r="G690" i="15" l="1"/>
  <c r="F691" i="15"/>
  <c r="F692" i="15" l="1"/>
  <c r="G691" i="15"/>
  <c r="F693" i="15" l="1"/>
  <c r="G692" i="15"/>
  <c r="F694" i="15" l="1"/>
  <c r="G693" i="15"/>
  <c r="F695" i="15" l="1"/>
  <c r="G694" i="15"/>
  <c r="F696" i="15" l="1"/>
  <c r="G695" i="15"/>
  <c r="F697" i="15" l="1"/>
  <c r="G696" i="15"/>
  <c r="F698" i="15" l="1"/>
  <c r="G697" i="15"/>
  <c r="F699" i="15" l="1"/>
  <c r="G698" i="15"/>
  <c r="F700" i="15" l="1"/>
  <c r="G699" i="15"/>
  <c r="F701" i="15" l="1"/>
  <c r="G700" i="15"/>
  <c r="F702" i="15" l="1"/>
  <c r="G701" i="15"/>
  <c r="F703" i="15" l="1"/>
  <c r="G702" i="15"/>
  <c r="F704" i="15" l="1"/>
  <c r="G703" i="15"/>
  <c r="F705" i="15" l="1"/>
  <c r="G704" i="15"/>
  <c r="F706" i="15" l="1"/>
  <c r="G705" i="15"/>
  <c r="F707" i="15" l="1"/>
  <c r="G706" i="15"/>
  <c r="F708" i="15" l="1"/>
  <c r="G707" i="15"/>
  <c r="F709" i="15" l="1"/>
  <c r="G708" i="15"/>
  <c r="F710" i="15" l="1"/>
  <c r="G709" i="15"/>
  <c r="F711" i="15" l="1"/>
  <c r="G710" i="15"/>
  <c r="F712" i="15" l="1"/>
  <c r="G711" i="15"/>
  <c r="F713" i="15" l="1"/>
  <c r="G712" i="15"/>
  <c r="F714" i="15" l="1"/>
  <c r="G713" i="15"/>
  <c r="F715" i="15" l="1"/>
  <c r="G714" i="15"/>
  <c r="F716" i="15" l="1"/>
  <c r="G715" i="15"/>
  <c r="F717" i="15" l="1"/>
  <c r="F718" i="15" s="1"/>
  <c r="F719" i="15" s="1"/>
  <c r="F720" i="15" s="1"/>
  <c r="F721" i="15" s="1"/>
  <c r="F722" i="15" s="1"/>
  <c r="F723" i="15" s="1"/>
  <c r="F724" i="15" s="1"/>
  <c r="F725" i="15" s="1"/>
  <c r="F726" i="15" s="1"/>
  <c r="F727" i="15" s="1"/>
  <c r="G716" i="15"/>
  <c r="G727" i="15" l="1"/>
  <c r="F728" i="15"/>
  <c r="F729" i="15" l="1"/>
  <c r="G728" i="15"/>
  <c r="F730" i="15" l="1"/>
  <c r="G729" i="15"/>
  <c r="F731" i="15" l="1"/>
  <c r="G730" i="15"/>
  <c r="F732" i="15" l="1"/>
  <c r="G731" i="15"/>
  <c r="F733" i="15" l="1"/>
  <c r="G732" i="15"/>
  <c r="F734" i="15" l="1"/>
  <c r="G733" i="15"/>
  <c r="F735" i="15" l="1"/>
  <c r="G734" i="15"/>
  <c r="F736" i="15" l="1"/>
  <c r="G735" i="15"/>
  <c r="F737" i="15" l="1"/>
  <c r="G736" i="15"/>
  <c r="F738" i="15" l="1"/>
  <c r="G737" i="15"/>
  <c r="F739" i="15" l="1"/>
  <c r="G738" i="15"/>
  <c r="F740" i="15" l="1"/>
  <c r="G739" i="15"/>
  <c r="F741" i="15" l="1"/>
  <c r="G740" i="15"/>
  <c r="F742" i="15" l="1"/>
  <c r="G741" i="15"/>
  <c r="F743" i="15" l="1"/>
  <c r="G742" i="15"/>
  <c r="F744" i="15" l="1"/>
  <c r="G743" i="15"/>
  <c r="F745" i="15" l="1"/>
  <c r="G744" i="15"/>
  <c r="F746" i="15" l="1"/>
  <c r="G745" i="15"/>
  <c r="F747" i="15" l="1"/>
  <c r="G746" i="15"/>
  <c r="F748" i="15" l="1"/>
  <c r="G747" i="15"/>
  <c r="F749" i="15" l="1"/>
  <c r="G748" i="15"/>
  <c r="F750" i="15" l="1"/>
  <c r="G749" i="15"/>
  <c r="F751" i="15" l="1"/>
  <c r="G750" i="15"/>
  <c r="F752" i="15" l="1"/>
  <c r="G751" i="15"/>
  <c r="F753" i="15" l="1"/>
  <c r="G752" i="15"/>
  <c r="F754" i="15" l="1"/>
  <c r="G753" i="15"/>
  <c r="F755" i="15" l="1"/>
  <c r="G754" i="15"/>
  <c r="F756" i="15" l="1"/>
  <c r="G755" i="15"/>
  <c r="F757" i="15" l="1"/>
  <c r="F758" i="15" s="1"/>
  <c r="F759" i="15" s="1"/>
  <c r="F760" i="15" s="1"/>
  <c r="F761" i="15" s="1"/>
  <c r="F762" i="15" s="1"/>
  <c r="F763" i="15" s="1"/>
  <c r="F764" i="15" s="1"/>
  <c r="F765" i="15" s="1"/>
  <c r="F766" i="15" s="1"/>
  <c r="F767" i="15" s="1"/>
  <c r="G756" i="15"/>
  <c r="F768" i="15" l="1"/>
  <c r="G767" i="15"/>
  <c r="F769" i="15" l="1"/>
  <c r="G768" i="15"/>
  <c r="F770" i="15" l="1"/>
  <c r="G769" i="15"/>
  <c r="G770" i="15" l="1"/>
  <c r="F771" i="15"/>
  <c r="F772" i="15" l="1"/>
  <c r="G771" i="15"/>
  <c r="F773" i="15" l="1"/>
  <c r="G772" i="15"/>
  <c r="F774" i="15" l="1"/>
  <c r="G773" i="15"/>
  <c r="F775" i="15" l="1"/>
  <c r="G774" i="15"/>
  <c r="F776" i="15" l="1"/>
  <c r="G775" i="15"/>
  <c r="F777" i="15" l="1"/>
  <c r="G776" i="15"/>
  <c r="F778" i="15" l="1"/>
  <c r="G777" i="15"/>
  <c r="F779" i="15" l="1"/>
  <c r="G778" i="15"/>
  <c r="F780" i="15" l="1"/>
  <c r="G779" i="15"/>
  <c r="F781" i="15" l="1"/>
  <c r="G780" i="15"/>
  <c r="F782" i="15" l="1"/>
  <c r="G781" i="15"/>
  <c r="F783" i="15" l="1"/>
  <c r="G782" i="15"/>
  <c r="F784" i="15" l="1"/>
  <c r="G783" i="15"/>
  <c r="F785" i="15" l="1"/>
  <c r="G784" i="15"/>
  <c r="F786" i="15" l="1"/>
  <c r="G785" i="15"/>
  <c r="F787" i="15" l="1"/>
  <c r="G786" i="15"/>
  <c r="F788" i="15" l="1"/>
  <c r="G787" i="15"/>
  <c r="F789" i="15" l="1"/>
  <c r="G788" i="15"/>
  <c r="F790" i="15" l="1"/>
  <c r="G789" i="15"/>
  <c r="F791" i="15" l="1"/>
  <c r="G790" i="15"/>
  <c r="F792" i="15" l="1"/>
  <c r="G791" i="15"/>
  <c r="F793" i="15" l="1"/>
  <c r="G792" i="15"/>
  <c r="F794" i="15" l="1"/>
  <c r="G793" i="15"/>
  <c r="F795" i="15" l="1"/>
  <c r="G794" i="15"/>
  <c r="F796" i="15" l="1"/>
  <c r="G795" i="15"/>
  <c r="F797" i="15" l="1"/>
  <c r="F798" i="15" s="1"/>
  <c r="F799" i="15" s="1"/>
  <c r="F800" i="15" s="1"/>
  <c r="F801" i="15" s="1"/>
  <c r="F802" i="15" s="1"/>
  <c r="F803" i="15" s="1"/>
  <c r="F804" i="15" s="1"/>
  <c r="F805" i="15" s="1"/>
  <c r="F806" i="15" s="1"/>
  <c r="F807" i="15" s="1"/>
  <c r="G796" i="15"/>
  <c r="G807" i="15" l="1"/>
  <c r="F808" i="15"/>
  <c r="G808" i="15" l="1"/>
  <c r="F809" i="15"/>
  <c r="G809" i="15" l="1"/>
  <c r="F810" i="15"/>
  <c r="F811" i="15" l="1"/>
  <c r="G810" i="15"/>
  <c r="F812" i="15" l="1"/>
  <c r="G811" i="15"/>
  <c r="F813" i="15" l="1"/>
  <c r="G812" i="15"/>
  <c r="F814" i="15" l="1"/>
  <c r="G813" i="15"/>
  <c r="F815" i="15" l="1"/>
  <c r="G814" i="15"/>
  <c r="F816" i="15" l="1"/>
  <c r="G815" i="15"/>
  <c r="F817" i="15" l="1"/>
  <c r="G816" i="15"/>
  <c r="F818" i="15" l="1"/>
  <c r="G817" i="15"/>
  <c r="F819" i="15" l="1"/>
  <c r="G818" i="15"/>
  <c r="F820" i="15" l="1"/>
  <c r="G819" i="15"/>
  <c r="F821" i="15" l="1"/>
  <c r="G820" i="15"/>
  <c r="F822" i="15" l="1"/>
  <c r="G821" i="15"/>
  <c r="F823" i="15" l="1"/>
  <c r="G822" i="15"/>
  <c r="F824" i="15" l="1"/>
  <c r="G823" i="15"/>
  <c r="F825" i="15" l="1"/>
  <c r="G824" i="15"/>
  <c r="F826" i="15" l="1"/>
  <c r="G825" i="15"/>
  <c r="F827" i="15" l="1"/>
  <c r="G826" i="15"/>
  <c r="F828" i="15" l="1"/>
  <c r="G827" i="15"/>
  <c r="F829" i="15" l="1"/>
  <c r="G828" i="15"/>
  <c r="F830" i="15" l="1"/>
  <c r="G829" i="15"/>
  <c r="F831" i="15" l="1"/>
  <c r="G830" i="15"/>
  <c r="F832" i="15" l="1"/>
  <c r="G831" i="15"/>
  <c r="F833" i="15" l="1"/>
  <c r="G832" i="15"/>
  <c r="F834" i="15" l="1"/>
  <c r="G833" i="15"/>
  <c r="F835" i="15" l="1"/>
  <c r="G834" i="15"/>
  <c r="F836" i="15" l="1"/>
  <c r="G835" i="15"/>
  <c r="F837" i="15" l="1"/>
  <c r="F838" i="15" s="1"/>
  <c r="F839" i="15" s="1"/>
  <c r="F840" i="15" s="1"/>
  <c r="F841" i="15" s="1"/>
  <c r="F842" i="15" s="1"/>
  <c r="F843" i="15" s="1"/>
  <c r="F844" i="15" s="1"/>
  <c r="F845" i="15" s="1"/>
  <c r="F846" i="15" s="1"/>
  <c r="F847" i="15" s="1"/>
  <c r="G836" i="15"/>
  <c r="F848" i="15" l="1"/>
  <c r="G847" i="15"/>
  <c r="F849" i="15" l="1"/>
  <c r="G848" i="15"/>
  <c r="F850" i="15" l="1"/>
  <c r="G849" i="15"/>
  <c r="G850" i="15" l="1"/>
  <c r="F851" i="15"/>
  <c r="G851" i="15" l="1"/>
  <c r="F852" i="15"/>
  <c r="F853" i="15" l="1"/>
  <c r="G852" i="15"/>
  <c r="G853" i="15" l="1"/>
  <c r="F854" i="15"/>
  <c r="F855" i="15" l="1"/>
  <c r="G854" i="15"/>
  <c r="F856" i="15" l="1"/>
  <c r="G855" i="15"/>
  <c r="F857" i="15" l="1"/>
  <c r="G856" i="15"/>
  <c r="F858" i="15" l="1"/>
  <c r="G857" i="15"/>
  <c r="F859" i="15" l="1"/>
  <c r="G858" i="15"/>
  <c r="F860" i="15" l="1"/>
  <c r="G859" i="15"/>
  <c r="F861" i="15" l="1"/>
  <c r="G860" i="15"/>
  <c r="F862" i="15" l="1"/>
  <c r="G861" i="15"/>
  <c r="F863" i="15" l="1"/>
  <c r="G862" i="15"/>
  <c r="F864" i="15" l="1"/>
  <c r="G863" i="15"/>
  <c r="F865" i="15" l="1"/>
  <c r="G864" i="15"/>
  <c r="F866" i="15" l="1"/>
  <c r="G865" i="15"/>
  <c r="F867" i="15" l="1"/>
  <c r="G866" i="15"/>
  <c r="F868" i="15" l="1"/>
  <c r="G867" i="15"/>
  <c r="F869" i="15" l="1"/>
  <c r="G868" i="15"/>
  <c r="F870" i="15" l="1"/>
  <c r="G869" i="15"/>
  <c r="F871" i="15" l="1"/>
  <c r="G870" i="15"/>
  <c r="F872" i="15" l="1"/>
  <c r="G871" i="15"/>
  <c r="F873" i="15" l="1"/>
  <c r="G872" i="15"/>
  <c r="F874" i="15" l="1"/>
  <c r="G873" i="15"/>
  <c r="F875" i="15" l="1"/>
  <c r="G874" i="15"/>
  <c r="F876" i="15" l="1"/>
  <c r="G875" i="15"/>
  <c r="F877" i="15" l="1"/>
  <c r="F878" i="15" s="1"/>
  <c r="F879" i="15" s="1"/>
  <c r="F880" i="15" s="1"/>
  <c r="F881" i="15" s="1"/>
  <c r="F882" i="15" s="1"/>
  <c r="F883" i="15" s="1"/>
  <c r="F884" i="15" s="1"/>
  <c r="F885" i="15" s="1"/>
  <c r="F886" i="15" s="1"/>
  <c r="F887" i="15" s="1"/>
  <c r="G876" i="15"/>
  <c r="G887" i="15" l="1"/>
  <c r="F888" i="15"/>
  <c r="G888" i="15" l="1"/>
  <c r="F889" i="15"/>
  <c r="F890" i="15" l="1"/>
  <c r="G889" i="15"/>
  <c r="F891" i="15" l="1"/>
  <c r="G890" i="15"/>
  <c r="F892" i="15" l="1"/>
  <c r="G891" i="15"/>
  <c r="F893" i="15" l="1"/>
  <c r="G892" i="15"/>
  <c r="F894" i="15" l="1"/>
  <c r="G893" i="15"/>
  <c r="F895" i="15" l="1"/>
  <c r="G894" i="15"/>
  <c r="F896" i="15" l="1"/>
  <c r="G895" i="15"/>
  <c r="F897" i="15" l="1"/>
  <c r="G896" i="15"/>
  <c r="F898" i="15" l="1"/>
  <c r="G897" i="15"/>
  <c r="F899" i="15" l="1"/>
  <c r="G898" i="15"/>
  <c r="F900" i="15" l="1"/>
  <c r="G899" i="15"/>
  <c r="F901" i="15" l="1"/>
  <c r="G900" i="15"/>
  <c r="F902" i="15" l="1"/>
  <c r="G901" i="15"/>
  <c r="F903" i="15" l="1"/>
  <c r="G902" i="15"/>
  <c r="F904" i="15" l="1"/>
  <c r="G903" i="15"/>
  <c r="F905" i="15" l="1"/>
  <c r="G904" i="15"/>
  <c r="F906" i="15" l="1"/>
  <c r="G905" i="15"/>
  <c r="F907" i="15" l="1"/>
  <c r="G906" i="15"/>
  <c r="F908" i="15" l="1"/>
  <c r="G907" i="15"/>
  <c r="F909" i="15" l="1"/>
  <c r="G908" i="15"/>
  <c r="F910" i="15" l="1"/>
  <c r="G909" i="15"/>
  <c r="F911" i="15" l="1"/>
  <c r="G910" i="15"/>
  <c r="F912" i="15" l="1"/>
  <c r="G911" i="15"/>
  <c r="F913" i="15" l="1"/>
  <c r="G912" i="15"/>
  <c r="F914" i="15" l="1"/>
  <c r="G913" i="15"/>
  <c r="F915" i="15" l="1"/>
  <c r="G914" i="15"/>
  <c r="F916" i="15" l="1"/>
  <c r="G915" i="15"/>
  <c r="F917" i="15" l="1"/>
  <c r="F918" i="15" s="1"/>
  <c r="F919" i="15" s="1"/>
  <c r="F920" i="15" s="1"/>
  <c r="F921" i="15" s="1"/>
  <c r="F922" i="15" s="1"/>
  <c r="F923" i="15" s="1"/>
  <c r="F924" i="15" s="1"/>
  <c r="F925" i="15" s="1"/>
  <c r="F926" i="15" s="1"/>
  <c r="F927" i="15" s="1"/>
  <c r="G916" i="15"/>
  <c r="F928" i="15" l="1"/>
  <c r="G927" i="15"/>
  <c r="G928" i="15" l="1"/>
  <c r="F929" i="15"/>
  <c r="F930" i="15" l="1"/>
  <c r="G929" i="15"/>
  <c r="G930" i="15" l="1"/>
  <c r="F931" i="15"/>
  <c r="F932" i="15" l="1"/>
  <c r="G931" i="15"/>
  <c r="G932" i="15" l="1"/>
  <c r="F933" i="15"/>
  <c r="F934" i="15" l="1"/>
  <c r="G933" i="15"/>
  <c r="G934" i="15" l="1"/>
  <c r="F935" i="15"/>
  <c r="F936" i="15" l="1"/>
  <c r="G935" i="15"/>
  <c r="G936" i="15" l="1"/>
  <c r="F937" i="15"/>
  <c r="G937" i="15" l="1"/>
  <c r="F938" i="15"/>
  <c r="F939" i="15" l="1"/>
  <c r="G938" i="15"/>
  <c r="F940" i="15" l="1"/>
  <c r="G939" i="15"/>
  <c r="F941" i="15" l="1"/>
  <c r="G940" i="15"/>
  <c r="F942" i="15" l="1"/>
  <c r="G941" i="15"/>
  <c r="F943" i="15" l="1"/>
  <c r="G942" i="15"/>
  <c r="F944" i="15" l="1"/>
  <c r="G943" i="15"/>
  <c r="F945" i="15" l="1"/>
  <c r="G944" i="15"/>
  <c r="F946" i="15" l="1"/>
  <c r="G945" i="15"/>
  <c r="F947" i="15" l="1"/>
  <c r="G946" i="15"/>
  <c r="F948" i="15" l="1"/>
  <c r="G947" i="15"/>
  <c r="F949" i="15" l="1"/>
  <c r="G948" i="15"/>
  <c r="F950" i="15" l="1"/>
  <c r="G949" i="15"/>
  <c r="F951" i="15" l="1"/>
  <c r="G950" i="15"/>
  <c r="F952" i="15" l="1"/>
  <c r="G951" i="15"/>
  <c r="F953" i="15" l="1"/>
  <c r="G952" i="15"/>
  <c r="F954" i="15" l="1"/>
  <c r="G953" i="15"/>
  <c r="F955" i="15" l="1"/>
  <c r="G954" i="15"/>
  <c r="F956" i="15" l="1"/>
  <c r="G955" i="15"/>
  <c r="F957" i="15" l="1"/>
  <c r="F958" i="15" s="1"/>
  <c r="F959" i="15" s="1"/>
  <c r="F960" i="15" s="1"/>
  <c r="F961" i="15" s="1"/>
  <c r="F962" i="15" s="1"/>
  <c r="F963" i="15" s="1"/>
  <c r="F964" i="15" s="1"/>
  <c r="F965" i="15" s="1"/>
  <c r="G956" i="15"/>
  <c r="F135" i="16" l="1"/>
  <c r="F203" i="16"/>
  <c r="F134" i="16"/>
  <c r="F160" i="16"/>
  <c r="F155" i="16"/>
  <c r="F63" i="16"/>
  <c r="F97" i="16"/>
  <c r="F192" i="16"/>
  <c r="F104" i="16"/>
  <c r="F141" i="16"/>
  <c r="F254" i="16"/>
  <c r="F251" i="16"/>
  <c r="F133" i="16"/>
  <c r="F146" i="16"/>
  <c r="F129" i="16"/>
  <c r="F180" i="16"/>
  <c r="F243" i="16"/>
  <c r="F50" i="16"/>
  <c r="F84" i="16"/>
  <c r="F280" i="16"/>
  <c r="F194" i="16"/>
  <c r="F256" i="16"/>
  <c r="F285" i="16"/>
  <c r="F59" i="16"/>
  <c r="F68" i="16"/>
  <c r="F66" i="16"/>
  <c r="F226" i="16"/>
  <c r="F114" i="16"/>
  <c r="F83" i="16"/>
  <c r="F218" i="16"/>
  <c r="F274" i="16"/>
  <c r="F230" i="16"/>
  <c r="F42" i="16"/>
  <c r="F186" i="16"/>
  <c r="F240" i="16"/>
  <c r="F252" i="16"/>
  <c r="F172" i="16"/>
  <c r="F209" i="16"/>
  <c r="F215" i="16"/>
  <c r="F67" i="16"/>
  <c r="F178" i="16"/>
  <c r="F51" i="16"/>
  <c r="F41" i="16"/>
  <c r="F7" i="16"/>
  <c r="F238" i="16"/>
  <c r="F212" i="16"/>
  <c r="F145" i="16"/>
  <c r="F14" i="16"/>
  <c r="F263" i="16"/>
  <c r="F269" i="16"/>
  <c r="F72" i="16"/>
  <c r="F137" i="16"/>
  <c r="F115" i="16"/>
  <c r="F299" i="16"/>
  <c r="F18" i="16"/>
  <c r="F235" i="16"/>
  <c r="F267" i="16"/>
  <c r="F10" i="16"/>
  <c r="F246" i="16"/>
  <c r="F78" i="16"/>
  <c r="F87" i="16"/>
  <c r="F301" i="16"/>
  <c r="F102" i="16"/>
  <c r="F179" i="16"/>
  <c r="F204" i="16"/>
  <c r="F183" i="16"/>
  <c r="F122" i="16"/>
  <c r="F300" i="16"/>
  <c r="F124" i="16"/>
  <c r="F9" i="16"/>
  <c r="F197" i="16"/>
  <c r="F144" i="16"/>
  <c r="F258" i="16"/>
  <c r="F265" i="16"/>
  <c r="F85" i="16"/>
  <c r="F277" i="16"/>
  <c r="F113" i="16"/>
  <c r="F108" i="16"/>
  <c r="F130" i="16"/>
  <c r="F217" i="16"/>
  <c r="F222" i="16"/>
  <c r="F131" i="16"/>
  <c r="F185" i="16"/>
  <c r="F125" i="16"/>
  <c r="F188" i="16"/>
  <c r="F227" i="16"/>
  <c r="F37" i="16"/>
  <c r="F128" i="16"/>
  <c r="F191" i="16"/>
  <c r="F49" i="16"/>
  <c r="F292" i="16"/>
  <c r="F98" i="16"/>
  <c r="F289" i="16"/>
  <c r="F136" i="16"/>
  <c r="F242" i="16"/>
  <c r="F270" i="16"/>
  <c r="F229" i="16"/>
  <c r="F53" i="16"/>
  <c r="F105" i="16"/>
  <c r="F69" i="16"/>
  <c r="F181" i="16"/>
  <c r="F262" i="16"/>
  <c r="F11" i="16"/>
  <c r="F80" i="16"/>
  <c r="F214" i="16"/>
  <c r="F62" i="16"/>
  <c r="F31" i="16"/>
  <c r="F120" i="16"/>
  <c r="F266" i="16"/>
  <c r="F225" i="16"/>
  <c r="F88" i="16"/>
  <c r="F152" i="16"/>
  <c r="F22" i="16"/>
  <c r="F296" i="16"/>
  <c r="F117" i="16"/>
  <c r="F233" i="16"/>
  <c r="F195" i="16"/>
  <c r="F271" i="16"/>
  <c r="F286" i="16"/>
  <c r="F29" i="16"/>
  <c r="F154" i="16"/>
  <c r="F259" i="16"/>
  <c r="F25" i="16"/>
  <c r="F200" i="16"/>
  <c r="F303" i="16"/>
  <c r="F119" i="16"/>
  <c r="F123" i="16"/>
  <c r="F73" i="16"/>
  <c r="F116" i="16"/>
  <c r="F58" i="16"/>
  <c r="F13" i="16"/>
  <c r="F48" i="16"/>
  <c r="F202" i="16"/>
  <c r="F261" i="16"/>
  <c r="F60" i="16"/>
  <c r="F126" i="16"/>
  <c r="F182" i="16"/>
  <c r="F279" i="16"/>
  <c r="F96" i="16"/>
  <c r="F138" i="16"/>
  <c r="F189" i="16"/>
  <c r="F295" i="16"/>
  <c r="F151" i="16"/>
  <c r="F74" i="16"/>
  <c r="F27" i="16"/>
  <c r="F45" i="16"/>
  <c r="F294" i="16"/>
  <c r="F249" i="16"/>
  <c r="F21" i="16"/>
  <c r="F264" i="16"/>
  <c r="F127" i="16"/>
  <c r="F40" i="16"/>
  <c r="F304" i="16"/>
  <c r="F177" i="16"/>
  <c r="F223" i="16"/>
  <c r="F268" i="16"/>
  <c r="F33" i="16"/>
  <c r="F211" i="16"/>
  <c r="F54" i="16"/>
  <c r="F101" i="16"/>
  <c r="F290" i="16"/>
  <c r="F168" i="16"/>
  <c r="F176" i="16"/>
  <c r="F95" i="16"/>
  <c r="F216" i="16"/>
  <c r="F79" i="16"/>
  <c r="F28" i="16"/>
  <c r="F234" i="16"/>
  <c r="F76" i="16"/>
  <c r="F44" i="16"/>
  <c r="F213" i="16"/>
  <c r="F248" i="16"/>
  <c r="F118" i="16"/>
  <c r="F241" i="16"/>
  <c r="F140" i="16"/>
  <c r="F75" i="16"/>
  <c r="F142" i="16"/>
  <c r="F157" i="16"/>
  <c r="F210" i="16"/>
  <c r="F24" i="16"/>
  <c r="F163" i="16"/>
  <c r="F198" i="16"/>
  <c r="F55" i="16"/>
  <c r="F247" i="16"/>
  <c r="F47" i="16"/>
  <c r="F89" i="16"/>
  <c r="F8" i="16"/>
  <c r="F77" i="16"/>
  <c r="F121" i="16"/>
  <c r="F298" i="16"/>
  <c r="F109" i="16"/>
  <c r="F231" i="16"/>
  <c r="F39" i="16"/>
  <c r="F184" i="16"/>
  <c r="F170" i="16"/>
  <c r="F165" i="16"/>
  <c r="F103" i="16"/>
  <c r="F239" i="16"/>
  <c r="F273" i="16"/>
  <c r="F190" i="16"/>
  <c r="F164" i="16"/>
  <c r="F92" i="16"/>
  <c r="F275" i="16"/>
  <c r="F30" i="16"/>
  <c r="F219" i="16"/>
  <c r="F15" i="16"/>
  <c r="F56" i="16"/>
  <c r="F173" i="16"/>
  <c r="F159" i="16"/>
  <c r="F153" i="16"/>
  <c r="F171" i="16"/>
  <c r="F166" i="16"/>
  <c r="F36" i="16"/>
  <c r="F257" i="16"/>
  <c r="F111" i="16"/>
  <c r="F276" i="16"/>
  <c r="F34" i="16"/>
  <c r="F175" i="16"/>
  <c r="F236" i="16"/>
  <c r="F70" i="16"/>
  <c r="F297" i="16"/>
  <c r="F93" i="16"/>
  <c r="F99" i="16"/>
  <c r="F91" i="16"/>
  <c r="F228" i="16"/>
  <c r="F288" i="16"/>
  <c r="F207" i="16"/>
  <c r="F167" i="16"/>
  <c r="F291" i="16"/>
  <c r="F205" i="16"/>
  <c r="F43" i="16"/>
  <c r="F169" i="16"/>
  <c r="F94" i="16"/>
  <c r="F20" i="16"/>
  <c r="F81" i="16"/>
  <c r="F156" i="16"/>
  <c r="F224" i="16"/>
  <c r="F221" i="16"/>
  <c r="F237" i="16"/>
  <c r="F86" i="16"/>
  <c r="F245" i="16"/>
  <c r="F305" i="16"/>
  <c r="F284" i="16"/>
  <c r="F19" i="16"/>
  <c r="F174" i="16"/>
  <c r="F220" i="16"/>
  <c r="F260" i="16"/>
  <c r="F106" i="16"/>
  <c r="F139" i="16"/>
  <c r="F64" i="16"/>
  <c r="F100" i="16"/>
  <c r="F282" i="16"/>
  <c r="F132" i="16"/>
  <c r="F23" i="16"/>
  <c r="F283" i="16"/>
  <c r="F187" i="16"/>
  <c r="F193" i="16"/>
  <c r="F65" i="16"/>
  <c r="F201" i="16"/>
  <c r="F46" i="16"/>
  <c r="F35" i="16"/>
  <c r="F107" i="16"/>
  <c r="F147" i="16"/>
  <c r="F208" i="16"/>
  <c r="F143" i="16"/>
  <c r="F17" i="16"/>
  <c r="F293" i="16"/>
  <c r="F162" i="16"/>
  <c r="F38" i="16"/>
  <c r="F253" i="16"/>
  <c r="F255" i="16"/>
  <c r="F90" i="16"/>
  <c r="F158" i="16"/>
  <c r="F82" i="16"/>
  <c r="F161" i="16"/>
  <c r="F32" i="16"/>
  <c r="F199" i="16"/>
  <c r="F281" i="16"/>
  <c r="F244" i="16"/>
  <c r="F302" i="16"/>
  <c r="F196" i="16"/>
  <c r="F206" i="16"/>
  <c r="F232" i="16"/>
  <c r="F287" i="16"/>
  <c r="F110" i="16"/>
  <c r="F272" i="16"/>
  <c r="F52" i="16"/>
  <c r="F278" i="16"/>
  <c r="F306" i="16"/>
  <c r="F148" i="16"/>
  <c r="F250" i="16"/>
  <c r="F16" i="16"/>
  <c r="F26" i="16"/>
  <c r="F71" i="16"/>
  <c r="F61" i="16"/>
  <c r="F57" i="16"/>
  <c r="F150" i="16"/>
  <c r="F112" i="16"/>
  <c r="F12" i="16"/>
  <c r="F149" i="16"/>
  <c r="O12" i="16" l="1"/>
  <c r="K12" i="16"/>
  <c r="J12" i="16"/>
  <c r="P12" i="16"/>
  <c r="L12" i="16"/>
  <c r="N12" i="16"/>
  <c r="I12" i="16"/>
  <c r="M12" i="16"/>
  <c r="N293" i="16"/>
  <c r="I293" i="16"/>
  <c r="O293" i="16"/>
  <c r="J293" i="16"/>
  <c r="K293" i="16"/>
  <c r="P293" i="16"/>
  <c r="L293" i="16"/>
  <c r="M293" i="16"/>
  <c r="I81" i="16"/>
  <c r="L81" i="16"/>
  <c r="N81" i="16"/>
  <c r="J81" i="16"/>
  <c r="K81" i="16"/>
  <c r="M81" i="16"/>
  <c r="O81" i="16"/>
  <c r="P81" i="16"/>
  <c r="O275" i="16"/>
  <c r="M275" i="16"/>
  <c r="P275" i="16"/>
  <c r="I275" i="16"/>
  <c r="L275" i="16"/>
  <c r="N275" i="16"/>
  <c r="J275" i="16"/>
  <c r="K275" i="16"/>
  <c r="M213" i="16"/>
  <c r="I213" i="16"/>
  <c r="O213" i="16"/>
  <c r="P213" i="16"/>
  <c r="N213" i="16"/>
  <c r="K213" i="16"/>
  <c r="J213" i="16"/>
  <c r="L213" i="16"/>
  <c r="P64" i="16"/>
  <c r="I64" i="16"/>
  <c r="N64" i="16"/>
  <c r="M64" i="16"/>
  <c r="J64" i="16"/>
  <c r="K64" i="16"/>
  <c r="L64" i="16"/>
  <c r="O64" i="16"/>
  <c r="M288" i="16"/>
  <c r="O288" i="16"/>
  <c r="I288" i="16"/>
  <c r="P288" i="16"/>
  <c r="N288" i="16"/>
  <c r="L288" i="16"/>
  <c r="K288" i="16"/>
  <c r="J288" i="16"/>
  <c r="N92" i="16"/>
  <c r="I92" i="16"/>
  <c r="P92" i="16"/>
  <c r="J92" i="16"/>
  <c r="L92" i="16"/>
  <c r="M92" i="16"/>
  <c r="O92" i="16"/>
  <c r="K92" i="16"/>
  <c r="N157" i="16"/>
  <c r="K157" i="16"/>
  <c r="I157" i="16"/>
  <c r="L157" i="16"/>
  <c r="M157" i="16"/>
  <c r="P157" i="16"/>
  <c r="J157" i="16"/>
  <c r="O157" i="16"/>
  <c r="P177" i="16"/>
  <c r="K177" i="16"/>
  <c r="J177" i="16"/>
  <c r="O177" i="16"/>
  <c r="N177" i="16"/>
  <c r="M177" i="16"/>
  <c r="L177" i="16"/>
  <c r="I177" i="16"/>
  <c r="N57" i="16"/>
  <c r="J57" i="16"/>
  <c r="L57" i="16"/>
  <c r="I57" i="16"/>
  <c r="P57" i="16"/>
  <c r="O57" i="16"/>
  <c r="M57" i="16"/>
  <c r="K57" i="16"/>
  <c r="O278" i="16"/>
  <c r="M278" i="16"/>
  <c r="I278" i="16"/>
  <c r="N278" i="16"/>
  <c r="J278" i="16"/>
  <c r="K278" i="16"/>
  <c r="P278" i="16"/>
  <c r="L278" i="16"/>
  <c r="J302" i="16"/>
  <c r="P302" i="16"/>
  <c r="I302" i="16"/>
  <c r="N302" i="16"/>
  <c r="K302" i="16"/>
  <c r="M302" i="16"/>
  <c r="O302" i="16"/>
  <c r="L302" i="16"/>
  <c r="I90" i="16"/>
  <c r="P90" i="16"/>
  <c r="N90" i="16"/>
  <c r="J90" i="16"/>
  <c r="O90" i="16"/>
  <c r="L90" i="16"/>
  <c r="M90" i="16"/>
  <c r="K90" i="16"/>
  <c r="P208" i="16"/>
  <c r="I208" i="16"/>
  <c r="N208" i="16"/>
  <c r="J208" i="16"/>
  <c r="O208" i="16"/>
  <c r="M208" i="16"/>
  <c r="K208" i="16"/>
  <c r="L208" i="16"/>
  <c r="I187" i="16"/>
  <c r="J187" i="16"/>
  <c r="K187" i="16"/>
  <c r="N187" i="16"/>
  <c r="P187" i="16"/>
  <c r="L187" i="16"/>
  <c r="O187" i="16"/>
  <c r="M187" i="16"/>
  <c r="N106" i="16"/>
  <c r="O106" i="16"/>
  <c r="J106" i="16"/>
  <c r="P106" i="16"/>
  <c r="K106" i="16"/>
  <c r="L106" i="16"/>
  <c r="M106" i="16"/>
  <c r="I106" i="16"/>
  <c r="L86" i="16"/>
  <c r="P86" i="16"/>
  <c r="I86" i="16"/>
  <c r="O86" i="16"/>
  <c r="J86" i="16"/>
  <c r="K86" i="16"/>
  <c r="N86" i="16"/>
  <c r="M86" i="16"/>
  <c r="N169" i="16"/>
  <c r="J169" i="16"/>
  <c r="L169" i="16"/>
  <c r="P169" i="16"/>
  <c r="M169" i="16"/>
  <c r="I169" i="16"/>
  <c r="K169" i="16"/>
  <c r="O169" i="16"/>
  <c r="J91" i="16"/>
  <c r="N91" i="16"/>
  <c r="I91" i="16"/>
  <c r="K91" i="16"/>
  <c r="L91" i="16"/>
  <c r="O91" i="16"/>
  <c r="P91" i="16"/>
  <c r="M91" i="16"/>
  <c r="I276" i="16"/>
  <c r="P276" i="16"/>
  <c r="O276" i="16"/>
  <c r="J276" i="16"/>
  <c r="M276" i="16"/>
  <c r="K276" i="16"/>
  <c r="L276" i="16"/>
  <c r="N276" i="16"/>
  <c r="J173" i="16"/>
  <c r="L173" i="16"/>
  <c r="N173" i="16"/>
  <c r="P173" i="16"/>
  <c r="I173" i="16"/>
  <c r="O173" i="16"/>
  <c r="K173" i="16"/>
  <c r="M173" i="16"/>
  <c r="I190" i="16"/>
  <c r="J190" i="16"/>
  <c r="P190" i="16"/>
  <c r="M190" i="16"/>
  <c r="O190" i="16"/>
  <c r="N190" i="16"/>
  <c r="K190" i="16"/>
  <c r="L190" i="16"/>
  <c r="N231" i="16"/>
  <c r="M231" i="16"/>
  <c r="O231" i="16"/>
  <c r="P231" i="16"/>
  <c r="I231" i="16"/>
  <c r="J231" i="16"/>
  <c r="K231" i="16"/>
  <c r="L231" i="16"/>
  <c r="M247" i="16"/>
  <c r="P247" i="16"/>
  <c r="O247" i="16"/>
  <c r="L247" i="16"/>
  <c r="J247" i="16"/>
  <c r="K247" i="16"/>
  <c r="N247" i="16"/>
  <c r="I247" i="16"/>
  <c r="P75" i="16"/>
  <c r="K75" i="16"/>
  <c r="L75" i="16"/>
  <c r="O75" i="16"/>
  <c r="I75" i="16"/>
  <c r="M75" i="16"/>
  <c r="J75" i="16"/>
  <c r="N75" i="16"/>
  <c r="N234" i="16"/>
  <c r="I234" i="16"/>
  <c r="L234" i="16"/>
  <c r="O234" i="16"/>
  <c r="K234" i="16"/>
  <c r="P234" i="16"/>
  <c r="J234" i="16"/>
  <c r="M234" i="16"/>
  <c r="N101" i="16"/>
  <c r="L101" i="16"/>
  <c r="I101" i="16"/>
  <c r="O101" i="16"/>
  <c r="J101" i="16"/>
  <c r="K101" i="16"/>
  <c r="M101" i="16"/>
  <c r="P101" i="16"/>
  <c r="O40" i="16"/>
  <c r="L40" i="16"/>
  <c r="I40" i="16"/>
  <c r="M40" i="16"/>
  <c r="N40" i="16"/>
  <c r="J40" i="16"/>
  <c r="P40" i="16"/>
  <c r="K40" i="16"/>
  <c r="L74" i="16"/>
  <c r="M74" i="16"/>
  <c r="P74" i="16"/>
  <c r="O74" i="16"/>
  <c r="I74" i="16"/>
  <c r="N74" i="16"/>
  <c r="J74" i="16"/>
  <c r="K74" i="16"/>
  <c r="K126" i="16"/>
  <c r="M126" i="16"/>
  <c r="N126" i="16"/>
  <c r="I126" i="16"/>
  <c r="P126" i="16"/>
  <c r="L126" i="16"/>
  <c r="O126" i="16"/>
  <c r="J126" i="16"/>
  <c r="I73" i="16"/>
  <c r="P73" i="16"/>
  <c r="J73" i="16"/>
  <c r="M73" i="16"/>
  <c r="N73" i="16"/>
  <c r="K73" i="16"/>
  <c r="L73" i="16"/>
  <c r="O73" i="16"/>
  <c r="K29" i="16"/>
  <c r="J29" i="16"/>
  <c r="O29" i="16"/>
  <c r="N29" i="16"/>
  <c r="I29" i="16"/>
  <c r="P29" i="16"/>
  <c r="L29" i="16"/>
  <c r="M29" i="16"/>
  <c r="P152" i="16"/>
  <c r="I152" i="16"/>
  <c r="N152" i="16"/>
  <c r="J152" i="16"/>
  <c r="M152" i="16"/>
  <c r="L152" i="16"/>
  <c r="K152" i="16"/>
  <c r="O152" i="16"/>
  <c r="N80" i="16"/>
  <c r="L80" i="16"/>
  <c r="O80" i="16"/>
  <c r="P80" i="16"/>
  <c r="I80" i="16"/>
  <c r="J80" i="16"/>
  <c r="M80" i="16"/>
  <c r="K80" i="16"/>
  <c r="O270" i="16"/>
  <c r="J270" i="16"/>
  <c r="L270" i="16"/>
  <c r="N270" i="16"/>
  <c r="M270" i="16"/>
  <c r="K270" i="16"/>
  <c r="P270" i="16"/>
  <c r="I270" i="16"/>
  <c r="P128" i="16"/>
  <c r="I128" i="16"/>
  <c r="N128" i="16"/>
  <c r="J128" i="16"/>
  <c r="M128" i="16"/>
  <c r="K128" i="16"/>
  <c r="L128" i="16"/>
  <c r="O128" i="16"/>
  <c r="L217" i="16"/>
  <c r="M217" i="16"/>
  <c r="I217" i="16"/>
  <c r="P217" i="16"/>
  <c r="O217" i="16"/>
  <c r="J217" i="16"/>
  <c r="K217" i="16"/>
  <c r="N217" i="16"/>
  <c r="N144" i="16"/>
  <c r="K144" i="16"/>
  <c r="L144" i="16"/>
  <c r="P144" i="16"/>
  <c r="M144" i="16"/>
  <c r="O144" i="16"/>
  <c r="J144" i="16"/>
  <c r="I144" i="16"/>
  <c r="M179" i="16"/>
  <c r="K179" i="16"/>
  <c r="O179" i="16"/>
  <c r="J179" i="16"/>
  <c r="I179" i="16"/>
  <c r="L179" i="16"/>
  <c r="P179" i="16"/>
  <c r="N179" i="16"/>
  <c r="M235" i="16"/>
  <c r="I235" i="16"/>
  <c r="K235" i="16"/>
  <c r="P235" i="16"/>
  <c r="J235" i="16"/>
  <c r="O235" i="16"/>
  <c r="L235" i="16"/>
  <c r="N235" i="16"/>
  <c r="N14" i="16"/>
  <c r="I14" i="16"/>
  <c r="O14" i="16"/>
  <c r="K14" i="16"/>
  <c r="L14" i="16"/>
  <c r="M14" i="16"/>
  <c r="P14" i="16"/>
  <c r="J14" i="16"/>
  <c r="M67" i="16"/>
  <c r="O67" i="16"/>
  <c r="I67" i="16"/>
  <c r="J67" i="16"/>
  <c r="K67" i="16"/>
  <c r="L67" i="16"/>
  <c r="P67" i="16"/>
  <c r="N67" i="16"/>
  <c r="L230" i="16"/>
  <c r="I230" i="16"/>
  <c r="O230" i="16"/>
  <c r="K230" i="16"/>
  <c r="N230" i="16"/>
  <c r="J230" i="16"/>
  <c r="P230" i="16"/>
  <c r="M230" i="16"/>
  <c r="I59" i="16"/>
  <c r="P59" i="16"/>
  <c r="K59" i="16"/>
  <c r="L59" i="16"/>
  <c r="O59" i="16"/>
  <c r="M59" i="16"/>
  <c r="N59" i="16"/>
  <c r="J59" i="16"/>
  <c r="M180" i="16"/>
  <c r="J180" i="16"/>
  <c r="P180" i="16"/>
  <c r="L180" i="16"/>
  <c r="N180" i="16"/>
  <c r="I180" i="16"/>
  <c r="O180" i="16"/>
  <c r="K180" i="16"/>
  <c r="O192" i="16"/>
  <c r="P192" i="16"/>
  <c r="I192" i="16"/>
  <c r="L192" i="16"/>
  <c r="M192" i="16"/>
  <c r="N192" i="16"/>
  <c r="K192" i="16"/>
  <c r="J192" i="16"/>
  <c r="N71" i="16"/>
  <c r="K71" i="16"/>
  <c r="L71" i="16"/>
  <c r="I71" i="16"/>
  <c r="O71" i="16"/>
  <c r="P71" i="16"/>
  <c r="M71" i="16"/>
  <c r="J71" i="16"/>
  <c r="N161" i="16"/>
  <c r="O161" i="16"/>
  <c r="P161" i="16"/>
  <c r="I161" i="16"/>
  <c r="L161" i="16"/>
  <c r="J161" i="16"/>
  <c r="M161" i="16"/>
  <c r="K161" i="16"/>
  <c r="N201" i="16"/>
  <c r="J201" i="16"/>
  <c r="L201" i="16"/>
  <c r="P201" i="16"/>
  <c r="O201" i="16"/>
  <c r="I201" i="16"/>
  <c r="K201" i="16"/>
  <c r="M201" i="16"/>
  <c r="O207" i="16"/>
  <c r="K207" i="16"/>
  <c r="M207" i="16"/>
  <c r="L207" i="16"/>
  <c r="N207" i="16"/>
  <c r="I207" i="16"/>
  <c r="P207" i="16"/>
  <c r="J207" i="16"/>
  <c r="P170" i="16"/>
  <c r="N170" i="16"/>
  <c r="J170" i="16"/>
  <c r="L170" i="16"/>
  <c r="M170" i="16"/>
  <c r="K170" i="16"/>
  <c r="I170" i="16"/>
  <c r="O170" i="16"/>
  <c r="O176" i="16"/>
  <c r="P176" i="16"/>
  <c r="I176" i="16"/>
  <c r="J176" i="16"/>
  <c r="M176" i="16"/>
  <c r="L176" i="16"/>
  <c r="N176" i="16"/>
  <c r="K176" i="16"/>
  <c r="N148" i="16"/>
  <c r="I148" i="16"/>
  <c r="P148" i="16"/>
  <c r="L148" i="16"/>
  <c r="J148" i="16"/>
  <c r="O148" i="16"/>
  <c r="K148" i="16"/>
  <c r="M148" i="16"/>
  <c r="M82" i="16"/>
  <c r="O82" i="16"/>
  <c r="N82" i="16"/>
  <c r="J82" i="16"/>
  <c r="L82" i="16"/>
  <c r="I82" i="16"/>
  <c r="P82" i="16"/>
  <c r="K82" i="16"/>
  <c r="N65" i="16"/>
  <c r="K65" i="16"/>
  <c r="J65" i="16"/>
  <c r="I65" i="16"/>
  <c r="P65" i="16"/>
  <c r="O65" i="16"/>
  <c r="M65" i="16"/>
  <c r="L65" i="16"/>
  <c r="P20" i="16"/>
  <c r="O20" i="16"/>
  <c r="K20" i="16"/>
  <c r="J20" i="16"/>
  <c r="I20" i="16"/>
  <c r="N20" i="16"/>
  <c r="L20" i="16"/>
  <c r="M20" i="16"/>
  <c r="I153" i="16"/>
  <c r="P153" i="16"/>
  <c r="N153" i="16"/>
  <c r="L153" i="16"/>
  <c r="M153" i="16"/>
  <c r="K153" i="16"/>
  <c r="O153" i="16"/>
  <c r="J153" i="16"/>
  <c r="P89" i="16"/>
  <c r="N89" i="16"/>
  <c r="J89" i="16"/>
  <c r="M89" i="16"/>
  <c r="I89" i="16"/>
  <c r="O89" i="16"/>
  <c r="K89" i="16"/>
  <c r="L89" i="16"/>
  <c r="N168" i="16"/>
  <c r="O168" i="16"/>
  <c r="L168" i="16"/>
  <c r="K168" i="16"/>
  <c r="M168" i="16"/>
  <c r="P168" i="16"/>
  <c r="I168" i="16"/>
  <c r="J168" i="16"/>
  <c r="M61" i="16"/>
  <c r="N61" i="16"/>
  <c r="J61" i="16"/>
  <c r="K61" i="16"/>
  <c r="P61" i="16"/>
  <c r="L61" i="16"/>
  <c r="I61" i="16"/>
  <c r="O61" i="16"/>
  <c r="K52" i="16"/>
  <c r="M52" i="16"/>
  <c r="J52" i="16"/>
  <c r="P52" i="16"/>
  <c r="N52" i="16"/>
  <c r="O52" i="16"/>
  <c r="L52" i="16"/>
  <c r="I52" i="16"/>
  <c r="M244" i="16"/>
  <c r="J244" i="16"/>
  <c r="P244" i="16"/>
  <c r="N244" i="16"/>
  <c r="I244" i="16"/>
  <c r="O244" i="16"/>
  <c r="L244" i="16"/>
  <c r="K244" i="16"/>
  <c r="J255" i="16"/>
  <c r="P255" i="16"/>
  <c r="I255" i="16"/>
  <c r="L255" i="16"/>
  <c r="K255" i="16"/>
  <c r="O255" i="16"/>
  <c r="N255" i="16"/>
  <c r="M255" i="16"/>
  <c r="L147" i="16"/>
  <c r="N147" i="16"/>
  <c r="O147" i="16"/>
  <c r="J147" i="16"/>
  <c r="K147" i="16"/>
  <c r="M147" i="16"/>
  <c r="I147" i="16"/>
  <c r="P147" i="16"/>
  <c r="O283" i="16"/>
  <c r="I283" i="16"/>
  <c r="P283" i="16"/>
  <c r="M283" i="16"/>
  <c r="J283" i="16"/>
  <c r="L283" i="16"/>
  <c r="N283" i="16"/>
  <c r="K283" i="16"/>
  <c r="I260" i="16"/>
  <c r="P260" i="16"/>
  <c r="K260" i="16"/>
  <c r="N260" i="16"/>
  <c r="O260" i="16"/>
  <c r="L260" i="16"/>
  <c r="M260" i="16"/>
  <c r="J260" i="16"/>
  <c r="I237" i="16"/>
  <c r="O237" i="16"/>
  <c r="P237" i="16"/>
  <c r="M237" i="16"/>
  <c r="K237" i="16"/>
  <c r="J237" i="16"/>
  <c r="L237" i="16"/>
  <c r="N237" i="16"/>
  <c r="O43" i="16"/>
  <c r="I43" i="16"/>
  <c r="P43" i="16"/>
  <c r="N43" i="16"/>
  <c r="L43" i="16"/>
  <c r="K43" i="16"/>
  <c r="M43" i="16"/>
  <c r="J43" i="16"/>
  <c r="O99" i="16"/>
  <c r="I99" i="16"/>
  <c r="P99" i="16"/>
  <c r="N99" i="16"/>
  <c r="K99" i="16"/>
  <c r="M99" i="16"/>
  <c r="J99" i="16"/>
  <c r="L99" i="16"/>
  <c r="O111" i="16"/>
  <c r="L111" i="16"/>
  <c r="M111" i="16"/>
  <c r="P111" i="16"/>
  <c r="K111" i="16"/>
  <c r="N111" i="16"/>
  <c r="I111" i="16"/>
  <c r="J111" i="16"/>
  <c r="P56" i="16"/>
  <c r="L56" i="16"/>
  <c r="N56" i="16"/>
  <c r="I56" i="16"/>
  <c r="M56" i="16"/>
  <c r="O56" i="16"/>
  <c r="K56" i="16"/>
  <c r="J56" i="16"/>
  <c r="K273" i="16"/>
  <c r="O273" i="16"/>
  <c r="L273" i="16"/>
  <c r="P273" i="16"/>
  <c r="J273" i="16"/>
  <c r="M273" i="16"/>
  <c r="N273" i="16"/>
  <c r="I273" i="16"/>
  <c r="P109" i="16"/>
  <c r="L109" i="16"/>
  <c r="N109" i="16"/>
  <c r="I109" i="16"/>
  <c r="O109" i="16"/>
  <c r="J109" i="16"/>
  <c r="M109" i="16"/>
  <c r="K109" i="16"/>
  <c r="N55" i="16"/>
  <c r="M55" i="16"/>
  <c r="O55" i="16"/>
  <c r="L55" i="16"/>
  <c r="I55" i="16"/>
  <c r="K55" i="16"/>
  <c r="J55" i="16"/>
  <c r="P55" i="16"/>
  <c r="P140" i="16"/>
  <c r="K140" i="16"/>
  <c r="M140" i="16"/>
  <c r="O140" i="16"/>
  <c r="J140" i="16"/>
  <c r="I140" i="16"/>
  <c r="L140" i="16"/>
  <c r="N140" i="16"/>
  <c r="N28" i="16"/>
  <c r="I28" i="16"/>
  <c r="P28" i="16"/>
  <c r="J28" i="16"/>
  <c r="L28" i="16"/>
  <c r="K28" i="16"/>
  <c r="M28" i="16"/>
  <c r="O28" i="16"/>
  <c r="N54" i="16"/>
  <c r="M54" i="16"/>
  <c r="L54" i="16"/>
  <c r="I54" i="16"/>
  <c r="P54" i="16"/>
  <c r="O54" i="16"/>
  <c r="K54" i="16"/>
  <c r="J54" i="16"/>
  <c r="N127" i="16"/>
  <c r="M127" i="16"/>
  <c r="J127" i="16"/>
  <c r="L127" i="16"/>
  <c r="I127" i="16"/>
  <c r="P127" i="16"/>
  <c r="K127" i="16"/>
  <c r="O127" i="16"/>
  <c r="I151" i="16"/>
  <c r="O151" i="16"/>
  <c r="K151" i="16"/>
  <c r="M151" i="16"/>
  <c r="N151" i="16"/>
  <c r="P151" i="16"/>
  <c r="J151" i="16"/>
  <c r="L151" i="16"/>
  <c r="I60" i="16"/>
  <c r="M60" i="16"/>
  <c r="O60" i="16"/>
  <c r="N60" i="16"/>
  <c r="J60" i="16"/>
  <c r="L60" i="16"/>
  <c r="P60" i="16"/>
  <c r="K60" i="16"/>
  <c r="P123" i="16"/>
  <c r="K123" i="16"/>
  <c r="M123" i="16"/>
  <c r="O123" i="16"/>
  <c r="N123" i="16"/>
  <c r="J123" i="16"/>
  <c r="I123" i="16"/>
  <c r="L123" i="16"/>
  <c r="K286" i="16"/>
  <c r="O286" i="16"/>
  <c r="J286" i="16"/>
  <c r="M286" i="16"/>
  <c r="N286" i="16"/>
  <c r="P286" i="16"/>
  <c r="I286" i="16"/>
  <c r="L286" i="16"/>
  <c r="I88" i="16"/>
  <c r="N88" i="16"/>
  <c r="K88" i="16"/>
  <c r="J88" i="16"/>
  <c r="P88" i="16"/>
  <c r="O88" i="16"/>
  <c r="M88" i="16"/>
  <c r="L88" i="16"/>
  <c r="L11" i="16"/>
  <c r="N11" i="16"/>
  <c r="I11" i="16"/>
  <c r="P11" i="16"/>
  <c r="M11" i="16"/>
  <c r="J11" i="16"/>
  <c r="O11" i="16"/>
  <c r="K11" i="16"/>
  <c r="P242" i="16"/>
  <c r="N242" i="16"/>
  <c r="K242" i="16"/>
  <c r="L242" i="16"/>
  <c r="I242" i="16"/>
  <c r="O242" i="16"/>
  <c r="J242" i="16"/>
  <c r="M242" i="16"/>
  <c r="J37" i="16"/>
  <c r="N37" i="16"/>
  <c r="O37" i="16"/>
  <c r="K37" i="16"/>
  <c r="P37" i="16"/>
  <c r="M37" i="16"/>
  <c r="I37" i="16"/>
  <c r="L37" i="16"/>
  <c r="P130" i="16"/>
  <c r="N130" i="16"/>
  <c r="K130" i="16"/>
  <c r="L130" i="16"/>
  <c r="M130" i="16"/>
  <c r="I130" i="16"/>
  <c r="J130" i="16"/>
  <c r="O130" i="16"/>
  <c r="J197" i="16"/>
  <c r="K197" i="16"/>
  <c r="L197" i="16"/>
  <c r="I197" i="16"/>
  <c r="O197" i="16"/>
  <c r="N197" i="16"/>
  <c r="M197" i="16"/>
  <c r="P197" i="16"/>
  <c r="M102" i="16"/>
  <c r="O102" i="16"/>
  <c r="N102" i="16"/>
  <c r="J102" i="16"/>
  <c r="L102" i="16"/>
  <c r="P102" i="16"/>
  <c r="I102" i="16"/>
  <c r="K102" i="16"/>
  <c r="P18" i="16"/>
  <c r="N18" i="16"/>
  <c r="K18" i="16"/>
  <c r="L18" i="16"/>
  <c r="I18" i="16"/>
  <c r="O18" i="16"/>
  <c r="J18" i="16"/>
  <c r="M18" i="16"/>
  <c r="O145" i="16"/>
  <c r="J145" i="16"/>
  <c r="M145" i="16"/>
  <c r="P145" i="16"/>
  <c r="N145" i="16"/>
  <c r="K145" i="16"/>
  <c r="I145" i="16"/>
  <c r="L145" i="16"/>
  <c r="N215" i="16"/>
  <c r="J215" i="16"/>
  <c r="O215" i="16"/>
  <c r="P215" i="16"/>
  <c r="M215" i="16"/>
  <c r="I215" i="16"/>
  <c r="K215" i="16"/>
  <c r="L215" i="16"/>
  <c r="O274" i="16"/>
  <c r="I274" i="16"/>
  <c r="N274" i="16"/>
  <c r="K274" i="16"/>
  <c r="J274" i="16"/>
  <c r="L274" i="16"/>
  <c r="M274" i="16"/>
  <c r="P274" i="16"/>
  <c r="O285" i="16"/>
  <c r="M285" i="16"/>
  <c r="P285" i="16"/>
  <c r="N285" i="16"/>
  <c r="K285" i="16"/>
  <c r="I285" i="16"/>
  <c r="L285" i="16"/>
  <c r="J285" i="16"/>
  <c r="L129" i="16"/>
  <c r="O129" i="16"/>
  <c r="P129" i="16"/>
  <c r="J129" i="16"/>
  <c r="K129" i="16"/>
  <c r="M129" i="16"/>
  <c r="N129" i="16"/>
  <c r="I129" i="16"/>
  <c r="I97" i="16"/>
  <c r="P97" i="16"/>
  <c r="J97" i="16"/>
  <c r="L97" i="16"/>
  <c r="N97" i="16"/>
  <c r="O97" i="16"/>
  <c r="K97" i="16"/>
  <c r="M97" i="16"/>
  <c r="J253" i="16"/>
  <c r="L253" i="16"/>
  <c r="M253" i="16"/>
  <c r="O253" i="16"/>
  <c r="P253" i="16"/>
  <c r="K253" i="16"/>
  <c r="I253" i="16"/>
  <c r="N253" i="16"/>
  <c r="J23" i="16"/>
  <c r="I23" i="16"/>
  <c r="O23" i="16"/>
  <c r="N23" i="16"/>
  <c r="L23" i="16"/>
  <c r="M23" i="16"/>
  <c r="K23" i="16"/>
  <c r="P23" i="16"/>
  <c r="L205" i="16"/>
  <c r="M205" i="16"/>
  <c r="K205" i="16"/>
  <c r="I205" i="16"/>
  <c r="O205" i="16"/>
  <c r="P205" i="16"/>
  <c r="N205" i="16"/>
  <c r="J205" i="16"/>
  <c r="N15" i="16"/>
  <c r="J15" i="16"/>
  <c r="O15" i="16"/>
  <c r="L15" i="16"/>
  <c r="P15" i="16"/>
  <c r="I15" i="16"/>
  <c r="K15" i="16"/>
  <c r="M15" i="16"/>
  <c r="N298" i="16"/>
  <c r="K298" i="16"/>
  <c r="L298" i="16"/>
  <c r="M298" i="16"/>
  <c r="P298" i="16"/>
  <c r="I298" i="16"/>
  <c r="J298" i="16"/>
  <c r="O298" i="16"/>
  <c r="P198" i="16"/>
  <c r="N198" i="16"/>
  <c r="K198" i="16"/>
  <c r="O198" i="16"/>
  <c r="L198" i="16"/>
  <c r="J198" i="16"/>
  <c r="M198" i="16"/>
  <c r="I198" i="16"/>
  <c r="M241" i="16"/>
  <c r="L241" i="16"/>
  <c r="N241" i="16"/>
  <c r="O241" i="16"/>
  <c r="J241" i="16"/>
  <c r="K241" i="16"/>
  <c r="I241" i="16"/>
  <c r="P241" i="16"/>
  <c r="J79" i="16"/>
  <c r="P79" i="16"/>
  <c r="I79" i="16"/>
  <c r="L79" i="16"/>
  <c r="K79" i="16"/>
  <c r="O79" i="16"/>
  <c r="N79" i="16"/>
  <c r="M79" i="16"/>
  <c r="N211" i="16"/>
  <c r="M211" i="16"/>
  <c r="I211" i="16"/>
  <c r="K211" i="16"/>
  <c r="L211" i="16"/>
  <c r="O211" i="16"/>
  <c r="J211" i="16"/>
  <c r="P211" i="16"/>
  <c r="P264" i="16"/>
  <c r="I264" i="16"/>
  <c r="N264" i="16"/>
  <c r="J264" i="16"/>
  <c r="O264" i="16"/>
  <c r="K264" i="16"/>
  <c r="M264" i="16"/>
  <c r="L264" i="16"/>
  <c r="P295" i="16"/>
  <c r="L295" i="16"/>
  <c r="I295" i="16"/>
  <c r="M295" i="16"/>
  <c r="J295" i="16"/>
  <c r="K295" i="16"/>
  <c r="O295" i="16"/>
  <c r="N295" i="16"/>
  <c r="I261" i="16"/>
  <c r="N261" i="16"/>
  <c r="K261" i="16"/>
  <c r="J261" i="16"/>
  <c r="L261" i="16"/>
  <c r="O261" i="16"/>
  <c r="P261" i="16"/>
  <c r="M261" i="16"/>
  <c r="I119" i="16"/>
  <c r="O119" i="16"/>
  <c r="N119" i="16"/>
  <c r="L119" i="16"/>
  <c r="M119" i="16"/>
  <c r="P119" i="16"/>
  <c r="J119" i="16"/>
  <c r="K119" i="16"/>
  <c r="N271" i="16"/>
  <c r="M271" i="16"/>
  <c r="J271" i="16"/>
  <c r="I271" i="16"/>
  <c r="O271" i="16"/>
  <c r="P271" i="16"/>
  <c r="K271" i="16"/>
  <c r="L271" i="16"/>
  <c r="O225" i="16"/>
  <c r="L225" i="16"/>
  <c r="P225" i="16"/>
  <c r="M225" i="16"/>
  <c r="I225" i="16"/>
  <c r="N225" i="16"/>
  <c r="K225" i="16"/>
  <c r="J225" i="16"/>
  <c r="M262" i="16"/>
  <c r="N262" i="16"/>
  <c r="K262" i="16"/>
  <c r="J262" i="16"/>
  <c r="P262" i="16"/>
  <c r="L262" i="16"/>
  <c r="I262" i="16"/>
  <c r="O262" i="16"/>
  <c r="L136" i="16"/>
  <c r="P136" i="16"/>
  <c r="I136" i="16"/>
  <c r="J136" i="16"/>
  <c r="O136" i="16"/>
  <c r="M136" i="16"/>
  <c r="N136" i="16"/>
  <c r="K136" i="16"/>
  <c r="P227" i="16"/>
  <c r="N227" i="16"/>
  <c r="I227" i="16"/>
  <c r="J227" i="16"/>
  <c r="K227" i="16"/>
  <c r="L227" i="16"/>
  <c r="M227" i="16"/>
  <c r="O227" i="16"/>
  <c r="N108" i="16"/>
  <c r="J108" i="16"/>
  <c r="M108" i="16"/>
  <c r="L108" i="16"/>
  <c r="K108" i="16"/>
  <c r="I108" i="16"/>
  <c r="O108" i="16"/>
  <c r="P108" i="16"/>
  <c r="I9" i="16"/>
  <c r="P9" i="16"/>
  <c r="L9" i="16"/>
  <c r="M9" i="16"/>
  <c r="O9" i="16"/>
  <c r="K9" i="16"/>
  <c r="N9" i="16"/>
  <c r="J9" i="16"/>
  <c r="I301" i="16"/>
  <c r="J301" i="16"/>
  <c r="P301" i="16"/>
  <c r="N301" i="16"/>
  <c r="K301" i="16"/>
  <c r="L301" i="16"/>
  <c r="M301" i="16"/>
  <c r="O301" i="16"/>
  <c r="I299" i="16"/>
  <c r="P299" i="16"/>
  <c r="K299" i="16"/>
  <c r="N299" i="16"/>
  <c r="O299" i="16"/>
  <c r="J299" i="16"/>
  <c r="L299" i="16"/>
  <c r="M299" i="16"/>
  <c r="J212" i="16"/>
  <c r="N212" i="16"/>
  <c r="P212" i="16"/>
  <c r="M212" i="16"/>
  <c r="I212" i="16"/>
  <c r="L212" i="16"/>
  <c r="O212" i="16"/>
  <c r="K212" i="16"/>
  <c r="M209" i="16"/>
  <c r="L209" i="16"/>
  <c r="P209" i="16"/>
  <c r="I209" i="16"/>
  <c r="J209" i="16"/>
  <c r="O209" i="16"/>
  <c r="K209" i="16"/>
  <c r="N209" i="16"/>
  <c r="N218" i="16"/>
  <c r="I218" i="16"/>
  <c r="J218" i="16"/>
  <c r="K218" i="16"/>
  <c r="M218" i="16"/>
  <c r="P218" i="16"/>
  <c r="L218" i="16"/>
  <c r="O218" i="16"/>
  <c r="L256" i="16"/>
  <c r="O256" i="16"/>
  <c r="I256" i="16"/>
  <c r="M256" i="16"/>
  <c r="P256" i="16"/>
  <c r="K256" i="16"/>
  <c r="J256" i="16"/>
  <c r="N256" i="16"/>
  <c r="K146" i="16"/>
  <c r="J146" i="16"/>
  <c r="L146" i="16"/>
  <c r="P146" i="16"/>
  <c r="N146" i="16"/>
  <c r="M146" i="16"/>
  <c r="I146" i="16"/>
  <c r="O146" i="16"/>
  <c r="K63" i="16"/>
  <c r="L63" i="16"/>
  <c r="P63" i="16"/>
  <c r="O63" i="16"/>
  <c r="N63" i="16"/>
  <c r="I63" i="16"/>
  <c r="J63" i="16"/>
  <c r="M63" i="16"/>
  <c r="I221" i="16"/>
  <c r="O221" i="16"/>
  <c r="L221" i="16"/>
  <c r="K221" i="16"/>
  <c r="N221" i="16"/>
  <c r="J221" i="16"/>
  <c r="M221" i="16"/>
  <c r="P221" i="16"/>
  <c r="I257" i="16"/>
  <c r="P257" i="16"/>
  <c r="N257" i="16"/>
  <c r="M257" i="16"/>
  <c r="O257" i="16"/>
  <c r="K257" i="16"/>
  <c r="J257" i="16"/>
  <c r="L257" i="16"/>
  <c r="I26" i="16"/>
  <c r="P26" i="16"/>
  <c r="N26" i="16"/>
  <c r="L26" i="16"/>
  <c r="O26" i="16"/>
  <c r="K26" i="16"/>
  <c r="J26" i="16"/>
  <c r="M26" i="16"/>
  <c r="K199" i="16"/>
  <c r="I199" i="16"/>
  <c r="L199" i="16"/>
  <c r="J199" i="16"/>
  <c r="M199" i="16"/>
  <c r="P199" i="16"/>
  <c r="O199" i="16"/>
  <c r="N199" i="16"/>
  <c r="O35" i="16"/>
  <c r="I35" i="16"/>
  <c r="J35" i="16"/>
  <c r="M35" i="16"/>
  <c r="P35" i="16"/>
  <c r="N35" i="16"/>
  <c r="K35" i="16"/>
  <c r="L35" i="16"/>
  <c r="I224" i="16"/>
  <c r="M224" i="16"/>
  <c r="L224" i="16"/>
  <c r="J224" i="16"/>
  <c r="O224" i="16"/>
  <c r="K224" i="16"/>
  <c r="P224" i="16"/>
  <c r="N224" i="16"/>
  <c r="O291" i="16"/>
  <c r="M291" i="16"/>
  <c r="P291" i="16"/>
  <c r="I291" i="16"/>
  <c r="J291" i="16"/>
  <c r="N291" i="16"/>
  <c r="K291" i="16"/>
  <c r="L291" i="16"/>
  <c r="I297" i="16"/>
  <c r="P297" i="16"/>
  <c r="N297" i="16"/>
  <c r="K297" i="16"/>
  <c r="M297" i="16"/>
  <c r="O297" i="16"/>
  <c r="J297" i="16"/>
  <c r="L297" i="16"/>
  <c r="O36" i="16"/>
  <c r="J36" i="16"/>
  <c r="P36" i="16"/>
  <c r="M36" i="16"/>
  <c r="K36" i="16"/>
  <c r="L36" i="16"/>
  <c r="I36" i="16"/>
  <c r="N36" i="16"/>
  <c r="N219" i="16"/>
  <c r="O219" i="16"/>
  <c r="I219" i="16"/>
  <c r="M219" i="16"/>
  <c r="L219" i="16"/>
  <c r="J219" i="16"/>
  <c r="P219" i="16"/>
  <c r="K219" i="16"/>
  <c r="M103" i="16"/>
  <c r="J103" i="16"/>
  <c r="I103" i="16"/>
  <c r="K103" i="16"/>
  <c r="P103" i="16"/>
  <c r="L103" i="16"/>
  <c r="N103" i="16"/>
  <c r="O103" i="16"/>
  <c r="N121" i="16"/>
  <c r="K121" i="16"/>
  <c r="P121" i="16"/>
  <c r="I121" i="16"/>
  <c r="M121" i="16"/>
  <c r="O121" i="16"/>
  <c r="J121" i="16"/>
  <c r="L121" i="16"/>
  <c r="K163" i="16"/>
  <c r="M163" i="16"/>
  <c r="P163" i="16"/>
  <c r="O163" i="16"/>
  <c r="I163" i="16"/>
  <c r="L163" i="16"/>
  <c r="J163" i="16"/>
  <c r="N163" i="16"/>
  <c r="P118" i="16"/>
  <c r="L118" i="16"/>
  <c r="N118" i="16"/>
  <c r="M118" i="16"/>
  <c r="I118" i="16"/>
  <c r="J118" i="16"/>
  <c r="K118" i="16"/>
  <c r="O118" i="16"/>
  <c r="I216" i="16"/>
  <c r="L216" i="16"/>
  <c r="K216" i="16"/>
  <c r="M216" i="16"/>
  <c r="P216" i="16"/>
  <c r="N216" i="16"/>
  <c r="O216" i="16"/>
  <c r="J216" i="16"/>
  <c r="O33" i="16"/>
  <c r="L33" i="16"/>
  <c r="P33" i="16"/>
  <c r="I33" i="16"/>
  <c r="K33" i="16"/>
  <c r="M33" i="16"/>
  <c r="N33" i="16"/>
  <c r="J33" i="16"/>
  <c r="N21" i="16"/>
  <c r="K21" i="16"/>
  <c r="L21" i="16"/>
  <c r="I21" i="16"/>
  <c r="J21" i="16"/>
  <c r="P21" i="16"/>
  <c r="M21" i="16"/>
  <c r="O21" i="16"/>
  <c r="M189" i="16"/>
  <c r="N189" i="16"/>
  <c r="J189" i="16"/>
  <c r="I189" i="16"/>
  <c r="O189" i="16"/>
  <c r="L189" i="16"/>
  <c r="K189" i="16"/>
  <c r="P189" i="16"/>
  <c r="O202" i="16"/>
  <c r="I202" i="16"/>
  <c r="K202" i="16"/>
  <c r="P202" i="16"/>
  <c r="J202" i="16"/>
  <c r="L202" i="16"/>
  <c r="M202" i="16"/>
  <c r="N202" i="16"/>
  <c r="I303" i="16"/>
  <c r="O303" i="16"/>
  <c r="N303" i="16"/>
  <c r="P303" i="16"/>
  <c r="L303" i="16"/>
  <c r="J303" i="16"/>
  <c r="K303" i="16"/>
  <c r="M303" i="16"/>
  <c r="L195" i="16"/>
  <c r="I195" i="16"/>
  <c r="N195" i="16"/>
  <c r="P195" i="16"/>
  <c r="M195" i="16"/>
  <c r="J195" i="16"/>
  <c r="K195" i="16"/>
  <c r="O195" i="16"/>
  <c r="I266" i="16"/>
  <c r="M266" i="16"/>
  <c r="N266" i="16"/>
  <c r="K266" i="16"/>
  <c r="O266" i="16"/>
  <c r="L266" i="16"/>
  <c r="P266" i="16"/>
  <c r="J266" i="16"/>
  <c r="O181" i="16"/>
  <c r="N181" i="16"/>
  <c r="M181" i="16"/>
  <c r="L181" i="16"/>
  <c r="I181" i="16"/>
  <c r="K181" i="16"/>
  <c r="P181" i="16"/>
  <c r="J181" i="16"/>
  <c r="M289" i="16"/>
  <c r="O289" i="16"/>
  <c r="I289" i="16"/>
  <c r="J289" i="16"/>
  <c r="L289" i="16"/>
  <c r="P289" i="16"/>
  <c r="N289" i="16"/>
  <c r="K289" i="16"/>
  <c r="I188" i="16"/>
  <c r="M188" i="16"/>
  <c r="O188" i="16"/>
  <c r="N188" i="16"/>
  <c r="J188" i="16"/>
  <c r="P188" i="16"/>
  <c r="K188" i="16"/>
  <c r="L188" i="16"/>
  <c r="O113" i="16"/>
  <c r="L113" i="16"/>
  <c r="P113" i="16"/>
  <c r="N113" i="16"/>
  <c r="K113" i="16"/>
  <c r="I113" i="16"/>
  <c r="J113" i="16"/>
  <c r="M113" i="16"/>
  <c r="O124" i="16"/>
  <c r="L124" i="16"/>
  <c r="P124" i="16"/>
  <c r="M124" i="16"/>
  <c r="I124" i="16"/>
  <c r="K124" i="16"/>
  <c r="N124" i="16"/>
  <c r="J124" i="16"/>
  <c r="O87" i="16"/>
  <c r="N87" i="16"/>
  <c r="K87" i="16"/>
  <c r="J87" i="16"/>
  <c r="I87" i="16"/>
  <c r="L87" i="16"/>
  <c r="P87" i="16"/>
  <c r="M87" i="16"/>
  <c r="O115" i="16"/>
  <c r="I115" i="16"/>
  <c r="P115" i="16"/>
  <c r="N115" i="16"/>
  <c r="L115" i="16"/>
  <c r="M115" i="16"/>
  <c r="J115" i="16"/>
  <c r="K115" i="16"/>
  <c r="J238" i="16"/>
  <c r="N238" i="16"/>
  <c r="K238" i="16"/>
  <c r="I238" i="16"/>
  <c r="P238" i="16"/>
  <c r="O238" i="16"/>
  <c r="M238" i="16"/>
  <c r="L238" i="16"/>
  <c r="K172" i="16"/>
  <c r="L172" i="16"/>
  <c r="I172" i="16"/>
  <c r="J172" i="16"/>
  <c r="N172" i="16"/>
  <c r="O172" i="16"/>
  <c r="M172" i="16"/>
  <c r="P172" i="16"/>
  <c r="L83" i="16"/>
  <c r="I83" i="16"/>
  <c r="J83" i="16"/>
  <c r="P83" i="16"/>
  <c r="M83" i="16"/>
  <c r="O83" i="16"/>
  <c r="K83" i="16"/>
  <c r="N83" i="16"/>
  <c r="M194" i="16"/>
  <c r="I194" i="16"/>
  <c r="N194" i="16"/>
  <c r="L194" i="16"/>
  <c r="P194" i="16"/>
  <c r="O194" i="16"/>
  <c r="K194" i="16"/>
  <c r="J194" i="16"/>
  <c r="N133" i="16"/>
  <c r="I133" i="16"/>
  <c r="O133" i="16"/>
  <c r="L133" i="16"/>
  <c r="M133" i="16"/>
  <c r="K133" i="16"/>
  <c r="P133" i="16"/>
  <c r="J133" i="16"/>
  <c r="O155" i="16"/>
  <c r="I155" i="16"/>
  <c r="P155" i="16"/>
  <c r="L155" i="16"/>
  <c r="J155" i="16"/>
  <c r="N155" i="16"/>
  <c r="K155" i="16"/>
  <c r="M155" i="16"/>
  <c r="N272" i="16"/>
  <c r="L272" i="16"/>
  <c r="M272" i="16"/>
  <c r="P272" i="16"/>
  <c r="I272" i="16"/>
  <c r="O272" i="16"/>
  <c r="J272" i="16"/>
  <c r="K272" i="16"/>
  <c r="O107" i="16"/>
  <c r="I107" i="16"/>
  <c r="K107" i="16"/>
  <c r="J107" i="16"/>
  <c r="P107" i="16"/>
  <c r="M107" i="16"/>
  <c r="N107" i="16"/>
  <c r="L107" i="16"/>
  <c r="I220" i="16"/>
  <c r="P220" i="16"/>
  <c r="O220" i="16"/>
  <c r="M220" i="16"/>
  <c r="L220" i="16"/>
  <c r="N220" i="16"/>
  <c r="K220" i="16"/>
  <c r="J220" i="16"/>
  <c r="K93" i="16"/>
  <c r="N93" i="16"/>
  <c r="M93" i="16"/>
  <c r="I93" i="16"/>
  <c r="O93" i="16"/>
  <c r="L93" i="16"/>
  <c r="P93" i="16"/>
  <c r="J93" i="16"/>
  <c r="O239" i="16"/>
  <c r="K239" i="16"/>
  <c r="M239" i="16"/>
  <c r="J239" i="16"/>
  <c r="P239" i="16"/>
  <c r="I239" i="16"/>
  <c r="N239" i="16"/>
  <c r="L239" i="16"/>
  <c r="P110" i="16"/>
  <c r="I110" i="16"/>
  <c r="K110" i="16"/>
  <c r="J110" i="16"/>
  <c r="L110" i="16"/>
  <c r="M110" i="16"/>
  <c r="N110" i="16"/>
  <c r="O110" i="16"/>
  <c r="O38" i="16"/>
  <c r="P38" i="16"/>
  <c r="M38" i="16"/>
  <c r="N38" i="16"/>
  <c r="K38" i="16"/>
  <c r="I38" i="16"/>
  <c r="L38" i="16"/>
  <c r="J38" i="16"/>
  <c r="I132" i="16"/>
  <c r="O132" i="16"/>
  <c r="K132" i="16"/>
  <c r="J132" i="16"/>
  <c r="M132" i="16"/>
  <c r="N132" i="16"/>
  <c r="P132" i="16"/>
  <c r="L132" i="16"/>
  <c r="K174" i="16"/>
  <c r="L174" i="16"/>
  <c r="I174" i="16"/>
  <c r="M174" i="16"/>
  <c r="P174" i="16"/>
  <c r="N174" i="16"/>
  <c r="O174" i="16"/>
  <c r="J174" i="16"/>
  <c r="L149" i="16"/>
  <c r="N149" i="16"/>
  <c r="O149" i="16"/>
  <c r="J149" i="16"/>
  <c r="M149" i="16"/>
  <c r="I149" i="16"/>
  <c r="K149" i="16"/>
  <c r="P149" i="16"/>
  <c r="M16" i="16"/>
  <c r="J16" i="16"/>
  <c r="I16" i="16"/>
  <c r="O16" i="16"/>
  <c r="P16" i="16"/>
  <c r="N16" i="16"/>
  <c r="L16" i="16"/>
  <c r="K16" i="16"/>
  <c r="L287" i="16"/>
  <c r="J287" i="16"/>
  <c r="I287" i="16"/>
  <c r="M287" i="16"/>
  <c r="P287" i="16"/>
  <c r="N287" i="16"/>
  <c r="K287" i="16"/>
  <c r="O287" i="16"/>
  <c r="K32" i="16"/>
  <c r="M32" i="16"/>
  <c r="P32" i="16"/>
  <c r="J32" i="16"/>
  <c r="O32" i="16"/>
  <c r="L32" i="16"/>
  <c r="I32" i="16"/>
  <c r="N32" i="16"/>
  <c r="N162" i="16"/>
  <c r="M162" i="16"/>
  <c r="J162" i="16"/>
  <c r="L162" i="16"/>
  <c r="I162" i="16"/>
  <c r="O162" i="16"/>
  <c r="P162" i="16"/>
  <c r="K162" i="16"/>
  <c r="N46" i="16"/>
  <c r="K46" i="16"/>
  <c r="O46" i="16"/>
  <c r="M46" i="16"/>
  <c r="I46" i="16"/>
  <c r="J46" i="16"/>
  <c r="L46" i="16"/>
  <c r="P46" i="16"/>
  <c r="O282" i="16"/>
  <c r="M282" i="16"/>
  <c r="P282" i="16"/>
  <c r="L282" i="16"/>
  <c r="J282" i="16"/>
  <c r="I282" i="16"/>
  <c r="N282" i="16"/>
  <c r="K282" i="16"/>
  <c r="P19" i="16"/>
  <c r="J19" i="16"/>
  <c r="K19" i="16"/>
  <c r="I19" i="16"/>
  <c r="L19" i="16"/>
  <c r="M19" i="16"/>
  <c r="N19" i="16"/>
  <c r="O19" i="16"/>
  <c r="O156" i="16"/>
  <c r="K156" i="16"/>
  <c r="J156" i="16"/>
  <c r="L156" i="16"/>
  <c r="I156" i="16"/>
  <c r="P156" i="16"/>
  <c r="M156" i="16"/>
  <c r="N156" i="16"/>
  <c r="O167" i="16"/>
  <c r="P167" i="16"/>
  <c r="J167" i="16"/>
  <c r="K167" i="16"/>
  <c r="L167" i="16"/>
  <c r="M167" i="16"/>
  <c r="I167" i="16"/>
  <c r="N167" i="16"/>
  <c r="N70" i="16"/>
  <c r="K70" i="16"/>
  <c r="O70" i="16"/>
  <c r="P70" i="16"/>
  <c r="L70" i="16"/>
  <c r="I70" i="16"/>
  <c r="J70" i="16"/>
  <c r="M70" i="16"/>
  <c r="J166" i="16"/>
  <c r="M166" i="16"/>
  <c r="N166" i="16"/>
  <c r="O166" i="16"/>
  <c r="K166" i="16"/>
  <c r="I166" i="16"/>
  <c r="L166" i="16"/>
  <c r="P166" i="16"/>
  <c r="O30" i="16"/>
  <c r="J30" i="16"/>
  <c r="P30" i="16"/>
  <c r="K30" i="16"/>
  <c r="L30" i="16"/>
  <c r="M30" i="16"/>
  <c r="I30" i="16"/>
  <c r="N30" i="16"/>
  <c r="I165" i="16"/>
  <c r="O165" i="16"/>
  <c r="J165" i="16"/>
  <c r="L165" i="16"/>
  <c r="N165" i="16"/>
  <c r="M165" i="16"/>
  <c r="K165" i="16"/>
  <c r="P165" i="16"/>
  <c r="I77" i="16"/>
  <c r="J77" i="16"/>
  <c r="L77" i="16"/>
  <c r="M77" i="16"/>
  <c r="K77" i="16"/>
  <c r="P77" i="16"/>
  <c r="O77" i="16"/>
  <c r="N77" i="16"/>
  <c r="P24" i="16"/>
  <c r="I24" i="16"/>
  <c r="K24" i="16"/>
  <c r="L24" i="16"/>
  <c r="O24" i="16"/>
  <c r="M24" i="16"/>
  <c r="N24" i="16"/>
  <c r="J24" i="16"/>
  <c r="M248" i="16"/>
  <c r="O248" i="16"/>
  <c r="P248" i="16"/>
  <c r="J248" i="16"/>
  <c r="K248" i="16"/>
  <c r="N248" i="16"/>
  <c r="L248" i="16"/>
  <c r="I248" i="16"/>
  <c r="L95" i="16"/>
  <c r="K95" i="16"/>
  <c r="O95" i="16"/>
  <c r="N95" i="16"/>
  <c r="P95" i="16"/>
  <c r="M95" i="16"/>
  <c r="J95" i="16"/>
  <c r="I95" i="16"/>
  <c r="O268" i="16"/>
  <c r="K268" i="16"/>
  <c r="J268" i="16"/>
  <c r="I268" i="16"/>
  <c r="P268" i="16"/>
  <c r="N268" i="16"/>
  <c r="L268" i="16"/>
  <c r="M268" i="16"/>
  <c r="I249" i="16"/>
  <c r="P249" i="16"/>
  <c r="N249" i="16"/>
  <c r="K249" i="16"/>
  <c r="O249" i="16"/>
  <c r="M249" i="16"/>
  <c r="J249" i="16"/>
  <c r="L249" i="16"/>
  <c r="L138" i="16"/>
  <c r="M138" i="16"/>
  <c r="P138" i="16"/>
  <c r="I138" i="16"/>
  <c r="O138" i="16"/>
  <c r="J138" i="16"/>
  <c r="N138" i="16"/>
  <c r="K138" i="16"/>
  <c r="I48" i="16"/>
  <c r="O48" i="16"/>
  <c r="K48" i="16"/>
  <c r="N48" i="16"/>
  <c r="L48" i="16"/>
  <c r="P48" i="16"/>
  <c r="J48" i="16"/>
  <c r="M48" i="16"/>
  <c r="N200" i="16"/>
  <c r="O200" i="16"/>
  <c r="I200" i="16"/>
  <c r="J200" i="16"/>
  <c r="M200" i="16"/>
  <c r="P200" i="16"/>
  <c r="K200" i="16"/>
  <c r="L200" i="16"/>
  <c r="N233" i="16"/>
  <c r="K233" i="16"/>
  <c r="P233" i="16"/>
  <c r="O233" i="16"/>
  <c r="I233" i="16"/>
  <c r="J233" i="16"/>
  <c r="L233" i="16"/>
  <c r="M233" i="16"/>
  <c r="L120" i="16"/>
  <c r="I120" i="16"/>
  <c r="K120" i="16"/>
  <c r="N120" i="16"/>
  <c r="J120" i="16"/>
  <c r="P120" i="16"/>
  <c r="M120" i="16"/>
  <c r="O120" i="16"/>
  <c r="P69" i="16"/>
  <c r="N69" i="16"/>
  <c r="O69" i="16"/>
  <c r="L69" i="16"/>
  <c r="J69" i="16"/>
  <c r="K69" i="16"/>
  <c r="M69" i="16"/>
  <c r="I69" i="16"/>
  <c r="O98" i="16"/>
  <c r="L98" i="16"/>
  <c r="P98" i="16"/>
  <c r="N98" i="16"/>
  <c r="J98" i="16"/>
  <c r="I98" i="16"/>
  <c r="K98" i="16"/>
  <c r="M98" i="16"/>
  <c r="P125" i="16"/>
  <c r="J125" i="16"/>
  <c r="I125" i="16"/>
  <c r="K125" i="16"/>
  <c r="M125" i="16"/>
  <c r="N125" i="16"/>
  <c r="O125" i="16"/>
  <c r="L125" i="16"/>
  <c r="P277" i="16"/>
  <c r="N277" i="16"/>
  <c r="O277" i="16"/>
  <c r="L277" i="16"/>
  <c r="M277" i="16"/>
  <c r="I277" i="16"/>
  <c r="J277" i="16"/>
  <c r="K277" i="16"/>
  <c r="M300" i="16"/>
  <c r="L300" i="16"/>
  <c r="I300" i="16"/>
  <c r="J300" i="16"/>
  <c r="O300" i="16"/>
  <c r="K300" i="16"/>
  <c r="P300" i="16"/>
  <c r="N300" i="16"/>
  <c r="N78" i="16"/>
  <c r="K78" i="16"/>
  <c r="O78" i="16"/>
  <c r="M78" i="16"/>
  <c r="P78" i="16"/>
  <c r="L78" i="16"/>
  <c r="I78" i="16"/>
  <c r="J78" i="16"/>
  <c r="P137" i="16"/>
  <c r="M137" i="16"/>
  <c r="J137" i="16"/>
  <c r="L137" i="16"/>
  <c r="K137" i="16"/>
  <c r="N137" i="16"/>
  <c r="O137" i="16"/>
  <c r="I137" i="16"/>
  <c r="L7" i="16"/>
  <c r="O7" i="16"/>
  <c r="N7" i="16"/>
  <c r="K7" i="16"/>
  <c r="J7" i="16"/>
  <c r="M7" i="16"/>
  <c r="I7" i="16"/>
  <c r="P7" i="16"/>
  <c r="M252" i="16"/>
  <c r="L252" i="16"/>
  <c r="P252" i="16"/>
  <c r="I252" i="16"/>
  <c r="N252" i="16"/>
  <c r="J252" i="16"/>
  <c r="O252" i="16"/>
  <c r="K252" i="16"/>
  <c r="I114" i="16"/>
  <c r="K114" i="16"/>
  <c r="M114" i="16"/>
  <c r="N114" i="16"/>
  <c r="J114" i="16"/>
  <c r="P114" i="16"/>
  <c r="O114" i="16"/>
  <c r="L114" i="16"/>
  <c r="I280" i="16"/>
  <c r="L280" i="16"/>
  <c r="K280" i="16"/>
  <c r="M280" i="16"/>
  <c r="P280" i="16"/>
  <c r="O280" i="16"/>
  <c r="J280" i="16"/>
  <c r="N280" i="16"/>
  <c r="M251" i="16"/>
  <c r="J251" i="16"/>
  <c r="I251" i="16"/>
  <c r="O251" i="16"/>
  <c r="N251" i="16"/>
  <c r="L251" i="16"/>
  <c r="P251" i="16"/>
  <c r="K251" i="16"/>
  <c r="O160" i="16"/>
  <c r="I160" i="16"/>
  <c r="K160" i="16"/>
  <c r="J160" i="16"/>
  <c r="P160" i="16"/>
  <c r="N160" i="16"/>
  <c r="M160" i="16"/>
  <c r="L160" i="16"/>
  <c r="M250" i="16"/>
  <c r="N250" i="16"/>
  <c r="K250" i="16"/>
  <c r="J250" i="16"/>
  <c r="O250" i="16"/>
  <c r="I250" i="16"/>
  <c r="P250" i="16"/>
  <c r="L250" i="16"/>
  <c r="J100" i="16"/>
  <c r="I100" i="16"/>
  <c r="P100" i="16"/>
  <c r="L100" i="16"/>
  <c r="M100" i="16"/>
  <c r="N100" i="16"/>
  <c r="O100" i="16"/>
  <c r="K100" i="16"/>
  <c r="I236" i="16"/>
  <c r="M236" i="16"/>
  <c r="O236" i="16"/>
  <c r="J236" i="16"/>
  <c r="N236" i="16"/>
  <c r="K236" i="16"/>
  <c r="L236" i="16"/>
  <c r="P236" i="16"/>
  <c r="P210" i="16"/>
  <c r="K210" i="16"/>
  <c r="L210" i="16"/>
  <c r="M210" i="16"/>
  <c r="I210" i="16"/>
  <c r="O210" i="16"/>
  <c r="N210" i="16"/>
  <c r="J210" i="16"/>
  <c r="L223" i="16"/>
  <c r="J223" i="16"/>
  <c r="I223" i="16"/>
  <c r="N223" i="16"/>
  <c r="P223" i="16"/>
  <c r="K223" i="16"/>
  <c r="M223" i="16"/>
  <c r="O223" i="16"/>
  <c r="P294" i="16"/>
  <c r="O294" i="16"/>
  <c r="I294" i="16"/>
  <c r="N294" i="16"/>
  <c r="M294" i="16"/>
  <c r="J294" i="16"/>
  <c r="L294" i="16"/>
  <c r="K294" i="16"/>
  <c r="O96" i="16"/>
  <c r="I96" i="16"/>
  <c r="K96" i="16"/>
  <c r="P96" i="16"/>
  <c r="L96" i="16"/>
  <c r="M96" i="16"/>
  <c r="N96" i="16"/>
  <c r="J96" i="16"/>
  <c r="M13" i="16"/>
  <c r="P13" i="16"/>
  <c r="N13" i="16"/>
  <c r="I13" i="16"/>
  <c r="O13" i="16"/>
  <c r="K13" i="16"/>
  <c r="J13" i="16"/>
  <c r="L13" i="16"/>
  <c r="P25" i="16"/>
  <c r="N25" i="16"/>
  <c r="J25" i="16"/>
  <c r="M25" i="16"/>
  <c r="I25" i="16"/>
  <c r="O25" i="16"/>
  <c r="L25" i="16"/>
  <c r="K25" i="16"/>
  <c r="M117" i="16"/>
  <c r="I117" i="16"/>
  <c r="J117" i="16"/>
  <c r="N117" i="16"/>
  <c r="K117" i="16"/>
  <c r="O117" i="16"/>
  <c r="L117" i="16"/>
  <c r="P117" i="16"/>
  <c r="L31" i="16"/>
  <c r="K31" i="16"/>
  <c r="O31" i="16"/>
  <c r="N31" i="16"/>
  <c r="J31" i="16"/>
  <c r="P31" i="16"/>
  <c r="M31" i="16"/>
  <c r="I31" i="16"/>
  <c r="N105" i="16"/>
  <c r="M105" i="16"/>
  <c r="P105" i="16"/>
  <c r="J105" i="16"/>
  <c r="I105" i="16"/>
  <c r="L105" i="16"/>
  <c r="K105" i="16"/>
  <c r="O105" i="16"/>
  <c r="O292" i="16"/>
  <c r="K292" i="16"/>
  <c r="L292" i="16"/>
  <c r="I292" i="16"/>
  <c r="P292" i="16"/>
  <c r="M292" i="16"/>
  <c r="J292" i="16"/>
  <c r="N292" i="16"/>
  <c r="I185" i="16"/>
  <c r="P185" i="16"/>
  <c r="N185" i="16"/>
  <c r="L185" i="16"/>
  <c r="O185" i="16"/>
  <c r="M185" i="16"/>
  <c r="J185" i="16"/>
  <c r="K185" i="16"/>
  <c r="J85" i="16"/>
  <c r="M85" i="16"/>
  <c r="K85" i="16"/>
  <c r="I85" i="16"/>
  <c r="O85" i="16"/>
  <c r="L85" i="16"/>
  <c r="P85" i="16"/>
  <c r="N85" i="16"/>
  <c r="K122" i="16"/>
  <c r="J122" i="16"/>
  <c r="O122" i="16"/>
  <c r="P122" i="16"/>
  <c r="N122" i="16"/>
  <c r="I122" i="16"/>
  <c r="L122" i="16"/>
  <c r="M122" i="16"/>
  <c r="N246" i="16"/>
  <c r="J246" i="16"/>
  <c r="O246" i="16"/>
  <c r="L246" i="16"/>
  <c r="K246" i="16"/>
  <c r="P246" i="16"/>
  <c r="M246" i="16"/>
  <c r="I246" i="16"/>
  <c r="J72" i="16"/>
  <c r="M72" i="16"/>
  <c r="P72" i="16"/>
  <c r="O72" i="16"/>
  <c r="L72" i="16"/>
  <c r="I72" i="16"/>
  <c r="N72" i="16"/>
  <c r="K72" i="16"/>
  <c r="P41" i="16"/>
  <c r="L41" i="16"/>
  <c r="J41" i="16"/>
  <c r="M41" i="16"/>
  <c r="O41" i="16"/>
  <c r="I41" i="16"/>
  <c r="N41" i="16"/>
  <c r="K41" i="16"/>
  <c r="K240" i="16"/>
  <c r="M240" i="16"/>
  <c r="O240" i="16"/>
  <c r="P240" i="16"/>
  <c r="I240" i="16"/>
  <c r="N240" i="16"/>
  <c r="J240" i="16"/>
  <c r="L240" i="16"/>
  <c r="O226" i="16"/>
  <c r="N226" i="16"/>
  <c r="J226" i="16"/>
  <c r="L226" i="16"/>
  <c r="K226" i="16"/>
  <c r="P226" i="16"/>
  <c r="M226" i="16"/>
  <c r="I226" i="16"/>
  <c r="I84" i="16"/>
  <c r="P84" i="16"/>
  <c r="O84" i="16"/>
  <c r="J84" i="16"/>
  <c r="M84" i="16"/>
  <c r="L84" i="16"/>
  <c r="N84" i="16"/>
  <c r="K84" i="16"/>
  <c r="K254" i="16"/>
  <c r="O254" i="16"/>
  <c r="J254" i="16"/>
  <c r="I254" i="16"/>
  <c r="N254" i="16"/>
  <c r="P254" i="16"/>
  <c r="L254" i="16"/>
  <c r="M254" i="16"/>
  <c r="J134" i="16"/>
  <c r="I134" i="16"/>
  <c r="N134" i="16"/>
  <c r="L134" i="16"/>
  <c r="M134" i="16"/>
  <c r="O134" i="16"/>
  <c r="K134" i="16"/>
  <c r="P134" i="16"/>
  <c r="M45" i="16"/>
  <c r="J45" i="16"/>
  <c r="O45" i="16"/>
  <c r="L45" i="16"/>
  <c r="N45" i="16"/>
  <c r="I45" i="16"/>
  <c r="K45" i="16"/>
  <c r="P45" i="16"/>
  <c r="I279" i="16"/>
  <c r="M279" i="16"/>
  <c r="N279" i="16"/>
  <c r="P279" i="16"/>
  <c r="J279" i="16"/>
  <c r="K279" i="16"/>
  <c r="O279" i="16"/>
  <c r="L279" i="16"/>
  <c r="K58" i="16"/>
  <c r="L58" i="16"/>
  <c r="J58" i="16"/>
  <c r="P58" i="16"/>
  <c r="N58" i="16"/>
  <c r="M58" i="16"/>
  <c r="I58" i="16"/>
  <c r="O58" i="16"/>
  <c r="P259" i="16"/>
  <c r="L259" i="16"/>
  <c r="I259" i="16"/>
  <c r="O259" i="16"/>
  <c r="K259" i="16"/>
  <c r="M259" i="16"/>
  <c r="J259" i="16"/>
  <c r="N259" i="16"/>
  <c r="P296" i="16"/>
  <c r="I296" i="16"/>
  <c r="K296" i="16"/>
  <c r="M296" i="16"/>
  <c r="O296" i="16"/>
  <c r="N296" i="16"/>
  <c r="J296" i="16"/>
  <c r="L296" i="16"/>
  <c r="N62" i="16"/>
  <c r="P62" i="16"/>
  <c r="O62" i="16"/>
  <c r="J62" i="16"/>
  <c r="L62" i="16"/>
  <c r="M62" i="16"/>
  <c r="I62" i="16"/>
  <c r="K62" i="16"/>
  <c r="I53" i="16"/>
  <c r="O53" i="16"/>
  <c r="N53" i="16"/>
  <c r="L53" i="16"/>
  <c r="M53" i="16"/>
  <c r="P53" i="16"/>
  <c r="J53" i="16"/>
  <c r="K53" i="16"/>
  <c r="I49" i="16"/>
  <c r="P49" i="16"/>
  <c r="K49" i="16"/>
  <c r="L49" i="16"/>
  <c r="N49" i="16"/>
  <c r="J49" i="16"/>
  <c r="M49" i="16"/>
  <c r="O49" i="16"/>
  <c r="P131" i="16"/>
  <c r="M131" i="16"/>
  <c r="I131" i="16"/>
  <c r="O131" i="16"/>
  <c r="K131" i="16"/>
  <c r="N131" i="16"/>
  <c r="J131" i="16"/>
  <c r="L131" i="16"/>
  <c r="M265" i="16"/>
  <c r="P265" i="16"/>
  <c r="J265" i="16"/>
  <c r="K265" i="16"/>
  <c r="I265" i="16"/>
  <c r="N265" i="16"/>
  <c r="O265" i="16"/>
  <c r="L265" i="16"/>
  <c r="I183" i="16"/>
  <c r="O183" i="16"/>
  <c r="N183" i="16"/>
  <c r="J183" i="16"/>
  <c r="M183" i="16"/>
  <c r="P183" i="16"/>
  <c r="K183" i="16"/>
  <c r="L183" i="16"/>
  <c r="P10" i="16"/>
  <c r="N10" i="16"/>
  <c r="K10" i="16"/>
  <c r="J10" i="16"/>
  <c r="M10" i="16"/>
  <c r="I10" i="16"/>
  <c r="O10" i="16"/>
  <c r="L10" i="16"/>
  <c r="I269" i="16"/>
  <c r="O269" i="16"/>
  <c r="L269" i="16"/>
  <c r="K269" i="16"/>
  <c r="N269" i="16"/>
  <c r="M269" i="16"/>
  <c r="P269" i="16"/>
  <c r="J269" i="16"/>
  <c r="I51" i="16"/>
  <c r="N51" i="16"/>
  <c r="J51" i="16"/>
  <c r="P51" i="16"/>
  <c r="O51" i="16"/>
  <c r="L51" i="16"/>
  <c r="K51" i="16"/>
  <c r="M51" i="16"/>
  <c r="N186" i="16"/>
  <c r="K186" i="16"/>
  <c r="L186" i="16"/>
  <c r="M186" i="16"/>
  <c r="P186" i="16"/>
  <c r="I186" i="16"/>
  <c r="J186" i="16"/>
  <c r="O186" i="16"/>
  <c r="N66" i="16"/>
  <c r="K66" i="16"/>
  <c r="J66" i="16"/>
  <c r="L66" i="16"/>
  <c r="P66" i="16"/>
  <c r="I66" i="16"/>
  <c r="M66" i="16"/>
  <c r="O66" i="16"/>
  <c r="J50" i="16"/>
  <c r="P50" i="16"/>
  <c r="K50" i="16"/>
  <c r="N50" i="16"/>
  <c r="O50" i="16"/>
  <c r="M50" i="16"/>
  <c r="L50" i="16"/>
  <c r="I50" i="16"/>
  <c r="J141" i="16"/>
  <c r="K141" i="16"/>
  <c r="I141" i="16"/>
  <c r="M141" i="16"/>
  <c r="L141" i="16"/>
  <c r="O141" i="16"/>
  <c r="N141" i="16"/>
  <c r="P141" i="16"/>
  <c r="O203" i="16"/>
  <c r="P203" i="16"/>
  <c r="K203" i="16"/>
  <c r="J203" i="16"/>
  <c r="I203" i="16"/>
  <c r="L203" i="16"/>
  <c r="N203" i="16"/>
  <c r="M203" i="16"/>
  <c r="I281" i="16"/>
  <c r="O281" i="16"/>
  <c r="N281" i="16"/>
  <c r="J281" i="16"/>
  <c r="M281" i="16"/>
  <c r="K281" i="16"/>
  <c r="P281" i="16"/>
  <c r="L281" i="16"/>
  <c r="M232" i="16"/>
  <c r="I232" i="16"/>
  <c r="N232" i="16"/>
  <c r="P232" i="16"/>
  <c r="L232" i="16"/>
  <c r="O232" i="16"/>
  <c r="J232" i="16"/>
  <c r="K232" i="16"/>
  <c r="P284" i="16"/>
  <c r="N284" i="16"/>
  <c r="K284" i="16"/>
  <c r="M284" i="16"/>
  <c r="J284" i="16"/>
  <c r="O284" i="16"/>
  <c r="I284" i="16"/>
  <c r="L284" i="16"/>
  <c r="M171" i="16"/>
  <c r="N171" i="16"/>
  <c r="O171" i="16"/>
  <c r="K171" i="16"/>
  <c r="J171" i="16"/>
  <c r="P171" i="16"/>
  <c r="L171" i="16"/>
  <c r="I171" i="16"/>
  <c r="M8" i="16"/>
  <c r="I8" i="16"/>
  <c r="O8" i="16"/>
  <c r="L8" i="16"/>
  <c r="K8" i="16"/>
  <c r="N8" i="16"/>
  <c r="J8" i="16"/>
  <c r="P8" i="16"/>
  <c r="N112" i="16"/>
  <c r="M112" i="16"/>
  <c r="J112" i="16"/>
  <c r="I112" i="16"/>
  <c r="K112" i="16"/>
  <c r="L112" i="16"/>
  <c r="P112" i="16"/>
  <c r="O112" i="16"/>
  <c r="K206" i="16"/>
  <c r="M206" i="16"/>
  <c r="J206" i="16"/>
  <c r="L206" i="16"/>
  <c r="P206" i="16"/>
  <c r="I206" i="16"/>
  <c r="O206" i="16"/>
  <c r="N206" i="16"/>
  <c r="M17" i="16"/>
  <c r="O17" i="16"/>
  <c r="K17" i="16"/>
  <c r="L17" i="16"/>
  <c r="N17" i="16"/>
  <c r="I17" i="16"/>
  <c r="P17" i="16"/>
  <c r="J17" i="16"/>
  <c r="I305" i="16"/>
  <c r="P305" i="16"/>
  <c r="N305" i="16"/>
  <c r="M305" i="16"/>
  <c r="O305" i="16"/>
  <c r="L305" i="16"/>
  <c r="K305" i="16"/>
  <c r="J305" i="16"/>
  <c r="I175" i="16"/>
  <c r="O175" i="16"/>
  <c r="N175" i="16"/>
  <c r="J175" i="16"/>
  <c r="P175" i="16"/>
  <c r="M175" i="16"/>
  <c r="L175" i="16"/>
  <c r="K175" i="16"/>
  <c r="I184" i="16"/>
  <c r="K184" i="16"/>
  <c r="M184" i="16"/>
  <c r="L184" i="16"/>
  <c r="J184" i="16"/>
  <c r="N184" i="16"/>
  <c r="O184" i="16"/>
  <c r="P184" i="16"/>
  <c r="I44" i="16"/>
  <c r="P44" i="16"/>
  <c r="O44" i="16"/>
  <c r="L44" i="16"/>
  <c r="N44" i="16"/>
  <c r="J44" i="16"/>
  <c r="K44" i="16"/>
  <c r="M44" i="16"/>
  <c r="O150" i="16"/>
  <c r="M150" i="16"/>
  <c r="I150" i="16"/>
  <c r="N150" i="16"/>
  <c r="K150" i="16"/>
  <c r="J150" i="16"/>
  <c r="L150" i="16"/>
  <c r="P150" i="16"/>
  <c r="N306" i="16"/>
  <c r="L306" i="16"/>
  <c r="J306" i="16"/>
  <c r="K306" i="16"/>
  <c r="O306" i="16"/>
  <c r="P306" i="16"/>
  <c r="M306" i="16"/>
  <c r="I306" i="16"/>
  <c r="M196" i="16"/>
  <c r="J196" i="16"/>
  <c r="I196" i="16"/>
  <c r="P196" i="16"/>
  <c r="O196" i="16"/>
  <c r="N196" i="16"/>
  <c r="K196" i="16"/>
  <c r="L196" i="16"/>
  <c r="M158" i="16"/>
  <c r="I158" i="16"/>
  <c r="K158" i="16"/>
  <c r="L158" i="16"/>
  <c r="N158" i="16"/>
  <c r="O158" i="16"/>
  <c r="J158" i="16"/>
  <c r="P158" i="16"/>
  <c r="N143" i="16"/>
  <c r="L143" i="16"/>
  <c r="J143" i="16"/>
  <c r="I143" i="16"/>
  <c r="O143" i="16"/>
  <c r="K143" i="16"/>
  <c r="M143" i="16"/>
  <c r="P143" i="16"/>
  <c r="J193" i="16"/>
  <c r="O193" i="16"/>
  <c r="M193" i="16"/>
  <c r="K193" i="16"/>
  <c r="P193" i="16"/>
  <c r="N193" i="16"/>
  <c r="L193" i="16"/>
  <c r="I193" i="16"/>
  <c r="O139" i="16"/>
  <c r="I139" i="16"/>
  <c r="K139" i="16"/>
  <c r="M139" i="16"/>
  <c r="P139" i="16"/>
  <c r="L139" i="16"/>
  <c r="J139" i="16"/>
  <c r="N139" i="16"/>
  <c r="J245" i="16"/>
  <c r="I245" i="16"/>
  <c r="N245" i="16"/>
  <c r="O245" i="16"/>
  <c r="P245" i="16"/>
  <c r="K245" i="16"/>
  <c r="L245" i="16"/>
  <c r="M245" i="16"/>
  <c r="P94" i="16"/>
  <c r="M94" i="16"/>
  <c r="N94" i="16"/>
  <c r="I94" i="16"/>
  <c r="K94" i="16"/>
  <c r="L94" i="16"/>
  <c r="O94" i="16"/>
  <c r="J94" i="16"/>
  <c r="N228" i="16"/>
  <c r="J228" i="16"/>
  <c r="P228" i="16"/>
  <c r="O228" i="16"/>
  <c r="I228" i="16"/>
  <c r="L228" i="16"/>
  <c r="M228" i="16"/>
  <c r="K228" i="16"/>
  <c r="K34" i="16"/>
  <c r="J34" i="16"/>
  <c r="M34" i="16"/>
  <c r="P34" i="16"/>
  <c r="N34" i="16"/>
  <c r="O34" i="16"/>
  <c r="L34" i="16"/>
  <c r="I34" i="16"/>
  <c r="K159" i="16"/>
  <c r="P159" i="16"/>
  <c r="L159" i="16"/>
  <c r="I159" i="16"/>
  <c r="J159" i="16"/>
  <c r="M159" i="16"/>
  <c r="N159" i="16"/>
  <c r="O159" i="16"/>
  <c r="N164" i="16"/>
  <c r="M164" i="16"/>
  <c r="P164" i="16"/>
  <c r="O164" i="16"/>
  <c r="K164" i="16"/>
  <c r="J164" i="16"/>
  <c r="L164" i="16"/>
  <c r="I164" i="16"/>
  <c r="I39" i="16"/>
  <c r="N39" i="16"/>
  <c r="K39" i="16"/>
  <c r="L39" i="16"/>
  <c r="J39" i="16"/>
  <c r="P39" i="16"/>
  <c r="O39" i="16"/>
  <c r="M39" i="16"/>
  <c r="N47" i="16"/>
  <c r="M47" i="16"/>
  <c r="J47" i="16"/>
  <c r="I47" i="16"/>
  <c r="O47" i="16"/>
  <c r="P47" i="16"/>
  <c r="K47" i="16"/>
  <c r="L47" i="16"/>
  <c r="N142" i="16"/>
  <c r="K142" i="16"/>
  <c r="O142" i="16"/>
  <c r="M142" i="16"/>
  <c r="P142" i="16"/>
  <c r="I142" i="16"/>
  <c r="L142" i="16"/>
  <c r="J142" i="16"/>
  <c r="N76" i="16"/>
  <c r="M76" i="16"/>
  <c r="I76" i="16"/>
  <c r="O76" i="16"/>
  <c r="J76" i="16"/>
  <c r="K76" i="16"/>
  <c r="P76" i="16"/>
  <c r="L76" i="16"/>
  <c r="K290" i="16"/>
  <c r="J290" i="16"/>
  <c r="M290" i="16"/>
  <c r="P290" i="16"/>
  <c r="N290" i="16"/>
  <c r="L290" i="16"/>
  <c r="I290" i="16"/>
  <c r="O290" i="16"/>
  <c r="L304" i="16"/>
  <c r="O304" i="16"/>
  <c r="I304" i="16"/>
  <c r="M304" i="16"/>
  <c r="N304" i="16"/>
  <c r="K304" i="16"/>
  <c r="J304" i="16"/>
  <c r="P304" i="16"/>
  <c r="L27" i="16"/>
  <c r="N27" i="16"/>
  <c r="I27" i="16"/>
  <c r="O27" i="16"/>
  <c r="P27" i="16"/>
  <c r="J27" i="16"/>
  <c r="K27" i="16"/>
  <c r="M27" i="16"/>
  <c r="J182" i="16"/>
  <c r="P182" i="16"/>
  <c r="K182" i="16"/>
  <c r="O182" i="16"/>
  <c r="M182" i="16"/>
  <c r="I182" i="16"/>
  <c r="N182" i="16"/>
  <c r="L182" i="16"/>
  <c r="K116" i="16"/>
  <c r="N116" i="16"/>
  <c r="M116" i="16"/>
  <c r="P116" i="16"/>
  <c r="O116" i="16"/>
  <c r="L116" i="16"/>
  <c r="I116" i="16"/>
  <c r="J116" i="16"/>
  <c r="M154" i="16"/>
  <c r="O154" i="16"/>
  <c r="P154" i="16"/>
  <c r="K154" i="16"/>
  <c r="L154" i="16"/>
  <c r="J154" i="16"/>
  <c r="I154" i="16"/>
  <c r="N154" i="16"/>
  <c r="P22" i="16"/>
  <c r="K22" i="16"/>
  <c r="O22" i="16"/>
  <c r="J22" i="16"/>
  <c r="M22" i="16"/>
  <c r="N22" i="16"/>
  <c r="I22" i="16"/>
  <c r="L22" i="16"/>
  <c r="N214" i="16"/>
  <c r="K214" i="16"/>
  <c r="O214" i="16"/>
  <c r="P214" i="16"/>
  <c r="L214" i="16"/>
  <c r="J214" i="16"/>
  <c r="M214" i="16"/>
  <c r="I214" i="16"/>
  <c r="L229" i="16"/>
  <c r="N229" i="16"/>
  <c r="O229" i="16"/>
  <c r="I229" i="16"/>
  <c r="M229" i="16"/>
  <c r="P229" i="16"/>
  <c r="J229" i="16"/>
  <c r="K229" i="16"/>
  <c r="L191" i="16"/>
  <c r="K191" i="16"/>
  <c r="O191" i="16"/>
  <c r="P191" i="16"/>
  <c r="M191" i="16"/>
  <c r="J191" i="16"/>
  <c r="I191" i="16"/>
  <c r="N191" i="16"/>
  <c r="M222" i="16"/>
  <c r="I222" i="16"/>
  <c r="K222" i="16"/>
  <c r="N222" i="16"/>
  <c r="L222" i="16"/>
  <c r="J222" i="16"/>
  <c r="P222" i="16"/>
  <c r="O222" i="16"/>
  <c r="J258" i="16"/>
  <c r="L258" i="16"/>
  <c r="K258" i="16"/>
  <c r="P258" i="16"/>
  <c r="O258" i="16"/>
  <c r="M258" i="16"/>
  <c r="I258" i="16"/>
  <c r="N258" i="16"/>
  <c r="L204" i="16"/>
  <c r="M204" i="16"/>
  <c r="O204" i="16"/>
  <c r="J204" i="16"/>
  <c r="I204" i="16"/>
  <c r="N204" i="16"/>
  <c r="P204" i="16"/>
  <c r="K204" i="16"/>
  <c r="I267" i="16"/>
  <c r="P267" i="16"/>
  <c r="K267" i="16"/>
  <c r="J267" i="16"/>
  <c r="O267" i="16"/>
  <c r="N267" i="16"/>
  <c r="M267" i="16"/>
  <c r="L267" i="16"/>
  <c r="N263" i="16"/>
  <c r="M263" i="16"/>
  <c r="O263" i="16"/>
  <c r="L263" i="16"/>
  <c r="K263" i="16"/>
  <c r="J263" i="16"/>
  <c r="I263" i="16"/>
  <c r="P263" i="16"/>
  <c r="I178" i="16"/>
  <c r="O178" i="16"/>
  <c r="N178" i="16"/>
  <c r="P178" i="16"/>
  <c r="L178" i="16"/>
  <c r="J178" i="16"/>
  <c r="M178" i="16"/>
  <c r="K178" i="16"/>
  <c r="O42" i="16"/>
  <c r="K42" i="16"/>
  <c r="L42" i="16"/>
  <c r="J42" i="16"/>
  <c r="I42" i="16"/>
  <c r="M42" i="16"/>
  <c r="P42" i="16"/>
  <c r="N42" i="16"/>
  <c r="P68" i="16"/>
  <c r="M68" i="16"/>
  <c r="K68" i="16"/>
  <c r="J68" i="16"/>
  <c r="N68" i="16"/>
  <c r="O68" i="16"/>
  <c r="L68" i="16"/>
  <c r="I68" i="16"/>
  <c r="I243" i="16"/>
  <c r="M243" i="16"/>
  <c r="J243" i="16"/>
  <c r="P243" i="16"/>
  <c r="L243" i="16"/>
  <c r="O243" i="16"/>
  <c r="K243" i="16"/>
  <c r="N243" i="16"/>
  <c r="I104" i="16"/>
  <c r="L104" i="16"/>
  <c r="K104" i="16"/>
  <c r="M104" i="16"/>
  <c r="O104" i="16"/>
  <c r="P104" i="16"/>
  <c r="N104" i="16"/>
  <c r="J104" i="16"/>
  <c r="O135" i="16"/>
  <c r="L135" i="16"/>
  <c r="J135" i="16"/>
  <c r="M135" i="16"/>
  <c r="K135" i="16"/>
  <c r="P135" i="16"/>
  <c r="I135" i="16"/>
  <c r="N135" i="16"/>
  <c r="X577" i="14"/>
  <c r="AU89" i="1"/>
  <c r="X407" i="14"/>
  <c r="Z475" i="14"/>
  <c r="AT98" i="1"/>
  <c r="N115" i="4"/>
  <c r="AU111" i="1"/>
  <c r="M315" i="4"/>
  <c r="M564" i="4"/>
  <c r="M514" i="4"/>
  <c r="M565" i="4"/>
  <c r="M165" i="4"/>
  <c r="M65" i="4"/>
  <c r="M115" i="4"/>
  <c r="M265" i="4"/>
  <c r="M15" i="4"/>
  <c r="M215" i="4"/>
  <c r="M365" i="4"/>
  <c r="M515" i="4"/>
  <c r="M415" i="4"/>
  <c r="Z645" i="14"/>
  <c r="AL661" i="14" s="1"/>
  <c r="E98" i="1"/>
  <c r="BC98" i="1"/>
  <c r="BF98" i="1"/>
  <c r="AN665" i="14" l="1"/>
  <c r="AL657" i="14"/>
  <c r="AM659" i="14"/>
  <c r="AM657" i="14"/>
  <c r="AM670" i="14"/>
  <c r="AM667" i="14"/>
  <c r="AN663" i="14"/>
  <c r="AN659" i="14"/>
  <c r="AO666" i="14"/>
  <c r="AM662" i="14"/>
  <c r="AO658" i="14"/>
  <c r="AL665" i="14"/>
  <c r="AM660" i="14"/>
  <c r="AL664" i="14"/>
  <c r="AO662" i="14"/>
  <c r="AM665" i="14"/>
  <c r="AM658" i="14"/>
  <c r="AN657" i="14"/>
  <c r="AN670" i="14"/>
  <c r="AN660" i="14"/>
  <c r="AO670" i="14"/>
  <c r="AN669" i="14"/>
  <c r="AO665" i="14"/>
  <c r="AL658" i="14"/>
  <c r="AO661" i="14"/>
  <c r="AO667" i="14"/>
  <c r="AN668" i="14"/>
  <c r="AL666" i="14"/>
  <c r="AN662" i="14"/>
  <c r="AL670" i="14"/>
  <c r="AM669" i="14"/>
  <c r="AM664" i="14"/>
  <c r="AL668" i="14"/>
  <c r="AN661" i="14"/>
  <c r="AL663" i="14"/>
  <c r="AN664" i="14"/>
  <c r="AL662" i="14"/>
  <c r="AL669" i="14"/>
  <c r="AL667" i="14"/>
  <c r="AO668" i="14"/>
  <c r="AO664" i="14"/>
  <c r="AO657" i="14"/>
  <c r="AL660" i="14"/>
  <c r="AM668" i="14"/>
  <c r="AM663" i="14"/>
  <c r="AN658" i="14"/>
  <c r="AN667" i="14"/>
  <c r="AO659" i="14"/>
  <c r="AO663" i="14"/>
  <c r="AM666" i="14"/>
  <c r="AL659" i="14"/>
  <c r="AN666" i="14"/>
  <c r="AO669" i="14"/>
  <c r="AO660" i="14"/>
  <c r="AM661" i="14"/>
  <c r="AE62" i="1"/>
  <c r="Z62" i="1"/>
  <c r="AS344" i="17"/>
  <c r="E344" i="17"/>
  <c r="E345" i="17"/>
  <c r="AA62" i="1"/>
  <c r="AE63" i="1"/>
  <c r="Z63" i="1"/>
  <c r="AA63" i="1"/>
  <c r="AE68" i="1"/>
  <c r="Z68" i="1"/>
  <c r="AA68" i="1"/>
  <c r="AE69" i="1"/>
  <c r="Z69" i="1"/>
  <c r="AA69" i="1"/>
  <c r="AE74" i="1"/>
  <c r="Z74" i="1"/>
  <c r="AA74" i="1"/>
  <c r="AE75" i="1"/>
  <c r="Z75" i="1"/>
  <c r="AA75" i="1"/>
  <c r="AE76" i="1"/>
  <c r="Z76" i="1"/>
  <c r="AA76" i="1"/>
  <c r="AE77" i="1"/>
  <c r="Z77" i="1"/>
  <c r="AA77" i="1"/>
  <c r="AE82" i="1"/>
  <c r="Z82" i="1"/>
  <c r="AA82" i="1"/>
  <c r="AE83" i="1"/>
  <c r="Z83" i="1"/>
  <c r="AA83" i="1"/>
  <c r="AE88" i="1"/>
  <c r="Z88" i="1"/>
  <c r="AA88" i="1"/>
  <c r="AE89" i="1"/>
  <c r="Z89" i="1"/>
  <c r="AA89" i="1"/>
  <c r="AE90" i="1"/>
  <c r="Z90" i="1"/>
  <c r="AA90" i="1"/>
  <c r="AE91" i="1"/>
  <c r="Z91" i="1"/>
  <c r="AA91" i="1"/>
  <c r="AG7" i="3"/>
  <c r="AB62" i="1"/>
  <c r="AC62" i="1"/>
  <c r="AB63" i="1"/>
  <c r="AC63" i="1"/>
  <c r="AB68" i="1"/>
  <c r="AC68" i="1"/>
  <c r="AB69" i="1"/>
  <c r="AC69" i="1"/>
  <c r="AB74" i="1"/>
  <c r="AC74" i="1"/>
  <c r="AB75" i="1"/>
  <c r="AC75" i="1"/>
  <c r="AB76" i="1"/>
  <c r="AC76" i="1"/>
  <c r="AB77" i="1"/>
  <c r="AC77" i="1"/>
  <c r="AB82" i="1"/>
  <c r="AC82" i="1"/>
  <c r="AB83" i="1"/>
  <c r="AC83" i="1"/>
  <c r="AB88" i="1"/>
  <c r="AC88" i="1"/>
  <c r="AB89" i="1"/>
  <c r="AC89" i="1"/>
  <c r="AB90" i="1"/>
  <c r="AC90" i="1"/>
  <c r="AB91" i="1"/>
  <c r="AC91" i="1"/>
  <c r="AH7" i="3"/>
  <c r="AM7" i="3"/>
  <c r="AG8" i="3"/>
  <c r="AH8" i="3"/>
  <c r="AM8" i="3"/>
  <c r="AG9" i="3"/>
  <c r="AH9" i="3"/>
  <c r="AM9" i="3"/>
  <c r="AG10" i="3"/>
  <c r="AH10" i="3"/>
  <c r="AM10" i="3"/>
  <c r="BL7" i="3"/>
  <c r="BK7" i="3"/>
  <c r="BL8" i="3"/>
  <c r="BK8" i="3"/>
  <c r="BL9" i="3"/>
  <c r="BK9" i="3"/>
  <c r="BL10" i="3"/>
  <c r="BK10" i="3"/>
  <c r="BM7" i="3"/>
  <c r="BN6" i="3"/>
  <c r="BN7" i="3"/>
  <c r="BO7" i="3"/>
  <c r="BN8" i="3"/>
  <c r="BO8" i="3"/>
  <c r="BN9" i="3"/>
  <c r="BO9" i="3"/>
  <c r="BN10" i="3"/>
  <c r="BO10" i="3"/>
  <c r="BP7" i="3"/>
  <c r="CE7" i="3"/>
  <c r="CL7" i="3"/>
  <c r="CF7" i="3"/>
  <c r="CG7" i="3"/>
  <c r="BP8" i="3"/>
  <c r="CE8" i="3"/>
  <c r="CL8" i="3"/>
  <c r="AH62" i="1"/>
  <c r="Y62" i="1"/>
  <c r="AD62" i="1"/>
  <c r="AF62" i="1"/>
  <c r="AG62" i="1"/>
  <c r="AI62" i="1"/>
  <c r="AJ62" i="1"/>
  <c r="AP62" i="1"/>
  <c r="AQ62" i="1"/>
  <c r="AR62" i="1"/>
  <c r="AV62" i="1"/>
  <c r="AW62" i="1"/>
  <c r="AH63" i="1"/>
  <c r="Y63" i="1"/>
  <c r="AD63" i="1"/>
  <c r="AF63" i="1"/>
  <c r="AG63" i="1"/>
  <c r="AI63" i="1"/>
  <c r="AJ63" i="1"/>
  <c r="AP63" i="1"/>
  <c r="AQ63" i="1"/>
  <c r="AR63" i="1"/>
  <c r="AV63" i="1"/>
  <c r="AW63" i="1"/>
  <c r="AH68" i="1"/>
  <c r="Y68" i="1"/>
  <c r="AD68" i="1"/>
  <c r="AF68" i="1"/>
  <c r="AG68" i="1"/>
  <c r="AI68" i="1"/>
  <c r="AJ68" i="1"/>
  <c r="BP9" i="3"/>
  <c r="BB7" i="3"/>
  <c r="BA7" i="3"/>
  <c r="BB8" i="3"/>
  <c r="BA8" i="3"/>
  <c r="BM8" i="3"/>
  <c r="BQ6" i="3"/>
  <c r="BQ7" i="3"/>
  <c r="BQ8" i="3"/>
  <c r="BQ9" i="3"/>
  <c r="BQ10" i="3"/>
  <c r="BB9" i="3"/>
  <c r="BA9" i="3"/>
  <c r="BB10" i="3"/>
  <c r="BA10" i="3"/>
  <c r="AG13" i="3"/>
  <c r="AH13" i="3"/>
  <c r="AM13" i="3"/>
  <c r="AG14" i="3"/>
  <c r="AH14" i="3"/>
  <c r="AM14" i="3"/>
  <c r="AG15" i="3"/>
  <c r="AH15" i="3"/>
  <c r="AM15" i="3"/>
  <c r="AG16" i="3"/>
  <c r="AH16" i="3"/>
  <c r="AM16" i="3"/>
  <c r="BL13" i="3"/>
  <c r="BK13" i="3"/>
  <c r="BL14" i="3"/>
  <c r="BK14" i="3"/>
  <c r="BL15" i="3"/>
  <c r="BK15" i="3"/>
  <c r="BL16" i="3"/>
  <c r="BK16" i="3"/>
  <c r="BM13" i="3"/>
  <c r="BN12" i="3"/>
  <c r="BN13" i="3"/>
  <c r="BO13" i="3"/>
  <c r="BN14" i="3"/>
  <c r="BO14" i="3"/>
  <c r="BN15" i="3"/>
  <c r="BO15" i="3"/>
  <c r="BN16" i="3"/>
  <c r="BO16" i="3"/>
  <c r="BP15" i="3"/>
  <c r="BB13" i="3"/>
  <c r="BA13" i="3"/>
  <c r="BB14" i="3"/>
  <c r="BA14" i="3"/>
  <c r="BM14" i="3"/>
  <c r="BQ12" i="3"/>
  <c r="BQ13" i="3"/>
  <c r="BQ14" i="3"/>
  <c r="BQ15" i="3"/>
  <c r="BQ16" i="3"/>
  <c r="BB15" i="3"/>
  <c r="BA15" i="3"/>
  <c r="BB16" i="3"/>
  <c r="BA16" i="3"/>
  <c r="AG19" i="3"/>
  <c r="AH19" i="3"/>
  <c r="AM19" i="3"/>
  <c r="AG20" i="3"/>
  <c r="AH20" i="3"/>
  <c r="AM20" i="3"/>
  <c r="AG21" i="3"/>
  <c r="AH21" i="3"/>
  <c r="AM21" i="3"/>
  <c r="AG22" i="3"/>
  <c r="AH22" i="3"/>
  <c r="AM22" i="3"/>
  <c r="BL19" i="3"/>
  <c r="BK19" i="3"/>
  <c r="BL20" i="3"/>
  <c r="BK20" i="3"/>
  <c r="BL21" i="3"/>
  <c r="BK21" i="3"/>
  <c r="BL22" i="3"/>
  <c r="BK22" i="3"/>
  <c r="BM19" i="3"/>
  <c r="BN18" i="3"/>
  <c r="BN19" i="3"/>
  <c r="BO19" i="3"/>
  <c r="BN20" i="3"/>
  <c r="BO20" i="3"/>
  <c r="BN21" i="3"/>
  <c r="BO21" i="3"/>
  <c r="BN22" i="3"/>
  <c r="BO22" i="3"/>
  <c r="BP21" i="3"/>
  <c r="BB19" i="3"/>
  <c r="BA19" i="3"/>
  <c r="BB20" i="3"/>
  <c r="BA20" i="3"/>
  <c r="BM20" i="3"/>
  <c r="BQ18" i="3"/>
  <c r="BQ19" i="3"/>
  <c r="BQ20" i="3"/>
  <c r="BQ21" i="3"/>
  <c r="BQ22" i="3"/>
  <c r="BB21" i="3"/>
  <c r="BA21" i="3"/>
  <c r="BB22" i="3"/>
  <c r="BA22" i="3"/>
  <c r="AG25" i="3"/>
  <c r="AH25" i="3"/>
  <c r="AM25" i="3"/>
  <c r="AG26" i="3"/>
  <c r="AH26" i="3"/>
  <c r="AM26" i="3"/>
  <c r="AG27" i="3"/>
  <c r="AH27" i="3"/>
  <c r="AM27" i="3"/>
  <c r="AG28" i="3"/>
  <c r="AH28" i="3"/>
  <c r="AM28" i="3"/>
  <c r="BL25" i="3"/>
  <c r="BK25" i="3"/>
  <c r="BL26" i="3"/>
  <c r="BK26" i="3"/>
  <c r="BL27" i="3"/>
  <c r="BK27" i="3"/>
  <c r="BL28" i="3"/>
  <c r="BK28" i="3"/>
  <c r="BM25" i="3"/>
  <c r="BN24" i="3"/>
  <c r="BN25" i="3"/>
  <c r="BO25" i="3"/>
  <c r="BN26" i="3"/>
  <c r="BO26" i="3"/>
  <c r="BN27" i="3"/>
  <c r="BO27" i="3"/>
  <c r="BN28" i="3"/>
  <c r="BO28" i="3"/>
  <c r="BP27" i="3"/>
  <c r="BB25" i="3"/>
  <c r="BA25" i="3"/>
  <c r="BB26" i="3"/>
  <c r="BA26" i="3"/>
  <c r="BM26" i="3"/>
  <c r="BQ24" i="3"/>
  <c r="BQ25" i="3"/>
  <c r="BQ26" i="3"/>
  <c r="BQ27" i="3"/>
  <c r="BQ28" i="3"/>
  <c r="BB27" i="3"/>
  <c r="BA27" i="3"/>
  <c r="BB28" i="3"/>
  <c r="BA28" i="3"/>
  <c r="AG31" i="3"/>
  <c r="AH31" i="3"/>
  <c r="AM31" i="3"/>
  <c r="AG32" i="3"/>
  <c r="AH32" i="3"/>
  <c r="AM32" i="3"/>
  <c r="AG33" i="3"/>
  <c r="AH33" i="3"/>
  <c r="AM33" i="3"/>
  <c r="AG34" i="3"/>
  <c r="AH34" i="3"/>
  <c r="AM34" i="3"/>
  <c r="BL31" i="3"/>
  <c r="BK31" i="3"/>
  <c r="BL32" i="3"/>
  <c r="BK32" i="3"/>
  <c r="BL33" i="3"/>
  <c r="BK33" i="3"/>
  <c r="BL34" i="3"/>
  <c r="BK34" i="3"/>
  <c r="BM31" i="3"/>
  <c r="BN30" i="3"/>
  <c r="BN31" i="3"/>
  <c r="BO31" i="3"/>
  <c r="BN32" i="3"/>
  <c r="BO32" i="3"/>
  <c r="BN33" i="3"/>
  <c r="BO33" i="3"/>
  <c r="BN34" i="3"/>
  <c r="BO34" i="3"/>
  <c r="BP33" i="3"/>
  <c r="BB31" i="3"/>
  <c r="BA31" i="3"/>
  <c r="BB32" i="3"/>
  <c r="BA32" i="3"/>
  <c r="BM32" i="3"/>
  <c r="BQ30" i="3"/>
  <c r="BQ31" i="3"/>
  <c r="BQ32" i="3"/>
  <c r="BQ33" i="3"/>
  <c r="BQ34" i="3"/>
  <c r="BB33" i="3"/>
  <c r="BA33" i="3"/>
  <c r="BB34" i="3"/>
  <c r="BA34" i="3"/>
  <c r="AG37" i="3"/>
  <c r="AH37" i="3"/>
  <c r="AM37" i="3"/>
  <c r="AG38" i="3"/>
  <c r="AH38" i="3"/>
  <c r="AM38" i="3"/>
  <c r="AG39" i="3"/>
  <c r="AH39" i="3"/>
  <c r="AM39" i="3"/>
  <c r="AG40" i="3"/>
  <c r="AH40" i="3"/>
  <c r="AM40" i="3"/>
  <c r="BL37" i="3"/>
  <c r="BK37" i="3"/>
  <c r="BL38" i="3"/>
  <c r="BK38" i="3"/>
  <c r="BL39" i="3"/>
  <c r="BK39" i="3"/>
  <c r="BL40" i="3"/>
  <c r="BK40" i="3"/>
  <c r="BM37" i="3"/>
  <c r="BN36" i="3"/>
  <c r="BN37" i="3"/>
  <c r="BO37" i="3"/>
  <c r="BN38" i="3"/>
  <c r="BO38" i="3"/>
  <c r="BN39" i="3"/>
  <c r="BO39" i="3"/>
  <c r="BN40" i="3"/>
  <c r="BO40" i="3"/>
  <c r="BP39" i="3"/>
  <c r="BB37" i="3"/>
  <c r="BA37" i="3"/>
  <c r="BB38" i="3"/>
  <c r="BA38" i="3"/>
  <c r="BM38" i="3"/>
  <c r="BQ36" i="3"/>
  <c r="BQ37" i="3"/>
  <c r="BQ38" i="3"/>
  <c r="BQ39" i="3"/>
  <c r="BQ40" i="3"/>
  <c r="BB39" i="3"/>
  <c r="BA39" i="3"/>
  <c r="BB40" i="3"/>
  <c r="BA40" i="3"/>
  <c r="AK68" i="1"/>
  <c r="AL68" i="1"/>
  <c r="AM68" i="1"/>
  <c r="AP68" i="1"/>
  <c r="AQ68" i="1"/>
  <c r="AR68" i="1"/>
  <c r="AV68" i="1"/>
  <c r="AW68" i="1"/>
  <c r="AH69" i="1"/>
  <c r="Y69" i="1"/>
  <c r="AD69" i="1"/>
  <c r="AF69" i="1"/>
  <c r="AG69" i="1"/>
  <c r="AI69" i="1"/>
  <c r="AJ69" i="1"/>
  <c r="AK69" i="1"/>
  <c r="AL69" i="1"/>
  <c r="AM69" i="1"/>
  <c r="AP69" i="1"/>
  <c r="AQ69" i="1"/>
  <c r="AR69" i="1"/>
  <c r="AV69" i="1"/>
  <c r="AW69" i="1"/>
  <c r="AH74" i="1"/>
  <c r="Y74" i="1"/>
  <c r="AD74" i="1"/>
  <c r="AF74" i="1"/>
  <c r="AG74" i="1"/>
  <c r="AI74" i="1"/>
  <c r="AJ74" i="1"/>
  <c r="AK74" i="1"/>
  <c r="AL74" i="1"/>
  <c r="AM74" i="1"/>
  <c r="AP74" i="1"/>
  <c r="AQ74" i="1"/>
  <c r="AR74" i="1"/>
  <c r="AV74" i="1"/>
  <c r="AW74" i="1"/>
  <c r="AH75" i="1"/>
  <c r="Y75" i="1"/>
  <c r="AD75" i="1"/>
  <c r="AF75" i="1"/>
  <c r="AG75" i="1"/>
  <c r="AI75" i="1"/>
  <c r="AJ75" i="1"/>
  <c r="AK75" i="1"/>
  <c r="AL75" i="1"/>
  <c r="AM75" i="1"/>
  <c r="AP75" i="1"/>
  <c r="AQ75" i="1"/>
  <c r="AR75" i="1"/>
  <c r="AV75" i="1"/>
  <c r="AW75" i="1"/>
  <c r="AH76" i="1"/>
  <c r="Y76" i="1"/>
  <c r="AD76" i="1"/>
  <c r="AF76" i="1"/>
  <c r="AG76" i="1"/>
  <c r="AI76" i="1"/>
  <c r="AJ76" i="1"/>
  <c r="AK76" i="1"/>
  <c r="AL76" i="1"/>
  <c r="AM76" i="1"/>
  <c r="AP76" i="1"/>
  <c r="AQ76" i="1"/>
  <c r="AR76" i="1"/>
  <c r="AV76" i="1"/>
  <c r="AW76" i="1"/>
  <c r="AH77" i="1"/>
  <c r="Y77" i="1"/>
  <c r="AD77" i="1"/>
  <c r="AF77" i="1"/>
  <c r="AG77" i="1"/>
  <c r="AI77" i="1"/>
  <c r="AJ77" i="1"/>
  <c r="AK77" i="1"/>
  <c r="AL77" i="1"/>
  <c r="AM77" i="1"/>
  <c r="AP77" i="1"/>
  <c r="AQ77" i="1"/>
  <c r="AR77" i="1"/>
  <c r="AV77" i="1"/>
  <c r="AW77" i="1"/>
  <c r="AH82" i="1"/>
  <c r="Y82" i="1"/>
  <c r="AD82" i="1"/>
  <c r="AF82" i="1"/>
  <c r="AG82" i="1"/>
  <c r="AI82" i="1"/>
  <c r="AJ82" i="1"/>
  <c r="AK82" i="1"/>
  <c r="AL82" i="1"/>
  <c r="AM82" i="1"/>
  <c r="AP82" i="1"/>
  <c r="AQ82" i="1"/>
  <c r="AR82" i="1"/>
  <c r="AV82" i="1"/>
  <c r="AW82" i="1"/>
  <c r="AH83" i="1"/>
  <c r="Y83" i="1"/>
  <c r="AD83" i="1"/>
  <c r="AF83" i="1"/>
  <c r="AG83" i="1"/>
  <c r="AI83" i="1"/>
  <c r="AJ83" i="1"/>
  <c r="AK83" i="1"/>
  <c r="AL83" i="1"/>
  <c r="AM83" i="1"/>
  <c r="AP83" i="1"/>
  <c r="AQ83" i="1"/>
  <c r="AR83" i="1"/>
  <c r="AV83" i="1"/>
  <c r="AW83" i="1"/>
  <c r="AH88" i="1"/>
  <c r="Y88" i="1"/>
  <c r="AD88" i="1"/>
  <c r="AF88" i="1"/>
  <c r="AG88" i="1"/>
  <c r="AI88" i="1"/>
  <c r="AJ88" i="1"/>
  <c r="AK88" i="1"/>
  <c r="AL88" i="1"/>
  <c r="AM88" i="1"/>
  <c r="AP88" i="1"/>
  <c r="AQ88" i="1"/>
  <c r="AR88" i="1"/>
  <c r="AV88" i="1"/>
  <c r="AW88" i="1"/>
  <c r="AH89" i="1"/>
  <c r="Y89" i="1"/>
  <c r="AD89" i="1"/>
  <c r="AF89" i="1"/>
  <c r="AG89" i="1"/>
  <c r="AI89" i="1"/>
  <c r="AJ89" i="1"/>
  <c r="AK89" i="1"/>
  <c r="AL89" i="1"/>
  <c r="AM89" i="1"/>
  <c r="AP89" i="1"/>
  <c r="AQ89" i="1"/>
  <c r="AR89" i="1"/>
  <c r="AV89" i="1"/>
  <c r="AW89" i="1"/>
  <c r="AH90" i="1"/>
  <c r="Y90" i="1"/>
  <c r="AD90" i="1"/>
  <c r="AF90" i="1"/>
  <c r="AG90" i="1"/>
  <c r="AI90" i="1"/>
  <c r="AJ90" i="1"/>
  <c r="AK90" i="1"/>
  <c r="AL90" i="1"/>
  <c r="AM90" i="1"/>
  <c r="AP90" i="1"/>
  <c r="AQ90" i="1"/>
  <c r="AR90" i="1"/>
  <c r="AV90" i="1"/>
  <c r="AW90" i="1"/>
  <c r="AH91" i="1"/>
  <c r="Y91" i="1"/>
  <c r="AD91" i="1"/>
  <c r="AF91" i="1"/>
  <c r="AG91" i="1"/>
  <c r="AI91" i="1"/>
  <c r="AJ91" i="1"/>
  <c r="AK91" i="1"/>
  <c r="AL91" i="1"/>
  <c r="AM91" i="1"/>
  <c r="AP91" i="1"/>
  <c r="AQ91" i="1"/>
  <c r="AR91" i="1"/>
  <c r="AV91" i="1"/>
  <c r="AW91" i="1"/>
  <c r="CF8" i="3"/>
  <c r="CG8" i="3"/>
  <c r="CE9" i="3"/>
  <c r="CL9" i="3"/>
  <c r="CF9" i="3"/>
  <c r="CG9" i="3"/>
  <c r="CE11" i="3"/>
  <c r="CL11" i="3"/>
  <c r="CF11" i="3"/>
  <c r="CG11" i="3"/>
  <c r="CE12" i="3"/>
  <c r="CL12" i="3"/>
  <c r="CF12" i="3"/>
  <c r="CG12" i="3"/>
  <c r="CE13" i="3"/>
  <c r="CL13" i="3"/>
  <c r="CF13" i="3"/>
  <c r="CG13" i="3"/>
  <c r="CE15" i="3"/>
  <c r="CL15" i="3"/>
  <c r="CF15" i="3"/>
  <c r="CG15" i="3"/>
  <c r="CE16" i="3"/>
  <c r="CL16" i="3"/>
  <c r="CF16" i="3"/>
  <c r="CG16" i="3"/>
  <c r="CE17" i="3"/>
  <c r="CL17" i="3"/>
  <c r="CF17" i="3"/>
  <c r="CG17" i="3"/>
  <c r="BR7" i="3"/>
  <c r="BR8" i="3"/>
  <c r="BR9" i="3"/>
  <c r="BR10" i="3"/>
  <c r="BS7" i="3"/>
  <c r="CE19" i="3"/>
  <c r="CL19" i="3"/>
  <c r="CF19" i="3"/>
  <c r="CG19" i="3"/>
  <c r="BS8" i="3"/>
  <c r="CE20" i="3"/>
  <c r="CL20" i="3"/>
  <c r="CF20" i="3"/>
  <c r="CG20" i="3"/>
  <c r="CE22" i="3"/>
  <c r="CL22" i="3"/>
  <c r="CF22" i="3"/>
  <c r="CG22" i="3"/>
  <c r="CE23" i="3"/>
  <c r="CL23" i="3"/>
  <c r="CF23" i="3"/>
  <c r="CG23" i="3"/>
  <c r="BP13" i="3"/>
  <c r="CE27" i="3"/>
  <c r="CL27" i="3"/>
  <c r="CF27" i="3"/>
  <c r="CG27" i="3"/>
  <c r="BP14" i="3"/>
  <c r="CE28" i="3"/>
  <c r="CL28" i="3"/>
  <c r="CF28" i="3"/>
  <c r="CG28" i="3"/>
  <c r="CE29" i="3"/>
  <c r="CL29" i="3"/>
  <c r="CF29" i="3"/>
  <c r="CG29" i="3"/>
  <c r="CE31" i="3"/>
  <c r="CL31" i="3"/>
  <c r="CF31" i="3"/>
  <c r="CG31" i="3"/>
  <c r="CE32" i="3"/>
  <c r="CL32" i="3"/>
  <c r="CF32" i="3"/>
  <c r="CG32" i="3"/>
  <c r="CE33" i="3"/>
  <c r="CL33" i="3"/>
  <c r="CF33" i="3"/>
  <c r="CG33" i="3"/>
  <c r="CE35" i="3"/>
  <c r="CL35" i="3"/>
  <c r="CF35" i="3"/>
  <c r="CG35" i="3"/>
  <c r="CE36" i="3"/>
  <c r="CL36" i="3"/>
  <c r="CF36" i="3"/>
  <c r="CG36" i="3"/>
  <c r="CE37" i="3"/>
  <c r="CL37" i="3"/>
  <c r="CF37" i="3"/>
  <c r="CG37" i="3"/>
  <c r="BR13" i="3"/>
  <c r="BR14" i="3"/>
  <c r="BR15" i="3"/>
  <c r="BR16" i="3"/>
  <c r="BS13" i="3"/>
  <c r="CE39" i="3"/>
  <c r="CL39" i="3"/>
  <c r="CF39" i="3"/>
  <c r="CG39" i="3"/>
  <c r="BS14" i="3"/>
  <c r="CE40" i="3"/>
  <c r="CL40" i="3"/>
  <c r="CF40" i="3"/>
  <c r="CG40" i="3"/>
  <c r="CE42" i="3"/>
  <c r="CL42" i="3"/>
  <c r="CF42" i="3"/>
  <c r="CG42" i="3"/>
  <c r="CE43" i="3"/>
  <c r="CL43" i="3"/>
  <c r="CF43" i="3"/>
  <c r="CG43" i="3"/>
  <c r="BP19" i="3"/>
  <c r="CE47" i="3"/>
  <c r="CL47" i="3"/>
  <c r="CF47" i="3"/>
  <c r="CG47" i="3"/>
  <c r="BP20" i="3"/>
  <c r="CE48" i="3"/>
  <c r="CL48" i="3"/>
  <c r="CF48" i="3"/>
  <c r="CG48" i="3"/>
  <c r="CE49" i="3"/>
  <c r="CL49" i="3"/>
  <c r="CF49" i="3"/>
  <c r="CG49" i="3"/>
  <c r="CE51" i="3"/>
  <c r="CL51" i="3"/>
  <c r="CF51" i="3"/>
  <c r="CG51" i="3"/>
  <c r="CE52" i="3"/>
  <c r="CL52" i="3"/>
  <c r="CF52" i="3"/>
  <c r="CG52" i="3"/>
  <c r="CE53" i="3"/>
  <c r="CL53" i="3"/>
  <c r="CF53" i="3"/>
  <c r="CG53" i="3"/>
  <c r="CE55" i="3"/>
  <c r="CL55" i="3"/>
  <c r="CF55" i="3"/>
  <c r="CG55" i="3"/>
  <c r="CE56" i="3"/>
  <c r="CL56" i="3"/>
  <c r="CF56" i="3"/>
  <c r="CG56" i="3"/>
  <c r="CE57" i="3"/>
  <c r="CL57" i="3"/>
  <c r="CF57" i="3"/>
  <c r="CG57" i="3"/>
  <c r="BR19" i="3"/>
  <c r="BR20" i="3"/>
  <c r="BR21" i="3"/>
  <c r="BR22" i="3"/>
  <c r="BS19" i="3"/>
  <c r="CE59" i="3"/>
  <c r="CL59" i="3"/>
  <c r="CF59" i="3"/>
  <c r="CG59" i="3"/>
  <c r="BS20" i="3"/>
  <c r="CE60" i="3"/>
  <c r="CL60" i="3"/>
  <c r="CF60" i="3"/>
  <c r="CG60" i="3"/>
  <c r="CE62" i="3"/>
  <c r="CL62" i="3"/>
  <c r="CF62" i="3"/>
  <c r="CG62" i="3"/>
  <c r="CE63" i="3"/>
  <c r="CL63" i="3"/>
  <c r="CF63" i="3"/>
  <c r="CG63" i="3"/>
  <c r="BP25" i="3"/>
  <c r="CE67" i="3"/>
  <c r="CL67" i="3"/>
  <c r="CF67" i="3"/>
  <c r="CG67" i="3"/>
  <c r="BP26" i="3"/>
  <c r="CE68" i="3"/>
  <c r="CL68" i="3"/>
  <c r="CF68" i="3"/>
  <c r="CG68" i="3"/>
  <c r="CE69" i="3"/>
  <c r="CL69" i="3"/>
  <c r="CF69" i="3"/>
  <c r="CG69" i="3"/>
  <c r="CE71" i="3"/>
  <c r="CL71" i="3"/>
  <c r="CF71" i="3"/>
  <c r="CG71" i="3"/>
  <c r="CE72" i="3"/>
  <c r="CL72" i="3"/>
  <c r="CF72" i="3"/>
  <c r="CG72" i="3"/>
  <c r="CE73" i="3"/>
  <c r="CL73" i="3"/>
  <c r="CF73" i="3"/>
  <c r="CG73" i="3"/>
  <c r="CE75" i="3"/>
  <c r="CL75" i="3"/>
  <c r="CF75" i="3"/>
  <c r="CG75" i="3"/>
  <c r="CE76" i="3"/>
  <c r="CL76" i="3"/>
  <c r="CF76" i="3"/>
  <c r="CG76" i="3"/>
  <c r="CE77" i="3"/>
  <c r="CL77" i="3"/>
  <c r="CF77" i="3"/>
  <c r="CG77" i="3"/>
  <c r="BR25" i="3"/>
  <c r="BR26" i="3"/>
  <c r="BR27" i="3"/>
  <c r="BR28" i="3"/>
  <c r="BS25" i="3"/>
  <c r="CE79" i="3"/>
  <c r="CL79" i="3"/>
  <c r="CF79" i="3"/>
  <c r="CG79" i="3"/>
  <c r="BS26" i="3"/>
  <c r="CE80" i="3"/>
  <c r="CL80" i="3"/>
  <c r="CF80" i="3"/>
  <c r="CG80" i="3"/>
  <c r="CE82" i="3"/>
  <c r="CL82" i="3"/>
  <c r="CF82" i="3"/>
  <c r="CG82" i="3"/>
  <c r="CE83" i="3"/>
  <c r="CL83" i="3"/>
  <c r="CF83" i="3"/>
  <c r="CG83" i="3"/>
  <c r="BP31" i="3"/>
  <c r="CE87" i="3"/>
  <c r="CL87" i="3"/>
  <c r="CF87" i="3"/>
  <c r="CG87" i="3"/>
  <c r="BP32" i="3"/>
  <c r="CE88" i="3"/>
  <c r="CL88" i="3"/>
  <c r="CF88" i="3"/>
  <c r="CG88" i="3"/>
  <c r="CE89" i="3"/>
  <c r="CL89" i="3"/>
  <c r="CF89" i="3"/>
  <c r="CG89" i="3"/>
  <c r="CE91" i="3"/>
  <c r="CL91" i="3"/>
  <c r="CF91" i="3"/>
  <c r="CG91" i="3"/>
  <c r="CE92" i="3"/>
  <c r="CL92" i="3"/>
  <c r="CF92" i="3"/>
  <c r="CG92" i="3"/>
  <c r="CE93" i="3"/>
  <c r="CL93" i="3"/>
  <c r="CF93" i="3"/>
  <c r="CG93" i="3"/>
  <c r="CE95" i="3"/>
  <c r="CL95" i="3"/>
  <c r="CF95" i="3"/>
  <c r="CG95" i="3"/>
  <c r="CE96" i="3"/>
  <c r="CL96" i="3"/>
  <c r="CF96" i="3"/>
  <c r="CG96" i="3"/>
  <c r="CE97" i="3"/>
  <c r="CL97" i="3"/>
  <c r="CF97" i="3"/>
  <c r="CG97" i="3"/>
  <c r="BR31" i="3"/>
  <c r="BR32" i="3"/>
  <c r="BR33" i="3"/>
  <c r="BR34" i="3"/>
  <c r="BS31" i="3"/>
  <c r="CE99" i="3"/>
  <c r="CL99" i="3"/>
  <c r="CF99" i="3"/>
  <c r="CG99" i="3"/>
  <c r="BS32" i="3"/>
  <c r="CE100" i="3"/>
  <c r="CL100" i="3"/>
  <c r="CF100" i="3"/>
  <c r="CG100" i="3"/>
  <c r="CE102" i="3"/>
  <c r="CL102" i="3"/>
  <c r="CF102" i="3"/>
  <c r="CG102" i="3"/>
  <c r="CE103" i="3"/>
  <c r="CL103" i="3"/>
  <c r="CF103" i="3"/>
  <c r="CG103" i="3"/>
  <c r="BP37" i="3"/>
  <c r="CE107" i="3"/>
  <c r="CL107" i="3"/>
  <c r="CF107" i="3"/>
  <c r="CG107" i="3"/>
  <c r="BP38" i="3"/>
  <c r="CE108" i="3"/>
  <c r="CL108" i="3"/>
  <c r="CF108" i="3"/>
  <c r="CG108" i="3"/>
  <c r="CE109" i="3"/>
  <c r="CL109" i="3"/>
  <c r="CF109" i="3"/>
  <c r="CG109" i="3"/>
  <c r="CE111" i="3"/>
  <c r="CL111" i="3"/>
  <c r="CF111" i="3"/>
  <c r="CG111" i="3"/>
  <c r="CE112" i="3"/>
  <c r="CL112" i="3"/>
  <c r="CF112" i="3"/>
  <c r="CG112" i="3"/>
  <c r="CE113" i="3"/>
  <c r="CL113" i="3"/>
  <c r="CF113" i="3"/>
  <c r="CG113" i="3"/>
  <c r="CE115" i="3"/>
  <c r="CL115" i="3"/>
  <c r="CF115" i="3"/>
  <c r="CG115" i="3"/>
  <c r="CE116" i="3"/>
  <c r="CL116" i="3"/>
  <c r="CF116" i="3"/>
  <c r="CG116" i="3"/>
  <c r="CE117" i="3"/>
  <c r="CL117" i="3"/>
  <c r="CF117" i="3"/>
  <c r="CG117" i="3"/>
  <c r="BR37" i="3"/>
  <c r="BR38" i="3"/>
  <c r="BR39" i="3"/>
  <c r="BR40" i="3"/>
  <c r="BS37" i="3"/>
  <c r="CE119" i="3"/>
  <c r="CL119" i="3"/>
  <c r="CF119" i="3"/>
  <c r="CG119" i="3"/>
  <c r="BS38" i="3"/>
  <c r="CE120" i="3"/>
  <c r="CL120" i="3"/>
  <c r="CF120" i="3"/>
  <c r="CG120" i="3"/>
  <c r="CE122" i="3"/>
  <c r="CL122" i="3"/>
  <c r="CF122" i="3"/>
  <c r="CG122" i="3"/>
  <c r="CE123" i="3"/>
  <c r="CL123" i="3"/>
  <c r="CF123" i="3"/>
  <c r="CG123" i="3"/>
  <c r="CH7" i="3"/>
  <c r="CI7" i="3"/>
  <c r="CH8" i="3"/>
  <c r="CI8" i="3"/>
  <c r="CH9" i="3"/>
  <c r="CI9" i="3"/>
  <c r="CH11" i="3"/>
  <c r="CI11" i="3"/>
  <c r="CH12" i="3"/>
  <c r="CI12" i="3"/>
  <c r="CH13" i="3"/>
  <c r="CI13" i="3"/>
  <c r="CH15" i="3"/>
  <c r="CI15" i="3"/>
  <c r="CH16" i="3"/>
  <c r="CI16" i="3"/>
  <c r="CH17" i="3"/>
  <c r="CI17" i="3"/>
  <c r="CH19" i="3"/>
  <c r="CI19" i="3"/>
  <c r="CH20" i="3"/>
  <c r="CI20" i="3"/>
  <c r="CH22" i="3"/>
  <c r="CI22" i="3"/>
  <c r="CH23" i="3"/>
  <c r="CI23" i="3"/>
  <c r="CH27" i="3"/>
  <c r="CI27" i="3"/>
  <c r="CH28" i="3"/>
  <c r="CI28" i="3"/>
  <c r="CH29" i="3"/>
  <c r="CI29" i="3"/>
  <c r="CH31" i="3"/>
  <c r="CI31" i="3"/>
  <c r="CH32" i="3"/>
  <c r="CI32" i="3"/>
  <c r="CH33" i="3"/>
  <c r="CI33" i="3"/>
  <c r="CH35" i="3"/>
  <c r="CI35" i="3"/>
  <c r="CH36" i="3"/>
  <c r="CI36" i="3"/>
  <c r="CH37" i="3"/>
  <c r="CI37" i="3"/>
  <c r="CH39" i="3"/>
  <c r="CI39" i="3"/>
  <c r="CH40" i="3"/>
  <c r="CI40" i="3"/>
  <c r="CH42" i="3"/>
  <c r="CI42" i="3"/>
  <c r="CH43" i="3"/>
  <c r="CI43" i="3"/>
  <c r="CH47" i="3"/>
  <c r="CI47" i="3"/>
  <c r="CH48" i="3"/>
  <c r="CI48" i="3"/>
  <c r="CH49" i="3"/>
  <c r="CI49" i="3"/>
  <c r="CH51" i="3"/>
  <c r="CI51" i="3"/>
  <c r="CH52" i="3"/>
  <c r="CI52" i="3"/>
  <c r="CH53" i="3"/>
  <c r="CI53" i="3"/>
  <c r="CH55" i="3"/>
  <c r="CI55" i="3"/>
  <c r="CH56" i="3"/>
  <c r="CI56" i="3"/>
  <c r="CH57" i="3"/>
  <c r="CI57" i="3"/>
  <c r="CH59" i="3"/>
  <c r="CI59" i="3"/>
  <c r="CH60" i="3"/>
  <c r="CI60" i="3"/>
  <c r="CH62" i="3"/>
  <c r="CI62" i="3"/>
  <c r="CH63" i="3"/>
  <c r="CI63" i="3"/>
  <c r="CH67" i="3"/>
  <c r="CI67" i="3"/>
  <c r="CH68" i="3"/>
  <c r="CI68" i="3"/>
  <c r="CH69" i="3"/>
  <c r="CI69" i="3"/>
  <c r="CH71" i="3"/>
  <c r="CI71" i="3"/>
  <c r="CH72" i="3"/>
  <c r="CI72" i="3"/>
  <c r="CH73" i="3"/>
  <c r="CI73" i="3"/>
  <c r="CH75" i="3"/>
  <c r="CI75" i="3"/>
  <c r="CH76" i="3"/>
  <c r="CI76" i="3"/>
  <c r="CH77" i="3"/>
  <c r="CI77" i="3"/>
  <c r="CH79" i="3"/>
  <c r="CI79" i="3"/>
  <c r="CH80" i="3"/>
  <c r="CI80" i="3"/>
  <c r="CH82" i="3"/>
  <c r="CI82" i="3"/>
  <c r="CH83" i="3"/>
  <c r="CI83" i="3"/>
  <c r="CH87" i="3"/>
  <c r="CI87" i="3"/>
  <c r="CH88" i="3"/>
  <c r="CI88" i="3"/>
  <c r="CH89" i="3"/>
  <c r="CI89" i="3"/>
  <c r="CH91" i="3"/>
  <c r="CI91" i="3"/>
  <c r="CH92" i="3"/>
  <c r="CI92" i="3"/>
  <c r="CH93" i="3"/>
  <c r="CI93" i="3"/>
  <c r="CH95" i="3"/>
  <c r="CI95" i="3"/>
  <c r="CH96" i="3"/>
  <c r="CI96" i="3"/>
  <c r="CH97" i="3"/>
  <c r="CI97" i="3"/>
  <c r="CH99" i="3"/>
  <c r="CI99" i="3"/>
  <c r="CH100" i="3"/>
  <c r="CI100" i="3"/>
  <c r="CH102" i="3"/>
  <c r="CI102" i="3"/>
  <c r="CH103" i="3"/>
  <c r="CI103" i="3"/>
  <c r="CH107" i="3"/>
  <c r="CI107" i="3"/>
  <c r="CH108" i="3"/>
  <c r="CI108" i="3"/>
  <c r="CH109" i="3"/>
  <c r="CI109" i="3"/>
  <c r="CH111" i="3"/>
  <c r="CI111" i="3"/>
  <c r="CH112" i="3"/>
  <c r="CI112" i="3"/>
  <c r="CH113" i="3"/>
  <c r="CI113" i="3"/>
  <c r="CH115" i="3"/>
  <c r="CI115" i="3"/>
  <c r="CH116" i="3"/>
  <c r="CI116" i="3"/>
  <c r="CH117" i="3"/>
  <c r="CI117" i="3"/>
  <c r="CH119" i="3"/>
  <c r="CI119" i="3"/>
  <c r="CH120" i="3"/>
  <c r="CI120" i="3"/>
  <c r="CH122" i="3"/>
  <c r="CI122" i="3"/>
  <c r="CH123" i="3"/>
  <c r="CI123" i="3"/>
  <c r="BV19" i="3"/>
  <c r="BX19" i="3"/>
  <c r="BW19" i="3"/>
  <c r="BY19" i="3"/>
  <c r="BV20" i="3"/>
  <c r="CJ49" i="3"/>
  <c r="CJ53" i="3"/>
  <c r="CJ57" i="3"/>
  <c r="CK55" i="3"/>
  <c r="CK7" i="3"/>
  <c r="CK8" i="3"/>
  <c r="CK9" i="3"/>
  <c r="CK11" i="3"/>
  <c r="CK12" i="3"/>
  <c r="CK13" i="3"/>
  <c r="CK15" i="3"/>
  <c r="CK16" i="3"/>
  <c r="CK17" i="3"/>
  <c r="CK19" i="3"/>
  <c r="CK20" i="3"/>
  <c r="CK22" i="3"/>
  <c r="CK23" i="3"/>
  <c r="CK27" i="3"/>
  <c r="CK28" i="3"/>
  <c r="CK29" i="3"/>
  <c r="CK31" i="3"/>
  <c r="CK32" i="3"/>
  <c r="CK33" i="3"/>
  <c r="CK35" i="3"/>
  <c r="CK36" i="3"/>
  <c r="CK37" i="3"/>
  <c r="CK39" i="3"/>
  <c r="CK40" i="3"/>
  <c r="CK42" i="3"/>
  <c r="CK43" i="3"/>
  <c r="CK47" i="3"/>
  <c r="CK48" i="3"/>
  <c r="CK49" i="3"/>
  <c r="CK51" i="3"/>
  <c r="CK52" i="3"/>
  <c r="CK53" i="3"/>
  <c r="CK56" i="3"/>
  <c r="CK57" i="3"/>
  <c r="CK59" i="3"/>
  <c r="CK60" i="3"/>
  <c r="CK62" i="3"/>
  <c r="CK63" i="3"/>
  <c r="CK67" i="3"/>
  <c r="CK68" i="3"/>
  <c r="CK69" i="3"/>
  <c r="CK71" i="3"/>
  <c r="CK72" i="3"/>
  <c r="CK73" i="3"/>
  <c r="CK75" i="3"/>
  <c r="CK76" i="3"/>
  <c r="CK77" i="3"/>
  <c r="CK79" i="3"/>
  <c r="CK80" i="3"/>
  <c r="CK82" i="3"/>
  <c r="CK83" i="3"/>
  <c r="CK87" i="3"/>
  <c r="CK88" i="3"/>
  <c r="CK89" i="3"/>
  <c r="CK91" i="3"/>
  <c r="CK92" i="3"/>
  <c r="CK93" i="3"/>
  <c r="CK95" i="3"/>
  <c r="CK96" i="3"/>
  <c r="CK97" i="3"/>
  <c r="CK99" i="3"/>
  <c r="CK100" i="3"/>
  <c r="CK102" i="3"/>
  <c r="CK103" i="3"/>
  <c r="CK107" i="3"/>
  <c r="CK108" i="3"/>
  <c r="CK109" i="3"/>
  <c r="CK111" i="3"/>
  <c r="CK112" i="3"/>
  <c r="CK113" i="3"/>
  <c r="CK115" i="3"/>
  <c r="CK116" i="3"/>
  <c r="CK117" i="3"/>
  <c r="CK119" i="3"/>
  <c r="CK120" i="3"/>
  <c r="CK122" i="3"/>
  <c r="CK123" i="3"/>
  <c r="BX20" i="3"/>
  <c r="CJ55" i="3"/>
  <c r="CJ56" i="3"/>
  <c r="BW20" i="3"/>
  <c r="BY20" i="3"/>
  <c r="BV21" i="3"/>
  <c r="CJ48" i="3"/>
  <c r="CJ52" i="3"/>
  <c r="BX21" i="3"/>
  <c r="CJ51" i="3"/>
  <c r="BW21" i="3"/>
  <c r="BY21" i="3"/>
  <c r="BV22" i="3"/>
  <c r="CJ47" i="3"/>
  <c r="BX22" i="3"/>
  <c r="BW22" i="3"/>
  <c r="BY22" i="3"/>
  <c r="BZ19" i="3"/>
  <c r="BV32" i="3"/>
  <c r="CJ89" i="3"/>
  <c r="CJ93" i="3"/>
  <c r="CJ97" i="3"/>
  <c r="BX32" i="3"/>
  <c r="CJ95" i="3"/>
  <c r="CJ96" i="3"/>
  <c r="BW32" i="3"/>
  <c r="BY32" i="3"/>
  <c r="BV31" i="3"/>
  <c r="BX31" i="3"/>
  <c r="BW31" i="3"/>
  <c r="BY31" i="3"/>
  <c r="BV33" i="3"/>
  <c r="CJ88" i="3"/>
  <c r="CJ92" i="3"/>
  <c r="BX33" i="3"/>
  <c r="CJ91" i="3"/>
  <c r="BW33" i="3"/>
  <c r="BY33" i="3"/>
  <c r="BV34" i="3"/>
  <c r="CJ87" i="3"/>
  <c r="BX34" i="3"/>
  <c r="BW34" i="3"/>
  <c r="BY34" i="3"/>
  <c r="BZ32" i="3"/>
  <c r="BV16" i="3"/>
  <c r="CJ27" i="3"/>
  <c r="CJ31" i="3"/>
  <c r="CJ35" i="3"/>
  <c r="BX16" i="3"/>
  <c r="CJ28" i="3"/>
  <c r="CJ29" i="3"/>
  <c r="BW16" i="3"/>
  <c r="BY16" i="3"/>
  <c r="BV13" i="3"/>
  <c r="BX13" i="3"/>
  <c r="BW13" i="3"/>
  <c r="BY13" i="3"/>
  <c r="BV14" i="3"/>
  <c r="CJ33" i="3"/>
  <c r="CJ37" i="3"/>
  <c r="BX14" i="3"/>
  <c r="CJ36" i="3"/>
  <c r="BW14" i="3"/>
  <c r="BY14" i="3"/>
  <c r="BV15" i="3"/>
  <c r="CJ32" i="3"/>
  <c r="BX15" i="3"/>
  <c r="BW15" i="3"/>
  <c r="BY15" i="3"/>
  <c r="BZ16" i="3"/>
  <c r="BV7" i="3"/>
  <c r="BX7" i="3"/>
  <c r="BW7" i="3"/>
  <c r="BY7" i="3"/>
  <c r="BV8" i="3"/>
  <c r="CJ9" i="3"/>
  <c r="CJ13" i="3"/>
  <c r="CJ17" i="3"/>
  <c r="BX8" i="3"/>
  <c r="CJ15" i="3"/>
  <c r="CJ16" i="3"/>
  <c r="BW8" i="3"/>
  <c r="BY8" i="3"/>
  <c r="BV9" i="3"/>
  <c r="CJ8" i="3"/>
  <c r="CJ12" i="3"/>
  <c r="BX9" i="3"/>
  <c r="CJ11" i="3"/>
  <c r="BW9" i="3"/>
  <c r="BY9" i="3"/>
  <c r="BV10" i="3"/>
  <c r="CJ7" i="3"/>
  <c r="BX10" i="3"/>
  <c r="BW10" i="3"/>
  <c r="BY10" i="3"/>
  <c r="BZ7" i="3"/>
  <c r="BZ15" i="3"/>
  <c r="AI13" i="3"/>
  <c r="AF13" i="3"/>
  <c r="AI14" i="3"/>
  <c r="AF14" i="3"/>
  <c r="AI15" i="3"/>
  <c r="AF15" i="3"/>
  <c r="AI16" i="3"/>
  <c r="AF16" i="3"/>
  <c r="AB12" i="3"/>
  <c r="AV13" i="3"/>
  <c r="H63" i="9"/>
  <c r="AE105" i="1"/>
  <c r="Z105" i="1"/>
  <c r="AL105" i="1"/>
  <c r="AA105" i="1"/>
  <c r="AP105" i="1"/>
  <c r="T63" i="9"/>
  <c r="F69" i="9"/>
  <c r="H69" i="9"/>
  <c r="AE125" i="1"/>
  <c r="Z125" i="1"/>
  <c r="AB125" i="1"/>
  <c r="AK125" i="1"/>
  <c r="Y553" i="14"/>
  <c r="Y554" i="14"/>
  <c r="Y555" i="14"/>
  <c r="AD555" i="14"/>
  <c r="AD556" i="14"/>
  <c r="AD557" i="14"/>
  <c r="AD558" i="14"/>
  <c r="AD559" i="14"/>
  <c r="AD560" i="14"/>
  <c r="AD561" i="14"/>
  <c r="AD562" i="14"/>
  <c r="AD563" i="14"/>
  <c r="AD564" i="14"/>
  <c r="AD565" i="14"/>
  <c r="AD566" i="14"/>
  <c r="AD567" i="14"/>
  <c r="AD568" i="14"/>
  <c r="BV40" i="3"/>
  <c r="CJ107" i="3"/>
  <c r="CJ111" i="3"/>
  <c r="CJ115" i="3"/>
  <c r="BX40" i="3"/>
  <c r="CJ108" i="3"/>
  <c r="CJ109" i="3"/>
  <c r="BW40" i="3"/>
  <c r="BY40" i="3"/>
  <c r="BV37" i="3"/>
  <c r="BX37" i="3"/>
  <c r="BW37" i="3"/>
  <c r="BY37" i="3"/>
  <c r="BV38" i="3"/>
  <c r="CJ113" i="3"/>
  <c r="CJ117" i="3"/>
  <c r="BX38" i="3"/>
  <c r="CJ116" i="3"/>
  <c r="BW38" i="3"/>
  <c r="BY38" i="3"/>
  <c r="BV39" i="3"/>
  <c r="CJ112" i="3"/>
  <c r="BX39" i="3"/>
  <c r="BW39" i="3"/>
  <c r="BY39" i="3"/>
  <c r="BZ40" i="3"/>
  <c r="BV27" i="3"/>
  <c r="CJ68" i="3"/>
  <c r="CJ72" i="3"/>
  <c r="CJ76" i="3"/>
  <c r="BX27" i="3"/>
  <c r="CJ71" i="3"/>
  <c r="CJ73" i="3"/>
  <c r="BW27" i="3"/>
  <c r="BY27" i="3"/>
  <c r="BZ20" i="3"/>
  <c r="CA20" i="3"/>
  <c r="BV25" i="3"/>
  <c r="BX25" i="3"/>
  <c r="BW25" i="3"/>
  <c r="BY25" i="3"/>
  <c r="BV26" i="3"/>
  <c r="CJ69" i="3"/>
  <c r="CJ77" i="3"/>
  <c r="BX26" i="3"/>
  <c r="CJ75" i="3"/>
  <c r="BW26" i="3"/>
  <c r="BY26" i="3"/>
  <c r="BV28" i="3"/>
  <c r="CJ67" i="3"/>
  <c r="BX28" i="3"/>
  <c r="BW28" i="3"/>
  <c r="BY28" i="3"/>
  <c r="BZ27" i="3"/>
  <c r="CA27" i="3"/>
  <c r="BZ13" i="3"/>
  <c r="CA13" i="3"/>
  <c r="BZ9" i="3"/>
  <c r="BZ14" i="3"/>
  <c r="CA14" i="3"/>
  <c r="AF125" i="1"/>
  <c r="W69" i="9"/>
  <c r="Y548" i="14"/>
  <c r="BZ8" i="3"/>
  <c r="BZ33" i="3"/>
  <c r="CA33" i="3"/>
  <c r="BZ31" i="3"/>
  <c r="CA31" i="3"/>
  <c r="BZ22" i="3"/>
  <c r="CA22" i="3"/>
  <c r="BZ28" i="3"/>
  <c r="CA28" i="3"/>
  <c r="BZ10" i="3"/>
  <c r="CA10" i="3"/>
  <c r="Y542" i="14"/>
  <c r="Z546" i="14"/>
  <c r="O539" i="14"/>
  <c r="BZ39" i="3"/>
  <c r="CA39" i="3"/>
  <c r="BZ37" i="3"/>
  <c r="CA37" i="3"/>
  <c r="BZ25" i="3"/>
  <c r="CA25" i="3"/>
  <c r="CA9" i="3"/>
  <c r="BZ34" i="3"/>
  <c r="CA34" i="3"/>
  <c r="BZ26" i="3"/>
  <c r="CA26" i="3"/>
  <c r="AS635" i="17"/>
  <c r="BV636" i="17"/>
  <c r="AA640" i="17" s="1"/>
  <c r="Y546" i="14"/>
  <c r="J539" i="14"/>
  <c r="BJ636" i="17"/>
  <c r="O642" i="17" s="1"/>
  <c r="BC636" i="17"/>
  <c r="H641" i="17" s="1"/>
  <c r="BM636" i="17"/>
  <c r="R638" i="17" s="1"/>
  <c r="AL125" i="1"/>
  <c r="AA125" i="1"/>
  <c r="AP125" i="1"/>
  <c r="T69" i="9"/>
  <c r="F72" i="9"/>
  <c r="AX139" i="1"/>
  <c r="AU11" i="6"/>
  <c r="AO11" i="6"/>
  <c r="AP11" i="6"/>
  <c r="BZ38" i="3"/>
  <c r="CA38" i="3"/>
  <c r="BW636" i="17"/>
  <c r="AB642" i="17" s="1"/>
  <c r="AM125" i="1"/>
  <c r="AQ125" i="1"/>
  <c r="U69" i="9"/>
  <c r="CC636" i="17"/>
  <c r="AH638" i="17" s="1"/>
  <c r="Z554" i="14"/>
  <c r="Z555" i="14"/>
  <c r="O554" i="14"/>
  <c r="H72" i="9"/>
  <c r="AE139" i="1"/>
  <c r="Z139" i="1"/>
  <c r="AS682" i="17"/>
  <c r="BM683" i="17"/>
  <c r="R689" i="17" s="1"/>
  <c r="CA8" i="3"/>
  <c r="AI7" i="3"/>
  <c r="AF7" i="3"/>
  <c r="AI8" i="3"/>
  <c r="AF8" i="3"/>
  <c r="AI9" i="3"/>
  <c r="AF9" i="3"/>
  <c r="AI10" i="3"/>
  <c r="AF10" i="3"/>
  <c r="AB6" i="3"/>
  <c r="AV7" i="3"/>
  <c r="H61" i="9"/>
  <c r="AE99" i="1"/>
  <c r="Z99" i="1"/>
  <c r="AL99" i="1"/>
  <c r="AA99" i="1"/>
  <c r="AP99" i="1"/>
  <c r="T61" i="9"/>
  <c r="G69" i="9"/>
  <c r="I69" i="9"/>
  <c r="AH125" i="1"/>
  <c r="M125" i="1"/>
  <c r="D636" i="17"/>
  <c r="BD636" i="17"/>
  <c r="I639" i="17" s="1"/>
  <c r="BZ636" i="17"/>
  <c r="AE641" i="17" s="1"/>
  <c r="BP636" i="17"/>
  <c r="U639" i="17" s="1"/>
  <c r="AG125" i="1"/>
  <c r="X69" i="9"/>
  <c r="Z548" i="14"/>
  <c r="BK636" i="17"/>
  <c r="P637" i="17" s="1"/>
  <c r="CD636" i="17"/>
  <c r="AI639" i="17" s="1"/>
  <c r="BZ21" i="3"/>
  <c r="CA21" i="3"/>
  <c r="AG139" i="1"/>
  <c r="X72" i="9"/>
  <c r="X616" i="14"/>
  <c r="BN683" i="17"/>
  <c r="S684" i="17" s="1"/>
  <c r="CA19" i="3"/>
  <c r="CA32" i="3"/>
  <c r="CA16" i="3"/>
  <c r="CA7" i="3"/>
  <c r="BH636" i="17"/>
  <c r="M639" i="17" s="1"/>
  <c r="CE636" i="17"/>
  <c r="AJ640" i="17" s="1"/>
  <c r="BI636" i="17"/>
  <c r="N640" i="17" s="1"/>
  <c r="BR636" i="17"/>
  <c r="W639" i="17" s="1"/>
  <c r="BS636" i="17"/>
  <c r="X637" i="17" s="1"/>
  <c r="AL545" i="14"/>
  <c r="AL542" i="14"/>
  <c r="AM543" i="14"/>
  <c r="AM547" i="14"/>
  <c r="AM545" i="14"/>
  <c r="AL544" i="14"/>
  <c r="L539" i="14"/>
  <c r="AL543" i="14"/>
  <c r="AL547" i="14"/>
  <c r="AL540" i="14"/>
  <c r="AM548" i="14"/>
  <c r="AM546" i="14"/>
  <c r="AM541" i="14"/>
  <c r="AL546" i="14"/>
  <c r="AM542" i="14"/>
  <c r="AL541" i="14"/>
  <c r="AM544" i="14"/>
  <c r="AL548" i="14"/>
  <c r="AM540" i="14"/>
  <c r="BQ636" i="17"/>
  <c r="V637" i="17" s="1"/>
  <c r="BN636" i="17"/>
  <c r="S640" i="17" s="1"/>
  <c r="BU636" i="17"/>
  <c r="Z639" i="17" s="1"/>
  <c r="BF636" i="17"/>
  <c r="K638" i="17" s="1"/>
  <c r="BG636" i="17"/>
  <c r="L639" i="17" s="1"/>
  <c r="BL636" i="17"/>
  <c r="Q639" i="17" s="1"/>
  <c r="BO636" i="17"/>
  <c r="T640" i="17" s="1"/>
  <c r="BX636" i="17"/>
  <c r="AC642" i="17" s="1"/>
  <c r="CA636" i="17"/>
  <c r="AF639" i="17" s="1"/>
  <c r="BT636" i="17"/>
  <c r="Y639" i="17" s="1"/>
  <c r="AN541" i="14"/>
  <c r="AO543" i="14"/>
  <c r="AN544" i="14"/>
  <c r="AN542" i="14"/>
  <c r="AO545" i="14"/>
  <c r="AN540" i="14"/>
  <c r="AN547" i="14"/>
  <c r="AO542" i="14"/>
  <c r="AO547" i="14"/>
  <c r="AN548" i="14"/>
  <c r="M539" i="14"/>
  <c r="AO541" i="14"/>
  <c r="AN546" i="14"/>
  <c r="AO544" i="14"/>
  <c r="AO540" i="14"/>
  <c r="AO546" i="14"/>
  <c r="AN543" i="14"/>
  <c r="AN545" i="14"/>
  <c r="AO548" i="14"/>
  <c r="CB636" i="17"/>
  <c r="AG639" i="17" s="1"/>
  <c r="W615" i="14"/>
  <c r="D607" i="14"/>
  <c r="AB607" i="14"/>
  <c r="AB608" i="14"/>
  <c r="AB613" i="14"/>
  <c r="AB611" i="14"/>
  <c r="AB610" i="14"/>
  <c r="AB614" i="14"/>
  <c r="AB609" i="14"/>
  <c r="AB612" i="14"/>
  <c r="AB616" i="14"/>
  <c r="AB615" i="14"/>
  <c r="CA15" i="3"/>
  <c r="BE636" i="17"/>
  <c r="J637" i="17" s="1"/>
  <c r="CF636" i="17"/>
  <c r="AK641" i="17" s="1"/>
  <c r="J554" i="14"/>
  <c r="BK683" i="17"/>
  <c r="P689" i="17" s="1"/>
  <c r="CA683" i="17"/>
  <c r="AF685" i="17" s="1"/>
  <c r="BT683" i="17"/>
  <c r="Y689" i="17" s="1"/>
  <c r="BY636" i="17"/>
  <c r="AD638" i="17" s="1"/>
  <c r="AN44" i="3"/>
  <c r="AN45" i="3"/>
  <c r="AI19" i="3"/>
  <c r="AF19" i="3"/>
  <c r="AI20" i="3"/>
  <c r="AF20" i="3"/>
  <c r="AI21" i="3"/>
  <c r="AF21" i="3"/>
  <c r="AI22" i="3"/>
  <c r="AF22" i="3"/>
  <c r="AB18" i="3"/>
  <c r="AN46" i="3"/>
  <c r="AI25" i="3"/>
  <c r="AF25" i="3"/>
  <c r="AI26" i="3"/>
  <c r="AF26" i="3"/>
  <c r="AI27" i="3"/>
  <c r="AF27" i="3"/>
  <c r="AI28" i="3"/>
  <c r="AF28" i="3"/>
  <c r="AB24" i="3"/>
  <c r="AN47" i="3"/>
  <c r="AI31" i="3"/>
  <c r="AF31" i="3"/>
  <c r="AI32" i="3"/>
  <c r="AF32" i="3"/>
  <c r="AI33" i="3"/>
  <c r="AF33" i="3"/>
  <c r="AI34" i="3"/>
  <c r="AF34" i="3"/>
  <c r="AB30" i="3"/>
  <c r="AN48" i="3"/>
  <c r="AI37" i="3"/>
  <c r="AF37" i="3"/>
  <c r="AI38" i="3"/>
  <c r="AF38" i="3"/>
  <c r="AI39" i="3"/>
  <c r="AF39" i="3"/>
  <c r="AI40" i="3"/>
  <c r="AF40" i="3"/>
  <c r="AB36" i="3"/>
  <c r="AN49" i="3"/>
  <c r="AN43" i="3"/>
  <c r="G67" i="9"/>
  <c r="K17" i="6"/>
  <c r="C17" i="6"/>
  <c r="BL683" i="17"/>
  <c r="Q687" i="17" s="1"/>
  <c r="CB683" i="17"/>
  <c r="AG685" i="17" s="1"/>
  <c r="CA40" i="3"/>
  <c r="CF683" i="17"/>
  <c r="AK689" i="17" s="1"/>
  <c r="BC683" i="17"/>
  <c r="H684" i="17" s="1"/>
  <c r="BV683" i="17"/>
  <c r="AA689" i="17" s="1"/>
  <c r="F607" i="14"/>
  <c r="W610" i="14"/>
  <c r="AK613" i="14"/>
  <c r="AJ611" i="14"/>
  <c r="AJ615" i="14"/>
  <c r="AJ612" i="14"/>
  <c r="AJ609" i="14"/>
  <c r="AK614" i="14"/>
  <c r="AK615" i="14"/>
  <c r="AK616" i="14"/>
  <c r="AK609" i="14"/>
  <c r="AJ610" i="14"/>
  <c r="AJ614" i="14"/>
  <c r="AK612" i="14"/>
  <c r="AJ608" i="14"/>
  <c r="AJ613" i="14"/>
  <c r="AK611" i="14"/>
  <c r="AK608" i="14"/>
  <c r="AK610" i="14"/>
  <c r="AJ616" i="14"/>
  <c r="BH683" i="17"/>
  <c r="M684" i="17" s="1"/>
  <c r="BO683" i="17"/>
  <c r="T688" i="17" s="1"/>
  <c r="BP683" i="17"/>
  <c r="U684" i="17" s="1"/>
  <c r="AF139" i="1"/>
  <c r="W616" i="14"/>
  <c r="AI612" i="14"/>
  <c r="AI609" i="14"/>
  <c r="E607" i="14"/>
  <c r="AH614" i="14"/>
  <c r="AI616" i="14"/>
  <c r="AI611" i="14"/>
  <c r="AH609" i="14"/>
  <c r="AH616" i="14"/>
  <c r="AH612" i="14"/>
  <c r="AI614" i="14"/>
  <c r="AI613" i="14"/>
  <c r="AH610" i="14"/>
  <c r="AI610" i="14"/>
  <c r="AH611" i="14"/>
  <c r="AI615" i="14"/>
  <c r="AI608" i="14"/>
  <c r="AH615" i="14"/>
  <c r="AH608" i="14"/>
  <c r="AH613" i="14"/>
  <c r="W72" i="9"/>
  <c r="AL139" i="1"/>
  <c r="AA139" i="1"/>
  <c r="AP139" i="1"/>
  <c r="T72" i="9"/>
  <c r="F74" i="9"/>
  <c r="H74" i="9"/>
  <c r="AE152" i="1"/>
  <c r="Z152" i="1"/>
  <c r="AB152" i="1"/>
  <c r="AK152" i="1"/>
  <c r="W655" i="14"/>
  <c r="AC657" i="14"/>
  <c r="AC658" i="14"/>
  <c r="AC659" i="14"/>
  <c r="AC660" i="14"/>
  <c r="AC661" i="14"/>
  <c r="AC662" i="14"/>
  <c r="AC663" i="14"/>
  <c r="AC664" i="14"/>
  <c r="AC665" i="14"/>
  <c r="AC666" i="14"/>
  <c r="AC667" i="14"/>
  <c r="AC668" i="14"/>
  <c r="AC669" i="14"/>
  <c r="AC670" i="14"/>
  <c r="AE555" i="14"/>
  <c r="AE556" i="14"/>
  <c r="AE557" i="14"/>
  <c r="AE558" i="14"/>
  <c r="AE559" i="14"/>
  <c r="AE560" i="14"/>
  <c r="AE561" i="14"/>
  <c r="AE562" i="14"/>
  <c r="AE563" i="14"/>
  <c r="AB139" i="1"/>
  <c r="AK139" i="1"/>
  <c r="O139" i="1"/>
  <c r="P137" i="1"/>
  <c r="W656" i="14"/>
  <c r="W657" i="14"/>
  <c r="AV8" i="3"/>
  <c r="H60" i="9"/>
  <c r="AE98" i="1"/>
  <c r="Z98" i="1"/>
  <c r="AA98" i="1"/>
  <c r="AV19" i="3"/>
  <c r="H62" i="9"/>
  <c r="AE104" i="1"/>
  <c r="Z104" i="1"/>
  <c r="AA104" i="1"/>
  <c r="AV26" i="3"/>
  <c r="H64" i="9"/>
  <c r="AE110" i="1"/>
  <c r="Z110" i="1"/>
  <c r="AA110" i="1"/>
  <c r="AV37" i="3"/>
  <c r="H65" i="9"/>
  <c r="AE111" i="1"/>
  <c r="Z111" i="1"/>
  <c r="AA111" i="1"/>
  <c r="AV25" i="3"/>
  <c r="H66" i="9"/>
  <c r="AE116" i="1"/>
  <c r="Z116" i="1"/>
  <c r="AA116" i="1"/>
  <c r="AV31" i="3"/>
  <c r="H67" i="9"/>
  <c r="AE117" i="1"/>
  <c r="Z117" i="1"/>
  <c r="AA117" i="1"/>
  <c r="AL111" i="1"/>
  <c r="AP111" i="1"/>
  <c r="T65" i="9"/>
  <c r="F68" i="9"/>
  <c r="H68" i="9"/>
  <c r="AE124" i="1"/>
  <c r="Z124" i="1"/>
  <c r="AA124" i="1"/>
  <c r="AL104" i="1"/>
  <c r="AP104" i="1"/>
  <c r="T62" i="9"/>
  <c r="F70" i="9"/>
  <c r="H70" i="9"/>
  <c r="AE130" i="1"/>
  <c r="Z130" i="1"/>
  <c r="AA130" i="1"/>
  <c r="AL117" i="1"/>
  <c r="AP117" i="1"/>
  <c r="T67" i="9"/>
  <c r="F71" i="9"/>
  <c r="H71" i="9"/>
  <c r="AE131" i="1"/>
  <c r="Z131" i="1"/>
  <c r="AA131" i="1"/>
  <c r="AL131" i="1"/>
  <c r="AP131" i="1"/>
  <c r="T71" i="9"/>
  <c r="F73" i="9"/>
  <c r="H73" i="9"/>
  <c r="AE144" i="1"/>
  <c r="Z144" i="1"/>
  <c r="AA144" i="1"/>
  <c r="AA152" i="1"/>
  <c r="Z7" i="2"/>
  <c r="AB98" i="1"/>
  <c r="AC98" i="1"/>
  <c r="AB99" i="1"/>
  <c r="AC99" i="1"/>
  <c r="AB104" i="1"/>
  <c r="AC104" i="1"/>
  <c r="AB105" i="1"/>
  <c r="AC105" i="1"/>
  <c r="AB110" i="1"/>
  <c r="AC110" i="1"/>
  <c r="AB111" i="1"/>
  <c r="AC111" i="1"/>
  <c r="AB116" i="1"/>
  <c r="AC116" i="1"/>
  <c r="AB117" i="1"/>
  <c r="AC117" i="1"/>
  <c r="AB124" i="1"/>
  <c r="AC124" i="1"/>
  <c r="AC125" i="1"/>
  <c r="AB130" i="1"/>
  <c r="AC130" i="1"/>
  <c r="AB131" i="1"/>
  <c r="AC131" i="1"/>
  <c r="AC139" i="1"/>
  <c r="AB144" i="1"/>
  <c r="AC144" i="1"/>
  <c r="AC152" i="1"/>
  <c r="AA7" i="2"/>
  <c r="AF7" i="2"/>
  <c r="AV9" i="3"/>
  <c r="AV10" i="3"/>
  <c r="AV14" i="3"/>
  <c r="AV15" i="3"/>
  <c r="AV16" i="3"/>
  <c r="AV20" i="3"/>
  <c r="AV21" i="3"/>
  <c r="AV22" i="3"/>
  <c r="AV27" i="3"/>
  <c r="AV28" i="3"/>
  <c r="AV32" i="3"/>
  <c r="AV33" i="3"/>
  <c r="AV34" i="3"/>
  <c r="AV38" i="3"/>
  <c r="AV39" i="3"/>
  <c r="AV40" i="3"/>
  <c r="AV44" i="3"/>
  <c r="AV45" i="3"/>
  <c r="AV46" i="3"/>
  <c r="AV47" i="3"/>
  <c r="E8" i="6"/>
  <c r="BY8" i="6"/>
  <c r="I63" i="9"/>
  <c r="AH105" i="1"/>
  <c r="E9" i="6"/>
  <c r="BY9" i="6"/>
  <c r="E10" i="6"/>
  <c r="BY10" i="6"/>
  <c r="R8" i="6"/>
  <c r="R9" i="6"/>
  <c r="R10" i="6"/>
  <c r="R11" i="6"/>
  <c r="R12" i="6"/>
  <c r="R13" i="6"/>
  <c r="AL110" i="1"/>
  <c r="AP110" i="1"/>
  <c r="R14" i="6"/>
  <c r="R15" i="6"/>
  <c r="R16" i="6"/>
  <c r="R17" i="6"/>
  <c r="AL116" i="1"/>
  <c r="AP116" i="1"/>
  <c r="R18" i="6"/>
  <c r="R19" i="6"/>
  <c r="R20" i="6"/>
  <c r="R21" i="6"/>
  <c r="AL98" i="1"/>
  <c r="AP98" i="1"/>
  <c r="R22" i="6"/>
  <c r="R23" i="6"/>
  <c r="AJ9" i="6"/>
  <c r="AJ10" i="6"/>
  <c r="AL124" i="1"/>
  <c r="AP124" i="1"/>
  <c r="AJ13" i="6"/>
  <c r="AJ14" i="6"/>
  <c r="AJ17" i="6"/>
  <c r="AJ18" i="6"/>
  <c r="AL130" i="1"/>
  <c r="AP130" i="1"/>
  <c r="AJ21" i="6"/>
  <c r="AJ22" i="6"/>
  <c r="BB11" i="6"/>
  <c r="BB12" i="6"/>
  <c r="AL144" i="1"/>
  <c r="AP144" i="1"/>
  <c r="BB19" i="6"/>
  <c r="BB20" i="6"/>
  <c r="AL152" i="1"/>
  <c r="AP152" i="1"/>
  <c r="BT15" i="6"/>
  <c r="BT16" i="6"/>
  <c r="BZ10" i="6"/>
  <c r="AW7" i="3"/>
  <c r="I61" i="9"/>
  <c r="AH99" i="1"/>
  <c r="E11" i="6"/>
  <c r="BY11" i="6"/>
  <c r="E12" i="6"/>
  <c r="BY12" i="6"/>
  <c r="I65" i="9"/>
  <c r="AH111" i="1"/>
  <c r="E13" i="6"/>
  <c r="BY13" i="6"/>
  <c r="E14" i="6"/>
  <c r="BY14" i="6"/>
  <c r="BZ8" i="6"/>
  <c r="BZ9" i="6"/>
  <c r="BZ11" i="6"/>
  <c r="BZ12" i="6"/>
  <c r="BZ13" i="6"/>
  <c r="BZ14" i="6"/>
  <c r="I64" i="9"/>
  <c r="AH110" i="1"/>
  <c r="E15" i="6"/>
  <c r="BY15" i="6"/>
  <c r="BZ15" i="6"/>
  <c r="E16" i="6"/>
  <c r="BY16" i="6"/>
  <c r="BZ16" i="6"/>
  <c r="I67" i="9"/>
  <c r="AH117" i="1"/>
  <c r="E17" i="6"/>
  <c r="BY17" i="6"/>
  <c r="BZ17" i="6"/>
  <c r="E18" i="6"/>
  <c r="BY18" i="6"/>
  <c r="BZ18" i="6"/>
  <c r="I66" i="9"/>
  <c r="AH116" i="1"/>
  <c r="E19" i="6"/>
  <c r="BY19" i="6"/>
  <c r="BZ19" i="6"/>
  <c r="E20" i="6"/>
  <c r="BY20" i="6"/>
  <c r="BZ20" i="6"/>
  <c r="I62" i="9"/>
  <c r="AH104" i="1"/>
  <c r="E21" i="6"/>
  <c r="BY21" i="6"/>
  <c r="BZ21" i="6"/>
  <c r="E22" i="6"/>
  <c r="BY22" i="6"/>
  <c r="BZ22" i="6"/>
  <c r="I60" i="9"/>
  <c r="AH98" i="1"/>
  <c r="E23" i="6"/>
  <c r="BY23" i="6"/>
  <c r="BZ23" i="6"/>
  <c r="AW8" i="3"/>
  <c r="AW9" i="3"/>
  <c r="AW10" i="3"/>
  <c r="AW13" i="3"/>
  <c r="AW14" i="3"/>
  <c r="AW15" i="3"/>
  <c r="AW16" i="3"/>
  <c r="AW19" i="3"/>
  <c r="AW20" i="3"/>
  <c r="AW21" i="3"/>
  <c r="AW22" i="3"/>
  <c r="AW25" i="3"/>
  <c r="AW26" i="3"/>
  <c r="AW27" i="3"/>
  <c r="AW28" i="3"/>
  <c r="AW31" i="3"/>
  <c r="AW32" i="3"/>
  <c r="AW33" i="3"/>
  <c r="AW34" i="3"/>
  <c r="AW37" i="3"/>
  <c r="AW38" i="3"/>
  <c r="AW39" i="3"/>
  <c r="AW40" i="3"/>
  <c r="AG7" i="2"/>
  <c r="T64" i="9"/>
  <c r="G68" i="9"/>
  <c r="I68" i="9"/>
  <c r="AH124" i="1"/>
  <c r="T60" i="9"/>
  <c r="G70" i="9"/>
  <c r="I70" i="9"/>
  <c r="AH130" i="1"/>
  <c r="T66" i="9"/>
  <c r="G71" i="9"/>
  <c r="I71" i="9"/>
  <c r="AH131" i="1"/>
  <c r="T68" i="9"/>
  <c r="G72" i="9"/>
  <c r="I72" i="9"/>
  <c r="AH139" i="1"/>
  <c r="T70" i="9"/>
  <c r="G73" i="9"/>
  <c r="I73" i="9"/>
  <c r="AH144" i="1"/>
  <c r="T73" i="9"/>
  <c r="G74" i="9"/>
  <c r="I74" i="9"/>
  <c r="AH152" i="1"/>
  <c r="AI98" i="1"/>
  <c r="AI99" i="1"/>
  <c r="AI104" i="1"/>
  <c r="AI105" i="1"/>
  <c r="AI110" i="1"/>
  <c r="AI111" i="1"/>
  <c r="AI116" i="1"/>
  <c r="AI117" i="1"/>
  <c r="AI124" i="1"/>
  <c r="AI125" i="1"/>
  <c r="AI130" i="1"/>
  <c r="AI131" i="1"/>
  <c r="AI139" i="1"/>
  <c r="AI144" i="1"/>
  <c r="AI152" i="1"/>
  <c r="AC7" i="2"/>
  <c r="AD7" i="2"/>
  <c r="AE7" i="2"/>
  <c r="W7" i="2"/>
  <c r="Z8" i="2"/>
  <c r="AA8" i="2"/>
  <c r="AF8" i="2"/>
  <c r="AG8" i="2"/>
  <c r="AC8" i="2"/>
  <c r="AD8" i="2"/>
  <c r="AE8" i="2"/>
  <c r="W8" i="2"/>
  <c r="Z9" i="2"/>
  <c r="AA9" i="2"/>
  <c r="AF9" i="2"/>
  <c r="AG9" i="2"/>
  <c r="AC9" i="2"/>
  <c r="AD9" i="2"/>
  <c r="AE9" i="2"/>
  <c r="W9" i="2"/>
  <c r="Z10" i="2"/>
  <c r="AA10" i="2"/>
  <c r="AF10" i="2"/>
  <c r="AG10" i="2"/>
  <c r="AC10" i="2"/>
  <c r="AD10" i="2"/>
  <c r="AE10" i="2"/>
  <c r="W10" i="2"/>
  <c r="Z11" i="2"/>
  <c r="AA11" i="2"/>
  <c r="AF11" i="2"/>
  <c r="AG11" i="2"/>
  <c r="AC11" i="2"/>
  <c r="AD11" i="2"/>
  <c r="AE11" i="2"/>
  <c r="W11" i="2"/>
  <c r="Z12" i="2"/>
  <c r="AA12" i="2"/>
  <c r="AF12" i="2"/>
  <c r="AG12" i="2"/>
  <c r="AC12" i="2"/>
  <c r="AD12" i="2"/>
  <c r="AE12" i="2"/>
  <c r="W12" i="2"/>
  <c r="Z13" i="2"/>
  <c r="AA13" i="2"/>
  <c r="AF13" i="2"/>
  <c r="AG13" i="2"/>
  <c r="AC13" i="2"/>
  <c r="AD13" i="2"/>
  <c r="AE13" i="2"/>
  <c r="W13" i="2"/>
  <c r="Z14" i="2"/>
  <c r="AA14" i="2"/>
  <c r="AF14" i="2"/>
  <c r="AG14" i="2"/>
  <c r="AC14" i="2"/>
  <c r="AD14" i="2"/>
  <c r="AE14" i="2"/>
  <c r="W14" i="2"/>
  <c r="Z15" i="2"/>
  <c r="AA15" i="2"/>
  <c r="AF15" i="2"/>
  <c r="AG15" i="2"/>
  <c r="AC15" i="2"/>
  <c r="AD15" i="2"/>
  <c r="AE15" i="2"/>
  <c r="W15" i="2"/>
  <c r="Z16" i="2"/>
  <c r="AA16" i="2"/>
  <c r="AF16" i="2"/>
  <c r="AG16" i="2"/>
  <c r="AC16" i="2"/>
  <c r="AD16" i="2"/>
  <c r="AE16" i="2"/>
  <c r="W16" i="2"/>
  <c r="Z17" i="2"/>
  <c r="AA17" i="2"/>
  <c r="AF17" i="2"/>
  <c r="AG17" i="2"/>
  <c r="AC17" i="2"/>
  <c r="AD17" i="2"/>
  <c r="AE17" i="2"/>
  <c r="W17" i="2"/>
  <c r="Z18" i="2"/>
  <c r="AA18" i="2"/>
  <c r="AF18" i="2"/>
  <c r="AG18" i="2"/>
  <c r="AC18" i="2"/>
  <c r="AD18" i="2"/>
  <c r="AE18" i="2"/>
  <c r="W18" i="2"/>
  <c r="Z19" i="2"/>
  <c r="AA19" i="2"/>
  <c r="AF19" i="2"/>
  <c r="AG19" i="2"/>
  <c r="AC19" i="2"/>
  <c r="AD19" i="2"/>
  <c r="AE19" i="2"/>
  <c r="W19" i="2"/>
  <c r="Z20" i="2"/>
  <c r="AA20" i="2"/>
  <c r="AF20" i="2"/>
  <c r="AG20" i="2"/>
  <c r="AC20" i="2"/>
  <c r="AD20" i="2"/>
  <c r="AE20" i="2"/>
  <c r="W20" i="2"/>
  <c r="Z21" i="2"/>
  <c r="AA21" i="2"/>
  <c r="AF21" i="2"/>
  <c r="AG21" i="2"/>
  <c r="AC21" i="2"/>
  <c r="AD21" i="2"/>
  <c r="AE21" i="2"/>
  <c r="W21" i="2"/>
  <c r="Z22" i="2"/>
  <c r="AA22" i="2"/>
  <c r="AF22" i="2"/>
  <c r="AG22" i="2"/>
  <c r="AC22" i="2"/>
  <c r="AD22" i="2"/>
  <c r="AE22" i="2"/>
  <c r="W22" i="2"/>
  <c r="Z23" i="2"/>
  <c r="AA23" i="2"/>
  <c r="AF23" i="2"/>
  <c r="AG23" i="2"/>
  <c r="AC23" i="2"/>
  <c r="AD23" i="2"/>
  <c r="AE23" i="2"/>
  <c r="W23" i="2"/>
  <c r="Z24" i="2"/>
  <c r="AA24" i="2"/>
  <c r="AF24" i="2"/>
  <c r="AG24" i="2"/>
  <c r="AC24" i="2"/>
  <c r="AD24" i="2"/>
  <c r="AE24" i="2"/>
  <c r="W24" i="2"/>
  <c r="Z25" i="2"/>
  <c r="AA25" i="2"/>
  <c r="AF25" i="2"/>
  <c r="AG25" i="2"/>
  <c r="AC25" i="2"/>
  <c r="AD25" i="2"/>
  <c r="AE25" i="2"/>
  <c r="W25" i="2"/>
  <c r="Z26" i="2"/>
  <c r="AA26" i="2"/>
  <c r="AF26" i="2"/>
  <c r="AG26" i="2"/>
  <c r="AC26" i="2"/>
  <c r="AD26" i="2"/>
  <c r="AE26" i="2"/>
  <c r="W26" i="2"/>
  <c r="Z27" i="2"/>
  <c r="AA27" i="2"/>
  <c r="AF27" i="2"/>
  <c r="AG27" i="2"/>
  <c r="AC27" i="2"/>
  <c r="AD27" i="2"/>
  <c r="AE27" i="2"/>
  <c r="W27" i="2"/>
  <c r="Z28" i="2"/>
  <c r="AA28" i="2"/>
  <c r="AF28" i="2"/>
  <c r="AG28" i="2"/>
  <c r="AC28" i="2"/>
  <c r="AD28" i="2"/>
  <c r="AE28" i="2"/>
  <c r="W28" i="2"/>
  <c r="Z29" i="2"/>
  <c r="AA29" i="2"/>
  <c r="AF29" i="2"/>
  <c r="AG29" i="2"/>
  <c r="AC29" i="2"/>
  <c r="AD29" i="2"/>
  <c r="AE29" i="2"/>
  <c r="W29" i="2"/>
  <c r="Z30" i="2"/>
  <c r="AA30" i="2"/>
  <c r="AF30" i="2"/>
  <c r="AG30" i="2"/>
  <c r="AC30" i="2"/>
  <c r="AD30" i="2"/>
  <c r="AE30" i="2"/>
  <c r="W30" i="2"/>
  <c r="U30" i="2"/>
  <c r="U29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3" i="2"/>
  <c r="U12" i="2"/>
  <c r="U11" i="2"/>
  <c r="U10" i="2"/>
  <c r="U9" i="2"/>
  <c r="U8" i="2"/>
  <c r="U7" i="2"/>
  <c r="T8" i="2"/>
  <c r="T9" i="2"/>
  <c r="T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W649" i="14"/>
  <c r="D641" i="14"/>
  <c r="AB641" i="14"/>
  <c r="X656" i="14"/>
  <c r="X657" i="14"/>
  <c r="H656" i="14"/>
  <c r="W621" i="14"/>
  <c r="AB623" i="14"/>
  <c r="AB624" i="14"/>
  <c r="AB625" i="14"/>
  <c r="AB626" i="14"/>
  <c r="AB627" i="14"/>
  <c r="AB628" i="14"/>
  <c r="AB629" i="14"/>
  <c r="AB630" i="14"/>
  <c r="AB631" i="14"/>
  <c r="AB632" i="14"/>
  <c r="AB633" i="14"/>
  <c r="AB634" i="14"/>
  <c r="AB635" i="14"/>
  <c r="BI15" i="6"/>
  <c r="AC623" i="14"/>
  <c r="AC624" i="14"/>
  <c r="AC625" i="14"/>
  <c r="AC626" i="14"/>
  <c r="AC627" i="14"/>
  <c r="AC628" i="14"/>
  <c r="AC629" i="14"/>
  <c r="AC630" i="14"/>
  <c r="AC631" i="14"/>
  <c r="AC632" i="14"/>
  <c r="AC633" i="14"/>
  <c r="AB657" i="14"/>
  <c r="AB658" i="14"/>
  <c r="AB659" i="14"/>
  <c r="AB660" i="14"/>
  <c r="AB661" i="14"/>
  <c r="AB662" i="14"/>
  <c r="AB663" i="14"/>
  <c r="AB664" i="14"/>
  <c r="AB665" i="14"/>
  <c r="AB666" i="14"/>
  <c r="V58" i="9"/>
  <c r="AB58" i="9"/>
  <c r="N514" i="4"/>
  <c r="AY117" i="1"/>
  <c r="I139" i="1"/>
  <c r="D682" i="17"/>
  <c r="Y139" i="1"/>
  <c r="AM124" i="1"/>
  <c r="AM131" i="1"/>
  <c r="AM130" i="1"/>
  <c r="CE10" i="6"/>
  <c r="R11" i="2"/>
  <c r="AD98" i="1"/>
  <c r="AD99" i="1"/>
  <c r="AD104" i="1"/>
  <c r="AD105" i="1"/>
  <c r="AD110" i="1"/>
  <c r="AD111" i="1"/>
  <c r="AD116" i="1"/>
  <c r="AD117" i="1"/>
  <c r="AD124" i="1"/>
  <c r="AD125" i="1"/>
  <c r="AD130" i="1"/>
  <c r="AD131" i="1"/>
  <c r="AD139" i="1"/>
  <c r="AD144" i="1"/>
  <c r="AD152" i="1"/>
  <c r="AB23" i="2"/>
  <c r="Y23" i="2"/>
  <c r="V71" i="9"/>
  <c r="Y71" i="9"/>
  <c r="AB71" i="9"/>
  <c r="N15" i="4"/>
  <c r="Y9" i="6"/>
  <c r="W644" i="14"/>
  <c r="W648" i="14"/>
  <c r="C641" i="14"/>
  <c r="AB667" i="14"/>
  <c r="AB668" i="14"/>
  <c r="AB669" i="14"/>
  <c r="AB670" i="14"/>
  <c r="AM139" i="1"/>
  <c r="AM144" i="1"/>
  <c r="CE9" i="6"/>
  <c r="R9" i="2"/>
  <c r="BE125" i="1"/>
  <c r="BD125" i="1"/>
  <c r="AB7" i="2"/>
  <c r="Y7" i="2"/>
  <c r="AB26" i="2"/>
  <c r="Y26" i="2"/>
  <c r="AB18" i="2"/>
  <c r="Y18" i="2"/>
  <c r="AB10" i="2"/>
  <c r="Y10" i="2"/>
  <c r="AE564" i="14"/>
  <c r="AE565" i="14"/>
  <c r="AE566" i="14"/>
  <c r="AE567" i="14"/>
  <c r="AE568" i="14"/>
  <c r="AG152" i="1"/>
  <c r="X74" i="9"/>
  <c r="X650" i="14"/>
  <c r="O152" i="1"/>
  <c r="P150" i="1"/>
  <c r="AB12" i="2"/>
  <c r="Y12" i="2"/>
  <c r="O125" i="1"/>
  <c r="W622" i="14"/>
  <c r="W623" i="14"/>
  <c r="AB29" i="2"/>
  <c r="Y29" i="2"/>
  <c r="AB13" i="2"/>
  <c r="Y13" i="2"/>
  <c r="V64" i="9"/>
  <c r="Y64" i="9"/>
  <c r="AB64" i="9"/>
  <c r="N165" i="4"/>
  <c r="V67" i="9"/>
  <c r="Y67" i="9"/>
  <c r="AB67" i="9"/>
  <c r="N365" i="4"/>
  <c r="V63" i="9"/>
  <c r="Y63" i="9"/>
  <c r="AB63" i="9"/>
  <c r="N415" i="4"/>
  <c r="BD683" i="17"/>
  <c r="I688" i="17" s="1"/>
  <c r="BR683" i="17"/>
  <c r="W686" i="17" s="1"/>
  <c r="CE683" i="17"/>
  <c r="C622" i="14"/>
  <c r="T74" i="9"/>
  <c r="AF152" i="1"/>
  <c r="W74" i="9"/>
  <c r="W650" i="14"/>
  <c r="AQ11" i="6"/>
  <c r="X614" i="14"/>
  <c r="H607" i="14"/>
  <c r="AQ139" i="1"/>
  <c r="U72" i="9"/>
  <c r="AM152" i="1"/>
  <c r="AQ152" i="1"/>
  <c r="U74" i="9"/>
  <c r="AX152" i="1"/>
  <c r="AB24" i="2"/>
  <c r="Y24" i="2"/>
  <c r="V60" i="9"/>
  <c r="Y60" i="9"/>
  <c r="AB60" i="9"/>
  <c r="N215" i="4"/>
  <c r="V70" i="9"/>
  <c r="Y70" i="9"/>
  <c r="AB70" i="9"/>
  <c r="N65" i="4"/>
  <c r="V65" i="9"/>
  <c r="Y65" i="9"/>
  <c r="AB65" i="9"/>
  <c r="N265" i="4"/>
  <c r="E636" i="17"/>
  <c r="E635" i="17"/>
  <c r="AS704" i="17"/>
  <c r="BD705" i="17"/>
  <c r="I706" i="17" s="1"/>
  <c r="BM705" i="17"/>
  <c r="BC705" i="17"/>
  <c r="X622" i="14"/>
  <c r="X623" i="14"/>
  <c r="H622" i="14"/>
  <c r="BE139" i="1"/>
  <c r="BD139" i="1"/>
  <c r="AL556" i="14"/>
  <c r="AN557" i="14"/>
  <c r="AO562" i="14"/>
  <c r="AM559" i="14"/>
  <c r="AM557" i="14"/>
  <c r="AN563" i="14"/>
  <c r="AL563" i="14"/>
  <c r="AO556" i="14"/>
  <c r="AN556" i="14"/>
  <c r="AM555" i="14"/>
  <c r="AL568" i="14"/>
  <c r="AL562" i="14"/>
  <c r="AM566" i="14"/>
  <c r="M554" i="14"/>
  <c r="AL567" i="14"/>
  <c r="AM556" i="14"/>
  <c r="AO564" i="14"/>
  <c r="AM560" i="14"/>
  <c r="AL555" i="14"/>
  <c r="AN560" i="14"/>
  <c r="AO555" i="14"/>
  <c r="AL565" i="14"/>
  <c r="AN568" i="14"/>
  <c r="N554" i="14"/>
  <c r="AM558" i="14"/>
  <c r="AN559" i="14"/>
  <c r="AO559" i="14"/>
  <c r="AO560" i="14"/>
  <c r="AO563" i="14"/>
  <c r="AO567" i="14"/>
  <c r="AN566" i="14"/>
  <c r="AN564" i="14"/>
  <c r="AM561" i="14"/>
  <c r="AM563" i="14"/>
  <c r="AL557" i="14"/>
  <c r="AO561" i="14"/>
  <c r="AN558" i="14"/>
  <c r="AM568" i="14"/>
  <c r="K554" i="14"/>
  <c r="AM565" i="14"/>
  <c r="AN561" i="14"/>
  <c r="AO565" i="14"/>
  <c r="AN567" i="14"/>
  <c r="AO557" i="14"/>
  <c r="AL560" i="14"/>
  <c r="AL566" i="14"/>
  <c r="AM562" i="14"/>
  <c r="AL564" i="14"/>
  <c r="AO566" i="14"/>
  <c r="AO558" i="14"/>
  <c r="AL561" i="14"/>
  <c r="L554" i="14"/>
  <c r="AM564" i="14"/>
  <c r="AL558" i="14"/>
  <c r="AO568" i="14"/>
  <c r="AM567" i="14"/>
  <c r="AN555" i="14"/>
  <c r="AN562" i="14"/>
  <c r="AL559" i="14"/>
  <c r="AN565" i="14"/>
  <c r="AC634" i="14"/>
  <c r="AC635" i="14"/>
  <c r="AC636" i="14"/>
  <c r="AB27" i="2"/>
  <c r="Y27" i="2"/>
  <c r="AB19" i="2"/>
  <c r="Y19" i="2"/>
  <c r="AB11" i="2"/>
  <c r="Y11" i="2"/>
  <c r="Z547" i="14"/>
  <c r="N539" i="14"/>
  <c r="AE539" i="14"/>
  <c r="V69" i="9"/>
  <c r="Y69" i="9"/>
  <c r="AB69" i="9"/>
  <c r="N515" i="4"/>
  <c r="Y72" i="9"/>
  <c r="AJ125" i="1"/>
  <c r="BZ683" i="17"/>
  <c r="AE689" i="17" s="1"/>
  <c r="BG683" i="17"/>
  <c r="BS683" i="17"/>
  <c r="X684" i="17" s="1"/>
  <c r="BQ683" i="17"/>
  <c r="V687" i="17" s="1"/>
  <c r="BX683" i="17"/>
  <c r="BU683" i="17"/>
  <c r="BI683" i="17"/>
  <c r="N688" i="17" s="1"/>
  <c r="BJ683" i="17"/>
  <c r="O684" i="17" s="1"/>
  <c r="CA705" i="17"/>
  <c r="AF709" i="17" s="1"/>
  <c r="BJ705" i="17"/>
  <c r="AB8" i="2"/>
  <c r="Y8" i="2"/>
  <c r="BE683" i="17"/>
  <c r="J689" i="17" s="1"/>
  <c r="CE8" i="6"/>
  <c r="BE152" i="1"/>
  <c r="BD152" i="1"/>
  <c r="AB16" i="2"/>
  <c r="Y16" i="2"/>
  <c r="AB28" i="2"/>
  <c r="Y28" i="2"/>
  <c r="Y74" i="9"/>
  <c r="W614" i="14"/>
  <c r="C607" i="14"/>
  <c r="X648" i="14"/>
  <c r="H641" i="14"/>
  <c r="V72" i="9"/>
  <c r="AB72" i="9"/>
  <c r="BM15" i="6"/>
  <c r="BG15" i="6"/>
  <c r="BH15" i="6"/>
  <c r="AB30" i="2"/>
  <c r="Y30" i="2"/>
  <c r="V66" i="9"/>
  <c r="Y66" i="9"/>
  <c r="AB66" i="9"/>
  <c r="N315" i="4"/>
  <c r="D635" i="17"/>
  <c r="I125" i="1"/>
  <c r="Y125" i="1"/>
  <c r="I152" i="1"/>
  <c r="Y152" i="1"/>
  <c r="D704" i="17"/>
  <c r="AB645" i="14"/>
  <c r="AB646" i="14"/>
  <c r="AB648" i="14"/>
  <c r="AB644" i="14"/>
  <c r="AB649" i="14"/>
  <c r="AB642" i="14"/>
  <c r="AB643" i="14"/>
  <c r="AB647" i="14"/>
  <c r="AB650" i="14"/>
  <c r="BZ705" i="17"/>
  <c r="AE711" i="17" s="1"/>
  <c r="BP705" i="17"/>
  <c r="U707" i="17" s="1"/>
  <c r="BK705" i="17"/>
  <c r="CD705" i="17"/>
  <c r="AI706" i="17" s="1"/>
  <c r="BL705" i="17"/>
  <c r="Q708" i="17" s="1"/>
  <c r="BS705" i="17"/>
  <c r="CE705" i="17"/>
  <c r="AJ711" i="17" s="1"/>
  <c r="BO705" i="17"/>
  <c r="T708" i="17" s="1"/>
  <c r="BR705" i="17"/>
  <c r="W710" i="17" s="1"/>
  <c r="AJ647" i="14"/>
  <c r="AK648" i="14"/>
  <c r="AJ644" i="14"/>
  <c r="AK643" i="14"/>
  <c r="AK650" i="14"/>
  <c r="AK647" i="14"/>
  <c r="AK644" i="14"/>
  <c r="AJ648" i="14"/>
  <c r="AJ649" i="14"/>
  <c r="AK642" i="14"/>
  <c r="AK646" i="14"/>
  <c r="AJ643" i="14"/>
  <c r="AJ645" i="14"/>
  <c r="AK649" i="14"/>
  <c r="F641" i="14"/>
  <c r="AK645" i="14"/>
  <c r="AJ642" i="14"/>
  <c r="AJ646" i="14"/>
  <c r="AJ650" i="14"/>
  <c r="AH649" i="14"/>
  <c r="AI645" i="14"/>
  <c r="AH645" i="14"/>
  <c r="AI642" i="14"/>
  <c r="AH643" i="14"/>
  <c r="AI650" i="14"/>
  <c r="AH647" i="14"/>
  <c r="AI647" i="14"/>
  <c r="AI649" i="14"/>
  <c r="AI648" i="14"/>
  <c r="AH644" i="14"/>
  <c r="AI643" i="14"/>
  <c r="E641" i="14"/>
  <c r="AI644" i="14"/>
  <c r="AI646" i="14"/>
  <c r="AH648" i="14"/>
  <c r="AH642" i="14"/>
  <c r="AH650" i="14"/>
  <c r="AH646" i="14"/>
  <c r="BT705" i="17"/>
  <c r="BX705" i="17"/>
  <c r="CC705" i="17"/>
  <c r="AH709" i="17" s="1"/>
  <c r="BV705" i="17"/>
  <c r="AA710" i="17" s="1"/>
  <c r="BI705" i="17"/>
  <c r="N706" i="17" s="1"/>
  <c r="BG705" i="17"/>
  <c r="BH705" i="17"/>
  <c r="CB705" i="17"/>
  <c r="AG709" i="17" s="1"/>
  <c r="BY705" i="17"/>
  <c r="AD709" i="17" s="1"/>
  <c r="BF705" i="17"/>
  <c r="K710" i="17" s="1"/>
  <c r="BU705" i="17"/>
  <c r="Z710" i="17" s="1"/>
  <c r="E705" i="17"/>
  <c r="BN705" i="17"/>
  <c r="S706" i="17" s="1"/>
  <c r="BW705" i="17"/>
  <c r="AB707" i="17" s="1"/>
  <c r="BE705" i="17"/>
  <c r="J710" i="17" s="1"/>
  <c r="E704" i="17"/>
  <c r="CF705" i="17"/>
  <c r="AK707" i="17" s="1"/>
  <c r="BQ705" i="17"/>
  <c r="V710" i="17" s="1"/>
  <c r="AB21" i="2"/>
  <c r="Y21" i="2"/>
  <c r="AI665" i="14"/>
  <c r="AH669" i="14"/>
  <c r="AK666" i="14"/>
  <c r="AH661" i="14"/>
  <c r="AH667" i="14"/>
  <c r="AJ661" i="14"/>
  <c r="AH665" i="14"/>
  <c r="AK662" i="14"/>
  <c r="E656" i="14"/>
  <c r="AI670" i="14"/>
  <c r="AJ670" i="14"/>
  <c r="AI669" i="14"/>
  <c r="AH659" i="14"/>
  <c r="AI659" i="14"/>
  <c r="E655" i="14"/>
  <c r="AK657" i="14"/>
  <c r="AJ663" i="14"/>
  <c r="AI662" i="14"/>
  <c r="AK658" i="14"/>
  <c r="AI668" i="14"/>
  <c r="AH658" i="14"/>
  <c r="AI667" i="14"/>
  <c r="AI661" i="14"/>
  <c r="AJ669" i="14"/>
  <c r="AJ668" i="14"/>
  <c r="AH670" i="14"/>
  <c r="AH663" i="14"/>
  <c r="AJ659" i="14"/>
  <c r="AJ658" i="14"/>
  <c r="AK670" i="14"/>
  <c r="AK669" i="14"/>
  <c r="AH666" i="14"/>
  <c r="AK664" i="14"/>
  <c r="AI658" i="14"/>
  <c r="AJ664" i="14"/>
  <c r="AK663" i="14"/>
  <c r="AK659" i="14"/>
  <c r="AH662" i="14"/>
  <c r="AK667" i="14"/>
  <c r="AI660" i="14"/>
  <c r="AH657" i="14"/>
  <c r="AJ660" i="14"/>
  <c r="AJ667" i="14"/>
  <c r="AI664" i="14"/>
  <c r="F656" i="14"/>
  <c r="AK668" i="14"/>
  <c r="G656" i="14"/>
  <c r="AK661" i="14"/>
  <c r="AJ666" i="14"/>
  <c r="AI657" i="14"/>
  <c r="AJ665" i="14"/>
  <c r="AI666" i="14"/>
  <c r="AK665" i="14"/>
  <c r="D656" i="14"/>
  <c r="AK660" i="14"/>
  <c r="AJ657" i="14"/>
  <c r="AH660" i="14"/>
  <c r="AH668" i="14"/>
  <c r="AH664" i="14"/>
  <c r="AI663" i="14"/>
  <c r="AJ662" i="14"/>
  <c r="AB20" i="2"/>
  <c r="Y20" i="2"/>
  <c r="R12" i="2"/>
  <c r="R13" i="2"/>
  <c r="R14" i="2"/>
  <c r="F14" i="2"/>
  <c r="C14" i="2"/>
  <c r="E14" i="2"/>
  <c r="G14" i="2"/>
  <c r="D14" i="2"/>
  <c r="H14" i="2"/>
  <c r="K14" i="2"/>
  <c r="J14" i="2"/>
  <c r="I14" i="2"/>
  <c r="K13" i="2"/>
  <c r="I13" i="2"/>
  <c r="H13" i="2"/>
  <c r="F13" i="2"/>
  <c r="C13" i="2"/>
  <c r="D13" i="2"/>
  <c r="G13" i="2"/>
  <c r="E13" i="2"/>
  <c r="J13" i="2"/>
  <c r="R10" i="2"/>
  <c r="K10" i="2"/>
  <c r="H10" i="2"/>
  <c r="D10" i="2"/>
  <c r="G10" i="2"/>
  <c r="E10" i="2"/>
  <c r="J10" i="2"/>
  <c r="F10" i="2"/>
  <c r="I10" i="2"/>
  <c r="C10" i="2"/>
  <c r="F9" i="2"/>
  <c r="D9" i="2"/>
  <c r="G9" i="2"/>
  <c r="J9" i="2"/>
  <c r="C9" i="2"/>
  <c r="I9" i="2"/>
  <c r="E9" i="2"/>
  <c r="K9" i="2"/>
  <c r="H9" i="2"/>
  <c r="R7" i="2"/>
  <c r="R8" i="2"/>
  <c r="D8" i="2"/>
  <c r="C8" i="2"/>
  <c r="K8" i="2"/>
  <c r="I8" i="2"/>
  <c r="F8" i="2"/>
  <c r="E8" i="2"/>
  <c r="G8" i="2"/>
  <c r="J8" i="2"/>
  <c r="H8" i="2"/>
  <c r="E7" i="2"/>
  <c r="H7" i="2"/>
  <c r="D7" i="2"/>
  <c r="G7" i="2"/>
  <c r="F7" i="2"/>
  <c r="C7" i="2"/>
  <c r="K7" i="2"/>
  <c r="J7" i="2"/>
  <c r="I7" i="2"/>
  <c r="H11" i="2"/>
  <c r="J11" i="2"/>
  <c r="C11" i="2"/>
  <c r="F11" i="2"/>
  <c r="I11" i="2"/>
  <c r="K11" i="2"/>
  <c r="D11" i="2"/>
  <c r="G11" i="2"/>
  <c r="E11" i="2"/>
  <c r="H12" i="2"/>
  <c r="C12" i="2"/>
  <c r="G12" i="2"/>
  <c r="E12" i="2"/>
  <c r="K12" i="2"/>
  <c r="I12" i="2"/>
  <c r="J12" i="2"/>
  <c r="D12" i="2"/>
  <c r="F12" i="2"/>
  <c r="CD683" i="17"/>
  <c r="CC683" i="17"/>
  <c r="BF683" i="17"/>
  <c r="K684" i="17" s="1"/>
  <c r="BW683" i="17"/>
  <c r="AB687" i="17" s="1"/>
  <c r="E682" i="17"/>
  <c r="E683" i="17"/>
  <c r="BY683" i="17"/>
  <c r="AD688" i="17" s="1"/>
  <c r="S709" i="17"/>
  <c r="K709" i="17"/>
  <c r="Z706" i="17"/>
  <c r="C656" i="14"/>
  <c r="AK710" i="17"/>
  <c r="AB22" i="2"/>
  <c r="Y22" i="2"/>
  <c r="AI624" i="14"/>
  <c r="AJ627" i="14"/>
  <c r="AH623" i="14"/>
  <c r="AI635" i="14"/>
  <c r="AK625" i="14"/>
  <c r="AK634" i="14"/>
  <c r="AI634" i="14"/>
  <c r="AI629" i="14"/>
  <c r="AJ635" i="14"/>
  <c r="AI633" i="14"/>
  <c r="AJ631" i="14"/>
  <c r="AH628" i="14"/>
  <c r="AJ626" i="14"/>
  <c r="AI623" i="14"/>
  <c r="AH634" i="14"/>
  <c r="AJ634" i="14"/>
  <c r="AH631" i="14"/>
  <c r="AI632" i="14"/>
  <c r="AK630" i="14"/>
  <c r="AK633" i="14"/>
  <c r="AK636" i="14"/>
  <c r="AH626" i="14"/>
  <c r="G622" i="14"/>
  <c r="AH632" i="14"/>
  <c r="AJ624" i="14"/>
  <c r="F622" i="14"/>
  <c r="AI625" i="14"/>
  <c r="AI631" i="14"/>
  <c r="AI630" i="14"/>
  <c r="AK627" i="14"/>
  <c r="AH625" i="14"/>
  <c r="AJ633" i="14"/>
  <c r="AH630" i="14"/>
  <c r="AH636" i="14"/>
  <c r="E621" i="14"/>
  <c r="AK629" i="14"/>
  <c r="AK628" i="14"/>
  <c r="AH635" i="14"/>
  <c r="AJ623" i="14"/>
  <c r="AI627" i="14"/>
  <c r="AI628" i="14"/>
  <c r="AH633" i="14"/>
  <c r="AK632" i="14"/>
  <c r="AK635" i="14"/>
  <c r="AH627" i="14"/>
  <c r="AJ625" i="14"/>
  <c r="AI626" i="14"/>
  <c r="AH629" i="14"/>
  <c r="E622" i="14"/>
  <c r="AK626" i="14"/>
  <c r="AJ636" i="14"/>
  <c r="AJ629" i="14"/>
  <c r="AH624" i="14"/>
  <c r="AK631" i="14"/>
  <c r="AK624" i="14"/>
  <c r="AJ628" i="14"/>
  <c r="AK623" i="14"/>
  <c r="AI636" i="14"/>
  <c r="AJ632" i="14"/>
  <c r="AJ630" i="14"/>
  <c r="D622" i="14"/>
  <c r="AB14" i="2"/>
  <c r="Y14" i="2"/>
  <c r="AB15" i="2"/>
  <c r="Y15" i="2"/>
  <c r="AB636" i="14"/>
  <c r="AB25" i="2"/>
  <c r="Y25" i="2"/>
  <c r="AB17" i="2"/>
  <c r="Y17" i="2"/>
  <c r="AB9" i="2"/>
  <c r="Y9" i="2"/>
  <c r="V62" i="9"/>
  <c r="Y62" i="9"/>
  <c r="AB62" i="9"/>
  <c r="N565" i="4"/>
  <c r="V59" i="9"/>
  <c r="AB59" i="9"/>
  <c r="N564" i="4"/>
  <c r="AJ152" i="1"/>
  <c r="V74" i="9"/>
  <c r="AB74" i="9"/>
  <c r="AJ139" i="1"/>
  <c r="AK124" i="1"/>
  <c r="O124" i="1"/>
  <c r="P122" i="1"/>
  <c r="AS693" i="17"/>
  <c r="CC694" i="17"/>
  <c r="AH696" i="17" s="1"/>
  <c r="BF694" i="17"/>
  <c r="K698" i="17" s="1"/>
  <c r="CD694" i="17"/>
  <c r="BM694" i="17"/>
  <c r="BX694" i="17"/>
  <c r="AC697" i="17" s="1"/>
  <c r="CA694" i="17"/>
  <c r="BO694" i="17"/>
  <c r="BJ694" i="17"/>
  <c r="O699" i="17" s="1"/>
  <c r="BN694" i="17"/>
  <c r="S696" i="17" s="1"/>
  <c r="BV694" i="17"/>
  <c r="AA698" i="17" s="1"/>
  <c r="BG694" i="17"/>
  <c r="L695" i="17" s="1"/>
  <c r="BS694" i="17"/>
  <c r="X695" i="17" s="1"/>
  <c r="BH694" i="17"/>
  <c r="M699" i="17" s="1"/>
  <c r="BU694" i="17"/>
  <c r="Z700" i="17" s="1"/>
  <c r="BP694" i="17"/>
  <c r="U698" i="17" s="1"/>
  <c r="BR694" i="17"/>
  <c r="W696" i="17" s="1"/>
  <c r="BI694" i="17"/>
  <c r="BL694" i="17"/>
  <c r="Q700" i="17" s="1"/>
  <c r="CE694" i="17"/>
  <c r="AJ700" i="17" s="1"/>
  <c r="BZ694" i="17"/>
  <c r="AE700" i="17" s="1"/>
  <c r="CF694" i="17"/>
  <c r="AK695" i="17" s="1"/>
  <c r="BQ694" i="17"/>
  <c r="V698" i="17" s="1"/>
  <c r="BE694" i="17"/>
  <c r="J698" i="17" s="1"/>
  <c r="CB694" i="17"/>
  <c r="AG696" i="17" s="1"/>
  <c r="BT694" i="17"/>
  <c r="BY694" i="17"/>
  <c r="AD698" i="17" s="1"/>
  <c r="BD694" i="17"/>
  <c r="I697" i="17" s="1"/>
  <c r="BC694" i="17"/>
  <c r="H699" i="17" s="1"/>
  <c r="BW694" i="17"/>
  <c r="AB699" i="17" s="1"/>
  <c r="BK694" i="17"/>
  <c r="P695" i="17" s="1"/>
  <c r="E693" i="17"/>
  <c r="E694" i="17"/>
  <c r="D694" i="17"/>
  <c r="M144" i="1"/>
  <c r="D705" i="17"/>
  <c r="M152" i="1"/>
  <c r="AS657" i="17"/>
  <c r="CC658" i="17"/>
  <c r="AH659" i="17" s="1"/>
  <c r="BU658" i="17"/>
  <c r="Z660" i="17" s="1"/>
  <c r="CA658" i="17"/>
  <c r="BM658" i="17"/>
  <c r="R661" i="17" s="1"/>
  <c r="BX658" i="17"/>
  <c r="AC660" i="17" s="1"/>
  <c r="BG658" i="17"/>
  <c r="L661" i="17" s="1"/>
  <c r="BY658" i="17"/>
  <c r="AD660" i="17" s="1"/>
  <c r="BR658" i="17"/>
  <c r="CF658" i="17"/>
  <c r="BO658" i="17"/>
  <c r="T662" i="17" s="1"/>
  <c r="BI658" i="17"/>
  <c r="BS658" i="17"/>
  <c r="X663" i="17" s="1"/>
  <c r="BZ658" i="17"/>
  <c r="AE659" i="17" s="1"/>
  <c r="CD658" i="17"/>
  <c r="AI659" i="17" s="1"/>
  <c r="BJ658" i="17"/>
  <c r="O661" i="17" s="1"/>
  <c r="CB658" i="17"/>
  <c r="BV658" i="17"/>
  <c r="BH658" i="17"/>
  <c r="BF658" i="17"/>
  <c r="BP658" i="17"/>
  <c r="U659" i="17" s="1"/>
  <c r="BN658" i="17"/>
  <c r="S663" i="17" s="1"/>
  <c r="BW658" i="17"/>
  <c r="AB661" i="17" s="1"/>
  <c r="CE658" i="17"/>
  <c r="AJ664" i="17" s="1"/>
  <c r="BD658" i="17"/>
  <c r="I661" i="17" s="1"/>
  <c r="BK658" i="17"/>
  <c r="P660" i="17" s="1"/>
  <c r="BE658" i="17"/>
  <c r="BQ658" i="17"/>
  <c r="V662" i="17" s="1"/>
  <c r="BT658" i="17"/>
  <c r="Y660" i="17" s="1"/>
  <c r="BL658" i="17"/>
  <c r="Q661" i="17" s="1"/>
  <c r="BC658" i="17"/>
  <c r="H663" i="17" s="1"/>
  <c r="D683" i="17"/>
  <c r="M139" i="1"/>
  <c r="AS646" i="17"/>
  <c r="BN647" i="17"/>
  <c r="BF647" i="17"/>
  <c r="K652" i="17" s="1"/>
  <c r="BZ647" i="17"/>
  <c r="AE651" i="17" s="1"/>
  <c r="BJ647" i="17"/>
  <c r="O652" i="17" s="1"/>
  <c r="BT647" i="17"/>
  <c r="Y648" i="17" s="1"/>
  <c r="BW647" i="17"/>
  <c r="AB649" i="17" s="1"/>
  <c r="CC647" i="17"/>
  <c r="CB647" i="17"/>
  <c r="CE647" i="17"/>
  <c r="BP647" i="17"/>
  <c r="U653" i="17" s="1"/>
  <c r="E657" i="17"/>
  <c r="E658" i="17"/>
  <c r="BR647" i="17"/>
  <c r="W652" i="17" s="1"/>
  <c r="BV647" i="17"/>
  <c r="AA651" i="17" s="1"/>
  <c r="BQ647" i="17"/>
  <c r="V653" i="17" s="1"/>
  <c r="BM647" i="17"/>
  <c r="R650" i="17" s="1"/>
  <c r="BE647" i="17"/>
  <c r="BL647" i="17"/>
  <c r="BO647" i="17"/>
  <c r="BD647" i="17"/>
  <c r="I650" i="17" s="1"/>
  <c r="CD647" i="17"/>
  <c r="AI653" i="17" s="1"/>
  <c r="BK647" i="17"/>
  <c r="P652" i="17" s="1"/>
  <c r="BC647" i="17"/>
  <c r="H650" i="17" s="1"/>
  <c r="BH647" i="17"/>
  <c r="M648" i="17" s="1"/>
  <c r="BS647" i="17"/>
  <c r="BI647" i="17"/>
  <c r="CF647" i="17"/>
  <c r="CA647" i="17"/>
  <c r="AF649" i="17" s="1"/>
  <c r="BU647" i="17"/>
  <c r="Z648" i="17" s="1"/>
  <c r="BX647" i="17"/>
  <c r="AC651" i="17" s="1"/>
  <c r="BY647" i="17"/>
  <c r="AD649" i="17" s="1"/>
  <c r="BG647" i="17"/>
  <c r="D658" i="17"/>
  <c r="M131" i="1"/>
  <c r="E646" i="17"/>
  <c r="E647" i="17"/>
  <c r="D647" i="17"/>
  <c r="M130" i="1"/>
  <c r="AS624" i="17"/>
  <c r="BV625" i="17"/>
  <c r="AA631" i="17" s="1"/>
  <c r="CC625" i="17"/>
  <c r="BF625" i="17"/>
  <c r="BP625" i="17"/>
  <c r="CF625" i="17"/>
  <c r="AK629" i="17" s="1"/>
  <c r="BO625" i="17"/>
  <c r="T630" i="17" s="1"/>
  <c r="BU625" i="17"/>
  <c r="BT625" i="17"/>
  <c r="Y631" i="17" s="1"/>
  <c r="BG625" i="17"/>
  <c r="L628" i="17" s="1"/>
  <c r="CE625" i="17"/>
  <c r="CB625" i="17"/>
  <c r="BY625" i="17"/>
  <c r="BS625" i="17"/>
  <c r="X627" i="17" s="1"/>
  <c r="BJ625" i="17"/>
  <c r="O627" i="17" s="1"/>
  <c r="BI625" i="17"/>
  <c r="CA625" i="17"/>
  <c r="BC625" i="17"/>
  <c r="H631" i="17" s="1"/>
  <c r="BR625" i="17"/>
  <c r="BK625" i="17"/>
  <c r="BW625" i="17"/>
  <c r="BH625" i="17"/>
  <c r="M627" i="17" s="1"/>
  <c r="BE625" i="17"/>
  <c r="J626" i="17" s="1"/>
  <c r="BL625" i="17"/>
  <c r="Q630" i="17" s="1"/>
  <c r="BM625" i="17"/>
  <c r="R628" i="17" s="1"/>
  <c r="BZ625" i="17"/>
  <c r="AE631" i="17" s="1"/>
  <c r="BN625" i="17"/>
  <c r="BX625" i="17"/>
  <c r="BD625" i="17"/>
  <c r="I627" i="17" s="1"/>
  <c r="BQ625" i="17"/>
  <c r="V626" i="17" s="1"/>
  <c r="CD625" i="17"/>
  <c r="AI628" i="17" s="1"/>
  <c r="AS599" i="17"/>
  <c r="CE600" i="17"/>
  <c r="AJ604" i="17" s="1"/>
  <c r="BL600" i="17"/>
  <c r="BH600" i="17"/>
  <c r="M604" i="17" s="1"/>
  <c r="BY600" i="17"/>
  <c r="AD604" i="17" s="1"/>
  <c r="BD600" i="17"/>
  <c r="I602" i="17" s="1"/>
  <c r="CD600" i="17"/>
  <c r="AI605" i="17" s="1"/>
  <c r="BJ600" i="17"/>
  <c r="O606" i="17" s="1"/>
  <c r="BV600" i="17"/>
  <c r="AA603" i="17" s="1"/>
  <c r="BI600" i="17"/>
  <c r="N602" i="17" s="1"/>
  <c r="BM600" i="17"/>
  <c r="BZ600" i="17"/>
  <c r="AE602" i="17" s="1"/>
  <c r="CF600" i="17"/>
  <c r="AK602" i="17" s="1"/>
  <c r="BP600" i="17"/>
  <c r="U602" i="17" s="1"/>
  <c r="BO600" i="17"/>
  <c r="T602" i="17" s="1"/>
  <c r="BE600" i="17"/>
  <c r="J606" i="17" s="1"/>
  <c r="E624" i="17"/>
  <c r="E625" i="17"/>
  <c r="BF600" i="17"/>
  <c r="K606" i="17" s="1"/>
  <c r="BT600" i="17"/>
  <c r="Y603" i="17" s="1"/>
  <c r="BX600" i="17"/>
  <c r="CB600" i="17"/>
  <c r="AG604" i="17" s="1"/>
  <c r="BN600" i="17"/>
  <c r="S606" i="17" s="1"/>
  <c r="BS600" i="17"/>
  <c r="X605" i="17" s="1"/>
  <c r="CA600" i="17"/>
  <c r="AF601" i="17" s="1"/>
  <c r="CC600" i="17"/>
  <c r="AH601" i="17" s="1"/>
  <c r="BG600" i="17"/>
  <c r="L606" i="17" s="1"/>
  <c r="BW600" i="17"/>
  <c r="AB601" i="17" s="1"/>
  <c r="BR600" i="17"/>
  <c r="BQ600" i="17"/>
  <c r="V601" i="17" s="1"/>
  <c r="BC600" i="17"/>
  <c r="H601" i="17" s="1"/>
  <c r="BU600" i="17"/>
  <c r="Z604" i="17" s="1"/>
  <c r="BK600" i="17"/>
  <c r="P604" i="17" s="1"/>
  <c r="D625" i="17"/>
  <c r="M124" i="1"/>
  <c r="AS588" i="17"/>
  <c r="BP589" i="17"/>
  <c r="BS589" i="17"/>
  <c r="X592" i="17" s="1"/>
  <c r="BK589" i="17"/>
  <c r="P590" i="17" s="1"/>
  <c r="BZ589" i="17"/>
  <c r="AE591" i="17" s="1"/>
  <c r="BH589" i="17"/>
  <c r="M590" i="17" s="1"/>
  <c r="CB589" i="17"/>
  <c r="AG591" i="17" s="1"/>
  <c r="BE589" i="17"/>
  <c r="J595" i="17" s="1"/>
  <c r="BD589" i="17"/>
  <c r="I590" i="17" s="1"/>
  <c r="BO589" i="17"/>
  <c r="BX589" i="17"/>
  <c r="AC594" i="17" s="1"/>
  <c r="BJ589" i="17"/>
  <c r="O592" i="17" s="1"/>
  <c r="BR589" i="17"/>
  <c r="W590" i="17" s="1"/>
  <c r="CA589" i="17"/>
  <c r="CD589" i="17"/>
  <c r="E600" i="17"/>
  <c r="E599" i="17"/>
  <c r="BC589" i="17"/>
  <c r="H593" i="17" s="1"/>
  <c r="BG589" i="17"/>
  <c r="BU589" i="17"/>
  <c r="Z590" i="17" s="1"/>
  <c r="CF589" i="17"/>
  <c r="AK592" i="17" s="1"/>
  <c r="BL589" i="17"/>
  <c r="Q595" i="17" s="1"/>
  <c r="BV589" i="17"/>
  <c r="AA595" i="17" s="1"/>
  <c r="BW589" i="17"/>
  <c r="AB591" i="17" s="1"/>
  <c r="BM589" i="17"/>
  <c r="R594" i="17" s="1"/>
  <c r="BI589" i="17"/>
  <c r="N592" i="17" s="1"/>
  <c r="CC589" i="17"/>
  <c r="BF589" i="17"/>
  <c r="K590" i="17" s="1"/>
  <c r="CE589" i="17"/>
  <c r="AJ594" i="17" s="1"/>
  <c r="BT589" i="17"/>
  <c r="Y592" i="17" s="1"/>
  <c r="BN589" i="17"/>
  <c r="S595" i="17" s="1"/>
  <c r="BY589" i="17"/>
  <c r="AD590" i="17" s="1"/>
  <c r="BQ589" i="17"/>
  <c r="V590" i="17" s="1"/>
  <c r="AS577" i="17"/>
  <c r="BK578" i="17"/>
  <c r="BO578" i="17"/>
  <c r="BU578" i="17"/>
  <c r="Z581" i="17" s="1"/>
  <c r="BP578" i="17"/>
  <c r="U580" i="17" s="1"/>
  <c r="BR578" i="17"/>
  <c r="W582" i="17" s="1"/>
  <c r="BW578" i="17"/>
  <c r="AB579" i="17" s="1"/>
  <c r="BH578" i="17"/>
  <c r="M579" i="17" s="1"/>
  <c r="BI578" i="17"/>
  <c r="N580" i="17" s="1"/>
  <c r="CB578" i="17"/>
  <c r="AG582" i="17" s="1"/>
  <c r="BM578" i="17"/>
  <c r="R581" i="17" s="1"/>
  <c r="CF578" i="17"/>
  <c r="AK579" i="17" s="1"/>
  <c r="BS578" i="17"/>
  <c r="X582" i="17" s="1"/>
  <c r="BT578" i="17"/>
  <c r="Y580" i="17" s="1"/>
  <c r="BC578" i="17"/>
  <c r="H583" i="17" s="1"/>
  <c r="BJ578" i="17"/>
  <c r="O582" i="17" s="1"/>
  <c r="BQ578" i="17"/>
  <c r="V581" i="17" s="1"/>
  <c r="BF578" i="17"/>
  <c r="K582" i="17" s="1"/>
  <c r="BY578" i="17"/>
  <c r="AD583" i="17" s="1"/>
  <c r="BN578" i="17"/>
  <c r="S581" i="17" s="1"/>
  <c r="BZ578" i="17"/>
  <c r="AE579" i="17" s="1"/>
  <c r="CE578" i="17"/>
  <c r="AJ581" i="17" s="1"/>
  <c r="E589" i="17"/>
  <c r="E588" i="17"/>
  <c r="CA578" i="17"/>
  <c r="AF582" i="17" s="1"/>
  <c r="CD578" i="17"/>
  <c r="AI580" i="17" s="1"/>
  <c r="BL578" i="17"/>
  <c r="Q583" i="17" s="1"/>
  <c r="BD578" i="17"/>
  <c r="I581" i="17" s="1"/>
  <c r="CC578" i="17"/>
  <c r="AH583" i="17" s="1"/>
  <c r="BV578" i="17"/>
  <c r="AA584" i="17" s="1"/>
  <c r="BX578" i="17"/>
  <c r="AC581" i="17" s="1"/>
  <c r="BG578" i="17"/>
  <c r="L584" i="17" s="1"/>
  <c r="BE578" i="17"/>
  <c r="J584" i="17" s="1"/>
  <c r="AS566" i="17"/>
  <c r="BG567" i="17"/>
  <c r="L568" i="17" s="1"/>
  <c r="CB567" i="17"/>
  <c r="AG573" i="17" s="1"/>
  <c r="BT567" i="17"/>
  <c r="Y572" i="17" s="1"/>
  <c r="CD567" i="17"/>
  <c r="AI568" i="17" s="1"/>
  <c r="BF567" i="17"/>
  <c r="K568" i="17" s="1"/>
  <c r="BN567" i="17"/>
  <c r="S571" i="17" s="1"/>
  <c r="BQ567" i="17"/>
  <c r="V570" i="17" s="1"/>
  <c r="BH567" i="17"/>
  <c r="M569" i="17" s="1"/>
  <c r="BS567" i="17"/>
  <c r="X572" i="17" s="1"/>
  <c r="BJ567" i="17"/>
  <c r="O568" i="17" s="1"/>
  <c r="CE567" i="17"/>
  <c r="AJ572" i="17" s="1"/>
  <c r="BE567" i="17"/>
  <c r="J570" i="17" s="1"/>
  <c r="BK567" i="17"/>
  <c r="P569" i="17" s="1"/>
  <c r="BX567" i="17"/>
  <c r="AC571" i="17" s="1"/>
  <c r="E578" i="17"/>
  <c r="E577" i="17"/>
  <c r="BO567" i="17"/>
  <c r="T572" i="17" s="1"/>
  <c r="BP567" i="17"/>
  <c r="U568" i="17" s="1"/>
  <c r="BU567" i="17"/>
  <c r="Z570" i="17" s="1"/>
  <c r="BM567" i="17"/>
  <c r="R569" i="17" s="1"/>
  <c r="CA567" i="17"/>
  <c r="AF568" i="17" s="1"/>
  <c r="X649" i="14"/>
  <c r="G641" i="14"/>
  <c r="AC641" i="14"/>
  <c r="AC649" i="14"/>
  <c r="AC646" i="14"/>
  <c r="AC644" i="14"/>
  <c r="AC647" i="14"/>
  <c r="AC648" i="14"/>
  <c r="AC650" i="14"/>
  <c r="AC645" i="14"/>
  <c r="AC643" i="14"/>
  <c r="AC642" i="14"/>
  <c r="BZ567" i="17"/>
  <c r="AE568" i="17" s="1"/>
  <c r="BV567" i="17"/>
  <c r="AA571" i="17" s="1"/>
  <c r="BY567" i="17"/>
  <c r="AD573" i="17" s="1"/>
  <c r="BR567" i="17"/>
  <c r="W571" i="17" s="1"/>
  <c r="BL567" i="17"/>
  <c r="BD567" i="17"/>
  <c r="I569" i="17" s="1"/>
  <c r="BC567" i="17"/>
  <c r="CF567" i="17"/>
  <c r="AK573" i="17" s="1"/>
  <c r="CC567" i="17"/>
  <c r="AH573" i="17" s="1"/>
  <c r="BW567" i="17"/>
  <c r="AB568" i="17" s="1"/>
  <c r="BI567" i="17"/>
  <c r="N568" i="17" s="1"/>
  <c r="AY152" i="1"/>
  <c r="BM16" i="6"/>
  <c r="BG16" i="6"/>
  <c r="BH16" i="6"/>
  <c r="AS555" i="17"/>
  <c r="BM556" i="17"/>
  <c r="R558" i="17" s="1"/>
  <c r="BL556" i="17"/>
  <c r="Q561" i="17" s="1"/>
  <c r="BK556" i="17"/>
  <c r="P562" i="17" s="1"/>
  <c r="CD556" i="17"/>
  <c r="BI556" i="17"/>
  <c r="BU556" i="17"/>
  <c r="Z559" i="17" s="1"/>
  <c r="CB556" i="17"/>
  <c r="AG560" i="17" s="1"/>
  <c r="CC556" i="17"/>
  <c r="BD556" i="17"/>
  <c r="I562" i="17" s="1"/>
  <c r="BH556" i="17"/>
  <c r="M559" i="17" s="1"/>
  <c r="E566" i="17"/>
  <c r="E567" i="17"/>
  <c r="BT556" i="17"/>
  <c r="Y561" i="17" s="1"/>
  <c r="BN556" i="17"/>
  <c r="S560" i="17" s="1"/>
  <c r="BG556" i="17"/>
  <c r="L562" i="17" s="1"/>
  <c r="BC556" i="17"/>
  <c r="H559" i="17" s="1"/>
  <c r="CF556" i="17"/>
  <c r="AK557" i="17" s="1"/>
  <c r="BS556" i="17"/>
  <c r="BY556" i="17"/>
  <c r="AD557" i="17" s="1"/>
  <c r="BV556" i="17"/>
  <c r="AA559" i="17" s="1"/>
  <c r="BO556" i="17"/>
  <c r="T560" i="17" s="1"/>
  <c r="BX556" i="17"/>
  <c r="AC558" i="17" s="1"/>
  <c r="BP556" i="17"/>
  <c r="U558" i="17" s="1"/>
  <c r="BZ556" i="17"/>
  <c r="AE557" i="17" s="1"/>
  <c r="BF556" i="17"/>
  <c r="K559" i="17" s="1"/>
  <c r="CE556" i="17"/>
  <c r="BJ556" i="17"/>
  <c r="O558" i="17" s="1"/>
  <c r="CA556" i="17"/>
  <c r="AF559" i="17" s="1"/>
  <c r="BE556" i="17"/>
  <c r="J562" i="17" s="1"/>
  <c r="BQ556" i="17"/>
  <c r="V562" i="17" s="1"/>
  <c r="BW556" i="17"/>
  <c r="AB557" i="17" s="1"/>
  <c r="BR556" i="17"/>
  <c r="AS544" i="17"/>
  <c r="BO545" i="17"/>
  <c r="T551" i="17" s="1"/>
  <c r="CF545" i="17"/>
  <c r="BR545" i="17"/>
  <c r="W546" i="17" s="1"/>
  <c r="BC545" i="17"/>
  <c r="H549" i="17" s="1"/>
  <c r="BM545" i="17"/>
  <c r="R547" i="17" s="1"/>
  <c r="BX545" i="17"/>
  <c r="AC550" i="17" s="1"/>
  <c r="BE545" i="17"/>
  <c r="J548" i="17" s="1"/>
  <c r="CC545" i="17"/>
  <c r="AH546" i="17" s="1"/>
  <c r="BY545" i="17"/>
  <c r="AD549" i="17" s="1"/>
  <c r="BK545" i="17"/>
  <c r="P548" i="17" s="1"/>
  <c r="CB545" i="17"/>
  <c r="AG547" i="17" s="1"/>
  <c r="BS545" i="17"/>
  <c r="CA545" i="17"/>
  <c r="AF546" i="17" s="1"/>
  <c r="BG545" i="17"/>
  <c r="L549" i="17" s="1"/>
  <c r="BH545" i="17"/>
  <c r="M548" i="17" s="1"/>
  <c r="BI545" i="17"/>
  <c r="N551" i="17" s="1"/>
  <c r="BZ545" i="17"/>
  <c r="AE551" i="17" s="1"/>
  <c r="BV545" i="17"/>
  <c r="AA551" i="17" s="1"/>
  <c r="BQ545" i="17"/>
  <c r="V551" i="17" s="1"/>
  <c r="BT545" i="17"/>
  <c r="CE545" i="17"/>
  <c r="AJ551" i="17" s="1"/>
  <c r="E556" i="17"/>
  <c r="E555" i="17"/>
  <c r="BD545" i="17"/>
  <c r="I550" i="17" s="1"/>
  <c r="BW545" i="17"/>
  <c r="AB550" i="17" s="1"/>
  <c r="BP545" i="17"/>
  <c r="U551" i="17" s="1"/>
  <c r="CD545" i="17"/>
  <c r="AI550" i="17" s="1"/>
  <c r="AK144" i="1"/>
  <c r="Y621" i="14"/>
  <c r="AN630" i="14"/>
  <c r="AM626" i="14"/>
  <c r="AD623" i="14"/>
  <c r="AD624" i="14"/>
  <c r="AD625" i="14"/>
  <c r="AD626" i="14"/>
  <c r="AD627" i="14"/>
  <c r="AD628" i="14"/>
  <c r="AD629" i="14"/>
  <c r="AD630" i="14"/>
  <c r="AD631" i="14"/>
  <c r="AD632" i="14"/>
  <c r="AD633" i="14"/>
  <c r="AD634" i="14"/>
  <c r="AD635" i="14"/>
  <c r="AD636" i="14"/>
  <c r="AO629" i="14"/>
  <c r="AL626" i="14"/>
  <c r="AO631" i="14"/>
  <c r="AL625" i="14"/>
  <c r="AM636" i="14"/>
  <c r="AM625" i="14"/>
  <c r="AO624" i="14"/>
  <c r="N622" i="14"/>
  <c r="AN626" i="14"/>
  <c r="AM628" i="14"/>
  <c r="AN634" i="14"/>
  <c r="AM634" i="14"/>
  <c r="AN633" i="14"/>
  <c r="AO625" i="14"/>
  <c r="AL636" i="14"/>
  <c r="AO630" i="14"/>
  <c r="AN628" i="14"/>
  <c r="AN631" i="14"/>
  <c r="AO623" i="14"/>
  <c r="L622" i="14"/>
  <c r="AO633" i="14"/>
  <c r="K622" i="14"/>
  <c r="AO626" i="14"/>
  <c r="AO635" i="14"/>
  <c r="AL633" i="14"/>
  <c r="Z622" i="14"/>
  <c r="Z623" i="14"/>
  <c r="O622" i="14"/>
  <c r="Y622" i="14"/>
  <c r="Y623" i="14"/>
  <c r="J622" i="14"/>
  <c r="AM631" i="14"/>
  <c r="AO628" i="14"/>
  <c r="AL635" i="14"/>
  <c r="AE623" i="14"/>
  <c r="AE624" i="14"/>
  <c r="AE625" i="14"/>
  <c r="AE626" i="14"/>
  <c r="AE627" i="14"/>
  <c r="AE628" i="14"/>
  <c r="AE629" i="14"/>
  <c r="AE630" i="14"/>
  <c r="AE631" i="14"/>
  <c r="AE632" i="14"/>
  <c r="AE633" i="14"/>
  <c r="AE634" i="14"/>
  <c r="AE635" i="14"/>
  <c r="AE636" i="14"/>
  <c r="AN625" i="14"/>
  <c r="AM635" i="14"/>
  <c r="AL630" i="14"/>
  <c r="AO634" i="14"/>
  <c r="AM627" i="14"/>
  <c r="AO627" i="14"/>
  <c r="M622" i="14"/>
  <c r="AN635" i="14"/>
  <c r="AO632" i="14"/>
  <c r="AL628" i="14"/>
  <c r="AL634" i="14"/>
  <c r="AL632" i="14"/>
  <c r="AN629" i="14"/>
  <c r="AL631" i="14"/>
  <c r="AN632" i="14"/>
  <c r="AL624" i="14"/>
  <c r="AM623" i="14"/>
  <c r="AM624" i="14"/>
  <c r="AL627" i="14"/>
  <c r="AO636" i="14"/>
  <c r="AM629" i="14"/>
  <c r="AM632" i="14"/>
  <c r="AM633" i="14"/>
  <c r="AN624" i="14"/>
  <c r="AL629" i="14"/>
  <c r="AM630" i="14"/>
  <c r="AL623" i="14"/>
  <c r="AN636" i="14"/>
  <c r="AN623" i="14"/>
  <c r="AN627" i="14"/>
  <c r="BF545" i="17"/>
  <c r="K551" i="17" s="1"/>
  <c r="BU545" i="17"/>
  <c r="Z549" i="17" s="1"/>
  <c r="BL545" i="17"/>
  <c r="BJ545" i="17"/>
  <c r="O547" i="17" s="1"/>
  <c r="BN545" i="17"/>
  <c r="S551" i="17" s="1"/>
  <c r="AG144" i="1"/>
  <c r="Z616" i="14"/>
  <c r="Y610" i="14"/>
  <c r="AO615" i="14"/>
  <c r="AN614" i="14"/>
  <c r="AO616" i="14"/>
  <c r="AO612" i="14"/>
  <c r="AN610" i="14"/>
  <c r="AN611" i="14"/>
  <c r="AO614" i="14"/>
  <c r="AN616" i="14"/>
  <c r="AN612" i="14"/>
  <c r="AO613" i="14"/>
  <c r="AO610" i="14"/>
  <c r="AO609" i="14"/>
  <c r="AN613" i="14"/>
  <c r="AN609" i="14"/>
  <c r="AN615" i="14"/>
  <c r="AO611" i="14"/>
  <c r="AO608" i="14"/>
  <c r="AN608" i="14"/>
  <c r="M607" i="14"/>
  <c r="AF144" i="1"/>
  <c r="Y616" i="14"/>
  <c r="AM616" i="14"/>
  <c r="AL615" i="14"/>
  <c r="AL608" i="14"/>
  <c r="AM609" i="14"/>
  <c r="AM611" i="14"/>
  <c r="AL610" i="14"/>
  <c r="AL609" i="14"/>
  <c r="AL612" i="14"/>
  <c r="AM610" i="14"/>
  <c r="AM615" i="14"/>
  <c r="AM612" i="14"/>
  <c r="AL613" i="14"/>
  <c r="AM613" i="14"/>
  <c r="AL614" i="14"/>
  <c r="AM608" i="14"/>
  <c r="AM614" i="14"/>
  <c r="AL611" i="14"/>
  <c r="AL616" i="14"/>
  <c r="L607" i="14"/>
  <c r="AS533" i="17"/>
  <c r="BD534" i="17"/>
  <c r="I539" i="17" s="1"/>
  <c r="CF534" i="17"/>
  <c r="AK535" i="17" s="1"/>
  <c r="BW534" i="17"/>
  <c r="AB537" i="17" s="1"/>
  <c r="BD144" i="1"/>
  <c r="AQ144" i="1"/>
  <c r="U73" i="9"/>
  <c r="BE144" i="1"/>
  <c r="O144" i="1"/>
  <c r="P142" i="1"/>
  <c r="CB534" i="17"/>
  <c r="AG539" i="17" s="1"/>
  <c r="BF534" i="17"/>
  <c r="K538" i="17" s="1"/>
  <c r="BN534" i="17"/>
  <c r="S538" i="17" s="1"/>
  <c r="BP534" i="17"/>
  <c r="BX534" i="17"/>
  <c r="AC535" i="17" s="1"/>
  <c r="BI534" i="17"/>
  <c r="N538" i="17" s="1"/>
  <c r="CE534" i="17"/>
  <c r="AJ535" i="17" s="1"/>
  <c r="BL534" i="17"/>
  <c r="Q537" i="17" s="1"/>
  <c r="BH534" i="17"/>
  <c r="M540" i="17" s="1"/>
  <c r="CC534" i="17"/>
  <c r="AH539" i="17" s="1"/>
  <c r="BK534" i="17"/>
  <c r="P537" i="17" s="1"/>
  <c r="BC534" i="17"/>
  <c r="H537" i="17" s="1"/>
  <c r="BY534" i="17"/>
  <c r="AD539" i="17" s="1"/>
  <c r="E545" i="17"/>
  <c r="E544" i="17"/>
  <c r="BT534" i="17"/>
  <c r="Y538" i="17" s="1"/>
  <c r="CD534" i="17"/>
  <c r="AI536" i="17" s="1"/>
  <c r="BG534" i="17"/>
  <c r="L540" i="17" s="1"/>
  <c r="BO534" i="17"/>
  <c r="T536" i="17" s="1"/>
  <c r="CA534" i="17"/>
  <c r="AF537" i="17" s="1"/>
  <c r="BM534" i="17"/>
  <c r="R538" i="17" s="1"/>
  <c r="BU534" i="17"/>
  <c r="Z537" i="17" s="1"/>
  <c r="BS534" i="17"/>
  <c r="X537" i="17" s="1"/>
  <c r="BZ534" i="17"/>
  <c r="AE540" i="17" s="1"/>
  <c r="BV534" i="17"/>
  <c r="AA537" i="17" s="1"/>
  <c r="BR534" i="17"/>
  <c r="W540" i="17" s="1"/>
  <c r="BJ534" i="17"/>
  <c r="O540" i="17" s="1"/>
  <c r="BE534" i="17"/>
  <c r="J535" i="17" s="1"/>
  <c r="BQ534" i="17"/>
  <c r="V536" i="17" s="1"/>
  <c r="W73" i="9"/>
  <c r="AS522" i="17"/>
  <c r="BX523" i="17"/>
  <c r="AC528" i="17" s="1"/>
  <c r="X73" i="9"/>
  <c r="BY523" i="17"/>
  <c r="AD526" i="17" s="1"/>
  <c r="BE523" i="17"/>
  <c r="J524" i="17" s="1"/>
  <c r="BL523" i="17"/>
  <c r="Q525" i="17" s="1"/>
  <c r="BC523" i="17"/>
  <c r="H524" i="17" s="1"/>
  <c r="BO523" i="17"/>
  <c r="T528" i="17" s="1"/>
  <c r="AQ19" i="6"/>
  <c r="Y73" i="9"/>
  <c r="BF523" i="17"/>
  <c r="K527" i="17" s="1"/>
  <c r="Y614" i="14"/>
  <c r="J607" i="14"/>
  <c r="Z614" i="14"/>
  <c r="O607" i="14"/>
  <c r="CC523" i="17"/>
  <c r="AH524" i="17" s="1"/>
  <c r="CD523" i="17"/>
  <c r="AI529" i="17" s="1"/>
  <c r="BV523" i="17"/>
  <c r="AA529" i="17" s="1"/>
  <c r="BN523" i="17"/>
  <c r="S529" i="17" s="1"/>
  <c r="CA523" i="17"/>
  <c r="AF529" i="17" s="1"/>
  <c r="BU523" i="17"/>
  <c r="Z528" i="17" s="1"/>
  <c r="BP523" i="17"/>
  <c r="U524" i="17" s="1"/>
  <c r="CB523" i="17"/>
  <c r="AG527" i="17" s="1"/>
  <c r="E533" i="17"/>
  <c r="E534" i="17"/>
  <c r="BW523" i="17"/>
  <c r="AB528" i="17" s="1"/>
  <c r="BM523" i="17"/>
  <c r="R527" i="17" s="1"/>
  <c r="BD523" i="17"/>
  <c r="I526" i="17" s="1"/>
  <c r="BT523" i="17"/>
  <c r="Y525" i="17" s="1"/>
  <c r="BK523" i="17"/>
  <c r="P527" i="17" s="1"/>
  <c r="BQ523" i="17"/>
  <c r="V525" i="17" s="1"/>
  <c r="CE523" i="17"/>
  <c r="AJ528" i="17" s="1"/>
  <c r="BJ523" i="17"/>
  <c r="O529" i="17" s="1"/>
  <c r="CF523" i="17"/>
  <c r="AK527" i="17" s="1"/>
  <c r="BS523" i="17"/>
  <c r="X528" i="17" s="1"/>
  <c r="BI523" i="17"/>
  <c r="N524" i="17" s="1"/>
  <c r="BR523" i="17"/>
  <c r="W529" i="17" s="1"/>
  <c r="BG523" i="17"/>
  <c r="L528" i="17" s="1"/>
  <c r="BH523" i="17"/>
  <c r="M524" i="17" s="1"/>
  <c r="BZ523" i="17"/>
  <c r="AE527" i="17" s="1"/>
  <c r="AJ7" i="3"/>
  <c r="AK7" i="3"/>
  <c r="AL7" i="3"/>
  <c r="AN7" i="3"/>
  <c r="AO7" i="3"/>
  <c r="AD7" i="3"/>
  <c r="AJ8" i="3"/>
  <c r="AK8" i="3"/>
  <c r="AL8" i="3"/>
  <c r="AN8" i="3"/>
  <c r="AO8" i="3"/>
  <c r="AD8" i="3"/>
  <c r="AJ9" i="3"/>
  <c r="AK9" i="3"/>
  <c r="AL9" i="3"/>
  <c r="AN9" i="3"/>
  <c r="AO9" i="3"/>
  <c r="AD9" i="3"/>
  <c r="AJ10" i="3"/>
  <c r="AK10" i="3"/>
  <c r="AL10" i="3"/>
  <c r="AN10" i="3"/>
  <c r="AO10" i="3"/>
  <c r="AD10" i="3"/>
  <c r="AB9" i="3"/>
  <c r="AA9" i="3"/>
  <c r="AB54" i="3"/>
  <c r="AM54" i="3"/>
  <c r="AL54" i="3"/>
  <c r="AI54" i="3"/>
  <c r="AJ54" i="3"/>
  <c r="AA54" i="3"/>
  <c r="AJ13" i="3"/>
  <c r="AK13" i="3"/>
  <c r="AL13" i="3"/>
  <c r="AN13" i="3"/>
  <c r="AO13" i="3"/>
  <c r="AD13" i="3"/>
  <c r="AJ14" i="3"/>
  <c r="AK14" i="3"/>
  <c r="AL14" i="3"/>
  <c r="AN14" i="3"/>
  <c r="AO14" i="3"/>
  <c r="AD14" i="3"/>
  <c r="AJ15" i="3"/>
  <c r="AK15" i="3"/>
  <c r="AL15" i="3"/>
  <c r="AN15" i="3"/>
  <c r="AO15" i="3"/>
  <c r="AD15" i="3"/>
  <c r="AJ16" i="3"/>
  <c r="AK16" i="3"/>
  <c r="AL16" i="3"/>
  <c r="AN16" i="3"/>
  <c r="AO16" i="3"/>
  <c r="AD16" i="3"/>
  <c r="AB15" i="3"/>
  <c r="AA15" i="3"/>
  <c r="AB55" i="3"/>
  <c r="AM55" i="3"/>
  <c r="AL55" i="3"/>
  <c r="AI55" i="3"/>
  <c r="AJ55" i="3"/>
  <c r="AA55" i="3"/>
  <c r="AJ19" i="3"/>
  <c r="AK19" i="3"/>
  <c r="AL19" i="3"/>
  <c r="AN19" i="3"/>
  <c r="AO19" i="3"/>
  <c r="AD19" i="3"/>
  <c r="AJ20" i="3"/>
  <c r="AK20" i="3"/>
  <c r="AL20" i="3"/>
  <c r="AN20" i="3"/>
  <c r="AO20" i="3"/>
  <c r="AD20" i="3"/>
  <c r="AJ21" i="3"/>
  <c r="AK21" i="3"/>
  <c r="AL21" i="3"/>
  <c r="AN21" i="3"/>
  <c r="AO21" i="3"/>
  <c r="AD21" i="3"/>
  <c r="AJ22" i="3"/>
  <c r="AK22" i="3"/>
  <c r="AL22" i="3"/>
  <c r="AN22" i="3"/>
  <c r="AO22" i="3"/>
  <c r="AD22" i="3"/>
  <c r="AB21" i="3"/>
  <c r="AA21" i="3"/>
  <c r="AB56" i="3"/>
  <c r="AM56" i="3"/>
  <c r="AL56" i="3"/>
  <c r="AI56" i="3"/>
  <c r="AJ56" i="3"/>
  <c r="AA56" i="3"/>
  <c r="AJ25" i="3"/>
  <c r="AK25" i="3"/>
  <c r="AL25" i="3"/>
  <c r="AN25" i="3"/>
  <c r="AO25" i="3"/>
  <c r="AD25" i="3"/>
  <c r="AJ26" i="3"/>
  <c r="AK26" i="3"/>
  <c r="AL26" i="3"/>
  <c r="AN26" i="3"/>
  <c r="AO26" i="3"/>
  <c r="AD26" i="3"/>
  <c r="AJ27" i="3"/>
  <c r="AK27" i="3"/>
  <c r="AL27" i="3"/>
  <c r="AN27" i="3"/>
  <c r="AO27" i="3"/>
  <c r="AD27" i="3"/>
  <c r="AJ28" i="3"/>
  <c r="AK28" i="3"/>
  <c r="AL28" i="3"/>
  <c r="AN28" i="3"/>
  <c r="AO28" i="3"/>
  <c r="AD28" i="3"/>
  <c r="AB27" i="3"/>
  <c r="AA27" i="3"/>
  <c r="AB57" i="3"/>
  <c r="AM57" i="3"/>
  <c r="AL57" i="3"/>
  <c r="AI57" i="3"/>
  <c r="AJ57" i="3"/>
  <c r="AA57" i="3"/>
  <c r="AJ31" i="3"/>
  <c r="AK31" i="3"/>
  <c r="AL31" i="3"/>
  <c r="AN31" i="3"/>
  <c r="AO31" i="3"/>
  <c r="AD31" i="3"/>
  <c r="AJ32" i="3"/>
  <c r="AK32" i="3"/>
  <c r="AL32" i="3"/>
  <c r="AN32" i="3"/>
  <c r="AO32" i="3"/>
  <c r="AD32" i="3"/>
  <c r="AJ33" i="3"/>
  <c r="AK33" i="3"/>
  <c r="AL33" i="3"/>
  <c r="AN33" i="3"/>
  <c r="AO33" i="3"/>
  <c r="AD33" i="3"/>
  <c r="AJ34" i="3"/>
  <c r="AK34" i="3"/>
  <c r="AL34" i="3"/>
  <c r="AN34" i="3"/>
  <c r="AO34" i="3"/>
  <c r="AD34" i="3"/>
  <c r="AB33" i="3"/>
  <c r="AA33" i="3"/>
  <c r="AB58" i="3"/>
  <c r="AM58" i="3"/>
  <c r="AL58" i="3"/>
  <c r="AI58" i="3"/>
  <c r="AJ58" i="3"/>
  <c r="AA58" i="3"/>
  <c r="AJ37" i="3"/>
  <c r="AK37" i="3"/>
  <c r="AL37" i="3"/>
  <c r="AN37" i="3"/>
  <c r="AO37" i="3"/>
  <c r="AD37" i="3"/>
  <c r="AJ38" i="3"/>
  <c r="AK38" i="3"/>
  <c r="AL38" i="3"/>
  <c r="AN38" i="3"/>
  <c r="AO38" i="3"/>
  <c r="AD38" i="3"/>
  <c r="AJ39" i="3"/>
  <c r="AK39" i="3"/>
  <c r="AL39" i="3"/>
  <c r="AN39" i="3"/>
  <c r="AO39" i="3"/>
  <c r="AD39" i="3"/>
  <c r="AJ40" i="3"/>
  <c r="AK40" i="3"/>
  <c r="AL40" i="3"/>
  <c r="AN40" i="3"/>
  <c r="AO40" i="3"/>
  <c r="AD40" i="3"/>
  <c r="AB39" i="3"/>
  <c r="AA39" i="3"/>
  <c r="AB59" i="3"/>
  <c r="AM59" i="3"/>
  <c r="AL59" i="3"/>
  <c r="AI59" i="3"/>
  <c r="AJ59" i="3"/>
  <c r="AA59" i="3"/>
  <c r="AD57" i="3"/>
  <c r="AE57" i="3"/>
  <c r="AD56" i="3"/>
  <c r="AE56" i="3"/>
  <c r="AD55" i="3"/>
  <c r="AE55" i="3"/>
  <c r="AD58" i="3"/>
  <c r="AE58" i="3"/>
  <c r="AD54" i="3"/>
  <c r="AF55" i="3"/>
  <c r="AF56" i="3"/>
  <c r="AF57" i="3"/>
  <c r="AF58" i="3"/>
  <c r="AD59" i="3"/>
  <c r="AF59" i="3"/>
  <c r="AE54" i="3"/>
  <c r="AS499" i="17"/>
  <c r="BD500" i="17"/>
  <c r="I505" i="17" s="1"/>
  <c r="BL500" i="17"/>
  <c r="Q503" i="17" s="1"/>
  <c r="CC500" i="17"/>
  <c r="AH503" i="17" s="1"/>
  <c r="BC500" i="17"/>
  <c r="H502" i="17" s="1"/>
  <c r="CD500" i="17"/>
  <c r="AI502" i="17" s="1"/>
  <c r="BR500" i="17"/>
  <c r="W503" i="17" s="1"/>
  <c r="BQ500" i="17"/>
  <c r="V503" i="17" s="1"/>
  <c r="BK500" i="17"/>
  <c r="P503" i="17" s="1"/>
  <c r="BS500" i="17"/>
  <c r="X503" i="17" s="1"/>
  <c r="CF500" i="17"/>
  <c r="AK503" i="17" s="1"/>
  <c r="BU500" i="17"/>
  <c r="Z503" i="17" s="1"/>
  <c r="BP500" i="17"/>
  <c r="U502" i="17" s="1"/>
  <c r="BF500" i="17"/>
  <c r="K504" i="17" s="1"/>
  <c r="BI500" i="17"/>
  <c r="N505" i="17" s="1"/>
  <c r="E522" i="17"/>
  <c r="E523" i="17"/>
  <c r="BN500" i="17"/>
  <c r="S501" i="17" s="1"/>
  <c r="CE500" i="17"/>
  <c r="AJ501" i="17" s="1"/>
  <c r="CA500" i="17"/>
  <c r="AF501" i="17" s="1"/>
  <c r="CB500" i="17"/>
  <c r="AG501" i="17" s="1"/>
  <c r="BX500" i="17"/>
  <c r="AC502" i="17" s="1"/>
  <c r="BJ500" i="17"/>
  <c r="O501" i="17" s="1"/>
  <c r="BE500" i="17"/>
  <c r="J505" i="17" s="1"/>
  <c r="BO500" i="17"/>
  <c r="T506" i="17" s="1"/>
  <c r="BG500" i="17"/>
  <c r="L503" i="17" s="1"/>
  <c r="BT500" i="17"/>
  <c r="Y503" i="17" s="1"/>
  <c r="BZ500" i="17"/>
  <c r="AE506" i="17" s="1"/>
  <c r="BY500" i="17"/>
  <c r="AD502" i="17" s="1"/>
  <c r="BM500" i="17"/>
  <c r="R504" i="17" s="1"/>
  <c r="BW500" i="17"/>
  <c r="AB502" i="17" s="1"/>
  <c r="BV500" i="17"/>
  <c r="AA501" i="17" s="1"/>
  <c r="V73" i="9"/>
  <c r="AJ144" i="1"/>
  <c r="BH500" i="17"/>
  <c r="M506" i="17" s="1"/>
  <c r="AS488" i="17"/>
  <c r="BR489" i="17"/>
  <c r="W493" i="17" s="1"/>
  <c r="BL489" i="17"/>
  <c r="Q492" i="17" s="1"/>
  <c r="D693" i="17"/>
  <c r="Y144" i="1"/>
  <c r="I144" i="1"/>
  <c r="BD489" i="17"/>
  <c r="I492" i="17" s="1"/>
  <c r="BN489" i="17"/>
  <c r="S492" i="17" s="1"/>
  <c r="CD489" i="17"/>
  <c r="AI493" i="17" s="1"/>
  <c r="BY489" i="17"/>
  <c r="AD495" i="17" s="1"/>
  <c r="BX489" i="17"/>
  <c r="AC492" i="17" s="1"/>
  <c r="BU489" i="17"/>
  <c r="Z494" i="17" s="1"/>
  <c r="BC489" i="17"/>
  <c r="H495" i="17" s="1"/>
  <c r="BP489" i="17"/>
  <c r="U494" i="17" s="1"/>
  <c r="BZ489" i="17"/>
  <c r="AE494" i="17" s="1"/>
  <c r="AE59" i="3"/>
  <c r="BW489" i="17"/>
  <c r="AB491" i="17" s="1"/>
  <c r="CA489" i="17"/>
  <c r="AF494" i="17" s="1"/>
  <c r="BG489" i="17"/>
  <c r="L495" i="17" s="1"/>
  <c r="BK489" i="17"/>
  <c r="P491" i="17" s="1"/>
  <c r="BT489" i="17"/>
  <c r="Y494" i="17" s="1"/>
  <c r="Y615" i="14"/>
  <c r="K607" i="14"/>
  <c r="AD607" i="14"/>
  <c r="AD612" i="14"/>
  <c r="AD615" i="14"/>
  <c r="AD611" i="14"/>
  <c r="AD608" i="14"/>
  <c r="AD614" i="14"/>
  <c r="AD610" i="14"/>
  <c r="AD609" i="14"/>
  <c r="AD616" i="14"/>
  <c r="AD613" i="14"/>
  <c r="E500" i="17"/>
  <c r="E499" i="17"/>
  <c r="BO489" i="17"/>
  <c r="T494" i="17" s="1"/>
  <c r="CE489" i="17"/>
  <c r="AJ494" i="17" s="1"/>
  <c r="CF489" i="17"/>
  <c r="AK492" i="17" s="1"/>
  <c r="BS489" i="17"/>
  <c r="X495" i="17" s="1"/>
  <c r="CC489" i="17"/>
  <c r="AH490" i="17" s="1"/>
  <c r="BE489" i="17"/>
  <c r="J492" i="17" s="1"/>
  <c r="BV489" i="17"/>
  <c r="AA490" i="17" s="1"/>
  <c r="CB489" i="17"/>
  <c r="AG493" i="17" s="1"/>
  <c r="BF489" i="17"/>
  <c r="K493" i="17" s="1"/>
  <c r="BJ489" i="17"/>
  <c r="O491" i="17" s="1"/>
  <c r="BQ489" i="17"/>
  <c r="V491" i="17" s="1"/>
  <c r="BM489" i="17"/>
  <c r="R492" i="17" s="1"/>
  <c r="X615" i="14"/>
  <c r="G607" i="14"/>
  <c r="AC607" i="14"/>
  <c r="AC611" i="14"/>
  <c r="AC614" i="14"/>
  <c r="AC608" i="14"/>
  <c r="AC615" i="14"/>
  <c r="AC610" i="14"/>
  <c r="AC609" i="14"/>
  <c r="AC613" i="14"/>
  <c r="AC616" i="14"/>
  <c r="AC612" i="14"/>
  <c r="Z615" i="14"/>
  <c r="N607" i="14"/>
  <c r="AE607" i="14"/>
  <c r="AE614" i="14"/>
  <c r="AE611" i="14"/>
  <c r="AE610" i="14"/>
  <c r="AE615" i="14"/>
  <c r="AE609" i="14"/>
  <c r="AE613" i="14"/>
  <c r="AE608" i="14"/>
  <c r="AE616" i="14"/>
  <c r="AE612" i="14"/>
  <c r="BI489" i="17"/>
  <c r="N492" i="17" s="1"/>
  <c r="BH489" i="17"/>
  <c r="M495" i="17" s="1"/>
  <c r="AX144" i="1"/>
  <c r="AU19" i="6"/>
  <c r="AP19" i="6"/>
  <c r="AO19" i="6"/>
  <c r="AS477" i="17"/>
  <c r="BS478" i="17"/>
  <c r="X482" i="17" s="1"/>
  <c r="BJ478" i="17"/>
  <c r="O480" i="17" s="1"/>
  <c r="AB73" i="9"/>
  <c r="D500" i="17"/>
  <c r="M91" i="1"/>
  <c r="BD478" i="17"/>
  <c r="I479" i="17" s="1"/>
  <c r="BR478" i="17"/>
  <c r="W479" i="17" s="1"/>
  <c r="CD478" i="17"/>
  <c r="AI479" i="17" s="1"/>
  <c r="CB478" i="17"/>
  <c r="AG484" i="17" s="1"/>
  <c r="CC478" i="17"/>
  <c r="AH483" i="17" s="1"/>
  <c r="E489" i="17"/>
  <c r="E488" i="17"/>
  <c r="BW478" i="17"/>
  <c r="AB481" i="17" s="1"/>
  <c r="BN478" i="17"/>
  <c r="S482" i="17" s="1"/>
  <c r="BM478" i="17"/>
  <c r="R479" i="17" s="1"/>
  <c r="BT478" i="17"/>
  <c r="Y479" i="17" s="1"/>
  <c r="BY478" i="17"/>
  <c r="AD483" i="17" s="1"/>
  <c r="AY144" i="1"/>
  <c r="AU20" i="6"/>
  <c r="AP20" i="6"/>
  <c r="AO20" i="6"/>
  <c r="CA478" i="17"/>
  <c r="AF482" i="17" s="1"/>
  <c r="BG478" i="17"/>
  <c r="L484" i="17" s="1"/>
  <c r="BC478" i="17"/>
  <c r="H479" i="17" s="1"/>
  <c r="BK478" i="17"/>
  <c r="P482" i="17" s="1"/>
  <c r="BQ478" i="17"/>
  <c r="V479" i="17" s="1"/>
  <c r="BL478" i="17"/>
  <c r="Q482" i="17" s="1"/>
  <c r="BH478" i="17"/>
  <c r="M484" i="17" s="1"/>
  <c r="CF478" i="17"/>
  <c r="AK484" i="17" s="1"/>
  <c r="BX478" i="17"/>
  <c r="AC482" i="17" s="1"/>
  <c r="BF478" i="17"/>
  <c r="K481" i="17" s="1"/>
  <c r="BO478" i="17"/>
  <c r="T482" i="17" s="1"/>
  <c r="CE478" i="17"/>
  <c r="AJ484" i="17" s="1"/>
  <c r="BI478" i="17"/>
  <c r="N482" i="17" s="1"/>
  <c r="BU478" i="17"/>
  <c r="Z480" i="17" s="1"/>
  <c r="BE478" i="17"/>
  <c r="J484" i="17" s="1"/>
  <c r="BP478" i="17"/>
  <c r="U480" i="17" s="1"/>
  <c r="AY139" i="1"/>
  <c r="AU12" i="6"/>
  <c r="AO12" i="6"/>
  <c r="AP12" i="6"/>
  <c r="AM105" i="1"/>
  <c r="AM99" i="1"/>
  <c r="AM111" i="1"/>
  <c r="AM110" i="1"/>
  <c r="AM117" i="1"/>
  <c r="AM116" i="1"/>
  <c r="AM104" i="1"/>
  <c r="AM98" i="1"/>
  <c r="CE11" i="6"/>
  <c r="R15" i="2"/>
  <c r="R16" i="2"/>
  <c r="R17" i="2"/>
  <c r="R18" i="2"/>
  <c r="R19" i="2"/>
  <c r="R20" i="2"/>
  <c r="R21" i="2"/>
  <c r="R22" i="2"/>
  <c r="H22" i="2"/>
  <c r="E22" i="2"/>
  <c r="I22" i="2"/>
  <c r="G22" i="2"/>
  <c r="C22" i="2"/>
  <c r="F22" i="2"/>
  <c r="J22" i="2"/>
  <c r="D22" i="2"/>
  <c r="K22" i="2"/>
  <c r="BV478" i="17"/>
  <c r="AA484" i="17" s="1"/>
  <c r="BZ478" i="17"/>
  <c r="AE482" i="17" s="1"/>
  <c r="D489" i="17"/>
  <c r="M90" i="1"/>
  <c r="AS466" i="17"/>
  <c r="BF467" i="17"/>
  <c r="K469" i="17" s="1"/>
  <c r="AK130" i="1"/>
  <c r="O130" i="1"/>
  <c r="AK131" i="1"/>
  <c r="O131" i="1"/>
  <c r="P128" i="1"/>
  <c r="BV467" i="17"/>
  <c r="AA471" i="17" s="1"/>
  <c r="AB8" i="3"/>
  <c r="AB7" i="3"/>
  <c r="AC8" i="3"/>
  <c r="AC9" i="3"/>
  <c r="D9" i="3"/>
  <c r="BM467" i="17"/>
  <c r="R472" i="17" s="1"/>
  <c r="BG467" i="17"/>
  <c r="L470" i="17" s="1"/>
  <c r="AB20" i="3"/>
  <c r="AB19" i="3"/>
  <c r="AC20" i="3"/>
  <c r="AC21" i="3"/>
  <c r="D21" i="3"/>
  <c r="BJ467" i="17"/>
  <c r="O472" i="17" s="1"/>
  <c r="BY467" i="17"/>
  <c r="AD472" i="17" s="1"/>
  <c r="BL467" i="17"/>
  <c r="Q470" i="17" s="1"/>
  <c r="BN467" i="17"/>
  <c r="S468" i="17" s="1"/>
  <c r="BE467" i="17"/>
  <c r="J473" i="17" s="1"/>
  <c r="E478" i="17"/>
  <c r="E477" i="17"/>
  <c r="CF467" i="17"/>
  <c r="AK472" i="17" s="1"/>
  <c r="BR467" i="17"/>
  <c r="W472" i="17" s="1"/>
  <c r="BW467" i="17"/>
  <c r="AB472" i="17" s="1"/>
  <c r="W553" i="14"/>
  <c r="AI565" i="14"/>
  <c r="AI557" i="14"/>
  <c r="AK556" i="14"/>
  <c r="AK564" i="14"/>
  <c r="AI555" i="14"/>
  <c r="AI563" i="14"/>
  <c r="AH564" i="14"/>
  <c r="AK555" i="14"/>
  <c r="AJ562" i="14"/>
  <c r="AJ561" i="14"/>
  <c r="AH563" i="14"/>
  <c r="AI559" i="14"/>
  <c r="AK563" i="14"/>
  <c r="AK561" i="14"/>
  <c r="AJ557" i="14"/>
  <c r="AK557" i="14"/>
  <c r="AH557" i="14"/>
  <c r="AH560" i="14"/>
  <c r="AI560" i="14"/>
  <c r="AK566" i="14"/>
  <c r="AH567" i="14"/>
  <c r="AH561" i="14"/>
  <c r="AJ559" i="14"/>
  <c r="AK560" i="14"/>
  <c r="AH565" i="14"/>
  <c r="AI561" i="14"/>
  <c r="AJ564" i="14"/>
  <c r="AJ556" i="14"/>
  <c r="AJ566" i="14"/>
  <c r="AJ555" i="14"/>
  <c r="AI564" i="14"/>
  <c r="AK568" i="14"/>
  <c r="AH562" i="14"/>
  <c r="AI558" i="14"/>
  <c r="AI566" i="14"/>
  <c r="AK562" i="14"/>
  <c r="AJ565" i="14"/>
  <c r="AH558" i="14"/>
  <c r="AH559" i="14"/>
  <c r="AK565" i="14"/>
  <c r="AH555" i="14"/>
  <c r="AI556" i="14"/>
  <c r="AJ567" i="14"/>
  <c r="AI562" i="14"/>
  <c r="AJ568" i="14"/>
  <c r="AI568" i="14"/>
  <c r="AH556" i="14"/>
  <c r="AK559" i="14"/>
  <c r="AK558" i="14"/>
  <c r="AJ560" i="14"/>
  <c r="AJ558" i="14"/>
  <c r="AI567" i="14"/>
  <c r="AJ563" i="14"/>
  <c r="AK567" i="14"/>
  <c r="AH568" i="14"/>
  <c r="AH566" i="14"/>
  <c r="X554" i="14"/>
  <c r="X555" i="14"/>
  <c r="H554" i="14"/>
  <c r="AB555" i="14"/>
  <c r="AB556" i="14"/>
  <c r="AB557" i="14"/>
  <c r="AB558" i="14"/>
  <c r="AB559" i="14"/>
  <c r="AB560" i="14"/>
  <c r="AB561" i="14"/>
  <c r="AB562" i="14"/>
  <c r="AB563" i="14"/>
  <c r="AB564" i="14"/>
  <c r="AB565" i="14"/>
  <c r="AB566" i="14"/>
  <c r="AB567" i="14"/>
  <c r="AB568" i="14"/>
  <c r="G554" i="14"/>
  <c r="E554" i="14"/>
  <c r="W554" i="14"/>
  <c r="W555" i="14"/>
  <c r="C554" i="14"/>
  <c r="F554" i="14"/>
  <c r="E553" i="14"/>
  <c r="D554" i="14"/>
  <c r="AC555" i="14"/>
  <c r="AC556" i="14"/>
  <c r="AC557" i="14"/>
  <c r="AC558" i="14"/>
  <c r="AC559" i="14"/>
  <c r="AC560" i="14"/>
  <c r="AC561" i="14"/>
  <c r="AC562" i="14"/>
  <c r="AC563" i="14"/>
  <c r="AC564" i="14"/>
  <c r="AC565" i="14"/>
  <c r="AC566" i="14"/>
  <c r="AC567" i="14"/>
  <c r="AC568" i="14"/>
  <c r="BI467" i="17"/>
  <c r="N473" i="17" s="1"/>
  <c r="BH467" i="17"/>
  <c r="M469" i="17" s="1"/>
  <c r="BS467" i="17"/>
  <c r="X468" i="17" s="1"/>
  <c r="D21" i="2"/>
  <c r="F21" i="2"/>
  <c r="E21" i="2"/>
  <c r="C21" i="2"/>
  <c r="K21" i="2"/>
  <c r="J21" i="2"/>
  <c r="H21" i="2"/>
  <c r="G21" i="2"/>
  <c r="I21" i="2"/>
  <c r="BX467" i="17"/>
  <c r="AC468" i="17" s="1"/>
  <c r="BQ467" i="17"/>
  <c r="V470" i="17" s="1"/>
  <c r="CD467" i="17"/>
  <c r="AI473" i="17" s="1"/>
  <c r="W587" i="14"/>
  <c r="AI600" i="14"/>
  <c r="AH590" i="14"/>
  <c r="AJ602" i="14"/>
  <c r="AI592" i="14"/>
  <c r="AJ595" i="14"/>
  <c r="AJ598" i="14"/>
  <c r="AK597" i="14"/>
  <c r="AH594" i="14"/>
  <c r="AK595" i="14"/>
  <c r="AK589" i="14"/>
  <c r="AK594" i="14"/>
  <c r="AK601" i="14"/>
  <c r="AI590" i="14"/>
  <c r="AI602" i="14"/>
  <c r="AH589" i="14"/>
  <c r="AI596" i="14"/>
  <c r="AI595" i="14"/>
  <c r="AH599" i="14"/>
  <c r="AH602" i="14"/>
  <c r="AK602" i="14"/>
  <c r="AK593" i="14"/>
  <c r="AH601" i="14"/>
  <c r="AI589" i="14"/>
  <c r="AI598" i="14"/>
  <c r="AH597" i="14"/>
  <c r="AH593" i="14"/>
  <c r="AJ601" i="14"/>
  <c r="AH595" i="14"/>
  <c r="AI599" i="14"/>
  <c r="AH596" i="14"/>
  <c r="AI597" i="14"/>
  <c r="AJ599" i="14"/>
  <c r="AH600" i="14"/>
  <c r="AK592" i="14"/>
  <c r="AK600" i="14"/>
  <c r="AJ593" i="14"/>
  <c r="AI594" i="14"/>
  <c r="AJ596" i="14"/>
  <c r="AJ589" i="14"/>
  <c r="AH592" i="14"/>
  <c r="AJ600" i="14"/>
  <c r="AI593" i="14"/>
  <c r="AJ592" i="14"/>
  <c r="AK596" i="14"/>
  <c r="AJ590" i="14"/>
  <c r="AJ594" i="14"/>
  <c r="AJ597" i="14"/>
  <c r="AI601" i="14"/>
  <c r="AK598" i="14"/>
  <c r="AK590" i="14"/>
  <c r="AK599" i="14"/>
  <c r="AH591" i="14"/>
  <c r="AI591" i="14"/>
  <c r="AJ591" i="14"/>
  <c r="AH598" i="14"/>
  <c r="AK591" i="14"/>
  <c r="G588" i="14"/>
  <c r="AB589" i="14"/>
  <c r="AB590" i="14"/>
  <c r="AB591" i="14"/>
  <c r="AB592" i="14"/>
  <c r="AB593" i="14"/>
  <c r="AB594" i="14"/>
  <c r="AB595" i="14"/>
  <c r="AB596" i="14"/>
  <c r="AB597" i="14"/>
  <c r="AB598" i="14"/>
  <c r="AB599" i="14"/>
  <c r="AB600" i="14"/>
  <c r="AB601" i="14"/>
  <c r="AB602" i="14"/>
  <c r="W588" i="14"/>
  <c r="W589" i="14"/>
  <c r="C588" i="14"/>
  <c r="E587" i="14"/>
  <c r="D588" i="14"/>
  <c r="F588" i="14"/>
  <c r="X588" i="14"/>
  <c r="X589" i="14"/>
  <c r="H588" i="14"/>
  <c r="E588" i="14"/>
  <c r="AC589" i="14"/>
  <c r="AC590" i="14"/>
  <c r="AC591" i="14"/>
  <c r="AC592" i="14"/>
  <c r="AC593" i="14"/>
  <c r="AC594" i="14"/>
  <c r="AC595" i="14"/>
  <c r="AC596" i="14"/>
  <c r="AC597" i="14"/>
  <c r="AC598" i="14"/>
  <c r="AC599" i="14"/>
  <c r="AC600" i="14"/>
  <c r="AC601" i="14"/>
  <c r="AC602" i="14"/>
  <c r="CA467" i="17"/>
  <c r="AF469" i="17" s="1"/>
  <c r="BZ467" i="17"/>
  <c r="AE469" i="17" s="1"/>
  <c r="BO467" i="17"/>
  <c r="T469" i="17" s="1"/>
  <c r="CC467" i="17"/>
  <c r="AH473" i="17" s="1"/>
  <c r="BP467" i="17"/>
  <c r="U468" i="17" s="1"/>
  <c r="BD467" i="17"/>
  <c r="I469" i="17" s="1"/>
  <c r="BK467" i="17"/>
  <c r="P470" i="17" s="1"/>
  <c r="BT467" i="17"/>
  <c r="Y472" i="17" s="1"/>
  <c r="CB467" i="17"/>
  <c r="AG473" i="17" s="1"/>
  <c r="BC467" i="17"/>
  <c r="H473" i="17" s="1"/>
  <c r="BU467" i="17"/>
  <c r="Z468" i="17" s="1"/>
  <c r="CE467" i="17"/>
  <c r="AJ473" i="17" s="1"/>
  <c r="Y587" i="14"/>
  <c r="AM593" i="14"/>
  <c r="AO597" i="14"/>
  <c r="AL589" i="14"/>
  <c r="AO595" i="14"/>
  <c r="AN600" i="14"/>
  <c r="AN591" i="14"/>
  <c r="AN594" i="14"/>
  <c r="AO590" i="14"/>
  <c r="AL601" i="14"/>
  <c r="AL598" i="14"/>
  <c r="AO592" i="14"/>
  <c r="AM589" i="14"/>
  <c r="AN589" i="14"/>
  <c r="AL596" i="14"/>
  <c r="AM598" i="14"/>
  <c r="AN598" i="14"/>
  <c r="AM592" i="14"/>
  <c r="AM599" i="14"/>
  <c r="AO599" i="14"/>
  <c r="AO593" i="14"/>
  <c r="AO602" i="14"/>
  <c r="AO601" i="14"/>
  <c r="AM601" i="14"/>
  <c r="AN601" i="14"/>
  <c r="AL593" i="14"/>
  <c r="AL599" i="14"/>
  <c r="AM594" i="14"/>
  <c r="AM597" i="14"/>
  <c r="AM590" i="14"/>
  <c r="AO596" i="14"/>
  <c r="AM596" i="14"/>
  <c r="AN599" i="14"/>
  <c r="AL597" i="14"/>
  <c r="AM595" i="14"/>
  <c r="AO600" i="14"/>
  <c r="AM591" i="14"/>
  <c r="AL591" i="14"/>
  <c r="AL592" i="14"/>
  <c r="AN602" i="14"/>
  <c r="AL590" i="14"/>
  <c r="AN596" i="14"/>
  <c r="AL595" i="14"/>
  <c r="AM602" i="14"/>
  <c r="AO589" i="14"/>
  <c r="AO594" i="14"/>
  <c r="AN592" i="14"/>
  <c r="AL600" i="14"/>
  <c r="AN593" i="14"/>
  <c r="AL594" i="14"/>
  <c r="AO591" i="14"/>
  <c r="AM600" i="14"/>
  <c r="AL602" i="14"/>
  <c r="AN597" i="14"/>
  <c r="AO598" i="14"/>
  <c r="AN590" i="14"/>
  <c r="AN595" i="14"/>
  <c r="AE589" i="14"/>
  <c r="AE590" i="14"/>
  <c r="AE591" i="14"/>
  <c r="AE592" i="14"/>
  <c r="AE593" i="14"/>
  <c r="AE594" i="14"/>
  <c r="AE595" i="14"/>
  <c r="AE596" i="14"/>
  <c r="AE597" i="14"/>
  <c r="AE598" i="14"/>
  <c r="AE599" i="14"/>
  <c r="AE600" i="14"/>
  <c r="AE601" i="14"/>
  <c r="AE602" i="14"/>
  <c r="Y588" i="14"/>
  <c r="Y589" i="14"/>
  <c r="J588" i="14"/>
  <c r="K588" i="14"/>
  <c r="M588" i="14"/>
  <c r="N588" i="14"/>
  <c r="AD589" i="14"/>
  <c r="AD590" i="14"/>
  <c r="AD591" i="14"/>
  <c r="AD592" i="14"/>
  <c r="AD593" i="14"/>
  <c r="AD594" i="14"/>
  <c r="AD595" i="14"/>
  <c r="AD596" i="14"/>
  <c r="AD597" i="14"/>
  <c r="AD598" i="14"/>
  <c r="AD599" i="14"/>
  <c r="AD600" i="14"/>
  <c r="AD601" i="14"/>
  <c r="AD602" i="14"/>
  <c r="Z588" i="14"/>
  <c r="Z589" i="14"/>
  <c r="O588" i="14"/>
  <c r="L588" i="14"/>
  <c r="C9" i="3"/>
  <c r="AB37" i="3"/>
  <c r="AB38" i="3"/>
  <c r="AC38" i="3"/>
  <c r="AA38" i="3"/>
  <c r="N20" i="3"/>
  <c r="AG124" i="1"/>
  <c r="X548" i="14"/>
  <c r="W542" i="14"/>
  <c r="AJ548" i="14"/>
  <c r="AK546" i="14"/>
  <c r="AK540" i="14"/>
  <c r="AJ546" i="14"/>
  <c r="AJ545" i="14"/>
  <c r="AK541" i="14"/>
  <c r="AK544" i="14"/>
  <c r="AJ540" i="14"/>
  <c r="AJ541" i="14"/>
  <c r="AK548" i="14"/>
  <c r="AJ543" i="14"/>
  <c r="AK543" i="14"/>
  <c r="AJ547" i="14"/>
  <c r="AJ542" i="14"/>
  <c r="AK545" i="14"/>
  <c r="AJ544" i="14"/>
  <c r="AK547" i="14"/>
  <c r="AK542" i="14"/>
  <c r="F539" i="14"/>
  <c r="AG130" i="1"/>
  <c r="X582" i="14"/>
  <c r="W576" i="14"/>
  <c r="AJ578" i="14"/>
  <c r="AK575" i="14"/>
  <c r="AK581" i="14"/>
  <c r="AJ574" i="14"/>
  <c r="AK576" i="14"/>
  <c r="AJ576" i="14"/>
  <c r="AJ580" i="14"/>
  <c r="AJ575" i="14"/>
  <c r="AJ581" i="14"/>
  <c r="AK579" i="14"/>
  <c r="AJ582" i="14"/>
  <c r="AK578" i="14"/>
  <c r="AK577" i="14"/>
  <c r="AK574" i="14"/>
  <c r="AK582" i="14"/>
  <c r="AJ577" i="14"/>
  <c r="AJ579" i="14"/>
  <c r="AK580" i="14"/>
  <c r="F573" i="14"/>
  <c r="BD131" i="1"/>
  <c r="BE131" i="1"/>
  <c r="AQ131" i="1"/>
  <c r="U71" i="9"/>
  <c r="AB32" i="3"/>
  <c r="AB31" i="3"/>
  <c r="AC32" i="3"/>
  <c r="AC33" i="3"/>
  <c r="N15" i="3"/>
  <c r="D478" i="17"/>
  <c r="M89" i="1"/>
  <c r="AB34" i="3"/>
  <c r="AC34" i="3"/>
  <c r="AA34" i="3"/>
  <c r="N16" i="3"/>
  <c r="BD130" i="1"/>
  <c r="BE130" i="1"/>
  <c r="AQ130" i="1"/>
  <c r="U70" i="9"/>
  <c r="BD124" i="1"/>
  <c r="BE124" i="1"/>
  <c r="AQ124" i="1"/>
  <c r="U68" i="9"/>
  <c r="AF131" i="1"/>
  <c r="Y582" i="14"/>
  <c r="Y576" i="14"/>
  <c r="AL577" i="14"/>
  <c r="AL576" i="14"/>
  <c r="AM579" i="14"/>
  <c r="AM575" i="14"/>
  <c r="AL579" i="14"/>
  <c r="AM576" i="14"/>
  <c r="AM580" i="14"/>
  <c r="AM581" i="14"/>
  <c r="AM574" i="14"/>
  <c r="AM577" i="14"/>
  <c r="AL575" i="14"/>
  <c r="AL580" i="14"/>
  <c r="AL582" i="14"/>
  <c r="AL574" i="14"/>
  <c r="AL581" i="14"/>
  <c r="AL578" i="14"/>
  <c r="AM578" i="14"/>
  <c r="AM582" i="14"/>
  <c r="L573" i="14"/>
  <c r="AS455" i="17"/>
  <c r="CD456" i="17"/>
  <c r="AI458" i="17" s="1"/>
  <c r="C21" i="3"/>
  <c r="M15" i="3"/>
  <c r="C15" i="3"/>
  <c r="AF124" i="1"/>
  <c r="W548" i="14"/>
  <c r="AI542" i="14"/>
  <c r="AH540" i="14"/>
  <c r="AI540" i="14"/>
  <c r="AI547" i="14"/>
  <c r="AI543" i="14"/>
  <c r="AH546" i="14"/>
  <c r="AI548" i="14"/>
  <c r="AH547" i="14"/>
  <c r="AH542" i="14"/>
  <c r="AH545" i="14"/>
  <c r="AI544" i="14"/>
  <c r="AI546" i="14"/>
  <c r="AI545" i="14"/>
  <c r="AH548" i="14"/>
  <c r="AH543" i="14"/>
  <c r="AH544" i="14"/>
  <c r="AI541" i="14"/>
  <c r="AH541" i="14"/>
  <c r="E539" i="14"/>
  <c r="M21" i="3"/>
  <c r="M9" i="3"/>
  <c r="BC456" i="17"/>
  <c r="H461" i="17" s="1"/>
  <c r="BZ456" i="17"/>
  <c r="AE457" i="17" s="1"/>
  <c r="AB25" i="3"/>
  <c r="AB26" i="3"/>
  <c r="AC26" i="3"/>
  <c r="AA26" i="3"/>
  <c r="N8" i="3"/>
  <c r="BM456" i="17"/>
  <c r="R462" i="17" s="1"/>
  <c r="BS456" i="17"/>
  <c r="X457" i="17" s="1"/>
  <c r="BJ456" i="17"/>
  <c r="O458" i="17" s="1"/>
  <c r="BP456" i="17"/>
  <c r="U460" i="17" s="1"/>
  <c r="BI456" i="17"/>
  <c r="N460" i="17" s="1"/>
  <c r="BO456" i="17"/>
  <c r="T458" i="17" s="1"/>
  <c r="AF130" i="1"/>
  <c r="W582" i="14"/>
  <c r="AH579" i="14"/>
  <c r="AI577" i="14"/>
  <c r="AI578" i="14"/>
  <c r="AH577" i="14"/>
  <c r="AH580" i="14"/>
  <c r="AI574" i="14"/>
  <c r="AH576" i="14"/>
  <c r="AI575" i="14"/>
  <c r="AI580" i="14"/>
  <c r="AH581" i="14"/>
  <c r="AI581" i="14"/>
  <c r="AH575" i="14"/>
  <c r="AI579" i="14"/>
  <c r="AI576" i="14"/>
  <c r="AI582" i="14"/>
  <c r="AH574" i="14"/>
  <c r="AH582" i="14"/>
  <c r="AH578" i="14"/>
  <c r="E573" i="14"/>
  <c r="BY456" i="17"/>
  <c r="AD461" i="17" s="1"/>
  <c r="BD456" i="17"/>
  <c r="I460" i="17" s="1"/>
  <c r="BF456" i="17"/>
  <c r="K461" i="17" s="1"/>
  <c r="AB13" i="3"/>
  <c r="AB14" i="3"/>
  <c r="AC14" i="3"/>
  <c r="AA14" i="3"/>
  <c r="D14" i="3"/>
  <c r="CC456" i="17"/>
  <c r="AH459" i="17" s="1"/>
  <c r="E467" i="17"/>
  <c r="E466" i="17"/>
  <c r="BV456" i="17"/>
  <c r="AA462" i="17" s="1"/>
  <c r="BR456" i="17"/>
  <c r="W457" i="17" s="1"/>
  <c r="CE456" i="17"/>
  <c r="AJ461" i="17" s="1"/>
  <c r="BE456" i="17"/>
  <c r="J462" i="17" s="1"/>
  <c r="BT456" i="17"/>
  <c r="Y460" i="17" s="1"/>
  <c r="BN456" i="17"/>
  <c r="S462" i="17" s="1"/>
  <c r="BL456" i="17"/>
  <c r="Q457" i="17" s="1"/>
  <c r="BQ456" i="17"/>
  <c r="V459" i="17" s="1"/>
  <c r="BG456" i="17"/>
  <c r="L461" i="17" s="1"/>
  <c r="G20" i="2"/>
  <c r="J20" i="2"/>
  <c r="D20" i="2"/>
  <c r="K20" i="2"/>
  <c r="F20" i="2"/>
  <c r="I20" i="2"/>
  <c r="C20" i="2"/>
  <c r="E20" i="2"/>
  <c r="H20" i="2"/>
  <c r="BK456" i="17"/>
  <c r="P461" i="17" s="1"/>
  <c r="BW456" i="17"/>
  <c r="AB461" i="17" s="1"/>
  <c r="CB456" i="17"/>
  <c r="AG459" i="17" s="1"/>
  <c r="BH456" i="17"/>
  <c r="M460" i="17" s="1"/>
  <c r="AG131" i="1"/>
  <c r="Z582" i="14"/>
  <c r="AN577" i="14"/>
  <c r="AN574" i="14"/>
  <c r="AO578" i="14"/>
  <c r="AN578" i="14"/>
  <c r="AO577" i="14"/>
  <c r="AN580" i="14"/>
  <c r="AN582" i="14"/>
  <c r="AO581" i="14"/>
  <c r="AO579" i="14"/>
  <c r="AO575" i="14"/>
  <c r="AN581" i="14"/>
  <c r="AN575" i="14"/>
  <c r="AN579" i="14"/>
  <c r="AO580" i="14"/>
  <c r="AO582" i="14"/>
  <c r="AO574" i="14"/>
  <c r="AO576" i="14"/>
  <c r="AN576" i="14"/>
  <c r="M573" i="14"/>
  <c r="CA456" i="17"/>
  <c r="AF462" i="17" s="1"/>
  <c r="BX456" i="17"/>
  <c r="AC460" i="17" s="1"/>
  <c r="CF456" i="17"/>
  <c r="AK459" i="17" s="1"/>
  <c r="BU456" i="17"/>
  <c r="Z460" i="17" s="1"/>
  <c r="AS444" i="17"/>
  <c r="CD445" i="17"/>
  <c r="AI450" i="17" s="1"/>
  <c r="D467" i="17"/>
  <c r="M88" i="1"/>
  <c r="BZ445" i="17"/>
  <c r="AE447" i="17" s="1"/>
  <c r="W580" i="14"/>
  <c r="C573" i="14"/>
  <c r="X580" i="14"/>
  <c r="H573" i="14"/>
  <c r="Y580" i="14"/>
  <c r="J573" i="14"/>
  <c r="Z580" i="14"/>
  <c r="O573" i="14"/>
  <c r="X71" i="9"/>
  <c r="Y17" i="6"/>
  <c r="V68" i="9"/>
  <c r="Y68" i="9"/>
  <c r="AB68" i="9"/>
  <c r="Y13" i="6"/>
  <c r="X68" i="9"/>
  <c r="CA445" i="17"/>
  <c r="AF449" i="17" s="1"/>
  <c r="BW445" i="17"/>
  <c r="AB449" i="17" s="1"/>
  <c r="BI445" i="17"/>
  <c r="N451" i="17" s="1"/>
  <c r="BP445" i="17"/>
  <c r="U450" i="17" s="1"/>
  <c r="BE445" i="17"/>
  <c r="J450" i="17" s="1"/>
  <c r="BY445" i="17"/>
  <c r="AD447" i="17" s="1"/>
  <c r="BR445" i="17"/>
  <c r="W448" i="17" s="1"/>
  <c r="W546" i="14"/>
  <c r="C539" i="14"/>
  <c r="X546" i="14"/>
  <c r="H539" i="14"/>
  <c r="W68" i="9"/>
  <c r="X70" i="9"/>
  <c r="AB16" i="3"/>
  <c r="J16" i="3"/>
  <c r="AA16" i="3"/>
  <c r="I16" i="3"/>
  <c r="E16" i="3"/>
  <c r="K16" i="3"/>
  <c r="F16" i="3"/>
  <c r="H16" i="3"/>
  <c r="G16" i="3"/>
  <c r="BF445" i="17"/>
  <c r="K446" i="17" s="1"/>
  <c r="CB445" i="17"/>
  <c r="AG446" i="17" s="1"/>
  <c r="BQ445" i="17"/>
  <c r="V449" i="17" s="1"/>
  <c r="E14" i="3"/>
  <c r="AC15" i="3"/>
  <c r="D15" i="3"/>
  <c r="F14" i="3"/>
  <c r="G14" i="3"/>
  <c r="I14" i="3"/>
  <c r="H14" i="3"/>
  <c r="J14" i="3"/>
  <c r="K14" i="3"/>
  <c r="BK445" i="17"/>
  <c r="P447" i="17" s="1"/>
  <c r="BT445" i="17"/>
  <c r="Y451" i="17" s="1"/>
  <c r="CF445" i="17"/>
  <c r="AK449" i="17" s="1"/>
  <c r="BS445" i="17"/>
  <c r="X447" i="17" s="1"/>
  <c r="E455" i="17"/>
  <c r="E456" i="17"/>
  <c r="Q16" i="3"/>
  <c r="R16" i="3"/>
  <c r="O16" i="3"/>
  <c r="T16" i="3"/>
  <c r="S16" i="3"/>
  <c r="P16" i="3"/>
  <c r="U16" i="3"/>
  <c r="J8" i="3"/>
  <c r="K8" i="3"/>
  <c r="H8" i="3"/>
  <c r="I8" i="3"/>
  <c r="AA8" i="3"/>
  <c r="G8" i="3"/>
  <c r="F8" i="3"/>
  <c r="E8" i="3"/>
  <c r="BJ445" i="17"/>
  <c r="O449" i="17" s="1"/>
  <c r="BN445" i="17"/>
  <c r="S448" i="17" s="1"/>
  <c r="W70" i="9"/>
  <c r="O15" i="3"/>
  <c r="P15" i="3"/>
  <c r="U15" i="3"/>
  <c r="R15" i="3"/>
  <c r="S15" i="3"/>
  <c r="T15" i="3"/>
  <c r="Q15" i="3"/>
  <c r="BX445" i="17"/>
  <c r="AC447" i="17" s="1"/>
  <c r="BC445" i="17"/>
  <c r="H451" i="17" s="1"/>
  <c r="CC445" i="17"/>
  <c r="AH451" i="17" s="1"/>
  <c r="AB10" i="3"/>
  <c r="AC10" i="3"/>
  <c r="AA10" i="3"/>
  <c r="D10" i="3"/>
  <c r="J9" i="3"/>
  <c r="G9" i="3"/>
  <c r="I9" i="3"/>
  <c r="H9" i="3"/>
  <c r="F9" i="3"/>
  <c r="K9" i="3"/>
  <c r="E9" i="3"/>
  <c r="E15" i="3"/>
  <c r="E21" i="3"/>
  <c r="O9" i="3"/>
  <c r="O21" i="3"/>
  <c r="AE53" i="3"/>
  <c r="BL445" i="17"/>
  <c r="Q449" i="17" s="1"/>
  <c r="E10" i="3"/>
  <c r="K10" i="3"/>
  <c r="F10" i="3"/>
  <c r="I10" i="3"/>
  <c r="J10" i="3"/>
  <c r="G10" i="3"/>
  <c r="H10" i="3"/>
  <c r="T7" i="3"/>
  <c r="AA25" i="3"/>
  <c r="N7" i="3"/>
  <c r="U7" i="3"/>
  <c r="R7" i="3"/>
  <c r="Q7" i="3"/>
  <c r="P7" i="3"/>
  <c r="S7" i="3"/>
  <c r="O7" i="3"/>
  <c r="S14" i="3"/>
  <c r="Q14" i="3"/>
  <c r="T14" i="3"/>
  <c r="U14" i="3"/>
  <c r="R14" i="3"/>
  <c r="O14" i="3"/>
  <c r="AA32" i="3"/>
  <c r="P14" i="3"/>
  <c r="AB28" i="3"/>
  <c r="AC27" i="3"/>
  <c r="AC28" i="3"/>
  <c r="AA28" i="3"/>
  <c r="N10" i="3"/>
  <c r="P9" i="3"/>
  <c r="T9" i="3"/>
  <c r="Q9" i="3"/>
  <c r="U9" i="3"/>
  <c r="R9" i="3"/>
  <c r="S9" i="3"/>
  <c r="AA20" i="3"/>
  <c r="D20" i="3"/>
  <c r="E19" i="3"/>
  <c r="AA19" i="3"/>
  <c r="D19" i="3"/>
  <c r="F19" i="3"/>
  <c r="G19" i="3"/>
  <c r="I19" i="3"/>
  <c r="H19" i="3"/>
  <c r="K19" i="3"/>
  <c r="J19" i="3"/>
  <c r="E7" i="3"/>
  <c r="F7" i="3"/>
  <c r="J7" i="3"/>
  <c r="G7" i="3"/>
  <c r="H7" i="3"/>
  <c r="I7" i="3"/>
  <c r="D8" i="3"/>
  <c r="K7" i="3"/>
  <c r="AA7" i="3"/>
  <c r="D7" i="3"/>
  <c r="T10" i="3"/>
  <c r="P10" i="3"/>
  <c r="S10" i="3"/>
  <c r="U10" i="3"/>
  <c r="Q10" i="3"/>
  <c r="O10" i="3"/>
  <c r="R10" i="3"/>
  <c r="T20" i="3"/>
  <c r="AC39" i="3"/>
  <c r="N21" i="3"/>
  <c r="Q20" i="3"/>
  <c r="O20" i="3"/>
  <c r="R20" i="3"/>
  <c r="U20" i="3"/>
  <c r="S20" i="3"/>
  <c r="P20" i="3"/>
  <c r="BH445" i="17"/>
  <c r="M447" i="17" s="1"/>
  <c r="BM445" i="17"/>
  <c r="R449" i="17" s="1"/>
  <c r="Y21" i="6"/>
  <c r="O13" i="3"/>
  <c r="S13" i="3"/>
  <c r="AA31" i="3"/>
  <c r="N13" i="3"/>
  <c r="Q13" i="3"/>
  <c r="U13" i="3"/>
  <c r="P13" i="3"/>
  <c r="R13" i="3"/>
  <c r="T13" i="3"/>
  <c r="N14" i="3"/>
  <c r="AB40" i="3"/>
  <c r="S22" i="3"/>
  <c r="O22" i="3"/>
  <c r="R22" i="3"/>
  <c r="U22" i="3"/>
  <c r="AA40" i="3"/>
  <c r="T22" i="3"/>
  <c r="Q22" i="3"/>
  <c r="P22" i="3"/>
  <c r="T8" i="3"/>
  <c r="P8" i="3"/>
  <c r="N9" i="3"/>
  <c r="U8" i="3"/>
  <c r="Q8" i="3"/>
  <c r="S8" i="3"/>
  <c r="R8" i="3"/>
  <c r="O8" i="3"/>
  <c r="AA37" i="3"/>
  <c r="N19" i="3"/>
  <c r="Q19" i="3"/>
  <c r="R19" i="3"/>
  <c r="P19" i="3"/>
  <c r="O19" i="3"/>
  <c r="S19" i="3"/>
  <c r="U19" i="3"/>
  <c r="T19" i="3"/>
  <c r="J13" i="3"/>
  <c r="K13" i="3"/>
  <c r="F13" i="3"/>
  <c r="E13" i="3"/>
  <c r="AA13" i="3"/>
  <c r="D13" i="3"/>
  <c r="H13" i="3"/>
  <c r="G13" i="3"/>
  <c r="I13" i="3"/>
  <c r="BG445" i="17"/>
  <c r="L446" i="17" s="1"/>
  <c r="CE445" i="17"/>
  <c r="AJ446" i="17" s="1"/>
  <c r="BU445" i="17"/>
  <c r="Z448" i="17" s="1"/>
  <c r="AB22" i="3"/>
  <c r="AC22" i="3"/>
  <c r="AA22" i="3"/>
  <c r="D22" i="3"/>
  <c r="J21" i="3"/>
  <c r="K21" i="3"/>
  <c r="H21" i="3"/>
  <c r="I21" i="3"/>
  <c r="F21" i="3"/>
  <c r="G21" i="3"/>
  <c r="W71" i="9"/>
  <c r="J22" i="3"/>
  <c r="H22" i="3"/>
  <c r="G22" i="3"/>
  <c r="I22" i="3"/>
  <c r="F22" i="3"/>
  <c r="E22" i="3"/>
  <c r="K22" i="3"/>
  <c r="F19" i="2"/>
  <c r="I19" i="2"/>
  <c r="G19" i="2"/>
  <c r="J19" i="2"/>
  <c r="D19" i="2"/>
  <c r="H19" i="2"/>
  <c r="C19" i="2"/>
  <c r="E19" i="2"/>
  <c r="K19" i="2"/>
  <c r="AC40" i="3"/>
  <c r="N22" i="3"/>
  <c r="S21" i="3"/>
  <c r="T21" i="3"/>
  <c r="R21" i="3"/>
  <c r="Q21" i="3"/>
  <c r="U21" i="3"/>
  <c r="P21" i="3"/>
  <c r="AC16" i="3"/>
  <c r="D16" i="3"/>
  <c r="I15" i="3"/>
  <c r="H15" i="3"/>
  <c r="K15" i="3"/>
  <c r="F15" i="3"/>
  <c r="J15" i="3"/>
  <c r="G15" i="3"/>
  <c r="BV445" i="17"/>
  <c r="AA449" i="17" s="1"/>
  <c r="BD445" i="17"/>
  <c r="I451" i="17" s="1"/>
  <c r="BO445" i="17"/>
  <c r="T449" i="17" s="1"/>
  <c r="I20" i="3"/>
  <c r="F20" i="3"/>
  <c r="K20" i="3"/>
  <c r="H20" i="3"/>
  <c r="G20" i="3"/>
  <c r="E20" i="3"/>
  <c r="J20" i="3"/>
  <c r="Y445" i="14"/>
  <c r="K437" i="14"/>
  <c r="AD437" i="14"/>
  <c r="X581" i="14"/>
  <c r="G573" i="14"/>
  <c r="AC573" i="14"/>
  <c r="Z581" i="14"/>
  <c r="N573" i="14"/>
  <c r="AE573" i="14"/>
  <c r="X547" i="14"/>
  <c r="G539" i="14"/>
  <c r="AC539" i="14"/>
  <c r="W445" i="14"/>
  <c r="D437" i="14"/>
  <c r="AB437" i="14"/>
  <c r="AS433" i="17"/>
  <c r="BV434" i="17"/>
  <c r="AA439" i="17" s="1"/>
  <c r="BZ434" i="17"/>
  <c r="AE440" i="17" s="1"/>
  <c r="BX434" i="17"/>
  <c r="AC437" i="17" s="1"/>
  <c r="BO434" i="17"/>
  <c r="T440" i="17" s="1"/>
  <c r="Y581" i="14"/>
  <c r="K573" i="14"/>
  <c r="AD573" i="14"/>
  <c r="W547" i="14"/>
  <c r="D539" i="14"/>
  <c r="AB539" i="14"/>
  <c r="BG434" i="17"/>
  <c r="L440" i="17" s="1"/>
  <c r="CC434" i="17"/>
  <c r="AH438" i="17" s="1"/>
  <c r="BE434" i="17"/>
  <c r="J438" i="17" s="1"/>
  <c r="AJ131" i="1"/>
  <c r="BM434" i="17"/>
  <c r="R435" i="17" s="1"/>
  <c r="BP434" i="17"/>
  <c r="U436" i="17" s="1"/>
  <c r="BD434" i="17"/>
  <c r="I435" i="17" s="1"/>
  <c r="CA434" i="17"/>
  <c r="AF440" i="17" s="1"/>
  <c r="BS434" i="17"/>
  <c r="X439" i="17" s="1"/>
  <c r="BC434" i="17"/>
  <c r="H437" i="17" s="1"/>
  <c r="AJ130" i="1"/>
  <c r="AJ124" i="1"/>
  <c r="BF434" i="17"/>
  <c r="K439" i="17" s="1"/>
  <c r="BN434" i="17"/>
  <c r="S439" i="17" s="1"/>
  <c r="D456" i="17"/>
  <c r="M83" i="1"/>
  <c r="BW434" i="17"/>
  <c r="AB439" i="17" s="1"/>
  <c r="CF434" i="17"/>
  <c r="AK439" i="17" s="1"/>
  <c r="CB434" i="17"/>
  <c r="AG440" i="17" s="1"/>
  <c r="E445" i="17"/>
  <c r="E444" i="17"/>
  <c r="CD434" i="17"/>
  <c r="AI435" i="17" s="1"/>
  <c r="BJ434" i="17"/>
  <c r="O435" i="17" s="1"/>
  <c r="CE434" i="17"/>
  <c r="AJ437" i="17" s="1"/>
  <c r="BK434" i="17"/>
  <c r="P438" i="17" s="1"/>
  <c r="BH434" i="17"/>
  <c r="M437" i="17" s="1"/>
  <c r="BR434" i="17"/>
  <c r="W437" i="17" s="1"/>
  <c r="C18" i="2"/>
  <c r="K18" i="2"/>
  <c r="F18" i="2"/>
  <c r="G18" i="2"/>
  <c r="D18" i="2"/>
  <c r="I18" i="2"/>
  <c r="H18" i="2"/>
  <c r="J18" i="2"/>
  <c r="E18" i="2"/>
  <c r="BQ434" i="17"/>
  <c r="V440" i="17" s="1"/>
  <c r="BU434" i="17"/>
  <c r="Z435" i="17" s="1"/>
  <c r="BT434" i="17"/>
  <c r="Y437" i="17" s="1"/>
  <c r="BL434" i="17"/>
  <c r="Q436" i="17" s="1"/>
  <c r="BI434" i="17"/>
  <c r="N438" i="17" s="1"/>
  <c r="BY434" i="17"/>
  <c r="AD440" i="17" s="1"/>
  <c r="Y547" i="14"/>
  <c r="K539" i="14"/>
  <c r="AD539" i="14"/>
  <c r="W581" i="14"/>
  <c r="D573" i="14"/>
  <c r="AB573" i="14"/>
  <c r="Y479" i="14"/>
  <c r="K471" i="14"/>
  <c r="AD471" i="14"/>
  <c r="G63" i="9"/>
  <c r="K9" i="6"/>
  <c r="C9" i="6"/>
  <c r="AY105" i="1"/>
  <c r="D445" i="17"/>
  <c r="M82" i="1"/>
  <c r="G65" i="9"/>
  <c r="AY111" i="1"/>
  <c r="Z411" i="14"/>
  <c r="N403" i="14"/>
  <c r="AE403" i="14"/>
  <c r="X445" i="14"/>
  <c r="G437" i="14"/>
  <c r="AC437" i="14"/>
  <c r="D646" i="17"/>
  <c r="I130" i="1"/>
  <c r="Y130" i="1"/>
  <c r="AS422" i="17"/>
  <c r="CF423" i="17"/>
  <c r="AK428" i="17" s="1"/>
  <c r="BK423" i="17"/>
  <c r="P425" i="17" s="1"/>
  <c r="BZ423" i="17"/>
  <c r="AE426" i="17" s="1"/>
  <c r="BO423" i="17"/>
  <c r="T424" i="17" s="1"/>
  <c r="BI423" i="17"/>
  <c r="N427" i="17" s="1"/>
  <c r="BH423" i="17"/>
  <c r="M424" i="17" s="1"/>
  <c r="D657" i="17"/>
  <c r="I131" i="1"/>
  <c r="Y131" i="1"/>
  <c r="Z479" i="14"/>
  <c r="N471" i="14"/>
  <c r="AE471" i="14"/>
  <c r="G62" i="9"/>
  <c r="AY104" i="1"/>
  <c r="K21" i="6"/>
  <c r="C21" i="6"/>
  <c r="BG423" i="17"/>
  <c r="L427" i="17" s="1"/>
  <c r="CD423" i="17"/>
  <c r="AI425" i="17" s="1"/>
  <c r="AD545" i="14"/>
  <c r="AD544" i="14"/>
  <c r="AD541" i="14"/>
  <c r="AD543" i="14"/>
  <c r="AD547" i="14"/>
  <c r="AD548" i="14"/>
  <c r="AD540" i="14"/>
  <c r="AD546" i="14"/>
  <c r="AD542" i="14"/>
  <c r="CB423" i="17"/>
  <c r="AG429" i="17" s="1"/>
  <c r="BP423" i="17"/>
  <c r="U426" i="17" s="1"/>
  <c r="BW423" i="17"/>
  <c r="AB427" i="17" s="1"/>
  <c r="BE423" i="17"/>
  <c r="J426" i="17" s="1"/>
  <c r="BV423" i="17"/>
  <c r="AA429" i="17" s="1"/>
  <c r="BN423" i="17"/>
  <c r="S424" i="17" s="1"/>
  <c r="BF423" i="17"/>
  <c r="K425" i="17" s="1"/>
  <c r="AB582" i="14"/>
  <c r="AB574" i="14"/>
  <c r="AB579" i="14"/>
  <c r="AB576" i="14"/>
  <c r="AB578" i="14"/>
  <c r="AB575" i="14"/>
  <c r="AB580" i="14"/>
  <c r="AB577" i="14"/>
  <c r="AB581" i="14"/>
  <c r="AB546" i="14"/>
  <c r="AB543" i="14"/>
  <c r="AB544" i="14"/>
  <c r="AB542" i="14"/>
  <c r="AB540" i="14"/>
  <c r="AB548" i="14"/>
  <c r="AB541" i="14"/>
  <c r="AB547" i="14"/>
  <c r="AB545" i="14"/>
  <c r="AC578" i="14"/>
  <c r="AC580" i="14"/>
  <c r="AC582" i="14"/>
  <c r="AC575" i="14"/>
  <c r="AC576" i="14"/>
  <c r="AC577" i="14"/>
  <c r="AC579" i="14"/>
  <c r="AC574" i="14"/>
  <c r="AC581" i="14"/>
  <c r="AC547" i="14"/>
  <c r="AC542" i="14"/>
  <c r="AC546" i="14"/>
  <c r="AC544" i="14"/>
  <c r="AC540" i="14"/>
  <c r="AC545" i="14"/>
  <c r="AC541" i="14"/>
  <c r="AC548" i="14"/>
  <c r="AC543" i="14"/>
  <c r="BJ423" i="17"/>
  <c r="O425" i="17" s="1"/>
  <c r="CA423" i="17"/>
  <c r="AF428" i="17" s="1"/>
  <c r="BY423" i="17"/>
  <c r="AD426" i="17" s="1"/>
  <c r="AD576" i="14"/>
  <c r="AD581" i="14"/>
  <c r="AD575" i="14"/>
  <c r="AD574" i="14"/>
  <c r="AD580" i="14"/>
  <c r="AD578" i="14"/>
  <c r="AD582" i="14"/>
  <c r="AD579" i="14"/>
  <c r="AD577" i="14"/>
  <c r="AE575" i="14"/>
  <c r="AE577" i="14"/>
  <c r="AE578" i="14"/>
  <c r="AE580" i="14"/>
  <c r="AE574" i="14"/>
  <c r="AE582" i="14"/>
  <c r="AE576" i="14"/>
  <c r="AE579" i="14"/>
  <c r="AE581" i="14"/>
  <c r="D624" i="17"/>
  <c r="I124" i="1"/>
  <c r="Y124" i="1"/>
  <c r="BM423" i="17"/>
  <c r="R427" i="17" s="1"/>
  <c r="BC423" i="17"/>
  <c r="H425" i="17" s="1"/>
  <c r="BS423" i="17"/>
  <c r="X427" i="17" s="1"/>
  <c r="BD423" i="17"/>
  <c r="I429" i="17" s="1"/>
  <c r="BL423" i="17"/>
  <c r="Q425" i="17" s="1"/>
  <c r="BX423" i="17"/>
  <c r="AC426" i="17" s="1"/>
  <c r="CC423" i="17"/>
  <c r="AH425" i="17" s="1"/>
  <c r="BU423" i="17"/>
  <c r="Z424" i="17" s="1"/>
  <c r="BT423" i="17"/>
  <c r="Y428" i="17" s="1"/>
  <c r="E17" i="2"/>
  <c r="F17" i="2"/>
  <c r="G17" i="2"/>
  <c r="C17" i="2"/>
  <c r="J17" i="2"/>
  <c r="D17" i="2"/>
  <c r="I17" i="2"/>
  <c r="K17" i="2"/>
  <c r="H17" i="2"/>
  <c r="E433" i="17"/>
  <c r="E434" i="17"/>
  <c r="BQ423" i="17"/>
  <c r="V429" i="17" s="1"/>
  <c r="CE423" i="17"/>
  <c r="AJ426" i="17" s="1"/>
  <c r="BR423" i="17"/>
  <c r="W425" i="17" s="1"/>
  <c r="X513" i="14"/>
  <c r="G505" i="14"/>
  <c r="AC505" i="14"/>
  <c r="AX130" i="1"/>
  <c r="AC21" i="6"/>
  <c r="X21" i="6"/>
  <c r="W21" i="6"/>
  <c r="AY124" i="1"/>
  <c r="AC14" i="6"/>
  <c r="X14" i="6"/>
  <c r="W14" i="6"/>
  <c r="D434" i="17"/>
  <c r="M77" i="1"/>
  <c r="AX131" i="1"/>
  <c r="AC17" i="6"/>
  <c r="W17" i="6"/>
  <c r="X17" i="6"/>
  <c r="AS411" i="17"/>
  <c r="BI412" i="17"/>
  <c r="N418" i="17" s="1"/>
  <c r="AY130" i="1"/>
  <c r="AC22" i="6"/>
  <c r="X22" i="6"/>
  <c r="W22" i="6"/>
  <c r="O88" i="1"/>
  <c r="O89" i="1"/>
  <c r="O90" i="1"/>
  <c r="O91" i="1"/>
  <c r="P86" i="1"/>
  <c r="BH412" i="17"/>
  <c r="M415" i="17" s="1"/>
  <c r="AX124" i="1"/>
  <c r="AC13" i="6"/>
  <c r="W13" i="6"/>
  <c r="X13" i="6"/>
  <c r="Y383" i="14"/>
  <c r="AL387" i="14"/>
  <c r="AL392" i="14"/>
  <c r="AO391" i="14"/>
  <c r="AL385" i="14"/>
  <c r="AM393" i="14"/>
  <c r="K384" i="14"/>
  <c r="AM385" i="14"/>
  <c r="AL390" i="14"/>
  <c r="AO398" i="14"/>
  <c r="AM394" i="14"/>
  <c r="AL395" i="14"/>
  <c r="AM386" i="14"/>
  <c r="AN387" i="14"/>
  <c r="AN386" i="14"/>
  <c r="AO396" i="14"/>
  <c r="AO390" i="14"/>
  <c r="AL391" i="14"/>
  <c r="AL394" i="14"/>
  <c r="AM398" i="14"/>
  <c r="AN394" i="14"/>
  <c r="AE385" i="14"/>
  <c r="AE386" i="14"/>
  <c r="AE387" i="14"/>
  <c r="AE388" i="14"/>
  <c r="AE389" i="14"/>
  <c r="AE390" i="14"/>
  <c r="AE391" i="14"/>
  <c r="AE392" i="14"/>
  <c r="AE393" i="14"/>
  <c r="AE394" i="14"/>
  <c r="AE395" i="14"/>
  <c r="AE396" i="14"/>
  <c r="AE397" i="14"/>
  <c r="AE398" i="14"/>
  <c r="AL393" i="14"/>
  <c r="AO389" i="14"/>
  <c r="L384" i="14"/>
  <c r="AL396" i="14"/>
  <c r="AO392" i="14"/>
  <c r="AN392" i="14"/>
  <c r="AN393" i="14"/>
  <c r="AM391" i="14"/>
  <c r="AN398" i="14"/>
  <c r="AM389" i="14"/>
  <c r="AM395" i="14"/>
  <c r="AO387" i="14"/>
  <c r="AM388" i="14"/>
  <c r="AO397" i="14"/>
  <c r="AN389" i="14"/>
  <c r="AO393" i="14"/>
  <c r="AN396" i="14"/>
  <c r="AO394" i="14"/>
  <c r="AO388" i="14"/>
  <c r="AM387" i="14"/>
  <c r="AN397" i="14"/>
  <c r="AL398" i="14"/>
  <c r="AN391" i="14"/>
  <c r="AO386" i="14"/>
  <c r="AM392" i="14"/>
  <c r="AN385" i="14"/>
  <c r="AM396" i="14"/>
  <c r="AL389" i="14"/>
  <c r="AO395" i="14"/>
  <c r="AO385" i="14"/>
  <c r="AM390" i="14"/>
  <c r="AN388" i="14"/>
  <c r="AN390" i="14"/>
  <c r="AL388" i="14"/>
  <c r="AM397" i="14"/>
  <c r="AN395" i="14"/>
  <c r="AL397" i="14"/>
  <c r="AD385" i="14"/>
  <c r="AD386" i="14"/>
  <c r="AD387" i="14"/>
  <c r="AD388" i="14"/>
  <c r="AD389" i="14"/>
  <c r="AD390" i="14"/>
  <c r="AD391" i="14"/>
  <c r="AD392" i="14"/>
  <c r="AD393" i="14"/>
  <c r="AD394" i="14"/>
  <c r="AD395" i="14"/>
  <c r="AD396" i="14"/>
  <c r="AD397" i="14"/>
  <c r="AD398" i="14"/>
  <c r="N384" i="14"/>
  <c r="Y384" i="14"/>
  <c r="Y385" i="14"/>
  <c r="J384" i="14"/>
  <c r="AL386" i="14"/>
  <c r="Z384" i="14"/>
  <c r="Z385" i="14"/>
  <c r="O384" i="14"/>
  <c r="M384" i="14"/>
  <c r="W349" i="14"/>
  <c r="AH358" i="14"/>
  <c r="AI356" i="14"/>
  <c r="AI358" i="14"/>
  <c r="AJ355" i="14"/>
  <c r="AI363" i="14"/>
  <c r="AJ357" i="14"/>
  <c r="AI357" i="14"/>
  <c r="AH364" i="14"/>
  <c r="X350" i="14"/>
  <c r="X351" i="14"/>
  <c r="H350" i="14"/>
  <c r="AI355" i="14"/>
  <c r="AH361" i="14"/>
  <c r="AH360" i="14"/>
  <c r="E349" i="14"/>
  <c r="AK357" i="14"/>
  <c r="AJ359" i="14"/>
  <c r="AH355" i="14"/>
  <c r="AK363" i="14"/>
  <c r="AH353" i="14"/>
  <c r="AC351" i="14"/>
  <c r="AC352" i="14"/>
  <c r="AC353" i="14"/>
  <c r="AC354" i="14"/>
  <c r="AC355" i="14"/>
  <c r="AC356" i="14"/>
  <c r="AC357" i="14"/>
  <c r="AC358" i="14"/>
  <c r="AC359" i="14"/>
  <c r="AC360" i="14"/>
  <c r="AC361" i="14"/>
  <c r="AC362" i="14"/>
  <c r="AC363" i="14"/>
  <c r="AC364" i="14"/>
  <c r="AJ361" i="14"/>
  <c r="D350" i="14"/>
  <c r="AK355" i="14"/>
  <c r="AI364" i="14"/>
  <c r="AK358" i="14"/>
  <c r="AH356" i="14"/>
  <c r="AK361" i="14"/>
  <c r="AJ362" i="14"/>
  <c r="AH352" i="14"/>
  <c r="AI352" i="14"/>
  <c r="AK359" i="14"/>
  <c r="AK352" i="14"/>
  <c r="AI362" i="14"/>
  <c r="AI361" i="14"/>
  <c r="AJ353" i="14"/>
  <c r="AJ352" i="14"/>
  <c r="AI353" i="14"/>
  <c r="AI354" i="14"/>
  <c r="AI360" i="14"/>
  <c r="AH351" i="14"/>
  <c r="AI351" i="14"/>
  <c r="AJ358" i="14"/>
  <c r="AH357" i="14"/>
  <c r="AJ360" i="14"/>
  <c r="AK364" i="14"/>
  <c r="AK362" i="14"/>
  <c r="AJ356" i="14"/>
  <c r="G350" i="14"/>
  <c r="AH354" i="14"/>
  <c r="W350" i="14"/>
  <c r="W351" i="14"/>
  <c r="C350" i="14"/>
  <c r="F350" i="14"/>
  <c r="AI359" i="14"/>
  <c r="AH362" i="14"/>
  <c r="AJ364" i="14"/>
  <c r="AH359" i="14"/>
  <c r="AH363" i="14"/>
  <c r="AK353" i="14"/>
  <c r="AJ363" i="14"/>
  <c r="AJ351" i="14"/>
  <c r="AK360" i="14"/>
  <c r="E350" i="14"/>
  <c r="AK351" i="14"/>
  <c r="AB351" i="14"/>
  <c r="AB352" i="14"/>
  <c r="AB353" i="14"/>
  <c r="AB354" i="14"/>
  <c r="AB355" i="14"/>
  <c r="AB356" i="14"/>
  <c r="AB357" i="14"/>
  <c r="AB358" i="14"/>
  <c r="AB359" i="14"/>
  <c r="AB360" i="14"/>
  <c r="AB361" i="14"/>
  <c r="AB362" i="14"/>
  <c r="AB363" i="14"/>
  <c r="AB364" i="14"/>
  <c r="AK354" i="14"/>
  <c r="AJ354" i="14"/>
  <c r="AK356" i="14"/>
  <c r="Y281" i="14"/>
  <c r="AN295" i="14"/>
  <c r="AN293" i="14"/>
  <c r="AM296" i="14"/>
  <c r="AN287" i="14"/>
  <c r="AL283" i="14"/>
  <c r="AL292" i="14"/>
  <c r="AM290" i="14"/>
  <c r="AN294" i="14"/>
  <c r="AL286" i="14"/>
  <c r="AM287" i="14"/>
  <c r="AL289" i="14"/>
  <c r="AL294" i="14"/>
  <c r="AN291" i="14"/>
  <c r="AL284" i="14"/>
  <c r="AL290" i="14"/>
  <c r="AN284" i="14"/>
  <c r="AN285" i="14"/>
  <c r="AL288" i="14"/>
  <c r="L282" i="14"/>
  <c r="AM292" i="14"/>
  <c r="AO283" i="14"/>
  <c r="AN292" i="14"/>
  <c r="M282" i="14"/>
  <c r="AO296" i="14"/>
  <c r="AM286" i="14"/>
  <c r="AM284" i="14"/>
  <c r="AO290" i="14"/>
  <c r="AM291" i="14"/>
  <c r="AN296" i="14"/>
  <c r="Z282" i="14"/>
  <c r="Z283" i="14"/>
  <c r="O282" i="14"/>
  <c r="AO288" i="14"/>
  <c r="AL293" i="14"/>
  <c r="AD283" i="14"/>
  <c r="AD284" i="14"/>
  <c r="AD285" i="14"/>
  <c r="AD286" i="14"/>
  <c r="AD287" i="14"/>
  <c r="AD288" i="14"/>
  <c r="AD289" i="14"/>
  <c r="AD290" i="14"/>
  <c r="AD291" i="14"/>
  <c r="AD292" i="14"/>
  <c r="AD293" i="14"/>
  <c r="AD294" i="14"/>
  <c r="AD295" i="14"/>
  <c r="AD296" i="14"/>
  <c r="AO284" i="14"/>
  <c r="AO289" i="14"/>
  <c r="AO295" i="14"/>
  <c r="AL295" i="14"/>
  <c r="AM283" i="14"/>
  <c r="AL287" i="14"/>
  <c r="AO293" i="14"/>
  <c r="AM289" i="14"/>
  <c r="AO294" i="14"/>
  <c r="AL285" i="14"/>
  <c r="AM295" i="14"/>
  <c r="Y282" i="14"/>
  <c r="Y283" i="14"/>
  <c r="J282" i="14"/>
  <c r="AN283" i="14"/>
  <c r="K282" i="14"/>
  <c r="AN290" i="14"/>
  <c r="AL291" i="14"/>
  <c r="AM288" i="14"/>
  <c r="AM294" i="14"/>
  <c r="AO285" i="14"/>
  <c r="AN286" i="14"/>
  <c r="AN288" i="14"/>
  <c r="AE283" i="14"/>
  <c r="AE284" i="14"/>
  <c r="AE285" i="14"/>
  <c r="AE286" i="14"/>
  <c r="AE287" i="14"/>
  <c r="AE288" i="14"/>
  <c r="AE289" i="14"/>
  <c r="AE290" i="14"/>
  <c r="AE291" i="14"/>
  <c r="AE292" i="14"/>
  <c r="AE293" i="14"/>
  <c r="AE294" i="14"/>
  <c r="AE295" i="14"/>
  <c r="AE296" i="14"/>
  <c r="AL296" i="14"/>
  <c r="AO286" i="14"/>
  <c r="AO287" i="14"/>
  <c r="N282" i="14"/>
  <c r="AO291" i="14"/>
  <c r="AN289" i="14"/>
  <c r="AM293" i="14"/>
  <c r="AM285" i="14"/>
  <c r="AO292" i="14"/>
  <c r="C16" i="2"/>
  <c r="G16" i="2"/>
  <c r="E16" i="2"/>
  <c r="J16" i="2"/>
  <c r="K16" i="2"/>
  <c r="F16" i="2"/>
  <c r="H16" i="2"/>
  <c r="I16" i="2"/>
  <c r="D16" i="2"/>
  <c r="CD412" i="17"/>
  <c r="AI413" i="17" s="1"/>
  <c r="BV412" i="17"/>
  <c r="AA417" i="17" s="1"/>
  <c r="CA412" i="17"/>
  <c r="AF417" i="17" s="1"/>
  <c r="E423" i="17"/>
  <c r="E422" i="17"/>
  <c r="W383" i="14"/>
  <c r="AK387" i="14"/>
  <c r="AJ391" i="14"/>
  <c r="AI388" i="14"/>
  <c r="AH397" i="14"/>
  <c r="AI392" i="14"/>
  <c r="AH387" i="14"/>
  <c r="AH388" i="14"/>
  <c r="AH398" i="14"/>
  <c r="AJ396" i="14"/>
  <c r="AH389" i="14"/>
  <c r="AK395" i="14"/>
  <c r="W384" i="14"/>
  <c r="W385" i="14"/>
  <c r="C384" i="14"/>
  <c r="AI398" i="14"/>
  <c r="AI393" i="14"/>
  <c r="F384" i="14"/>
  <c r="AH385" i="14"/>
  <c r="AH396" i="14"/>
  <c r="AJ393" i="14"/>
  <c r="AK397" i="14"/>
  <c r="X384" i="14"/>
  <c r="X385" i="14"/>
  <c r="H384" i="14"/>
  <c r="AK390" i="14"/>
  <c r="AJ385" i="14"/>
  <c r="AJ394" i="14"/>
  <c r="AH392" i="14"/>
  <c r="AH391" i="14"/>
  <c r="AK391" i="14"/>
  <c r="AI385" i="14"/>
  <c r="AJ397" i="14"/>
  <c r="AI386" i="14"/>
  <c r="AK394" i="14"/>
  <c r="AK386" i="14"/>
  <c r="AH395" i="14"/>
  <c r="AJ386" i="14"/>
  <c r="AK396" i="14"/>
  <c r="AJ390" i="14"/>
  <c r="AK398" i="14"/>
  <c r="AK392" i="14"/>
  <c r="AJ388" i="14"/>
  <c r="AI396" i="14"/>
  <c r="D384" i="14"/>
  <c r="AH390" i="14"/>
  <c r="AJ398" i="14"/>
  <c r="AK389" i="14"/>
  <c r="AK385" i="14"/>
  <c r="AK388" i="14"/>
  <c r="AJ389" i="14"/>
  <c r="AJ392" i="14"/>
  <c r="E383" i="14"/>
  <c r="AI394" i="14"/>
  <c r="E384" i="14"/>
  <c r="AI389" i="14"/>
  <c r="AK393" i="14"/>
  <c r="AJ387" i="14"/>
  <c r="AI395" i="14"/>
  <c r="AB385" i="14"/>
  <c r="AB386" i="14"/>
  <c r="AB387" i="14"/>
  <c r="AB388" i="14"/>
  <c r="AB389" i="14"/>
  <c r="AB390" i="14"/>
  <c r="AB391" i="14"/>
  <c r="AB392" i="14"/>
  <c r="AB393" i="14"/>
  <c r="AB394" i="14"/>
  <c r="AB395" i="14"/>
  <c r="AB396" i="14"/>
  <c r="AB397" i="14"/>
  <c r="AB398" i="14"/>
  <c r="AJ395" i="14"/>
  <c r="AC385" i="14"/>
  <c r="AC386" i="14"/>
  <c r="AC387" i="14"/>
  <c r="AC388" i="14"/>
  <c r="AC389" i="14"/>
  <c r="AC390" i="14"/>
  <c r="AC391" i="14"/>
  <c r="AC392" i="14"/>
  <c r="AC393" i="14"/>
  <c r="AC394" i="14"/>
  <c r="AC395" i="14"/>
  <c r="AC396" i="14"/>
  <c r="AC397" i="14"/>
  <c r="AC398" i="14"/>
  <c r="AI397" i="14"/>
  <c r="AI391" i="14"/>
  <c r="G384" i="14"/>
  <c r="AH393" i="14"/>
  <c r="AH386" i="14"/>
  <c r="AI390" i="14"/>
  <c r="AH394" i="14"/>
  <c r="AI387" i="14"/>
  <c r="W315" i="14"/>
  <c r="W316" i="14"/>
  <c r="W317" i="14"/>
  <c r="C316" i="14"/>
  <c r="AH323" i="14"/>
  <c r="AK322" i="14"/>
  <c r="AH318" i="14"/>
  <c r="AH329" i="14"/>
  <c r="AK325" i="14"/>
  <c r="AH330" i="14"/>
  <c r="AH325" i="14"/>
  <c r="AJ325" i="14"/>
  <c r="AK321" i="14"/>
  <c r="AJ321" i="14"/>
  <c r="E316" i="14"/>
  <c r="AI328" i="14"/>
  <c r="AI319" i="14"/>
  <c r="AH317" i="14"/>
  <c r="AJ329" i="14"/>
  <c r="AI329" i="14"/>
  <c r="AI327" i="14"/>
  <c r="X316" i="14"/>
  <c r="X317" i="14"/>
  <c r="H316" i="14"/>
  <c r="AI325" i="14"/>
  <c r="AC317" i="14"/>
  <c r="AC318" i="14"/>
  <c r="AC319" i="14"/>
  <c r="AC320" i="14"/>
  <c r="AC321" i="14"/>
  <c r="AC322" i="14"/>
  <c r="AC323" i="14"/>
  <c r="AC324" i="14"/>
  <c r="AC325" i="14"/>
  <c r="AC326" i="14"/>
  <c r="AC327" i="14"/>
  <c r="AC328" i="14"/>
  <c r="AC329" i="14"/>
  <c r="AC330" i="14"/>
  <c r="AJ322" i="14"/>
  <c r="AK324" i="14"/>
  <c r="AK328" i="14"/>
  <c r="AH327" i="14"/>
  <c r="AJ320" i="14"/>
  <c r="AI322" i="14"/>
  <c r="AJ327" i="14"/>
  <c r="AI330" i="14"/>
  <c r="AH321" i="14"/>
  <c r="AK317" i="14"/>
  <c r="AK330" i="14"/>
  <c r="AH320" i="14"/>
  <c r="AH322" i="14"/>
  <c r="AJ330" i="14"/>
  <c r="AJ318" i="14"/>
  <c r="AH319" i="14"/>
  <c r="AH328" i="14"/>
  <c r="AK318" i="14"/>
  <c r="AK319" i="14"/>
  <c r="AJ317" i="14"/>
  <c r="AK323" i="14"/>
  <c r="AJ328" i="14"/>
  <c r="AI323" i="14"/>
  <c r="AI326" i="14"/>
  <c r="AJ319" i="14"/>
  <c r="AI324" i="14"/>
  <c r="D316" i="14"/>
  <c r="AH324" i="14"/>
  <c r="AJ323" i="14"/>
  <c r="F316" i="14"/>
  <c r="AJ324" i="14"/>
  <c r="AK326" i="14"/>
  <c r="AI320" i="14"/>
  <c r="E315" i="14"/>
  <c r="AK329" i="14"/>
  <c r="G316" i="14"/>
  <c r="AB317" i="14"/>
  <c r="AB318" i="14"/>
  <c r="AB319" i="14"/>
  <c r="AB320" i="14"/>
  <c r="AB321" i="14"/>
  <c r="AB322" i="14"/>
  <c r="AB323" i="14"/>
  <c r="AB324" i="14"/>
  <c r="AB325" i="14"/>
  <c r="AB326" i="14"/>
  <c r="AB327" i="14"/>
  <c r="AB328" i="14"/>
  <c r="AB329" i="14"/>
  <c r="AB330" i="14"/>
  <c r="AI318" i="14"/>
  <c r="AI321" i="14"/>
  <c r="AJ326" i="14"/>
  <c r="AK320" i="14"/>
  <c r="AH326" i="14"/>
  <c r="AK327" i="14"/>
  <c r="AI317" i="14"/>
  <c r="BG412" i="17"/>
  <c r="L414" i="17" s="1"/>
  <c r="BC412" i="17"/>
  <c r="H415" i="17" s="1"/>
  <c r="BE412" i="17"/>
  <c r="J414" i="17" s="1"/>
  <c r="CE12" i="6"/>
  <c r="R23" i="2"/>
  <c r="R24" i="2"/>
  <c r="R25" i="2"/>
  <c r="R26" i="2"/>
  <c r="R27" i="2"/>
  <c r="R28" i="2"/>
  <c r="R29" i="2"/>
  <c r="R30" i="2"/>
  <c r="H30" i="2"/>
  <c r="I30" i="2"/>
  <c r="D30" i="2"/>
  <c r="F30" i="2"/>
  <c r="C30" i="2"/>
  <c r="J30" i="2"/>
  <c r="E30" i="2"/>
  <c r="G30" i="2"/>
  <c r="K30" i="2"/>
  <c r="BR412" i="17"/>
  <c r="W418" i="17" s="1"/>
  <c r="BK412" i="17"/>
  <c r="P413" i="17" s="1"/>
  <c r="BN412" i="17"/>
  <c r="S418" i="17" s="1"/>
  <c r="BD412" i="17"/>
  <c r="I414" i="17" s="1"/>
  <c r="BJ412" i="17"/>
  <c r="O418" i="17" s="1"/>
  <c r="BT412" i="17"/>
  <c r="Y417" i="17" s="1"/>
  <c r="AY131" i="1"/>
  <c r="AC18" i="6"/>
  <c r="W18" i="6"/>
  <c r="X18" i="6"/>
  <c r="CF412" i="17"/>
  <c r="AK415" i="17" s="1"/>
  <c r="BX412" i="17"/>
  <c r="AC413" i="17" s="1"/>
  <c r="BO412" i="17"/>
  <c r="T415" i="17" s="1"/>
  <c r="CB412" i="17"/>
  <c r="AG418" i="17" s="1"/>
  <c r="Y349" i="14"/>
  <c r="AN358" i="14"/>
  <c r="AL352" i="14"/>
  <c r="AM363" i="14"/>
  <c r="AL360" i="14"/>
  <c r="AO353" i="14"/>
  <c r="AM357" i="14"/>
  <c r="AM362" i="14"/>
  <c r="AL354" i="14"/>
  <c r="AM358" i="14"/>
  <c r="AO356" i="14"/>
  <c r="AO355" i="14"/>
  <c r="Z350" i="14"/>
  <c r="Z351" i="14"/>
  <c r="O350" i="14"/>
  <c r="Y350" i="14"/>
  <c r="Y351" i="14"/>
  <c r="J350" i="14"/>
  <c r="AM364" i="14"/>
  <c r="AM354" i="14"/>
  <c r="N350" i="14"/>
  <c r="AN362" i="14"/>
  <c r="AM353" i="14"/>
  <c r="AN360" i="14"/>
  <c r="AL359" i="14"/>
  <c r="AN352" i="14"/>
  <c r="AN364" i="14"/>
  <c r="AL351" i="14"/>
  <c r="AN355" i="14"/>
  <c r="AN359" i="14"/>
  <c r="AL361" i="14"/>
  <c r="AL355" i="14"/>
  <c r="AO352" i="14"/>
  <c r="AO361" i="14"/>
  <c r="AN351" i="14"/>
  <c r="AL363" i="14"/>
  <c r="AL357" i="14"/>
  <c r="AM361" i="14"/>
  <c r="AM351" i="14"/>
  <c r="L350" i="14"/>
  <c r="AO358" i="14"/>
  <c r="AD351" i="14"/>
  <c r="AD352" i="14"/>
  <c r="AD353" i="14"/>
  <c r="AD354" i="14"/>
  <c r="AD355" i="14"/>
  <c r="AD356" i="14"/>
  <c r="AD357" i="14"/>
  <c r="AD358" i="14"/>
  <c r="AD359" i="14"/>
  <c r="AD360" i="14"/>
  <c r="AD361" i="14"/>
  <c r="AD362" i="14"/>
  <c r="AD363" i="14"/>
  <c r="AD364" i="14"/>
  <c r="AL362" i="14"/>
  <c r="AL364" i="14"/>
  <c r="AM355" i="14"/>
  <c r="AN353" i="14"/>
  <c r="AN356" i="14"/>
  <c r="K350" i="14"/>
  <c r="AO362" i="14"/>
  <c r="AM352" i="14"/>
  <c r="AO363" i="14"/>
  <c r="AO359" i="14"/>
  <c r="M350" i="14"/>
  <c r="AN357" i="14"/>
  <c r="AL356" i="14"/>
  <c r="AO364" i="14"/>
  <c r="AN354" i="14"/>
  <c r="AE351" i="14"/>
  <c r="AE352" i="14"/>
  <c r="AE353" i="14"/>
  <c r="AE354" i="14"/>
  <c r="AE355" i="14"/>
  <c r="AE356" i="14"/>
  <c r="AE357" i="14"/>
  <c r="AE358" i="14"/>
  <c r="AE359" i="14"/>
  <c r="AE360" i="14"/>
  <c r="AE361" i="14"/>
  <c r="AE362" i="14"/>
  <c r="AE363" i="14"/>
  <c r="AE364" i="14"/>
  <c r="AO354" i="14"/>
  <c r="AM359" i="14"/>
  <c r="AN361" i="14"/>
  <c r="AL358" i="14"/>
  <c r="AM360" i="14"/>
  <c r="AO357" i="14"/>
  <c r="AN363" i="14"/>
  <c r="AL353" i="14"/>
  <c r="AM356" i="14"/>
  <c r="AO360" i="14"/>
  <c r="AO351" i="14"/>
  <c r="BF412" i="17"/>
  <c r="K418" i="17" s="1"/>
  <c r="BY412" i="17"/>
  <c r="AD415" i="17" s="1"/>
  <c r="BM412" i="17"/>
  <c r="R413" i="17" s="1"/>
  <c r="W281" i="14"/>
  <c r="AI285" i="14"/>
  <c r="E282" i="14"/>
  <c r="AJ285" i="14"/>
  <c r="AH292" i="14"/>
  <c r="AI294" i="14"/>
  <c r="W282" i="14"/>
  <c r="W283" i="14"/>
  <c r="C282" i="14"/>
  <c r="AK293" i="14"/>
  <c r="AJ292" i="14"/>
  <c r="AH296" i="14"/>
  <c r="AH295" i="14"/>
  <c r="AH284" i="14"/>
  <c r="E281" i="14"/>
  <c r="X282" i="14"/>
  <c r="X283" i="14"/>
  <c r="H282" i="14"/>
  <c r="AK285" i="14"/>
  <c r="AJ294" i="14"/>
  <c r="AJ290" i="14"/>
  <c r="AI291" i="14"/>
  <c r="AJ293" i="14"/>
  <c r="AI289" i="14"/>
  <c r="G282" i="14"/>
  <c r="AK284" i="14"/>
  <c r="AK286" i="14"/>
  <c r="AH289" i="14"/>
  <c r="AI293" i="14"/>
  <c r="AK296" i="14"/>
  <c r="AK283" i="14"/>
  <c r="AI295" i="14"/>
  <c r="AI296" i="14"/>
  <c r="AI290" i="14"/>
  <c r="AJ289" i="14"/>
  <c r="D282" i="14"/>
  <c r="AB283" i="14"/>
  <c r="AB284" i="14"/>
  <c r="AB285" i="14"/>
  <c r="AB286" i="14"/>
  <c r="AB287" i="14"/>
  <c r="AB288" i="14"/>
  <c r="AB289" i="14"/>
  <c r="AB290" i="14"/>
  <c r="AB291" i="14"/>
  <c r="AB292" i="14"/>
  <c r="AB293" i="14"/>
  <c r="AB294" i="14"/>
  <c r="AB295" i="14"/>
  <c r="AB296" i="14"/>
  <c r="AH290" i="14"/>
  <c r="AJ288" i="14"/>
  <c r="AJ291" i="14"/>
  <c r="AI284" i="14"/>
  <c r="AK288" i="14"/>
  <c r="AK294" i="14"/>
  <c r="AH286" i="14"/>
  <c r="AJ284" i="14"/>
  <c r="AK287" i="14"/>
  <c r="AI286" i="14"/>
  <c r="AH291" i="14"/>
  <c r="AI288" i="14"/>
  <c r="AJ286" i="14"/>
  <c r="AH293" i="14"/>
  <c r="AJ283" i="14"/>
  <c r="AK295" i="14"/>
  <c r="AI287" i="14"/>
  <c r="AJ295" i="14"/>
  <c r="AK290" i="14"/>
  <c r="AH287" i="14"/>
  <c r="F282" i="14"/>
  <c r="AH288" i="14"/>
  <c r="AH294" i="14"/>
  <c r="AK291" i="14"/>
  <c r="AC283" i="14"/>
  <c r="AC284" i="14"/>
  <c r="AC285" i="14"/>
  <c r="AC286" i="14"/>
  <c r="AC287" i="14"/>
  <c r="AC288" i="14"/>
  <c r="AC289" i="14"/>
  <c r="AC290" i="14"/>
  <c r="AC291" i="14"/>
  <c r="AC292" i="14"/>
  <c r="AC293" i="14"/>
  <c r="AC294" i="14"/>
  <c r="AC295" i="14"/>
  <c r="AC296" i="14"/>
  <c r="AJ287" i="14"/>
  <c r="AH285" i="14"/>
  <c r="AK292" i="14"/>
  <c r="AK289" i="14"/>
  <c r="AI292" i="14"/>
  <c r="AI283" i="14"/>
  <c r="AH283" i="14"/>
  <c r="AJ296" i="14"/>
  <c r="Y315" i="14"/>
  <c r="AN328" i="14"/>
  <c r="AM323" i="14"/>
  <c r="AM330" i="14"/>
  <c r="AN322" i="14"/>
  <c r="AN324" i="14"/>
  <c r="AL328" i="14"/>
  <c r="AM317" i="14"/>
  <c r="AO323" i="14"/>
  <c r="AM328" i="14"/>
  <c r="AO326" i="14"/>
  <c r="AL320" i="14"/>
  <c r="AO329" i="14"/>
  <c r="AL322" i="14"/>
  <c r="AO317" i="14"/>
  <c r="AO324" i="14"/>
  <c r="AM327" i="14"/>
  <c r="Y316" i="14"/>
  <c r="Y317" i="14"/>
  <c r="J316" i="14"/>
  <c r="AN327" i="14"/>
  <c r="AL329" i="14"/>
  <c r="AO320" i="14"/>
  <c r="AO330" i="14"/>
  <c r="AN325" i="14"/>
  <c r="AL324" i="14"/>
  <c r="M316" i="14"/>
  <c r="AM319" i="14"/>
  <c r="AO328" i="14"/>
  <c r="AO321" i="14"/>
  <c r="AE317" i="14"/>
  <c r="AE318" i="14"/>
  <c r="AE319" i="14"/>
  <c r="AE320" i="14"/>
  <c r="AE321" i="14"/>
  <c r="AE322" i="14"/>
  <c r="AE323" i="14"/>
  <c r="AE324" i="14"/>
  <c r="AE325" i="14"/>
  <c r="AE326" i="14"/>
  <c r="AE327" i="14"/>
  <c r="AE328" i="14"/>
  <c r="AE329" i="14"/>
  <c r="AE330" i="14"/>
  <c r="AN330" i="14"/>
  <c r="AL317" i="14"/>
  <c r="AO322" i="14"/>
  <c r="AM324" i="14"/>
  <c r="AN326" i="14"/>
  <c r="AN329" i="14"/>
  <c r="AM329" i="14"/>
  <c r="AM320" i="14"/>
  <c r="K316" i="14"/>
  <c r="AL330" i="14"/>
  <c r="AM326" i="14"/>
  <c r="AL325" i="14"/>
  <c r="AN318" i="14"/>
  <c r="AN321" i="14"/>
  <c r="AL326" i="14"/>
  <c r="AO318" i="14"/>
  <c r="AL319" i="14"/>
  <c r="AM321" i="14"/>
  <c r="AN323" i="14"/>
  <c r="AL321" i="14"/>
  <c r="L316" i="14"/>
  <c r="AO319" i="14"/>
  <c r="AM318" i="14"/>
  <c r="AL323" i="14"/>
  <c r="AL318" i="14"/>
  <c r="Z316" i="14"/>
  <c r="Z317" i="14"/>
  <c r="O316" i="14"/>
  <c r="AN319" i="14"/>
  <c r="AM325" i="14"/>
  <c r="AD317" i="14"/>
  <c r="AD318" i="14"/>
  <c r="AD319" i="14"/>
  <c r="AD320" i="14"/>
  <c r="AD321" i="14"/>
  <c r="AD322" i="14"/>
  <c r="AD323" i="14"/>
  <c r="AD324" i="14"/>
  <c r="AD325" i="14"/>
  <c r="AD326" i="14"/>
  <c r="AD327" i="14"/>
  <c r="AD328" i="14"/>
  <c r="AD329" i="14"/>
  <c r="AD330" i="14"/>
  <c r="AN320" i="14"/>
  <c r="AL327" i="14"/>
  <c r="AM322" i="14"/>
  <c r="AO325" i="14"/>
  <c r="AN317" i="14"/>
  <c r="N316" i="14"/>
  <c r="AO327" i="14"/>
  <c r="BW412" i="17"/>
  <c r="W247" i="14"/>
  <c r="AI250" i="14"/>
  <c r="AK251" i="14"/>
  <c r="AH257" i="14"/>
  <c r="AB249" i="14"/>
  <c r="AB250" i="14"/>
  <c r="AB251" i="14"/>
  <c r="AB252" i="14"/>
  <c r="AB253" i="14"/>
  <c r="AB254" i="14"/>
  <c r="AB255" i="14"/>
  <c r="AB256" i="14"/>
  <c r="AB257" i="14"/>
  <c r="AB258" i="14"/>
  <c r="AB259" i="14"/>
  <c r="AB260" i="14"/>
  <c r="AB261" i="14"/>
  <c r="AB262" i="14"/>
  <c r="AI253" i="14"/>
  <c r="AH261" i="14"/>
  <c r="AJ262" i="14"/>
  <c r="AK252" i="14"/>
  <c r="AI259" i="14"/>
  <c r="AK256" i="14"/>
  <c r="AI256" i="14"/>
  <c r="AK257" i="14"/>
  <c r="W248" i="14"/>
  <c r="W249" i="14"/>
  <c r="C248" i="14"/>
  <c r="X248" i="14"/>
  <c r="X249" i="14"/>
  <c r="H248" i="14"/>
  <c r="AJ254" i="14"/>
  <c r="AK254" i="14"/>
  <c r="AJ258" i="14"/>
  <c r="E247" i="14"/>
  <c r="AH250" i="14"/>
  <c r="AI252" i="14"/>
  <c r="AK250" i="14"/>
  <c r="AK261" i="14"/>
  <c r="AJ255" i="14"/>
  <c r="AC249" i="14"/>
  <c r="AC250" i="14"/>
  <c r="AC251" i="14"/>
  <c r="AC252" i="14"/>
  <c r="AC253" i="14"/>
  <c r="AC254" i="14"/>
  <c r="AC255" i="14"/>
  <c r="AC256" i="14"/>
  <c r="AC257" i="14"/>
  <c r="AC258" i="14"/>
  <c r="AC259" i="14"/>
  <c r="AC260" i="14"/>
  <c r="AC261" i="14"/>
  <c r="AC262" i="14"/>
  <c r="AH253" i="14"/>
  <c r="AK260" i="14"/>
  <c r="AI261" i="14"/>
  <c r="AH256" i="14"/>
  <c r="AH260" i="14"/>
  <c r="AI249" i="14"/>
  <c r="AI258" i="14"/>
  <c r="AI254" i="14"/>
  <c r="AJ260" i="14"/>
  <c r="AK258" i="14"/>
  <c r="AJ256" i="14"/>
  <c r="AI251" i="14"/>
  <c r="AJ252" i="14"/>
  <c r="AI262" i="14"/>
  <c r="G248" i="14"/>
  <c r="AJ259" i="14"/>
  <c r="AH255" i="14"/>
  <c r="AH252" i="14"/>
  <c r="AH251" i="14"/>
  <c r="AK249" i="14"/>
  <c r="AK255" i="14"/>
  <c r="E248" i="14"/>
  <c r="AH259" i="14"/>
  <c r="AH262" i="14"/>
  <c r="AK259" i="14"/>
  <c r="AJ261" i="14"/>
  <c r="AJ253" i="14"/>
  <c r="AI257" i="14"/>
  <c r="AJ251" i="14"/>
  <c r="AH254" i="14"/>
  <c r="AK262" i="14"/>
  <c r="AJ250" i="14"/>
  <c r="AH249" i="14"/>
  <c r="AI260" i="14"/>
  <c r="AJ249" i="14"/>
  <c r="F248" i="14"/>
  <c r="D248" i="14"/>
  <c r="AJ257" i="14"/>
  <c r="AH258" i="14"/>
  <c r="AK253" i="14"/>
  <c r="AI255" i="14"/>
  <c r="CE412" i="17"/>
  <c r="BQ412" i="17"/>
  <c r="BU412" i="17"/>
  <c r="Z414" i="17" s="1"/>
  <c r="BP412" i="17"/>
  <c r="AX125" i="1"/>
  <c r="AC9" i="6"/>
  <c r="X9" i="6"/>
  <c r="W9" i="6"/>
  <c r="W213" i="14"/>
  <c r="AJ220" i="14"/>
  <c r="AJ218" i="14"/>
  <c r="AI225" i="14"/>
  <c r="AJ222" i="14"/>
  <c r="AK216" i="14"/>
  <c r="E213" i="14"/>
  <c r="AJ228" i="14"/>
  <c r="AH216" i="14"/>
  <c r="AK218" i="14"/>
  <c r="AH227" i="14"/>
  <c r="AJ221" i="14"/>
  <c r="X214" i="14"/>
  <c r="X215" i="14"/>
  <c r="H214" i="14"/>
  <c r="AK217" i="14"/>
  <c r="AK215" i="14"/>
  <c r="AH226" i="14"/>
  <c r="AJ226" i="14"/>
  <c r="AH215" i="14"/>
  <c r="AH228" i="14"/>
  <c r="AH220" i="14"/>
  <c r="AK219" i="14"/>
  <c r="AI220" i="14"/>
  <c r="AH218" i="14"/>
  <c r="AH217" i="14"/>
  <c r="D214" i="14"/>
  <c r="AJ223" i="14"/>
  <c r="AH219" i="14"/>
  <c r="AK222" i="14"/>
  <c r="AI228" i="14"/>
  <c r="AK226" i="14"/>
  <c r="AK224" i="14"/>
  <c r="AI223" i="14"/>
  <c r="AK228" i="14"/>
  <c r="AH221" i="14"/>
  <c r="AJ216" i="14"/>
  <c r="AH222" i="14"/>
  <c r="AH223" i="14"/>
  <c r="AH225" i="14"/>
  <c r="G214" i="14"/>
  <c r="AK227" i="14"/>
  <c r="AI224" i="14"/>
  <c r="AJ225" i="14"/>
  <c r="AJ215" i="14"/>
  <c r="E214" i="14"/>
  <c r="AI215" i="14"/>
  <c r="AJ217" i="14"/>
  <c r="AJ227" i="14"/>
  <c r="AJ224" i="14"/>
  <c r="AI218" i="14"/>
  <c r="AK220" i="14"/>
  <c r="AI226" i="14"/>
  <c r="AK221" i="14"/>
  <c r="AJ219" i="14"/>
  <c r="AI227" i="14"/>
  <c r="AI219" i="14"/>
  <c r="AI221" i="14"/>
  <c r="AH224" i="14"/>
  <c r="AI216" i="14"/>
  <c r="AK225" i="14"/>
  <c r="AC215" i="14"/>
  <c r="AC216" i="14"/>
  <c r="AC217" i="14"/>
  <c r="AC218" i="14"/>
  <c r="AC219" i="14"/>
  <c r="AC220" i="14"/>
  <c r="AC221" i="14"/>
  <c r="AC222" i="14"/>
  <c r="AC223" i="14"/>
  <c r="AC224" i="14"/>
  <c r="AC225" i="14"/>
  <c r="AC226" i="14"/>
  <c r="AC227" i="14"/>
  <c r="AC228" i="14"/>
  <c r="AI222" i="14"/>
  <c r="AI217" i="14"/>
  <c r="AB215" i="14"/>
  <c r="AB216" i="14"/>
  <c r="AB217" i="14"/>
  <c r="AB218" i="14"/>
  <c r="AB219" i="14"/>
  <c r="AB220" i="14"/>
  <c r="AB221" i="14"/>
  <c r="AB222" i="14"/>
  <c r="AB223" i="14"/>
  <c r="AB224" i="14"/>
  <c r="AB225" i="14"/>
  <c r="AB226" i="14"/>
  <c r="AB227" i="14"/>
  <c r="AB228" i="14"/>
  <c r="AK223" i="14"/>
  <c r="W214" i="14"/>
  <c r="W215" i="14"/>
  <c r="C214" i="14"/>
  <c r="F214" i="14"/>
  <c r="BS412" i="17"/>
  <c r="X418" i="17" s="1"/>
  <c r="CC412" i="17"/>
  <c r="AH414" i="17" s="1"/>
  <c r="BZ412" i="17"/>
  <c r="AY125" i="1"/>
  <c r="AC10" i="6"/>
  <c r="W10" i="6"/>
  <c r="X10" i="6"/>
  <c r="Y247" i="14"/>
  <c r="AM257" i="14"/>
  <c r="AN254" i="14"/>
  <c r="AN250" i="14"/>
  <c r="AN261" i="14"/>
  <c r="AL256" i="14"/>
  <c r="AM261" i="14"/>
  <c r="AN257" i="14"/>
  <c r="AM252" i="14"/>
  <c r="AL249" i="14"/>
  <c r="AL261" i="14"/>
  <c r="AL260" i="14"/>
  <c r="AN253" i="14"/>
  <c r="AL255" i="14"/>
  <c r="AO257" i="14"/>
  <c r="AO252" i="14"/>
  <c r="AN262" i="14"/>
  <c r="AN255" i="14"/>
  <c r="AO249" i="14"/>
  <c r="AL253" i="14"/>
  <c r="AM260" i="14"/>
  <c r="N248" i="14"/>
  <c r="AO258" i="14"/>
  <c r="AM258" i="14"/>
  <c r="AO251" i="14"/>
  <c r="AL251" i="14"/>
  <c r="AL257" i="14"/>
  <c r="AM255" i="14"/>
  <c r="Z248" i="14"/>
  <c r="Z249" i="14"/>
  <c r="O248" i="14"/>
  <c r="L248" i="14"/>
  <c r="K248" i="14"/>
  <c r="AM256" i="14"/>
  <c r="AO259" i="14"/>
  <c r="AL250" i="14"/>
  <c r="AN256" i="14"/>
  <c r="Y248" i="14"/>
  <c r="Y249" i="14"/>
  <c r="J248" i="14"/>
  <c r="AO256" i="14"/>
  <c r="AN258" i="14"/>
  <c r="AN252" i="14"/>
  <c r="AD249" i="14"/>
  <c r="AD250" i="14"/>
  <c r="AD251" i="14"/>
  <c r="AD252" i="14"/>
  <c r="AD253" i="14"/>
  <c r="AD254" i="14"/>
  <c r="AD255" i="14"/>
  <c r="AD256" i="14"/>
  <c r="AD257" i="14"/>
  <c r="AD258" i="14"/>
  <c r="AD259" i="14"/>
  <c r="AD260" i="14"/>
  <c r="AD261" i="14"/>
  <c r="AD262" i="14"/>
  <c r="AE249" i="14"/>
  <c r="AE250" i="14"/>
  <c r="AE251" i="14"/>
  <c r="AE252" i="14"/>
  <c r="AE253" i="14"/>
  <c r="AE254" i="14"/>
  <c r="AE255" i="14"/>
  <c r="AE256" i="14"/>
  <c r="AE257" i="14"/>
  <c r="AE258" i="14"/>
  <c r="AE259" i="14"/>
  <c r="AE260" i="14"/>
  <c r="AE261" i="14"/>
  <c r="AE262" i="14"/>
  <c r="AL259" i="14"/>
  <c r="AM262" i="14"/>
  <c r="M248" i="14"/>
  <c r="AL262" i="14"/>
  <c r="AO262" i="14"/>
  <c r="AN249" i="14"/>
  <c r="AO250" i="14"/>
  <c r="AL258" i="14"/>
  <c r="AO260" i="14"/>
  <c r="AM250" i="14"/>
  <c r="AL252" i="14"/>
  <c r="AM253" i="14"/>
  <c r="AO255" i="14"/>
  <c r="AN251" i="14"/>
  <c r="AM254" i="14"/>
  <c r="AO261" i="14"/>
  <c r="AM249" i="14"/>
  <c r="AO253" i="14"/>
  <c r="AM251" i="14"/>
  <c r="AN260" i="14"/>
  <c r="AN259" i="14"/>
  <c r="AL254" i="14"/>
  <c r="AM259" i="14"/>
  <c r="AO254" i="14"/>
  <c r="AE548" i="14"/>
  <c r="AE544" i="14"/>
  <c r="AE545" i="14"/>
  <c r="AE547" i="14"/>
  <c r="AE543" i="14"/>
  <c r="AE542" i="14"/>
  <c r="AE546" i="14"/>
  <c r="AE541" i="14"/>
  <c r="AE540" i="14"/>
  <c r="BL412" i="17"/>
  <c r="Y213" i="14"/>
  <c r="AL216" i="14"/>
  <c r="AM221" i="14"/>
  <c r="AL217" i="14"/>
  <c r="AN228" i="14"/>
  <c r="AM228" i="14"/>
  <c r="AM225" i="14"/>
  <c r="AN222" i="14"/>
  <c r="AL221" i="14"/>
  <c r="AL227" i="14"/>
  <c r="AN224" i="14"/>
  <c r="AM226" i="14"/>
  <c r="AO221" i="14"/>
  <c r="L214" i="14"/>
  <c r="Y214" i="14"/>
  <c r="Y215" i="14"/>
  <c r="J214" i="14"/>
  <c r="AM223" i="14"/>
  <c r="AM218" i="14"/>
  <c r="AL220" i="14"/>
  <c r="AO215" i="14"/>
  <c r="AO223" i="14"/>
  <c r="AL215" i="14"/>
  <c r="AN225" i="14"/>
  <c r="AM217" i="14"/>
  <c r="AO227" i="14"/>
  <c r="AN219" i="14"/>
  <c r="AL228" i="14"/>
  <c r="Z214" i="14"/>
  <c r="Z215" i="14"/>
  <c r="O214" i="14"/>
  <c r="N214" i="14"/>
  <c r="AO224" i="14"/>
  <c r="AM227" i="14"/>
  <c r="M214" i="14"/>
  <c r="AN215" i="14"/>
  <c r="AM215" i="14"/>
  <c r="AO226" i="14"/>
  <c r="AM224" i="14"/>
  <c r="AL219" i="14"/>
  <c r="AO228" i="14"/>
  <c r="AE215" i="14"/>
  <c r="AE216" i="14"/>
  <c r="AE217" i="14"/>
  <c r="AE218" i="14"/>
  <c r="AE219" i="14"/>
  <c r="AE220" i="14"/>
  <c r="AE221" i="14"/>
  <c r="AE222" i="14"/>
  <c r="AE223" i="14"/>
  <c r="AE224" i="14"/>
  <c r="AE225" i="14"/>
  <c r="AE226" i="14"/>
  <c r="AE227" i="14"/>
  <c r="AE228" i="14"/>
  <c r="AD215" i="14"/>
  <c r="AD216" i="14"/>
  <c r="AD217" i="14"/>
  <c r="AD218" i="14"/>
  <c r="AD219" i="14"/>
  <c r="AD220" i="14"/>
  <c r="AD221" i="14"/>
  <c r="AD222" i="14"/>
  <c r="AD223" i="14"/>
  <c r="AD224" i="14"/>
  <c r="AD225" i="14"/>
  <c r="AD226" i="14"/>
  <c r="AD227" i="14"/>
  <c r="AD228" i="14"/>
  <c r="AO219" i="14"/>
  <c r="AN227" i="14"/>
  <c r="AN220" i="14"/>
  <c r="AM219" i="14"/>
  <c r="AM216" i="14"/>
  <c r="AN217" i="14"/>
  <c r="AN221" i="14"/>
  <c r="AN223" i="14"/>
  <c r="AL222" i="14"/>
  <c r="AO217" i="14"/>
  <c r="AO216" i="14"/>
  <c r="AN226" i="14"/>
  <c r="AM220" i="14"/>
  <c r="AL225" i="14"/>
  <c r="AN216" i="14"/>
  <c r="AL224" i="14"/>
  <c r="K214" i="14"/>
  <c r="AO222" i="14"/>
  <c r="AL218" i="14"/>
  <c r="AO225" i="14"/>
  <c r="AN218" i="14"/>
  <c r="AO220" i="14"/>
  <c r="AL226" i="14"/>
  <c r="AM222" i="14"/>
  <c r="AO218" i="14"/>
  <c r="AL223" i="14"/>
  <c r="AK104" i="1"/>
  <c r="O104" i="1"/>
  <c r="AK105" i="1"/>
  <c r="O105" i="1"/>
  <c r="P102" i="1"/>
  <c r="O75" i="1"/>
  <c r="O82" i="1"/>
  <c r="O83" i="1"/>
  <c r="P80" i="1"/>
  <c r="O68" i="1"/>
  <c r="O69" i="1"/>
  <c r="P66" i="1"/>
  <c r="CJ122" i="3"/>
  <c r="O77" i="1"/>
  <c r="AS400" i="17"/>
  <c r="CF401" i="17"/>
  <c r="AK406" i="17" s="1"/>
  <c r="BO401" i="17"/>
  <c r="T403" i="17" s="1"/>
  <c r="CJ99" i="3"/>
  <c r="BV401" i="17"/>
  <c r="AA406" i="17" s="1"/>
  <c r="BG401" i="17"/>
  <c r="L407" i="17" s="1"/>
  <c r="BP401" i="17"/>
  <c r="U405" i="17" s="1"/>
  <c r="CE401" i="17"/>
  <c r="AJ407" i="17" s="1"/>
  <c r="AK110" i="1"/>
  <c r="O110" i="1"/>
  <c r="AK111" i="1"/>
  <c r="O111" i="1"/>
  <c r="P108" i="1"/>
  <c r="CD401" i="17"/>
  <c r="AI404" i="17" s="1"/>
  <c r="CA401" i="17"/>
  <c r="AF405" i="17" s="1"/>
  <c r="O74" i="1"/>
  <c r="O76" i="1"/>
  <c r="P72" i="1"/>
  <c r="CJ123" i="3"/>
  <c r="AK116" i="1"/>
  <c r="W519" i="14"/>
  <c r="AK527" i="14"/>
  <c r="AK531" i="14"/>
  <c r="AI526" i="14"/>
  <c r="AI527" i="14"/>
  <c r="AI528" i="14"/>
  <c r="AH526" i="14"/>
  <c r="AH524" i="14"/>
  <c r="AK534" i="14"/>
  <c r="AJ526" i="14"/>
  <c r="AI534" i="14"/>
  <c r="AJ534" i="14"/>
  <c r="AJ533" i="14"/>
  <c r="AI524" i="14"/>
  <c r="AK533" i="14"/>
  <c r="AJ527" i="14"/>
  <c r="AJ528" i="14"/>
  <c r="AK526" i="14"/>
  <c r="AK525" i="14"/>
  <c r="AK522" i="14"/>
  <c r="AH532" i="14"/>
  <c r="AJ530" i="14"/>
  <c r="AJ523" i="14"/>
  <c r="AJ522" i="14"/>
  <c r="AK523" i="14"/>
  <c r="AK521" i="14"/>
  <c r="AH533" i="14"/>
  <c r="AJ524" i="14"/>
  <c r="AH521" i="14"/>
  <c r="AK532" i="14"/>
  <c r="AJ525" i="14"/>
  <c r="AH530" i="14"/>
  <c r="AK529" i="14"/>
  <c r="AJ532" i="14"/>
  <c r="AH529" i="14"/>
  <c r="AI523" i="14"/>
  <c r="AJ521" i="14"/>
  <c r="AH528" i="14"/>
  <c r="AI522" i="14"/>
  <c r="AH534" i="14"/>
  <c r="AH525" i="14"/>
  <c r="AJ529" i="14"/>
  <c r="AI530" i="14"/>
  <c r="AK528" i="14"/>
  <c r="AI532" i="14"/>
  <c r="AI529" i="14"/>
  <c r="AI531" i="14"/>
  <c r="AH522" i="14"/>
  <c r="AJ531" i="14"/>
  <c r="AI521" i="14"/>
  <c r="AI525" i="14"/>
  <c r="AI533" i="14"/>
  <c r="AH523" i="14"/>
  <c r="AK530" i="14"/>
  <c r="AH527" i="14"/>
  <c r="AH531" i="14"/>
  <c r="AK524" i="14"/>
  <c r="W520" i="14"/>
  <c r="W521" i="14"/>
  <c r="C520" i="14"/>
  <c r="G520" i="14"/>
  <c r="E519" i="14"/>
  <c r="F520" i="14"/>
  <c r="AB521" i="14"/>
  <c r="AB522" i="14"/>
  <c r="AB523" i="14"/>
  <c r="AB524" i="14"/>
  <c r="AB525" i="14"/>
  <c r="AB526" i="14"/>
  <c r="AB527" i="14"/>
  <c r="AB528" i="14"/>
  <c r="AB529" i="14"/>
  <c r="AB530" i="14"/>
  <c r="AB531" i="14"/>
  <c r="AB532" i="14"/>
  <c r="AB533" i="14"/>
  <c r="AB534" i="14"/>
  <c r="D520" i="14"/>
  <c r="AC521" i="14"/>
  <c r="AC522" i="14"/>
  <c r="AC523" i="14"/>
  <c r="AC524" i="14"/>
  <c r="AC525" i="14"/>
  <c r="AC526" i="14"/>
  <c r="AC527" i="14"/>
  <c r="AC528" i="14"/>
  <c r="AC529" i="14"/>
  <c r="AC530" i="14"/>
  <c r="AC531" i="14"/>
  <c r="AC532" i="14"/>
  <c r="AC533" i="14"/>
  <c r="AC534" i="14"/>
  <c r="X520" i="14"/>
  <c r="X521" i="14"/>
  <c r="H520" i="14"/>
  <c r="E520" i="14"/>
  <c r="BX401" i="17"/>
  <c r="AC405" i="17" s="1"/>
  <c r="CC401" i="17"/>
  <c r="AH407" i="17" s="1"/>
  <c r="BM401" i="17"/>
  <c r="R406" i="17" s="1"/>
  <c r="W451" i="14"/>
  <c r="AI464" i="14"/>
  <c r="AI455" i="14"/>
  <c r="AJ459" i="14"/>
  <c r="AH461" i="14"/>
  <c r="AJ462" i="14"/>
  <c r="AK456" i="14"/>
  <c r="AK459" i="14"/>
  <c r="AI460" i="14"/>
  <c r="AJ455" i="14"/>
  <c r="AJ461" i="14"/>
  <c r="AJ456" i="14"/>
  <c r="AH462" i="14"/>
  <c r="AI458" i="14"/>
  <c r="AK463" i="14"/>
  <c r="AK461" i="14"/>
  <c r="AH453" i="14"/>
  <c r="AH454" i="14"/>
  <c r="AH466" i="14"/>
  <c r="AI462" i="14"/>
  <c r="AI459" i="14"/>
  <c r="AK457" i="14"/>
  <c r="AH460" i="14"/>
  <c r="AI456" i="14"/>
  <c r="AJ463" i="14"/>
  <c r="AJ454" i="14"/>
  <c r="AI466" i="14"/>
  <c r="AI465" i="14"/>
  <c r="AJ465" i="14"/>
  <c r="AK455" i="14"/>
  <c r="AH464" i="14"/>
  <c r="AJ458" i="14"/>
  <c r="AI453" i="14"/>
  <c r="AK454" i="14"/>
  <c r="AK464" i="14"/>
  <c r="AK466" i="14"/>
  <c r="AI461" i="14"/>
  <c r="AJ464" i="14"/>
  <c r="AK460" i="14"/>
  <c r="AH455" i="14"/>
  <c r="AH457" i="14"/>
  <c r="AK462" i="14"/>
  <c r="AJ460" i="14"/>
  <c r="AK453" i="14"/>
  <c r="AK465" i="14"/>
  <c r="AH463" i="14"/>
  <c r="AH456" i="14"/>
  <c r="AJ457" i="14"/>
  <c r="AH458" i="14"/>
  <c r="AJ466" i="14"/>
  <c r="AH465" i="14"/>
  <c r="AI454" i="14"/>
  <c r="AK458" i="14"/>
  <c r="AI457" i="14"/>
  <c r="AI463" i="14"/>
  <c r="AJ453" i="14"/>
  <c r="AH459" i="14"/>
  <c r="AC453" i="14"/>
  <c r="AC454" i="14"/>
  <c r="AC455" i="14"/>
  <c r="AC456" i="14"/>
  <c r="AC457" i="14"/>
  <c r="AC458" i="14"/>
  <c r="AC459" i="14"/>
  <c r="AC460" i="14"/>
  <c r="AC461" i="14"/>
  <c r="AC462" i="14"/>
  <c r="AC463" i="14"/>
  <c r="AC464" i="14"/>
  <c r="AC465" i="14"/>
  <c r="AC466" i="14"/>
  <c r="G452" i="14"/>
  <c r="E451" i="14"/>
  <c r="F452" i="14"/>
  <c r="E452" i="14"/>
  <c r="AB453" i="14"/>
  <c r="AB454" i="14"/>
  <c r="AB455" i="14"/>
  <c r="AB456" i="14"/>
  <c r="AB457" i="14"/>
  <c r="AB458" i="14"/>
  <c r="AB459" i="14"/>
  <c r="AB460" i="14"/>
  <c r="AB461" i="14"/>
  <c r="AB462" i="14"/>
  <c r="AB463" i="14"/>
  <c r="AB464" i="14"/>
  <c r="AB465" i="14"/>
  <c r="AB466" i="14"/>
  <c r="W452" i="14"/>
  <c r="W453" i="14"/>
  <c r="C452" i="14"/>
  <c r="X452" i="14"/>
  <c r="X453" i="14"/>
  <c r="H452" i="14"/>
  <c r="D452" i="14"/>
  <c r="BT401" i="17"/>
  <c r="Y406" i="17" s="1"/>
  <c r="CB401" i="17"/>
  <c r="AG406" i="17" s="1"/>
  <c r="BK401" i="17"/>
  <c r="P404" i="17" s="1"/>
  <c r="E412" i="17"/>
  <c r="E411" i="17"/>
  <c r="AK117" i="1"/>
  <c r="Y519" i="14"/>
  <c r="AN528" i="14"/>
  <c r="AO526" i="14"/>
  <c r="AL533" i="14"/>
  <c r="AL522" i="14"/>
  <c r="AM523" i="14"/>
  <c r="AM524" i="14"/>
  <c r="AN531" i="14"/>
  <c r="AM528" i="14"/>
  <c r="AM521" i="14"/>
  <c r="AL521" i="14"/>
  <c r="AO521" i="14"/>
  <c r="AL530" i="14"/>
  <c r="AN523" i="14"/>
  <c r="AM525" i="14"/>
  <c r="AL523" i="14"/>
  <c r="AM531" i="14"/>
  <c r="AN532" i="14"/>
  <c r="AN529" i="14"/>
  <c r="AO527" i="14"/>
  <c r="AN524" i="14"/>
  <c r="AO528" i="14"/>
  <c r="AO532" i="14"/>
  <c r="AN525" i="14"/>
  <c r="AO529" i="14"/>
  <c r="AN527" i="14"/>
  <c r="AM533" i="14"/>
  <c r="AL531" i="14"/>
  <c r="AL532" i="14"/>
  <c r="AO523" i="14"/>
  <c r="AM534" i="14"/>
  <c r="AL534" i="14"/>
  <c r="AO531" i="14"/>
  <c r="AN533" i="14"/>
  <c r="AL528" i="14"/>
  <c r="AN526" i="14"/>
  <c r="AO530" i="14"/>
  <c r="AL524" i="14"/>
  <c r="AN522" i="14"/>
  <c r="AN521" i="14"/>
  <c r="AO524" i="14"/>
  <c r="AO522" i="14"/>
  <c r="AM526" i="14"/>
  <c r="AM522" i="14"/>
  <c r="AL526" i="14"/>
  <c r="AM529" i="14"/>
  <c r="AM527" i="14"/>
  <c r="AO534" i="14"/>
  <c r="AN534" i="14"/>
  <c r="AL529" i="14"/>
  <c r="AN530" i="14"/>
  <c r="AM532" i="14"/>
  <c r="AL525" i="14"/>
  <c r="AO525" i="14"/>
  <c r="AM530" i="14"/>
  <c r="AL527" i="14"/>
  <c r="AO533" i="14"/>
  <c r="AD521" i="14"/>
  <c r="AD522" i="14"/>
  <c r="AD523" i="14"/>
  <c r="AD524" i="14"/>
  <c r="AD525" i="14"/>
  <c r="AD526" i="14"/>
  <c r="AD527" i="14"/>
  <c r="AD528" i="14"/>
  <c r="AD529" i="14"/>
  <c r="AD530" i="14"/>
  <c r="AD531" i="14"/>
  <c r="AD532" i="14"/>
  <c r="AD533" i="14"/>
  <c r="AD534" i="14"/>
  <c r="N520" i="14"/>
  <c r="K520" i="14"/>
  <c r="M520" i="14"/>
  <c r="L520" i="14"/>
  <c r="Z520" i="14"/>
  <c r="Z521" i="14"/>
  <c r="O520" i="14"/>
  <c r="AE521" i="14"/>
  <c r="AE522" i="14"/>
  <c r="AE523" i="14"/>
  <c r="AE524" i="14"/>
  <c r="AE525" i="14"/>
  <c r="AE526" i="14"/>
  <c r="AE527" i="14"/>
  <c r="AE528" i="14"/>
  <c r="AE529" i="14"/>
  <c r="AE530" i="14"/>
  <c r="AE531" i="14"/>
  <c r="AE532" i="14"/>
  <c r="AE533" i="14"/>
  <c r="AE534" i="14"/>
  <c r="Y520" i="14"/>
  <c r="Y521" i="14"/>
  <c r="J520" i="14"/>
  <c r="AK98" i="1"/>
  <c r="W417" i="14"/>
  <c r="AJ424" i="14"/>
  <c r="AJ432" i="14"/>
  <c r="AJ426" i="14"/>
  <c r="AH431" i="14"/>
  <c r="AH424" i="14"/>
  <c r="AK427" i="14"/>
  <c r="AJ428" i="14"/>
  <c r="AJ431" i="14"/>
  <c r="AK419" i="14"/>
  <c r="AI424" i="14"/>
  <c r="AJ420" i="14"/>
  <c r="AI425" i="14"/>
  <c r="AJ421" i="14"/>
  <c r="AJ427" i="14"/>
  <c r="AK432" i="14"/>
  <c r="AH419" i="14"/>
  <c r="AH429" i="14"/>
  <c r="AK426" i="14"/>
  <c r="AK423" i="14"/>
  <c r="AJ430" i="14"/>
  <c r="AK422" i="14"/>
  <c r="AH430" i="14"/>
  <c r="AH427" i="14"/>
  <c r="AJ429" i="14"/>
  <c r="AI423" i="14"/>
  <c r="AH420" i="14"/>
  <c r="AK420" i="14"/>
  <c r="AI426" i="14"/>
  <c r="AK425" i="14"/>
  <c r="AH425" i="14"/>
  <c r="AK429" i="14"/>
  <c r="AI430" i="14"/>
  <c r="AI431" i="14"/>
  <c r="AI419" i="14"/>
  <c r="AK430" i="14"/>
  <c r="AH432" i="14"/>
  <c r="AI427" i="14"/>
  <c r="AI422" i="14"/>
  <c r="AK421" i="14"/>
  <c r="AI421" i="14"/>
  <c r="AJ422" i="14"/>
  <c r="AH421" i="14"/>
  <c r="AK424" i="14"/>
  <c r="AI420" i="14"/>
  <c r="AK428" i="14"/>
  <c r="AH426" i="14"/>
  <c r="AH422" i="14"/>
  <c r="AH428" i="14"/>
  <c r="AK431" i="14"/>
  <c r="AH423" i="14"/>
  <c r="AI428" i="14"/>
  <c r="AI432" i="14"/>
  <c r="AI429" i="14"/>
  <c r="AJ419" i="14"/>
  <c r="AJ425" i="14"/>
  <c r="AJ423" i="14"/>
  <c r="E417" i="14"/>
  <c r="X418" i="14"/>
  <c r="X419" i="14"/>
  <c r="H418" i="14"/>
  <c r="AC419" i="14"/>
  <c r="AC420" i="14"/>
  <c r="AC421" i="14"/>
  <c r="AC422" i="14"/>
  <c r="AC423" i="14"/>
  <c r="AC424" i="14"/>
  <c r="AC425" i="14"/>
  <c r="AC426" i="14"/>
  <c r="AC427" i="14"/>
  <c r="AC428" i="14"/>
  <c r="AC429" i="14"/>
  <c r="AC430" i="14"/>
  <c r="AC431" i="14"/>
  <c r="AC432" i="14"/>
  <c r="D418" i="14"/>
  <c r="E418" i="14"/>
  <c r="AB419" i="14"/>
  <c r="AB420" i="14"/>
  <c r="AB421" i="14"/>
  <c r="AB422" i="14"/>
  <c r="AB423" i="14"/>
  <c r="AB424" i="14"/>
  <c r="AB425" i="14"/>
  <c r="AB426" i="14"/>
  <c r="AB427" i="14"/>
  <c r="AB428" i="14"/>
  <c r="AB429" i="14"/>
  <c r="AB430" i="14"/>
  <c r="AB431" i="14"/>
  <c r="AB432" i="14"/>
  <c r="W418" i="14"/>
  <c r="W419" i="14"/>
  <c r="C418" i="14"/>
  <c r="G418" i="14"/>
  <c r="F418" i="14"/>
  <c r="BS401" i="17"/>
  <c r="X404" i="17" s="1"/>
  <c r="BY401" i="17"/>
  <c r="AD406" i="17" s="1"/>
  <c r="K15" i="2"/>
  <c r="C15" i="2"/>
  <c r="J15" i="2"/>
  <c r="E15" i="2"/>
  <c r="D15" i="2"/>
  <c r="I15" i="2"/>
  <c r="F15" i="2"/>
  <c r="H15" i="2"/>
  <c r="G15" i="2"/>
  <c r="CJ103" i="3"/>
  <c r="J29" i="2"/>
  <c r="G29" i="2"/>
  <c r="I29" i="2"/>
  <c r="H29" i="2"/>
  <c r="E29" i="2"/>
  <c r="F29" i="2"/>
  <c r="K29" i="2"/>
  <c r="C29" i="2"/>
  <c r="D29" i="2"/>
  <c r="CJ43" i="3"/>
  <c r="CJ39" i="3"/>
  <c r="BR401" i="17"/>
  <c r="W402" i="17" s="1"/>
  <c r="BW401" i="17"/>
  <c r="AB406" i="17" s="1"/>
  <c r="BZ401" i="17"/>
  <c r="AE402" i="17" s="1"/>
  <c r="BD401" i="17"/>
  <c r="I406" i="17" s="1"/>
  <c r="BH401" i="17"/>
  <c r="M406" i="17" s="1"/>
  <c r="BC401" i="17"/>
  <c r="H403" i="17" s="1"/>
  <c r="BQ401" i="17"/>
  <c r="V407" i="17" s="1"/>
  <c r="BL401" i="17"/>
  <c r="Q405" i="17" s="1"/>
  <c r="CJ42" i="3"/>
  <c r="BJ401" i="17"/>
  <c r="O407" i="17" s="1"/>
  <c r="BN401" i="17"/>
  <c r="S406" i="17" s="1"/>
  <c r="BU401" i="17"/>
  <c r="Z404" i="17" s="1"/>
  <c r="Y485" i="14"/>
  <c r="AO495" i="14"/>
  <c r="AM492" i="14"/>
  <c r="AN493" i="14"/>
  <c r="AN490" i="14"/>
  <c r="AN498" i="14"/>
  <c r="AL492" i="14"/>
  <c r="AL497" i="14"/>
  <c r="AL500" i="14"/>
  <c r="AO492" i="14"/>
  <c r="AO500" i="14"/>
  <c r="AM494" i="14"/>
  <c r="AO488" i="14"/>
  <c r="AM498" i="14"/>
  <c r="AN491" i="14"/>
  <c r="AO496" i="14"/>
  <c r="AN495" i="14"/>
  <c r="AO487" i="14"/>
  <c r="AN492" i="14"/>
  <c r="AL496" i="14"/>
  <c r="AO499" i="14"/>
  <c r="AM489" i="14"/>
  <c r="AL487" i="14"/>
  <c r="AL489" i="14"/>
  <c r="AO498" i="14"/>
  <c r="AN500" i="14"/>
  <c r="AN499" i="14"/>
  <c r="AM491" i="14"/>
  <c r="AO497" i="14"/>
  <c r="AN497" i="14"/>
  <c r="AN489" i="14"/>
  <c r="AM495" i="14"/>
  <c r="AO493" i="14"/>
  <c r="AM499" i="14"/>
  <c r="AN487" i="14"/>
  <c r="AN496" i="14"/>
  <c r="AO490" i="14"/>
  <c r="AO494" i="14"/>
  <c r="AL491" i="14"/>
  <c r="AL499" i="14"/>
  <c r="AL490" i="14"/>
  <c r="AL495" i="14"/>
  <c r="AM488" i="14"/>
  <c r="AL488" i="14"/>
  <c r="AM493" i="14"/>
  <c r="AM487" i="14"/>
  <c r="AL498" i="14"/>
  <c r="AN488" i="14"/>
  <c r="AL493" i="14"/>
  <c r="AL494" i="14"/>
  <c r="AO491" i="14"/>
  <c r="AN494" i="14"/>
  <c r="AM500" i="14"/>
  <c r="AM490" i="14"/>
  <c r="AM496" i="14"/>
  <c r="AM497" i="14"/>
  <c r="AO489" i="14"/>
  <c r="K486" i="14"/>
  <c r="Y486" i="14"/>
  <c r="Y487" i="14"/>
  <c r="J486" i="14"/>
  <c r="M486" i="14"/>
  <c r="Z486" i="14"/>
  <c r="Z487" i="14"/>
  <c r="O486" i="14"/>
  <c r="N486" i="14"/>
  <c r="AD487" i="14"/>
  <c r="AD488" i="14"/>
  <c r="AD489" i="14"/>
  <c r="AD490" i="14"/>
  <c r="AD491" i="14"/>
  <c r="AD492" i="14"/>
  <c r="AD493" i="14"/>
  <c r="AD494" i="14"/>
  <c r="AD495" i="14"/>
  <c r="AD496" i="14"/>
  <c r="AD497" i="14"/>
  <c r="AD498" i="14"/>
  <c r="AD499" i="14"/>
  <c r="AD500" i="14"/>
  <c r="L486" i="14"/>
  <c r="AE487" i="14"/>
  <c r="AE488" i="14"/>
  <c r="AE489" i="14"/>
  <c r="AE490" i="14"/>
  <c r="AE491" i="14"/>
  <c r="AE492" i="14"/>
  <c r="AE493" i="14"/>
  <c r="AE494" i="14"/>
  <c r="AE495" i="14"/>
  <c r="AE496" i="14"/>
  <c r="AE497" i="14"/>
  <c r="AE498" i="14"/>
  <c r="AE499" i="14"/>
  <c r="AE500" i="14"/>
  <c r="Y451" i="14"/>
  <c r="AL458" i="14"/>
  <c r="AM455" i="14"/>
  <c r="AM458" i="14"/>
  <c r="AO455" i="14"/>
  <c r="AM457" i="14"/>
  <c r="AN463" i="14"/>
  <c r="AO456" i="14"/>
  <c r="AM464" i="14"/>
  <c r="AL460" i="14"/>
  <c r="AN462" i="14"/>
  <c r="AL453" i="14"/>
  <c r="AN459" i="14"/>
  <c r="AO465" i="14"/>
  <c r="AN461" i="14"/>
  <c r="AM456" i="14"/>
  <c r="AN460" i="14"/>
  <c r="AM459" i="14"/>
  <c r="AM462" i="14"/>
  <c r="AM461" i="14"/>
  <c r="AN457" i="14"/>
  <c r="AN455" i="14"/>
  <c r="AN453" i="14"/>
  <c r="AO462" i="14"/>
  <c r="AO466" i="14"/>
  <c r="AN466" i="14"/>
  <c r="AL463" i="14"/>
  <c r="AN458" i="14"/>
  <c r="AL465" i="14"/>
  <c r="AL459" i="14"/>
  <c r="AL462" i="14"/>
  <c r="AN454" i="14"/>
  <c r="AM453" i="14"/>
  <c r="AN465" i="14"/>
  <c r="AL456" i="14"/>
  <c r="AO464" i="14"/>
  <c r="AL455" i="14"/>
  <c r="AL457" i="14"/>
  <c r="AM466" i="14"/>
  <c r="AM463" i="14"/>
  <c r="AO463" i="14"/>
  <c r="AO454" i="14"/>
  <c r="AO460" i="14"/>
  <c r="AO457" i="14"/>
  <c r="AO458" i="14"/>
  <c r="AL461" i="14"/>
  <c r="AO461" i="14"/>
  <c r="AN464" i="14"/>
  <c r="AL464" i="14"/>
  <c r="AL466" i="14"/>
  <c r="AM454" i="14"/>
  <c r="AM465" i="14"/>
  <c r="AM460" i="14"/>
  <c r="AO453" i="14"/>
  <c r="AO459" i="14"/>
  <c r="AN456" i="14"/>
  <c r="AL454" i="14"/>
  <c r="AD453" i="14"/>
  <c r="AD454" i="14"/>
  <c r="AD455" i="14"/>
  <c r="AD456" i="14"/>
  <c r="AD457" i="14"/>
  <c r="AD458" i="14"/>
  <c r="AD459" i="14"/>
  <c r="AD460" i="14"/>
  <c r="AD461" i="14"/>
  <c r="AD462" i="14"/>
  <c r="AD463" i="14"/>
  <c r="AD464" i="14"/>
  <c r="AD465" i="14"/>
  <c r="AD466" i="14"/>
  <c r="K452" i="14"/>
  <c r="L452" i="14"/>
  <c r="Z452" i="14"/>
  <c r="Z453" i="14"/>
  <c r="O452" i="14"/>
  <c r="N452" i="14"/>
  <c r="M452" i="14"/>
  <c r="Y452" i="14"/>
  <c r="Y453" i="14"/>
  <c r="J452" i="14"/>
  <c r="AE453" i="14"/>
  <c r="AE454" i="14"/>
  <c r="AE455" i="14"/>
  <c r="AE456" i="14"/>
  <c r="AE457" i="14"/>
  <c r="AE458" i="14"/>
  <c r="AE459" i="14"/>
  <c r="AE460" i="14"/>
  <c r="AE461" i="14"/>
  <c r="AE462" i="14"/>
  <c r="AE463" i="14"/>
  <c r="AE464" i="14"/>
  <c r="AE465" i="14"/>
  <c r="AE466" i="14"/>
  <c r="O116" i="1"/>
  <c r="O117" i="1"/>
  <c r="P114" i="1"/>
  <c r="W485" i="14"/>
  <c r="AI498" i="14"/>
  <c r="AI494" i="14"/>
  <c r="AH490" i="14"/>
  <c r="AI487" i="14"/>
  <c r="AJ493" i="14"/>
  <c r="AH491" i="14"/>
  <c r="AH496" i="14"/>
  <c r="AJ490" i="14"/>
  <c r="AI497" i="14"/>
  <c r="AJ489" i="14"/>
  <c r="AK493" i="14"/>
  <c r="AI491" i="14"/>
  <c r="AH495" i="14"/>
  <c r="AI489" i="14"/>
  <c r="AH497" i="14"/>
  <c r="AH487" i="14"/>
  <c r="AI493" i="14"/>
  <c r="AJ497" i="14"/>
  <c r="AI488" i="14"/>
  <c r="AK500" i="14"/>
  <c r="AI492" i="14"/>
  <c r="AK487" i="14"/>
  <c r="AH500" i="14"/>
  <c r="AJ487" i="14"/>
  <c r="AH492" i="14"/>
  <c r="AJ498" i="14"/>
  <c r="AJ492" i="14"/>
  <c r="AH494" i="14"/>
  <c r="AK495" i="14"/>
  <c r="AH493" i="14"/>
  <c r="AI496" i="14"/>
  <c r="AH498" i="14"/>
  <c r="AK496" i="14"/>
  <c r="AH488" i="14"/>
  <c r="AK492" i="14"/>
  <c r="AJ495" i="14"/>
  <c r="AK498" i="14"/>
  <c r="AJ500" i="14"/>
  <c r="AH499" i="14"/>
  <c r="AJ494" i="14"/>
  <c r="AI490" i="14"/>
  <c r="AK499" i="14"/>
  <c r="AK489" i="14"/>
  <c r="AK490" i="14"/>
  <c r="AI499" i="14"/>
  <c r="AJ488" i="14"/>
  <c r="AI500" i="14"/>
  <c r="AK494" i="14"/>
  <c r="AI495" i="14"/>
  <c r="AJ496" i="14"/>
  <c r="AJ499" i="14"/>
  <c r="AK488" i="14"/>
  <c r="AK497" i="14"/>
  <c r="AJ491" i="14"/>
  <c r="AH489" i="14"/>
  <c r="AK491" i="14"/>
  <c r="AC487" i="14"/>
  <c r="AC488" i="14"/>
  <c r="AC489" i="14"/>
  <c r="AC490" i="14"/>
  <c r="AC491" i="14"/>
  <c r="AC492" i="14"/>
  <c r="AC493" i="14"/>
  <c r="AC494" i="14"/>
  <c r="AC495" i="14"/>
  <c r="AC496" i="14"/>
  <c r="AC497" i="14"/>
  <c r="AC498" i="14"/>
  <c r="AC499" i="14"/>
  <c r="AC500" i="14"/>
  <c r="D486" i="14"/>
  <c r="G486" i="14"/>
  <c r="E486" i="14"/>
  <c r="F486" i="14"/>
  <c r="W486" i="14"/>
  <c r="W487" i="14"/>
  <c r="C486" i="14"/>
  <c r="E485" i="14"/>
  <c r="AB487" i="14"/>
  <c r="AB488" i="14"/>
  <c r="AB489" i="14"/>
  <c r="AB490" i="14"/>
  <c r="AB491" i="14"/>
  <c r="AB492" i="14"/>
  <c r="AB493" i="14"/>
  <c r="AB494" i="14"/>
  <c r="AB495" i="14"/>
  <c r="AB496" i="14"/>
  <c r="AB497" i="14"/>
  <c r="AB498" i="14"/>
  <c r="AB499" i="14"/>
  <c r="AB500" i="14"/>
  <c r="X486" i="14"/>
  <c r="X487" i="14"/>
  <c r="H486" i="14"/>
  <c r="AK99" i="1"/>
  <c r="Y417" i="14"/>
  <c r="AM422" i="14"/>
  <c r="AN432" i="14"/>
  <c r="AO425" i="14"/>
  <c r="AO428" i="14"/>
  <c r="AM426" i="14"/>
  <c r="AL424" i="14"/>
  <c r="AM431" i="14"/>
  <c r="AN428" i="14"/>
  <c r="AO426" i="14"/>
  <c r="AM429" i="14"/>
  <c r="AO432" i="14"/>
  <c r="AN425" i="14"/>
  <c r="AL425" i="14"/>
  <c r="AO424" i="14"/>
  <c r="AO419" i="14"/>
  <c r="AL420" i="14"/>
  <c r="AL431" i="14"/>
  <c r="AN422" i="14"/>
  <c r="AL427" i="14"/>
  <c r="AO423" i="14"/>
  <c r="AN421" i="14"/>
  <c r="AO429" i="14"/>
  <c r="AM432" i="14"/>
  <c r="AM423" i="14"/>
  <c r="AO420" i="14"/>
  <c r="AN426" i="14"/>
  <c r="AO427" i="14"/>
  <c r="AL426" i="14"/>
  <c r="AN429" i="14"/>
  <c r="AM419" i="14"/>
  <c r="AO421" i="14"/>
  <c r="AL419" i="14"/>
  <c r="AM430" i="14"/>
  <c r="AM421" i="14"/>
  <c r="AL421" i="14"/>
  <c r="AN427" i="14"/>
  <c r="AN420" i="14"/>
  <c r="AL432" i="14"/>
  <c r="AL429" i="14"/>
  <c r="AN424" i="14"/>
  <c r="AM428" i="14"/>
  <c r="AO431" i="14"/>
  <c r="AL423" i="14"/>
  <c r="AM420" i="14"/>
  <c r="AN430" i="14"/>
  <c r="AM424" i="14"/>
  <c r="AL428" i="14"/>
  <c r="AL430" i="14"/>
  <c r="AM425" i="14"/>
  <c r="AN431" i="14"/>
  <c r="AL422" i="14"/>
  <c r="AM427" i="14"/>
  <c r="AO422" i="14"/>
  <c r="AN419" i="14"/>
  <c r="AO430" i="14"/>
  <c r="AN423" i="14"/>
  <c r="AE419" i="14"/>
  <c r="AE420" i="14"/>
  <c r="AE421" i="14"/>
  <c r="AE422" i="14"/>
  <c r="AE423" i="14"/>
  <c r="AE424" i="14"/>
  <c r="AE425" i="14"/>
  <c r="AE426" i="14"/>
  <c r="AE427" i="14"/>
  <c r="AE428" i="14"/>
  <c r="AE429" i="14"/>
  <c r="AE430" i="14"/>
  <c r="AE431" i="14"/>
  <c r="AE432" i="14"/>
  <c r="M418" i="14"/>
  <c r="Z418" i="14"/>
  <c r="Z419" i="14"/>
  <c r="O418" i="14"/>
  <c r="K418" i="14"/>
  <c r="N418" i="14"/>
  <c r="AD419" i="14"/>
  <c r="AD420" i="14"/>
  <c r="AD421" i="14"/>
  <c r="AD422" i="14"/>
  <c r="AD423" i="14"/>
  <c r="AD424" i="14"/>
  <c r="AD425" i="14"/>
  <c r="AD426" i="14"/>
  <c r="AD427" i="14"/>
  <c r="AD428" i="14"/>
  <c r="AD429" i="14"/>
  <c r="AD430" i="14"/>
  <c r="AD431" i="14"/>
  <c r="AD432" i="14"/>
  <c r="L418" i="14"/>
  <c r="Y418" i="14"/>
  <c r="Y419" i="14"/>
  <c r="J418" i="14"/>
  <c r="BF401" i="17"/>
  <c r="K402" i="17" s="1"/>
  <c r="BI401" i="17"/>
  <c r="N407" i="17" s="1"/>
  <c r="BE401" i="17"/>
  <c r="J404" i="17" s="1"/>
  <c r="AG104" i="1"/>
  <c r="X446" i="14"/>
  <c r="W440" i="14"/>
  <c r="AK438" i="14"/>
  <c r="AJ440" i="14"/>
  <c r="AK444" i="14"/>
  <c r="AJ445" i="14"/>
  <c r="AK446" i="14"/>
  <c r="AJ438" i="14"/>
  <c r="AJ443" i="14"/>
  <c r="AK445" i="14"/>
  <c r="AJ442" i="14"/>
  <c r="AK440" i="14"/>
  <c r="AK442" i="14"/>
  <c r="AJ446" i="14"/>
  <c r="AK443" i="14"/>
  <c r="AJ444" i="14"/>
  <c r="AK441" i="14"/>
  <c r="AJ441" i="14"/>
  <c r="AJ439" i="14"/>
  <c r="AK439" i="14"/>
  <c r="F437" i="14"/>
  <c r="U54" i="9"/>
  <c r="AF117" i="1"/>
  <c r="Y514" i="14"/>
  <c r="Y508" i="14"/>
  <c r="AL511" i="14"/>
  <c r="AM509" i="14"/>
  <c r="AM508" i="14"/>
  <c r="AL508" i="14"/>
  <c r="AL506" i="14"/>
  <c r="AM514" i="14"/>
  <c r="AM506" i="14"/>
  <c r="AL509" i="14"/>
  <c r="AM510" i="14"/>
  <c r="AL512" i="14"/>
  <c r="AM511" i="14"/>
  <c r="AM512" i="14"/>
  <c r="AL513" i="14"/>
  <c r="AM513" i="14"/>
  <c r="AM507" i="14"/>
  <c r="AL514" i="14"/>
  <c r="AL510" i="14"/>
  <c r="AL507" i="14"/>
  <c r="L505" i="14"/>
  <c r="AF105" i="1"/>
  <c r="Y446" i="14"/>
  <c r="Y440" i="14"/>
  <c r="AL445" i="14"/>
  <c r="AL442" i="14"/>
  <c r="AL440" i="14"/>
  <c r="AM444" i="14"/>
  <c r="AL441" i="14"/>
  <c r="AM442" i="14"/>
  <c r="AM443" i="14"/>
  <c r="AM441" i="14"/>
  <c r="AL446" i="14"/>
  <c r="AM445" i="14"/>
  <c r="AL444" i="14"/>
  <c r="AM440" i="14"/>
  <c r="AL439" i="14"/>
  <c r="AM446" i="14"/>
  <c r="AL438" i="14"/>
  <c r="AM438" i="14"/>
  <c r="AL443" i="14"/>
  <c r="AM439" i="14"/>
  <c r="L437" i="14"/>
  <c r="AF110" i="1"/>
  <c r="W480" i="14"/>
  <c r="W474" i="14"/>
  <c r="AI478" i="14"/>
  <c r="AH479" i="14"/>
  <c r="AI472" i="14"/>
  <c r="AH476" i="14"/>
  <c r="AI477" i="14"/>
  <c r="AH478" i="14"/>
  <c r="AI475" i="14"/>
  <c r="AI480" i="14"/>
  <c r="AI479" i="14"/>
  <c r="AI476" i="14"/>
  <c r="AH480" i="14"/>
  <c r="AH477" i="14"/>
  <c r="AI474" i="14"/>
  <c r="AH472" i="14"/>
  <c r="AH474" i="14"/>
  <c r="AH473" i="14"/>
  <c r="AH475" i="14"/>
  <c r="AI473" i="14"/>
  <c r="E471" i="14"/>
  <c r="AG116" i="1"/>
  <c r="X514" i="14"/>
  <c r="W508" i="14"/>
  <c r="AK510" i="14"/>
  <c r="AJ514" i="14"/>
  <c r="AJ510" i="14"/>
  <c r="AK511" i="14"/>
  <c r="AJ513" i="14"/>
  <c r="AJ509" i="14"/>
  <c r="AK506" i="14"/>
  <c r="AJ507" i="14"/>
  <c r="AK512" i="14"/>
  <c r="AK514" i="14"/>
  <c r="AK509" i="14"/>
  <c r="AJ508" i="14"/>
  <c r="AJ511" i="14"/>
  <c r="AJ512" i="14"/>
  <c r="AJ506" i="14"/>
  <c r="AK508" i="14"/>
  <c r="AK507" i="14"/>
  <c r="AK513" i="14"/>
  <c r="F505" i="14"/>
  <c r="BD111" i="1"/>
  <c r="BE111" i="1"/>
  <c r="AQ111" i="1"/>
  <c r="U65" i="9"/>
  <c r="AE44" i="3"/>
  <c r="AM44" i="3"/>
  <c r="AL44" i="3"/>
  <c r="AI44" i="3"/>
  <c r="AJ44" i="3"/>
  <c r="AO44" i="3"/>
  <c r="AP44" i="3"/>
  <c r="AD44" i="3"/>
  <c r="AM45" i="3"/>
  <c r="AL45" i="3"/>
  <c r="AI45" i="3"/>
  <c r="AJ45" i="3"/>
  <c r="AE45" i="3"/>
  <c r="AO45" i="3"/>
  <c r="AP45" i="3"/>
  <c r="AD45" i="3"/>
  <c r="AM46" i="3"/>
  <c r="AL46" i="3"/>
  <c r="AI46" i="3"/>
  <c r="AJ46" i="3"/>
  <c r="AE46" i="3"/>
  <c r="AO46" i="3"/>
  <c r="AP46" i="3"/>
  <c r="AD46" i="3"/>
  <c r="AM47" i="3"/>
  <c r="AL47" i="3"/>
  <c r="AI47" i="3"/>
  <c r="AJ47" i="3"/>
  <c r="AE47" i="3"/>
  <c r="AO47" i="3"/>
  <c r="AP47" i="3"/>
  <c r="AD47" i="3"/>
  <c r="AM48" i="3"/>
  <c r="AL48" i="3"/>
  <c r="AI48" i="3"/>
  <c r="AJ48" i="3"/>
  <c r="AE48" i="3"/>
  <c r="AO48" i="3"/>
  <c r="AP48" i="3"/>
  <c r="AD48" i="3"/>
  <c r="AM49" i="3"/>
  <c r="AL49" i="3"/>
  <c r="AI49" i="3"/>
  <c r="AJ49" i="3"/>
  <c r="AE49" i="3"/>
  <c r="AO49" i="3"/>
  <c r="AP49" i="3"/>
  <c r="AD49" i="3"/>
  <c r="AB44" i="3"/>
  <c r="AA44" i="3"/>
  <c r="AB45" i="3"/>
  <c r="AA45" i="3"/>
  <c r="AB46" i="3"/>
  <c r="AA46" i="3"/>
  <c r="AB47" i="3"/>
  <c r="AA47" i="3"/>
  <c r="AH44" i="3"/>
  <c r="AH45" i="3"/>
  <c r="AH46" i="3"/>
  <c r="AH47" i="3"/>
  <c r="AH48" i="3"/>
  <c r="AH49" i="3"/>
  <c r="AE50" i="3"/>
  <c r="BD99" i="1"/>
  <c r="BE99" i="1"/>
  <c r="AQ99" i="1"/>
  <c r="U61" i="9"/>
  <c r="AG105" i="1"/>
  <c r="Z446" i="14"/>
  <c r="AN446" i="14"/>
  <c r="AO443" i="14"/>
  <c r="AN444" i="14"/>
  <c r="AO438" i="14"/>
  <c r="AO444" i="14"/>
  <c r="AO441" i="14"/>
  <c r="AO440" i="14"/>
  <c r="AN438" i="14"/>
  <c r="AN439" i="14"/>
  <c r="AO445" i="14"/>
  <c r="AN440" i="14"/>
  <c r="AN441" i="14"/>
  <c r="AN443" i="14"/>
  <c r="AO446" i="14"/>
  <c r="AN442" i="14"/>
  <c r="AO439" i="14"/>
  <c r="AO442" i="14"/>
  <c r="AN445" i="14"/>
  <c r="M437" i="14"/>
  <c r="AF99" i="1"/>
  <c r="Y412" i="14"/>
  <c r="Y406" i="14"/>
  <c r="AM404" i="14"/>
  <c r="AM405" i="14"/>
  <c r="AL405" i="14"/>
  <c r="AM408" i="14"/>
  <c r="AM412" i="14"/>
  <c r="AM411" i="14"/>
  <c r="AL404" i="14"/>
  <c r="AM406" i="14"/>
  <c r="AM407" i="14"/>
  <c r="AM409" i="14"/>
  <c r="AL411" i="14"/>
  <c r="AL407" i="14"/>
  <c r="AL409" i="14"/>
  <c r="AL410" i="14"/>
  <c r="AL406" i="14"/>
  <c r="AM410" i="14"/>
  <c r="AL412" i="14"/>
  <c r="AL408" i="14"/>
  <c r="L403" i="14"/>
  <c r="BD116" i="1"/>
  <c r="BE116" i="1"/>
  <c r="AQ116" i="1"/>
  <c r="U66" i="9"/>
  <c r="AG99" i="1"/>
  <c r="Z412" i="14"/>
  <c r="AN406" i="14"/>
  <c r="AN411" i="14"/>
  <c r="AO404" i="14"/>
  <c r="AN404" i="14"/>
  <c r="AO409" i="14"/>
  <c r="AO410" i="14"/>
  <c r="AN409" i="14"/>
  <c r="AO405" i="14"/>
  <c r="AO412" i="14"/>
  <c r="AN407" i="14"/>
  <c r="AO407" i="14"/>
  <c r="AO408" i="14"/>
  <c r="AN408" i="14"/>
  <c r="AO406" i="14"/>
  <c r="AN410" i="14"/>
  <c r="AN412" i="14"/>
  <c r="AO411" i="14"/>
  <c r="AN405" i="14"/>
  <c r="M403" i="14"/>
  <c r="AG98" i="1"/>
  <c r="X412" i="14"/>
  <c r="W406" i="14"/>
  <c r="AJ404" i="14"/>
  <c r="AJ412" i="14"/>
  <c r="AJ405" i="14"/>
  <c r="AK412" i="14"/>
  <c r="AJ411" i="14"/>
  <c r="AJ409" i="14"/>
  <c r="AK411" i="14"/>
  <c r="AJ408" i="14"/>
  <c r="AK409" i="14"/>
  <c r="AJ406" i="14"/>
  <c r="AK408" i="14"/>
  <c r="AK405" i="14"/>
  <c r="AK407" i="14"/>
  <c r="AJ407" i="14"/>
  <c r="AK410" i="14"/>
  <c r="AK406" i="14"/>
  <c r="AK404" i="14"/>
  <c r="AJ410" i="14"/>
  <c r="F403" i="14"/>
  <c r="AF111" i="1"/>
  <c r="Y480" i="14"/>
  <c r="Y474" i="14"/>
  <c r="AM472" i="14"/>
  <c r="AL477" i="14"/>
  <c r="AM475" i="14"/>
  <c r="AM477" i="14"/>
  <c r="AL480" i="14"/>
  <c r="AL472" i="14"/>
  <c r="AL474" i="14"/>
  <c r="AM476" i="14"/>
  <c r="AM474" i="14"/>
  <c r="AM473" i="14"/>
  <c r="AL479" i="14"/>
  <c r="AM480" i="14"/>
  <c r="AM478" i="14"/>
  <c r="AL475" i="14"/>
  <c r="AL476" i="14"/>
  <c r="AL478" i="14"/>
  <c r="AL473" i="14"/>
  <c r="AM479" i="14"/>
  <c r="L471" i="14"/>
  <c r="BD110" i="1"/>
  <c r="BE110" i="1"/>
  <c r="AQ110" i="1"/>
  <c r="U64" i="9"/>
  <c r="AF104" i="1"/>
  <c r="W446" i="14"/>
  <c r="AH439" i="14"/>
  <c r="AI441" i="14"/>
  <c r="AI440" i="14"/>
  <c r="AI445" i="14"/>
  <c r="AH444" i="14"/>
  <c r="AH442" i="14"/>
  <c r="AH443" i="14"/>
  <c r="AI439" i="14"/>
  <c r="AH441" i="14"/>
  <c r="AH440" i="14"/>
  <c r="AI446" i="14"/>
  <c r="AH446" i="14"/>
  <c r="AI442" i="14"/>
  <c r="AI443" i="14"/>
  <c r="AH438" i="14"/>
  <c r="AH445" i="14"/>
  <c r="AI438" i="14"/>
  <c r="AI444" i="14"/>
  <c r="E437" i="14"/>
  <c r="AS389" i="17"/>
  <c r="CA390" i="17"/>
  <c r="AF392" i="17" s="1"/>
  <c r="AF116" i="1"/>
  <c r="W514" i="14"/>
  <c r="AI513" i="14"/>
  <c r="AH509" i="14"/>
  <c r="AI509" i="14"/>
  <c r="AH508" i="14"/>
  <c r="AH514" i="14"/>
  <c r="AI508" i="14"/>
  <c r="AH511" i="14"/>
  <c r="AH510" i="14"/>
  <c r="AI511" i="14"/>
  <c r="AH512" i="14"/>
  <c r="AI507" i="14"/>
  <c r="AI514" i="14"/>
  <c r="AH507" i="14"/>
  <c r="AI510" i="14"/>
  <c r="AH513" i="14"/>
  <c r="AH506" i="14"/>
  <c r="AI506" i="14"/>
  <c r="AI512" i="14"/>
  <c r="E505" i="14"/>
  <c r="CC390" i="17"/>
  <c r="AG110" i="1"/>
  <c r="X480" i="14"/>
  <c r="AK473" i="14"/>
  <c r="AJ472" i="14"/>
  <c r="AJ476" i="14"/>
  <c r="AJ479" i="14"/>
  <c r="AK472" i="14"/>
  <c r="AJ480" i="14"/>
  <c r="AJ477" i="14"/>
  <c r="AJ474" i="14"/>
  <c r="AJ473" i="14"/>
  <c r="AK479" i="14"/>
  <c r="AK474" i="14"/>
  <c r="AK476" i="14"/>
  <c r="AJ478" i="14"/>
  <c r="AJ475" i="14"/>
  <c r="AK475" i="14"/>
  <c r="AK480" i="14"/>
  <c r="AK477" i="14"/>
  <c r="AK478" i="14"/>
  <c r="F471" i="14"/>
  <c r="BK390" i="17"/>
  <c r="P393" i="17" s="1"/>
  <c r="BD104" i="1"/>
  <c r="BE104" i="1"/>
  <c r="AQ104" i="1"/>
  <c r="U62" i="9"/>
  <c r="BX390" i="17"/>
  <c r="AC395" i="17" s="1"/>
  <c r="AF98" i="1"/>
  <c r="W412" i="14"/>
  <c r="AI406" i="14"/>
  <c r="AH409" i="14"/>
  <c r="AH405" i="14"/>
  <c r="AH407" i="14"/>
  <c r="AI404" i="14"/>
  <c r="AH408" i="14"/>
  <c r="AI411" i="14"/>
  <c r="AI405" i="14"/>
  <c r="AH411" i="14"/>
  <c r="AH406" i="14"/>
  <c r="AI408" i="14"/>
  <c r="AH404" i="14"/>
  <c r="AH410" i="14"/>
  <c r="AI410" i="14"/>
  <c r="AI407" i="14"/>
  <c r="AI412" i="14"/>
  <c r="AI409" i="14"/>
  <c r="AH412" i="14"/>
  <c r="E403" i="14"/>
  <c r="CJ40" i="3"/>
  <c r="BJ390" i="17"/>
  <c r="O395" i="17" s="1"/>
  <c r="BQ390" i="17"/>
  <c r="V396" i="17" s="1"/>
  <c r="CB390" i="17"/>
  <c r="AG394" i="17" s="1"/>
  <c r="BD117" i="1"/>
  <c r="BE117" i="1"/>
  <c r="AQ117" i="1"/>
  <c r="U67" i="9"/>
  <c r="AG111" i="1"/>
  <c r="Z480" i="14"/>
  <c r="AN479" i="14"/>
  <c r="AO476" i="14"/>
  <c r="AO475" i="14"/>
  <c r="AN477" i="14"/>
  <c r="AN475" i="14"/>
  <c r="AO479" i="14"/>
  <c r="AO478" i="14"/>
  <c r="AN478" i="14"/>
  <c r="AO477" i="14"/>
  <c r="AN476" i="14"/>
  <c r="AO474" i="14"/>
  <c r="AO472" i="14"/>
  <c r="AN480" i="14"/>
  <c r="AN472" i="14"/>
  <c r="AO480" i="14"/>
  <c r="AN473" i="14"/>
  <c r="AN474" i="14"/>
  <c r="AO473" i="14"/>
  <c r="M471" i="14"/>
  <c r="BD390" i="17"/>
  <c r="I396" i="17" s="1"/>
  <c r="O98" i="1"/>
  <c r="O99" i="1"/>
  <c r="P96" i="1"/>
  <c r="BG390" i="17"/>
  <c r="L391" i="17" s="1"/>
  <c r="CF390" i="17"/>
  <c r="AK394" i="17" s="1"/>
  <c r="BZ390" i="17"/>
  <c r="AE392" i="17" s="1"/>
  <c r="CE390" i="17"/>
  <c r="AJ393" i="17" s="1"/>
  <c r="BV390" i="17"/>
  <c r="AA394" i="17" s="1"/>
  <c r="BC390" i="17"/>
  <c r="H391" i="17" s="1"/>
  <c r="BD105" i="1"/>
  <c r="BE105" i="1"/>
  <c r="AQ105" i="1"/>
  <c r="U63" i="9"/>
  <c r="BM390" i="17"/>
  <c r="R391" i="17" s="1"/>
  <c r="BY390" i="17"/>
  <c r="AD394" i="17" s="1"/>
  <c r="BU390" i="17"/>
  <c r="Z395" i="17" s="1"/>
  <c r="AG117" i="1"/>
  <c r="Z514" i="14"/>
  <c r="AO510" i="14"/>
  <c r="AO514" i="14"/>
  <c r="AN507" i="14"/>
  <c r="AO508" i="14"/>
  <c r="AO513" i="14"/>
  <c r="AN509" i="14"/>
  <c r="AN508" i="14"/>
  <c r="AO509" i="14"/>
  <c r="AO511" i="14"/>
  <c r="AN506" i="14"/>
  <c r="AN514" i="14"/>
  <c r="AO506" i="14"/>
  <c r="AN513" i="14"/>
  <c r="AO512" i="14"/>
  <c r="AN510" i="14"/>
  <c r="AN512" i="14"/>
  <c r="AO507" i="14"/>
  <c r="AN511" i="14"/>
  <c r="M505" i="14"/>
  <c r="BP390" i="17"/>
  <c r="U392" i="17" s="1"/>
  <c r="BI390" i="17"/>
  <c r="N393" i="17" s="1"/>
  <c r="BO390" i="17"/>
  <c r="T392" i="17" s="1"/>
  <c r="BR390" i="17"/>
  <c r="W395" i="17" s="1"/>
  <c r="BN390" i="17"/>
  <c r="S392" i="17" s="1"/>
  <c r="BL390" i="17"/>
  <c r="Q395" i="17" s="1"/>
  <c r="J28" i="2"/>
  <c r="F28" i="2"/>
  <c r="H28" i="2"/>
  <c r="E28" i="2"/>
  <c r="K28" i="2"/>
  <c r="D28" i="2"/>
  <c r="G28" i="2"/>
  <c r="I28" i="2"/>
  <c r="C28" i="2"/>
  <c r="BF390" i="17"/>
  <c r="K392" i="17" s="1"/>
  <c r="BS390" i="17"/>
  <c r="X394" i="17" s="1"/>
  <c r="BT390" i="17"/>
  <c r="Y394" i="17" s="1"/>
  <c r="E401" i="17"/>
  <c r="E400" i="17"/>
  <c r="CD390" i="17"/>
  <c r="AI392" i="17" s="1"/>
  <c r="BE390" i="17"/>
  <c r="J395" i="17" s="1"/>
  <c r="BW390" i="17"/>
  <c r="AB396" i="17" s="1"/>
  <c r="BH390" i="17"/>
  <c r="M392" i="17" s="1"/>
  <c r="CJ119" i="3"/>
  <c r="BD98" i="1"/>
  <c r="BE98" i="1"/>
  <c r="AQ98" i="1"/>
  <c r="U60" i="9"/>
  <c r="CJ102" i="3"/>
  <c r="CJ100" i="3"/>
  <c r="CJ120" i="3"/>
  <c r="Y411" i="14"/>
  <c r="K403" i="14"/>
  <c r="AD403" i="14"/>
  <c r="V61" i="9"/>
  <c r="Y61" i="9"/>
  <c r="AB61" i="9"/>
  <c r="W479" i="14"/>
  <c r="D471" i="14"/>
  <c r="AB471" i="14"/>
  <c r="G18" i="6"/>
  <c r="W444" i="14"/>
  <c r="C437" i="14"/>
  <c r="X444" i="14"/>
  <c r="H437" i="14"/>
  <c r="X478" i="14"/>
  <c r="H471" i="14"/>
  <c r="W478" i="14"/>
  <c r="C471" i="14"/>
  <c r="F9" i="6"/>
  <c r="X63" i="9"/>
  <c r="D556" i="17"/>
  <c r="M105" i="1"/>
  <c r="X410" i="14"/>
  <c r="H403" i="14"/>
  <c r="W410" i="14"/>
  <c r="C403" i="14"/>
  <c r="X62" i="9"/>
  <c r="F21" i="6"/>
  <c r="X64" i="9"/>
  <c r="F15" i="6"/>
  <c r="CJ23" i="3"/>
  <c r="Y444" i="14"/>
  <c r="J437" i="14"/>
  <c r="Z444" i="14"/>
  <c r="O437" i="14"/>
  <c r="Y478" i="14"/>
  <c r="J471" i="14"/>
  <c r="Z478" i="14"/>
  <c r="O471" i="14"/>
  <c r="G14" i="6"/>
  <c r="F8" i="6"/>
  <c r="W63" i="9"/>
  <c r="G22" i="6"/>
  <c r="CJ60" i="3"/>
  <c r="AS378" i="17"/>
  <c r="BY379" i="17"/>
  <c r="AD382" i="17" s="1"/>
  <c r="CJ62" i="3"/>
  <c r="F23" i="6"/>
  <c r="X60" i="9"/>
  <c r="CJ79" i="3"/>
  <c r="CJ59" i="3"/>
  <c r="W411" i="14"/>
  <c r="D403" i="14"/>
  <c r="AB403" i="14"/>
  <c r="X61" i="9"/>
  <c r="F11" i="6"/>
  <c r="F22" i="6"/>
  <c r="W60" i="9"/>
  <c r="Y410" i="14"/>
  <c r="J403" i="14"/>
  <c r="Z410" i="14"/>
  <c r="O403" i="14"/>
  <c r="BT379" i="17"/>
  <c r="Y385" i="17" s="1"/>
  <c r="CA379" i="17"/>
  <c r="AF382" i="17" s="1"/>
  <c r="BF379" i="17"/>
  <c r="K382" i="17" s="1"/>
  <c r="CJ22" i="3"/>
  <c r="G10" i="6"/>
  <c r="BU379" i="17"/>
  <c r="Z384" i="17" s="1"/>
  <c r="BZ379" i="17"/>
  <c r="AE383" i="17" s="1"/>
  <c r="G16" i="6"/>
  <c r="F14" i="6"/>
  <c r="W64" i="9"/>
  <c r="F16" i="6"/>
  <c r="W67" i="9"/>
  <c r="CJ83" i="3"/>
  <c r="BR379" i="17"/>
  <c r="W381" i="17" s="1"/>
  <c r="BI379" i="17"/>
  <c r="N382" i="17" s="1"/>
  <c r="G20" i="6"/>
  <c r="X67" i="9"/>
  <c r="F17" i="6"/>
  <c r="BN379" i="17"/>
  <c r="S384" i="17" s="1"/>
  <c r="CB379" i="17"/>
  <c r="AG384" i="17" s="1"/>
  <c r="BL379" i="17"/>
  <c r="Q382" i="17" s="1"/>
  <c r="G12" i="6"/>
  <c r="CD379" i="17"/>
  <c r="AI382" i="17" s="1"/>
  <c r="BM379" i="17"/>
  <c r="R383" i="17" s="1"/>
  <c r="F13" i="6"/>
  <c r="X65" i="9"/>
  <c r="W66" i="9"/>
  <c r="F18" i="6"/>
  <c r="F20" i="6"/>
  <c r="W62" i="9"/>
  <c r="BQ379" i="17"/>
  <c r="V382" i="17" s="1"/>
  <c r="BE379" i="17"/>
  <c r="J382" i="17" s="1"/>
  <c r="BH379" i="17"/>
  <c r="M380" i="17" s="1"/>
  <c r="G8" i="6"/>
  <c r="X66" i="9"/>
  <c r="F19" i="6"/>
  <c r="X512" i="14"/>
  <c r="H505" i="14"/>
  <c r="W512" i="14"/>
  <c r="C505" i="14"/>
  <c r="BW379" i="17"/>
  <c r="AB383" i="17" s="1"/>
  <c r="CC379" i="17"/>
  <c r="AH384" i="17" s="1"/>
  <c r="BS379" i="17"/>
  <c r="X381" i="17" s="1"/>
  <c r="CF379" i="17"/>
  <c r="AK381" i="17" s="1"/>
  <c r="BX379" i="17"/>
  <c r="AC385" i="17" s="1"/>
  <c r="BG379" i="17"/>
  <c r="L381" i="17" s="1"/>
  <c r="W65" i="9"/>
  <c r="F12" i="6"/>
  <c r="E390" i="17"/>
  <c r="E389" i="17"/>
  <c r="CE379" i="17"/>
  <c r="AJ385" i="17" s="1"/>
  <c r="G27" i="2"/>
  <c r="D27" i="2"/>
  <c r="I27" i="2"/>
  <c r="F27" i="2"/>
  <c r="K27" i="2"/>
  <c r="J27" i="2"/>
  <c r="C27" i="2"/>
  <c r="H27" i="2"/>
  <c r="E27" i="2"/>
  <c r="Y512" i="14"/>
  <c r="J505" i="14"/>
  <c r="Z512" i="14"/>
  <c r="O505" i="14"/>
  <c r="BP379" i="17"/>
  <c r="U384" i="17" s="1"/>
  <c r="BK379" i="17"/>
  <c r="P383" i="17" s="1"/>
  <c r="CJ63" i="3"/>
  <c r="BJ379" i="17"/>
  <c r="CJ19" i="3"/>
  <c r="BV379" i="17"/>
  <c r="AA385" i="17" s="1"/>
  <c r="BD379" i="17"/>
  <c r="I383" i="17" s="1"/>
  <c r="BC379" i="17"/>
  <c r="H382" i="17" s="1"/>
  <c r="Z445" i="14"/>
  <c r="N437" i="14"/>
  <c r="AE437" i="14"/>
  <c r="AE440" i="14"/>
  <c r="AE442" i="14"/>
  <c r="AE443" i="14"/>
  <c r="AE444" i="14"/>
  <c r="AE441" i="14"/>
  <c r="AE446" i="14"/>
  <c r="AE438" i="14"/>
  <c r="AE445" i="14"/>
  <c r="AE439" i="14"/>
  <c r="CJ82" i="3"/>
  <c r="CJ20" i="3"/>
  <c r="F10" i="6"/>
  <c r="W61" i="9"/>
  <c r="BO379" i="17"/>
  <c r="T385" i="17" s="1"/>
  <c r="CJ80" i="3"/>
  <c r="D545" i="17"/>
  <c r="M104" i="1"/>
  <c r="Y104" i="1"/>
  <c r="BE31" i="3"/>
  <c r="BE32" i="3"/>
  <c r="BE33" i="3"/>
  <c r="BE34" i="3"/>
  <c r="BF31" i="3"/>
  <c r="BF32" i="3"/>
  <c r="BF33" i="3"/>
  <c r="BF34" i="3"/>
  <c r="BB35" i="3"/>
  <c r="U52" i="9"/>
  <c r="BE13" i="3"/>
  <c r="BE14" i="3"/>
  <c r="BE15" i="3"/>
  <c r="BE16" i="3"/>
  <c r="BF13" i="3"/>
  <c r="BF14" i="3"/>
  <c r="BF15" i="3"/>
  <c r="BF16" i="3"/>
  <c r="BB17" i="3"/>
  <c r="AB48" i="3"/>
  <c r="AA48" i="3"/>
  <c r="D578" i="17"/>
  <c r="M111" i="1"/>
  <c r="T52" i="9"/>
  <c r="BC7" i="3"/>
  <c r="BC8" i="3"/>
  <c r="BC9" i="3"/>
  <c r="BC10" i="3"/>
  <c r="BD7" i="3"/>
  <c r="BD8" i="3"/>
  <c r="BD9" i="3"/>
  <c r="BD10" i="3"/>
  <c r="BB6" i="3"/>
  <c r="BE37" i="3"/>
  <c r="BE38" i="3"/>
  <c r="BE39" i="3"/>
  <c r="BE40" i="3"/>
  <c r="BF37" i="3"/>
  <c r="BF38" i="3"/>
  <c r="BF39" i="3"/>
  <c r="BF40" i="3"/>
  <c r="BB41" i="3"/>
  <c r="D600" i="17"/>
  <c r="M117" i="1"/>
  <c r="Y117" i="1"/>
  <c r="AS355" i="17"/>
  <c r="BM356" i="17"/>
  <c r="R358" i="17" s="1"/>
  <c r="AC45" i="3"/>
  <c r="AC46" i="3"/>
  <c r="AC47" i="3"/>
  <c r="AC48" i="3"/>
  <c r="AB49" i="3"/>
  <c r="AC49" i="3"/>
  <c r="BC356" i="17"/>
  <c r="H361" i="17" s="1"/>
  <c r="CC356" i="17"/>
  <c r="AH358" i="17" s="1"/>
  <c r="BC19" i="3"/>
  <c r="BC20" i="3"/>
  <c r="BC21" i="3"/>
  <c r="BC22" i="3"/>
  <c r="BD19" i="3"/>
  <c r="BD20" i="3"/>
  <c r="BD21" i="3"/>
  <c r="BD22" i="3"/>
  <c r="BB18" i="3"/>
  <c r="BZ356" i="17"/>
  <c r="AE362" i="17" s="1"/>
  <c r="BT356" i="17"/>
  <c r="Y359" i="17" s="1"/>
  <c r="BJ356" i="17"/>
  <c r="O361" i="17" s="1"/>
  <c r="BG356" i="17"/>
  <c r="L359" i="17" s="1"/>
  <c r="BW356" i="17"/>
  <c r="AB360" i="17" s="1"/>
  <c r="BX356" i="17"/>
  <c r="AC357" i="17" s="1"/>
  <c r="BO356" i="17"/>
  <c r="T361" i="17" s="1"/>
  <c r="AJ116" i="1"/>
  <c r="BL356" i="17"/>
  <c r="Q361" i="17" s="1"/>
  <c r="BQ356" i="17"/>
  <c r="V359" i="17" s="1"/>
  <c r="CB356" i="17"/>
  <c r="AG362" i="17" s="1"/>
  <c r="AJ105" i="1"/>
  <c r="CE356" i="17"/>
  <c r="AJ358" i="17" s="1"/>
  <c r="BF356" i="17"/>
  <c r="K359" i="17" s="1"/>
  <c r="BS356" i="17"/>
  <c r="X361" i="17" s="1"/>
  <c r="BP356" i="17"/>
  <c r="U362" i="17" s="1"/>
  <c r="BD356" i="17"/>
  <c r="I359" i="17" s="1"/>
  <c r="AJ104" i="1"/>
  <c r="AJ110" i="1"/>
  <c r="AJ111" i="1"/>
  <c r="BE356" i="17"/>
  <c r="J357" i="17" s="1"/>
  <c r="CF356" i="17"/>
  <c r="AK358" i="17" s="1"/>
  <c r="CD356" i="17"/>
  <c r="AI357" i="17" s="1"/>
  <c r="AC439" i="14"/>
  <c r="AC446" i="14"/>
  <c r="AC438" i="14"/>
  <c r="AC440" i="14"/>
  <c r="AC441" i="14"/>
  <c r="AC442" i="14"/>
  <c r="AC445" i="14"/>
  <c r="AC443" i="14"/>
  <c r="AC444" i="14"/>
  <c r="C26" i="2"/>
  <c r="K26" i="2"/>
  <c r="H26" i="2"/>
  <c r="I26" i="2"/>
  <c r="D26" i="2"/>
  <c r="J26" i="2"/>
  <c r="G26" i="2"/>
  <c r="E26" i="2"/>
  <c r="F26" i="2"/>
  <c r="CA356" i="17"/>
  <c r="AF358" i="17" s="1"/>
  <c r="BK356" i="17"/>
  <c r="P359" i="17" s="1"/>
  <c r="BI356" i="17"/>
  <c r="N358" i="17" s="1"/>
  <c r="E378" i="17"/>
  <c r="E379" i="17"/>
  <c r="Z513" i="14"/>
  <c r="N505" i="14"/>
  <c r="AE505" i="14"/>
  <c r="AE510" i="14"/>
  <c r="AE513" i="14"/>
  <c r="AE508" i="14"/>
  <c r="AE511" i="14"/>
  <c r="AE514" i="14"/>
  <c r="AE507" i="14"/>
  <c r="AE506" i="14"/>
  <c r="AE509" i="14"/>
  <c r="AE512" i="14"/>
  <c r="BH356" i="17"/>
  <c r="M362" i="17" s="1"/>
  <c r="BU356" i="17"/>
  <c r="Z361" i="17" s="1"/>
  <c r="BY356" i="17"/>
  <c r="AD357" i="17" s="1"/>
  <c r="AE475" i="14"/>
  <c r="AE477" i="14"/>
  <c r="AE479" i="14"/>
  <c r="AE473" i="14"/>
  <c r="AE480" i="14"/>
  <c r="AE472" i="14"/>
  <c r="AE476" i="14"/>
  <c r="AE478" i="14"/>
  <c r="AE474" i="14"/>
  <c r="AJ98" i="1"/>
  <c r="AJ117" i="1"/>
  <c r="BR356" i="17"/>
  <c r="W362" i="17" s="1"/>
  <c r="BN356" i="17"/>
  <c r="S361" i="17" s="1"/>
  <c r="BV356" i="17"/>
  <c r="AA360" i="17" s="1"/>
  <c r="AJ99" i="1"/>
  <c r="BC31" i="3"/>
  <c r="BC32" i="3"/>
  <c r="BC33" i="3"/>
  <c r="BC34" i="3"/>
  <c r="BD31" i="3"/>
  <c r="BD32" i="3"/>
  <c r="BD33" i="3"/>
  <c r="BD34" i="3"/>
  <c r="BB30" i="3"/>
  <c r="D567" i="17"/>
  <c r="M110" i="1"/>
  <c r="BE19" i="3"/>
  <c r="BE20" i="3"/>
  <c r="BE21" i="3"/>
  <c r="BE22" i="3"/>
  <c r="BF19" i="3"/>
  <c r="BF20" i="3"/>
  <c r="BF21" i="3"/>
  <c r="BF22" i="3"/>
  <c r="BB23" i="3"/>
  <c r="BE25" i="3"/>
  <c r="BE26" i="3"/>
  <c r="BE27" i="3"/>
  <c r="BE28" i="3"/>
  <c r="BF25" i="3"/>
  <c r="BF26" i="3"/>
  <c r="BF27" i="3"/>
  <c r="BF28" i="3"/>
  <c r="BB29" i="3"/>
  <c r="D522" i="17"/>
  <c r="Y98" i="1"/>
  <c r="I98" i="1"/>
  <c r="BZ345" i="17"/>
  <c r="AE348" i="17" s="1"/>
  <c r="D523" i="17"/>
  <c r="M98" i="1"/>
  <c r="BF345" i="17"/>
  <c r="K348" i="17" s="1"/>
  <c r="CE345" i="17"/>
  <c r="AJ348" i="17" s="1"/>
  <c r="D555" i="17"/>
  <c r="Y105" i="1"/>
  <c r="I105" i="1"/>
  <c r="D599" i="17"/>
  <c r="I117" i="1"/>
  <c r="BC37" i="3"/>
  <c r="BC38" i="3"/>
  <c r="BC39" i="3"/>
  <c r="BC40" i="3"/>
  <c r="BD37" i="3"/>
  <c r="BD38" i="3"/>
  <c r="BD39" i="3"/>
  <c r="BD40" i="3"/>
  <c r="BB36" i="3"/>
  <c r="D534" i="17"/>
  <c r="M99" i="1"/>
  <c r="D379" i="17"/>
  <c r="M68" i="1"/>
  <c r="D544" i="17"/>
  <c r="I104" i="1"/>
  <c r="BJ345" i="17"/>
  <c r="O346" i="17" s="1"/>
  <c r="BL345" i="17"/>
  <c r="Q348" i="17" s="1"/>
  <c r="BC345" i="17"/>
  <c r="H346" i="17" s="1"/>
  <c r="BO345" i="17"/>
  <c r="T351" i="17" s="1"/>
  <c r="W513" i="14"/>
  <c r="D505" i="14"/>
  <c r="AB505" i="14"/>
  <c r="AB514" i="14"/>
  <c r="AB507" i="14"/>
  <c r="AB512" i="14"/>
  <c r="AB510" i="14"/>
  <c r="AB509" i="14"/>
  <c r="AB511" i="14"/>
  <c r="AB513" i="14"/>
  <c r="AB506" i="14"/>
  <c r="AB508" i="14"/>
  <c r="AB443" i="14"/>
  <c r="AB442" i="14"/>
  <c r="AB440" i="14"/>
  <c r="AB441" i="14"/>
  <c r="AB446" i="14"/>
  <c r="AB445" i="14"/>
  <c r="AB439" i="14"/>
  <c r="AB438" i="14"/>
  <c r="AB444" i="14"/>
  <c r="BH345" i="17"/>
  <c r="M347" i="17" s="1"/>
  <c r="CB345" i="17"/>
  <c r="AG351" i="17" s="1"/>
  <c r="X411" i="14"/>
  <c r="G403" i="14"/>
  <c r="AC403" i="14"/>
  <c r="AC405" i="14"/>
  <c r="AC408" i="14"/>
  <c r="AC409" i="14"/>
  <c r="AC404" i="14"/>
  <c r="AC407" i="14"/>
  <c r="AC411" i="14"/>
  <c r="AC412" i="14"/>
  <c r="AC410" i="14"/>
  <c r="AC406" i="14"/>
  <c r="D566" i="17"/>
  <c r="Y110" i="1"/>
  <c r="I110" i="1"/>
  <c r="BD345" i="17"/>
  <c r="I351" i="17" s="1"/>
  <c r="BK345" i="17"/>
  <c r="P350" i="17" s="1"/>
  <c r="BQ345" i="17"/>
  <c r="V351" i="17" s="1"/>
  <c r="Y513" i="14"/>
  <c r="K505" i="14"/>
  <c r="AD505" i="14"/>
  <c r="AD512" i="14"/>
  <c r="AD511" i="14"/>
  <c r="AD513" i="14"/>
  <c r="AD514" i="14"/>
  <c r="AD509" i="14"/>
  <c r="AD510" i="14"/>
  <c r="AD508" i="14"/>
  <c r="AD506" i="14"/>
  <c r="AD507" i="14"/>
  <c r="BU345" i="17"/>
  <c r="Z351" i="17" s="1"/>
  <c r="CD345" i="17"/>
  <c r="AI348" i="17" s="1"/>
  <c r="AC507" i="14"/>
  <c r="AC514" i="14"/>
  <c r="AC512" i="14"/>
  <c r="AC513" i="14"/>
  <c r="AC510" i="14"/>
  <c r="AC508" i="14"/>
  <c r="AC506" i="14"/>
  <c r="AC511" i="14"/>
  <c r="AC509" i="14"/>
  <c r="D589" i="17"/>
  <c r="M116" i="1"/>
  <c r="AD480" i="14"/>
  <c r="AD476" i="14"/>
  <c r="AD475" i="14"/>
  <c r="AD479" i="14"/>
  <c r="AD472" i="14"/>
  <c r="AD474" i="14"/>
  <c r="AD478" i="14"/>
  <c r="AD477" i="14"/>
  <c r="AD473" i="14"/>
  <c r="BM345" i="17"/>
  <c r="R346" i="17" s="1"/>
  <c r="BS345" i="17"/>
  <c r="X346" i="17" s="1"/>
  <c r="BN345" i="17"/>
  <c r="S349" i="17" s="1"/>
  <c r="AD445" i="14"/>
  <c r="AD442" i="14"/>
  <c r="AD440" i="14"/>
  <c r="AD446" i="14"/>
  <c r="AD443" i="14"/>
  <c r="AD441" i="14"/>
  <c r="AD439" i="14"/>
  <c r="AD444" i="14"/>
  <c r="AD438" i="14"/>
  <c r="AB472" i="14"/>
  <c r="AB476" i="14"/>
  <c r="AB478" i="14"/>
  <c r="AB473" i="14"/>
  <c r="AB475" i="14"/>
  <c r="AB477" i="14"/>
  <c r="AB480" i="14"/>
  <c r="AB479" i="14"/>
  <c r="AB474" i="14"/>
  <c r="D577" i="17"/>
  <c r="I111" i="1"/>
  <c r="Y111" i="1"/>
  <c r="BR345" i="17"/>
  <c r="W348" i="17" s="1"/>
  <c r="CA345" i="17"/>
  <c r="AF350" i="17" s="1"/>
  <c r="AB404" i="14"/>
  <c r="AB410" i="14"/>
  <c r="AB409" i="14"/>
  <c r="AB408" i="14"/>
  <c r="AB407" i="14"/>
  <c r="AB412" i="14"/>
  <c r="AB406" i="14"/>
  <c r="AB405" i="14"/>
  <c r="AB411" i="14"/>
  <c r="X479" i="14"/>
  <c r="G471" i="14"/>
  <c r="AC471" i="14"/>
  <c r="AC473" i="14"/>
  <c r="AC472" i="14"/>
  <c r="AC480" i="14"/>
  <c r="AC475" i="14"/>
  <c r="AC479" i="14"/>
  <c r="AC477" i="14"/>
  <c r="AC474" i="14"/>
  <c r="AC476" i="14"/>
  <c r="AC478" i="14"/>
  <c r="AE411" i="14"/>
  <c r="AE409" i="14"/>
  <c r="AE412" i="14"/>
  <c r="AE410" i="14"/>
  <c r="AE404" i="14"/>
  <c r="AE406" i="14"/>
  <c r="AE405" i="14"/>
  <c r="AE407" i="14"/>
  <c r="AE408" i="14"/>
  <c r="BX345" i="17"/>
  <c r="AC349" i="17" s="1"/>
  <c r="BI345" i="17"/>
  <c r="N346" i="17" s="1"/>
  <c r="CC345" i="17"/>
  <c r="AH351" i="17" s="1"/>
  <c r="J25" i="2"/>
  <c r="D25" i="2"/>
  <c r="F25" i="2"/>
  <c r="H25" i="2"/>
  <c r="I25" i="2"/>
  <c r="C25" i="2"/>
  <c r="K25" i="2"/>
  <c r="G25" i="2"/>
  <c r="E25" i="2"/>
  <c r="BP345" i="17"/>
  <c r="U349" i="17" s="1"/>
  <c r="BE345" i="17"/>
  <c r="J350" i="17" s="1"/>
  <c r="BY345" i="17"/>
  <c r="AD349" i="17" s="1"/>
  <c r="D533" i="17"/>
  <c r="I99" i="1"/>
  <c r="Y99" i="1"/>
  <c r="BT345" i="17"/>
  <c r="Y351" i="17" s="1"/>
  <c r="BG345" i="17"/>
  <c r="L349" i="17" s="1"/>
  <c r="BV345" i="17"/>
  <c r="AA347" i="17" s="1"/>
  <c r="D588" i="17"/>
  <c r="Y116" i="1"/>
  <c r="I116" i="1"/>
  <c r="AD408" i="14"/>
  <c r="AD412" i="14"/>
  <c r="AD410" i="14"/>
  <c r="AD407" i="14"/>
  <c r="AD409" i="14"/>
  <c r="AD404" i="14"/>
  <c r="AD406" i="14"/>
  <c r="AD411" i="14"/>
  <c r="AD405" i="14"/>
  <c r="E356" i="17"/>
  <c r="E355" i="17"/>
  <c r="CF345" i="17"/>
  <c r="AK346" i="17" s="1"/>
  <c r="BW345" i="17"/>
  <c r="AB351" i="17" s="1"/>
  <c r="AA49" i="3"/>
  <c r="BC15" i="3"/>
  <c r="BD15" i="3"/>
  <c r="BC16" i="3"/>
  <c r="BD16" i="3"/>
  <c r="BC14" i="3"/>
  <c r="BD14" i="3"/>
  <c r="BE9" i="3"/>
  <c r="BF9" i="3"/>
  <c r="BE10" i="3"/>
  <c r="BF10" i="3"/>
  <c r="BE7" i="3"/>
  <c r="BE8" i="3"/>
  <c r="BF7" i="3"/>
  <c r="BF8" i="3"/>
  <c r="BB11" i="3"/>
  <c r="BD25" i="3"/>
  <c r="BC25" i="3"/>
  <c r="BC26" i="3"/>
  <c r="BC27" i="3"/>
  <c r="BC28" i="3"/>
  <c r="BD26" i="3"/>
  <c r="BD27" i="3"/>
  <c r="BD28" i="3"/>
  <c r="BB24" i="3"/>
  <c r="U50" i="9"/>
  <c r="BD13" i="3"/>
  <c r="BC13" i="3"/>
  <c r="BB12" i="3"/>
  <c r="H24" i="2"/>
  <c r="E24" i="2"/>
  <c r="D24" i="2"/>
  <c r="I24" i="2"/>
  <c r="C24" i="2"/>
  <c r="F24" i="2"/>
  <c r="G24" i="2"/>
  <c r="K24" i="2"/>
  <c r="J24" i="2"/>
  <c r="I23" i="2"/>
  <c r="F23" i="2"/>
  <c r="K23" i="2"/>
  <c r="D23" i="2"/>
  <c r="G23" i="2"/>
  <c r="C23" i="2"/>
  <c r="J23" i="2"/>
  <c r="E23" i="2"/>
  <c r="H23" i="2"/>
  <c r="T46" i="9"/>
  <c r="Y378" i="14"/>
  <c r="Y372" i="14"/>
  <c r="AL370" i="14"/>
  <c r="AL374" i="14"/>
  <c r="AM373" i="14"/>
  <c r="AM375" i="14"/>
  <c r="AL377" i="14"/>
  <c r="AL375" i="14"/>
  <c r="AL373" i="14"/>
  <c r="AM372" i="14"/>
  <c r="AM376" i="14"/>
  <c r="AM371" i="14"/>
  <c r="AL378" i="14"/>
  <c r="AL376" i="14"/>
  <c r="AM370" i="14"/>
  <c r="AM377" i="14"/>
  <c r="AL372" i="14"/>
  <c r="AM374" i="14"/>
  <c r="AL371" i="14"/>
  <c r="AM378" i="14"/>
  <c r="L369" i="14"/>
  <c r="Z378" i="14"/>
  <c r="AN374" i="14"/>
  <c r="AO373" i="14"/>
  <c r="AN372" i="14"/>
  <c r="AO378" i="14"/>
  <c r="AO370" i="14"/>
  <c r="AN378" i="14"/>
  <c r="AN370" i="14"/>
  <c r="AO372" i="14"/>
  <c r="AN376" i="14"/>
  <c r="AO376" i="14"/>
  <c r="AO374" i="14"/>
  <c r="AO377" i="14"/>
  <c r="AN377" i="14"/>
  <c r="AN371" i="14"/>
  <c r="AN375" i="14"/>
  <c r="AO371" i="14"/>
  <c r="AO375" i="14"/>
  <c r="AN373" i="14"/>
  <c r="M369" i="14"/>
  <c r="U46" i="9"/>
  <c r="W378" i="14"/>
  <c r="W372" i="14"/>
  <c r="AH374" i="14"/>
  <c r="AI370" i="14"/>
  <c r="AI378" i="14"/>
  <c r="AI376" i="14"/>
  <c r="AH376" i="14"/>
  <c r="AH373" i="14"/>
  <c r="AI377" i="14"/>
  <c r="AH372" i="14"/>
  <c r="AH375" i="14"/>
  <c r="AI373" i="14"/>
  <c r="AI371" i="14"/>
  <c r="AI372" i="14"/>
  <c r="AH378" i="14"/>
  <c r="AH377" i="14"/>
  <c r="AH371" i="14"/>
  <c r="AH370" i="14"/>
  <c r="AI375" i="14"/>
  <c r="AI374" i="14"/>
  <c r="E369" i="14"/>
  <c r="X378" i="14"/>
  <c r="AJ375" i="14"/>
  <c r="AK377" i="14"/>
  <c r="AK374" i="14"/>
  <c r="AJ370" i="14"/>
  <c r="AJ376" i="14"/>
  <c r="AK375" i="14"/>
  <c r="AJ377" i="14"/>
  <c r="AK371" i="14"/>
  <c r="AK372" i="14"/>
  <c r="AJ373" i="14"/>
  <c r="AJ378" i="14"/>
  <c r="AJ371" i="14"/>
  <c r="AJ372" i="14"/>
  <c r="AK376" i="14"/>
  <c r="AK370" i="14"/>
  <c r="AJ374" i="14"/>
  <c r="AK378" i="14"/>
  <c r="AK373" i="14"/>
  <c r="F369" i="14"/>
  <c r="X58" i="9"/>
  <c r="T58" i="9"/>
  <c r="W376" i="14"/>
  <c r="C369" i="14"/>
  <c r="X376" i="14"/>
  <c r="H369" i="14"/>
  <c r="X59" i="9"/>
  <c r="U58" i="9"/>
  <c r="W58" i="9"/>
  <c r="Z376" i="14"/>
  <c r="O369" i="14"/>
  <c r="Y376" i="14"/>
  <c r="J369" i="14"/>
  <c r="W59" i="9"/>
  <c r="Y344" i="14"/>
  <c r="Y338" i="14"/>
  <c r="AL337" i="14"/>
  <c r="AL338" i="14"/>
  <c r="AM343" i="14"/>
  <c r="AL336" i="14"/>
  <c r="AM336" i="14"/>
  <c r="AM337" i="14"/>
  <c r="AL341" i="14"/>
  <c r="AM344" i="14"/>
  <c r="AM339" i="14"/>
  <c r="AM341" i="14"/>
  <c r="AM342" i="14"/>
  <c r="AM338" i="14"/>
  <c r="AM340" i="14"/>
  <c r="AL339" i="14"/>
  <c r="AL344" i="14"/>
  <c r="AL340" i="14"/>
  <c r="AL342" i="14"/>
  <c r="AL343" i="14"/>
  <c r="L335" i="14"/>
  <c r="Z344" i="14"/>
  <c r="AN339" i="14"/>
  <c r="AN341" i="14"/>
  <c r="AO344" i="14"/>
  <c r="AO337" i="14"/>
  <c r="AN344" i="14"/>
  <c r="AN337" i="14"/>
  <c r="AO342" i="14"/>
  <c r="AO336" i="14"/>
  <c r="AN343" i="14"/>
  <c r="AO343" i="14"/>
  <c r="AO341" i="14"/>
  <c r="AO338" i="14"/>
  <c r="AN340" i="14"/>
  <c r="AO340" i="14"/>
  <c r="AO339" i="14"/>
  <c r="AN338" i="14"/>
  <c r="AN336" i="14"/>
  <c r="AN342" i="14"/>
  <c r="M335" i="14"/>
  <c r="BD90" i="1"/>
  <c r="BE90" i="1"/>
  <c r="BD91" i="1"/>
  <c r="BE91" i="1"/>
  <c r="T59" i="9"/>
  <c r="U59" i="9"/>
  <c r="X57" i="9"/>
  <c r="W344" i="14"/>
  <c r="W338" i="14"/>
  <c r="AH337" i="14"/>
  <c r="AH342" i="14"/>
  <c r="AH341" i="14"/>
  <c r="AI340" i="14"/>
  <c r="AH344" i="14"/>
  <c r="AI341" i="14"/>
  <c r="AH339" i="14"/>
  <c r="AH340" i="14"/>
  <c r="AI344" i="14"/>
  <c r="AI342" i="14"/>
  <c r="AI336" i="14"/>
  <c r="AI337" i="14"/>
  <c r="AI338" i="14"/>
  <c r="AI343" i="14"/>
  <c r="AH336" i="14"/>
  <c r="AH343" i="14"/>
  <c r="AI339" i="14"/>
  <c r="AH338" i="14"/>
  <c r="E335" i="14"/>
  <c r="W57" i="9"/>
  <c r="Y310" i="14"/>
  <c r="Y304" i="14"/>
  <c r="AM303" i="14"/>
  <c r="AL302" i="14"/>
  <c r="AM308" i="14"/>
  <c r="AM302" i="14"/>
  <c r="AL306" i="14"/>
  <c r="AM305" i="14"/>
  <c r="AL303" i="14"/>
  <c r="AM306" i="14"/>
  <c r="AM304" i="14"/>
  <c r="AM309" i="14"/>
  <c r="AM307" i="14"/>
  <c r="AL309" i="14"/>
  <c r="AL310" i="14"/>
  <c r="AL307" i="14"/>
  <c r="AM310" i="14"/>
  <c r="AL304" i="14"/>
  <c r="AL305" i="14"/>
  <c r="AL308" i="14"/>
  <c r="L301" i="14"/>
  <c r="X344" i="14"/>
  <c r="AJ336" i="14"/>
  <c r="AJ339" i="14"/>
  <c r="AJ338" i="14"/>
  <c r="AK338" i="14"/>
  <c r="AK339" i="14"/>
  <c r="AK341" i="14"/>
  <c r="AJ344" i="14"/>
  <c r="AK343" i="14"/>
  <c r="AJ342" i="14"/>
  <c r="AK337" i="14"/>
  <c r="AK344" i="14"/>
  <c r="AJ337" i="14"/>
  <c r="AK342" i="14"/>
  <c r="AK340" i="14"/>
  <c r="AJ340" i="14"/>
  <c r="AJ343" i="14"/>
  <c r="AK336" i="14"/>
  <c r="AJ341" i="14"/>
  <c r="F335" i="14"/>
  <c r="Z342" i="14"/>
  <c r="O335" i="14"/>
  <c r="Y342" i="14"/>
  <c r="J335" i="14"/>
  <c r="D488" i="17"/>
  <c r="I90" i="1"/>
  <c r="Z377" i="14"/>
  <c r="N369" i="14"/>
  <c r="AE369" i="14"/>
  <c r="AE374" i="14"/>
  <c r="AE378" i="14"/>
  <c r="AE376" i="14"/>
  <c r="AE373" i="14"/>
  <c r="AE375" i="14"/>
  <c r="AE377" i="14"/>
  <c r="AE372" i="14"/>
  <c r="AE371" i="14"/>
  <c r="AE370" i="14"/>
  <c r="Z310" i="14"/>
  <c r="AN302" i="14"/>
  <c r="AN307" i="14"/>
  <c r="AO302" i="14"/>
  <c r="AO306" i="14"/>
  <c r="AO309" i="14"/>
  <c r="AO303" i="14"/>
  <c r="AO307" i="14"/>
  <c r="AN305" i="14"/>
  <c r="AN309" i="14"/>
  <c r="AO308" i="14"/>
  <c r="AN303" i="14"/>
  <c r="AN304" i="14"/>
  <c r="AN306" i="14"/>
  <c r="AO310" i="14"/>
  <c r="AN310" i="14"/>
  <c r="AO304" i="14"/>
  <c r="AO305" i="14"/>
  <c r="AN308" i="14"/>
  <c r="M301" i="14"/>
  <c r="W377" i="14"/>
  <c r="D369" i="14"/>
  <c r="AB369" i="14"/>
  <c r="AB378" i="14"/>
  <c r="AB375" i="14"/>
  <c r="AB372" i="14"/>
  <c r="AB373" i="14"/>
  <c r="AB376" i="14"/>
  <c r="AB371" i="14"/>
  <c r="AB374" i="14"/>
  <c r="AB377" i="14"/>
  <c r="AB370" i="14"/>
  <c r="Y377" i="14"/>
  <c r="K369" i="14"/>
  <c r="AD369" i="14"/>
  <c r="AD376" i="14"/>
  <c r="AD371" i="14"/>
  <c r="AD373" i="14"/>
  <c r="AD375" i="14"/>
  <c r="AD374" i="14"/>
  <c r="AD370" i="14"/>
  <c r="AD378" i="14"/>
  <c r="AD377" i="14"/>
  <c r="AD372" i="14"/>
  <c r="D499" i="17"/>
  <c r="I91" i="1"/>
  <c r="X377" i="14"/>
  <c r="G369" i="14"/>
  <c r="AC369" i="14"/>
  <c r="AC378" i="14"/>
  <c r="AC377" i="14"/>
  <c r="AC374" i="14"/>
  <c r="AC375" i="14"/>
  <c r="AC372" i="14"/>
  <c r="AC376" i="14"/>
  <c r="AC371" i="14"/>
  <c r="AC370" i="14"/>
  <c r="AC373" i="14"/>
  <c r="U55" i="9"/>
  <c r="W55" i="9"/>
  <c r="T55" i="9"/>
  <c r="W56" i="9"/>
  <c r="X55" i="9"/>
  <c r="Y308" i="14"/>
  <c r="J301" i="14"/>
  <c r="Z308" i="14"/>
  <c r="O301" i="14"/>
  <c r="Z343" i="14"/>
  <c r="N335" i="14"/>
  <c r="AE335" i="14"/>
  <c r="AE338" i="14"/>
  <c r="AE344" i="14"/>
  <c r="AE342" i="14"/>
  <c r="AE340" i="14"/>
  <c r="AE336" i="14"/>
  <c r="AE341" i="14"/>
  <c r="AE337" i="14"/>
  <c r="AE343" i="14"/>
  <c r="AE339" i="14"/>
  <c r="X56" i="9"/>
  <c r="BD89" i="1"/>
  <c r="V57" i="9"/>
  <c r="AB57" i="9"/>
  <c r="BE89" i="1"/>
  <c r="U57" i="9"/>
  <c r="T57" i="9"/>
  <c r="W342" i="14"/>
  <c r="C335" i="14"/>
  <c r="X342" i="14"/>
  <c r="H335" i="14"/>
  <c r="Z276" i="14"/>
  <c r="Y270" i="14"/>
  <c r="AO269" i="14"/>
  <c r="AO275" i="14"/>
  <c r="AO271" i="14"/>
  <c r="AN271" i="14"/>
  <c r="AN273" i="14"/>
  <c r="AO273" i="14"/>
  <c r="AO270" i="14"/>
  <c r="AN272" i="14"/>
  <c r="AN276" i="14"/>
  <c r="AO276" i="14"/>
  <c r="AO272" i="14"/>
  <c r="AO274" i="14"/>
  <c r="AN269" i="14"/>
  <c r="AO268" i="14"/>
  <c r="AN268" i="14"/>
  <c r="AN274" i="14"/>
  <c r="AN275" i="14"/>
  <c r="AN270" i="14"/>
  <c r="M267" i="14"/>
  <c r="K13" i="6"/>
  <c r="C13" i="6"/>
  <c r="W613" i="14"/>
  <c r="Y578" i="14"/>
  <c r="O572" i="14"/>
  <c r="Y646" i="14"/>
  <c r="AW110" i="1"/>
  <c r="G110" i="1"/>
  <c r="AY98" i="1"/>
  <c r="AR125" i="1"/>
  <c r="K365" i="4"/>
  <c r="AY99" i="1"/>
  <c r="K18" i="6"/>
  <c r="Y649" i="14"/>
  <c r="Y510" i="14"/>
  <c r="O504" i="14"/>
  <c r="W511" i="14"/>
  <c r="K415" i="4"/>
  <c r="Y375" i="14"/>
  <c r="Y544" i="14"/>
  <c r="O538" i="14"/>
  <c r="AV131" i="1"/>
  <c r="F131" i="1"/>
  <c r="AV99" i="1"/>
  <c r="F99" i="1"/>
  <c r="L215" i="4"/>
  <c r="AW105" i="1"/>
  <c r="G105" i="1"/>
  <c r="AW111" i="1"/>
  <c r="G111" i="1"/>
  <c r="L565" i="4"/>
  <c r="AW130" i="1"/>
  <c r="G130" i="1"/>
  <c r="L515" i="4"/>
  <c r="K19" i="6"/>
  <c r="K10" i="6"/>
  <c r="L265" i="4"/>
  <c r="W442" i="14"/>
  <c r="H436" i="14"/>
  <c r="W646" i="14"/>
  <c r="H640" i="14"/>
  <c r="AR104" i="1"/>
  <c r="K315" i="4"/>
  <c r="AV117" i="1"/>
  <c r="F117" i="1"/>
  <c r="AX116" i="1"/>
  <c r="AV139" i="1"/>
  <c r="F139" i="1"/>
  <c r="W374" i="14"/>
  <c r="H368" i="14"/>
  <c r="W578" i="14"/>
  <c r="H572" i="14"/>
  <c r="K165" i="4"/>
  <c r="W510" i="14"/>
  <c r="H504" i="14"/>
  <c r="Y612" i="14"/>
  <c r="O606" i="14"/>
  <c r="W375" i="14"/>
  <c r="AV130" i="1"/>
  <c r="F130" i="1"/>
  <c r="L165" i="4"/>
  <c r="AX99" i="1"/>
  <c r="W408" i="14"/>
  <c r="H402" i="14"/>
  <c r="K215" i="4"/>
  <c r="L365" i="4"/>
  <c r="K16" i="6"/>
  <c r="Y476" i="14"/>
  <c r="O470" i="14"/>
  <c r="Y579" i="14"/>
  <c r="W477" i="14"/>
  <c r="AV152" i="1"/>
  <c r="F152" i="1"/>
  <c r="AW139" i="1"/>
  <c r="G139" i="1"/>
  <c r="AR152" i="1"/>
  <c r="AR131" i="1"/>
  <c r="AX117" i="1"/>
  <c r="K564" i="4"/>
  <c r="AX110" i="1"/>
  <c r="K20" i="6"/>
  <c r="K565" i="4"/>
  <c r="AV104" i="1"/>
  <c r="F104" i="1"/>
  <c r="Y511" i="14"/>
  <c r="Y613" i="14"/>
  <c r="AW117" i="1"/>
  <c r="G117" i="1"/>
  <c r="K65" i="4"/>
  <c r="AR98" i="1"/>
  <c r="L415" i="4"/>
  <c r="W647" i="14"/>
  <c r="Y443" i="14"/>
  <c r="AR111" i="1"/>
  <c r="K11" i="6"/>
  <c r="Y647" i="14"/>
  <c r="F90" i="1"/>
  <c r="K15" i="4"/>
  <c r="Y477" i="14"/>
  <c r="Y374" i="14"/>
  <c r="O368" i="14"/>
  <c r="Y545" i="14"/>
  <c r="W476" i="14"/>
  <c r="H470" i="14"/>
  <c r="AW98" i="1"/>
  <c r="G98" i="1"/>
  <c r="Y340" i="14"/>
  <c r="O334" i="14"/>
  <c r="L65" i="4"/>
  <c r="W545" i="14"/>
  <c r="AR144" i="1"/>
  <c r="Z649" i="14"/>
  <c r="AY110" i="1"/>
  <c r="AW124" i="1"/>
  <c r="G124" i="1"/>
  <c r="W409" i="14"/>
  <c r="AX111" i="1"/>
  <c r="AV116" i="1"/>
  <c r="F116" i="1"/>
  <c r="AR99" i="1"/>
  <c r="AR117" i="1"/>
  <c r="W443" i="14"/>
  <c r="W544" i="14"/>
  <c r="H538" i="14"/>
  <c r="AW116" i="1"/>
  <c r="G116" i="1"/>
  <c r="K515" i="4"/>
  <c r="AX98" i="1"/>
  <c r="K514" i="4"/>
  <c r="F88" i="1"/>
  <c r="AV124" i="1"/>
  <c r="F124" i="1"/>
  <c r="AX104" i="1"/>
  <c r="AR105" i="1"/>
  <c r="AW104" i="1"/>
  <c r="G104" i="1"/>
  <c r="K23" i="6"/>
  <c r="AR139" i="1"/>
  <c r="AY116" i="1"/>
  <c r="L564" i="4"/>
  <c r="L514" i="4"/>
  <c r="W343" i="14"/>
  <c r="D335" i="14"/>
  <c r="AB335" i="14"/>
  <c r="AV111" i="1"/>
  <c r="F111" i="1"/>
  <c r="L15" i="4"/>
  <c r="G91" i="1"/>
  <c r="Y306" i="14"/>
  <c r="O300" i="14"/>
  <c r="Y341" i="14"/>
  <c r="Y408" i="14"/>
  <c r="O402" i="14"/>
  <c r="F91" i="1"/>
  <c r="AW125" i="1"/>
  <c r="G125" i="1"/>
  <c r="G90" i="1"/>
  <c r="K22" i="6"/>
  <c r="AX105" i="1"/>
  <c r="K12" i="6"/>
  <c r="G88" i="1"/>
  <c r="AV144" i="1"/>
  <c r="F144" i="1"/>
  <c r="W612" i="14"/>
  <c r="H606" i="14"/>
  <c r="AW99" i="1"/>
  <c r="G99" i="1"/>
  <c r="F83" i="1"/>
  <c r="L314" i="4"/>
  <c r="K364" i="4"/>
  <c r="AV125" i="1"/>
  <c r="F125" i="1"/>
  <c r="AR124" i="1"/>
  <c r="AV105" i="1"/>
  <c r="F105" i="1"/>
  <c r="K14" i="6"/>
  <c r="Y442" i="14"/>
  <c r="O436" i="14"/>
  <c r="AW131" i="1"/>
  <c r="G131" i="1"/>
  <c r="Y343" i="14"/>
  <c r="K335" i="14"/>
  <c r="AD335" i="14"/>
  <c r="AR116" i="1"/>
  <c r="AR110" i="1"/>
  <c r="AR130" i="1"/>
  <c r="K314" i="4"/>
  <c r="W340" i="14"/>
  <c r="H334" i="14"/>
  <c r="W579" i="14"/>
  <c r="Y645" i="14"/>
  <c r="AV98" i="1"/>
  <c r="F98" i="1"/>
  <c r="K265" i="4"/>
  <c r="L315" i="4"/>
  <c r="Y409" i="14"/>
  <c r="AV110" i="1"/>
  <c r="F110" i="1"/>
  <c r="X343" i="14"/>
  <c r="G335" i="14"/>
  <c r="AC335" i="14"/>
  <c r="G89" i="1"/>
  <c r="AW152" i="1"/>
  <c r="G152" i="1"/>
  <c r="K15" i="6"/>
  <c r="Y309" i="14"/>
  <c r="K301" i="14"/>
  <c r="AD301" i="14"/>
  <c r="W307" i="14"/>
  <c r="F89" i="1"/>
  <c r="Z275" i="14"/>
  <c r="N267" i="14"/>
  <c r="AE267" i="14"/>
  <c r="Z309" i="14"/>
  <c r="N301" i="14"/>
  <c r="AE301" i="14"/>
  <c r="F82" i="1"/>
  <c r="L364" i="4"/>
  <c r="AW144" i="1"/>
  <c r="G144" i="1"/>
  <c r="Y272" i="14"/>
  <c r="O266" i="14"/>
  <c r="L414" i="4"/>
  <c r="F77" i="1"/>
  <c r="W341" i="14"/>
  <c r="K164" i="4"/>
  <c r="W309" i="14"/>
  <c r="D301" i="14"/>
  <c r="AB301" i="14"/>
  <c r="K414" i="4"/>
  <c r="Y307" i="14"/>
  <c r="Y275" i="14"/>
  <c r="K267" i="14"/>
  <c r="AD267" i="14"/>
  <c r="K64" i="4"/>
  <c r="K214" i="4"/>
  <c r="L313" i="4"/>
  <c r="Y273" i="14"/>
  <c r="L214" i="4"/>
  <c r="G83" i="1"/>
  <c r="V51" i="9"/>
  <c r="AB51" i="9"/>
  <c r="N264" i="4"/>
  <c r="X309" i="14"/>
  <c r="G301" i="14"/>
  <c r="AC301" i="14"/>
  <c r="L264" i="4"/>
  <c r="K264" i="4"/>
  <c r="G77" i="1"/>
  <c r="W241" i="14"/>
  <c r="D233" i="14"/>
  <c r="AB233" i="14"/>
  <c r="W207" i="14"/>
  <c r="W239" i="14"/>
  <c r="V54" i="9"/>
  <c r="AB54" i="9"/>
  <c r="N313" i="4"/>
  <c r="V48" i="9"/>
  <c r="AB48" i="9"/>
  <c r="N14" i="4"/>
  <c r="K14" i="4"/>
  <c r="L64" i="4"/>
  <c r="K313" i="4"/>
  <c r="L164" i="4"/>
  <c r="V49" i="9"/>
  <c r="AB49" i="9"/>
  <c r="N64" i="4"/>
  <c r="V50" i="9"/>
  <c r="AB50" i="9"/>
  <c r="N214" i="4"/>
  <c r="Y189" i="14"/>
  <c r="F75" i="1"/>
  <c r="G74" i="1"/>
  <c r="Z207" i="14"/>
  <c r="N199" i="14"/>
  <c r="K317" i="4"/>
  <c r="L318" i="4"/>
  <c r="W275" i="14"/>
  <c r="D267" i="14"/>
  <c r="M116" i="4"/>
  <c r="M118" i="4"/>
  <c r="M316" i="4"/>
  <c r="V52" i="9"/>
  <c r="AB52" i="9"/>
  <c r="N116" i="4"/>
  <c r="N118" i="4"/>
  <c r="Y238" i="14"/>
  <c r="Y205" i="14"/>
  <c r="Y239" i="14"/>
  <c r="W188" i="14"/>
  <c r="H182" i="14"/>
  <c r="W204" i="14"/>
  <c r="H198" i="14"/>
  <c r="Y241" i="14"/>
  <c r="Z241" i="14"/>
  <c r="L116" i="4"/>
  <c r="W189" i="14"/>
  <c r="Y188" i="14"/>
  <c r="O182" i="14"/>
  <c r="N316" i="4"/>
  <c r="K318" i="4"/>
  <c r="K316" i="4"/>
  <c r="X275" i="14"/>
  <c r="G267" i="14"/>
  <c r="AC267" i="14"/>
  <c r="L118" i="4"/>
  <c r="L117" i="4"/>
  <c r="N318" i="4"/>
  <c r="Z191" i="14"/>
  <c r="W191" i="14"/>
  <c r="D183" i="14"/>
  <c r="K117" i="4"/>
  <c r="Y207" i="14"/>
  <c r="W273" i="14"/>
  <c r="L413" i="4"/>
  <c r="W272" i="14"/>
  <c r="M117" i="4"/>
  <c r="K118" i="4"/>
  <c r="G82" i="1"/>
  <c r="M317" i="4"/>
  <c r="Y204" i="14"/>
  <c r="O198" i="14"/>
  <c r="W306" i="14"/>
  <c r="H300" i="14"/>
  <c r="M318" i="4"/>
  <c r="W205" i="14"/>
  <c r="K116" i="4"/>
  <c r="X241" i="14"/>
  <c r="Y191" i="14"/>
  <c r="G68" i="1"/>
  <c r="F68" i="1"/>
  <c r="F62" i="1"/>
  <c r="N117" i="4"/>
  <c r="X207" i="14"/>
  <c r="W238" i="14"/>
  <c r="L316" i="4"/>
  <c r="L317" i="4"/>
  <c r="N317" i="4"/>
  <c r="D477" i="17"/>
  <c r="I89" i="1"/>
  <c r="Y276" i="14"/>
  <c r="AL275" i="14"/>
  <c r="AM271" i="14"/>
  <c r="AL268" i="14"/>
  <c r="AM269" i="14"/>
  <c r="AM274" i="14"/>
  <c r="AL269" i="14"/>
  <c r="AM273" i="14"/>
  <c r="AL270" i="14"/>
  <c r="AL271" i="14"/>
  <c r="AL274" i="14"/>
  <c r="AL276" i="14"/>
  <c r="AM275" i="14"/>
  <c r="AM270" i="14"/>
  <c r="AM268" i="14"/>
  <c r="AM276" i="14"/>
  <c r="AL273" i="14"/>
  <c r="AM272" i="14"/>
  <c r="AL272" i="14"/>
  <c r="L267" i="14"/>
  <c r="X310" i="14"/>
  <c r="W304" i="14"/>
  <c r="AK310" i="14"/>
  <c r="AK303" i="14"/>
  <c r="AK304" i="14"/>
  <c r="AJ306" i="14"/>
  <c r="AK307" i="14"/>
  <c r="AJ308" i="14"/>
  <c r="AJ310" i="14"/>
  <c r="AJ303" i="14"/>
  <c r="AK309" i="14"/>
  <c r="AJ302" i="14"/>
  <c r="AJ307" i="14"/>
  <c r="AJ309" i="14"/>
  <c r="AK306" i="14"/>
  <c r="AJ305" i="14"/>
  <c r="AK308" i="14"/>
  <c r="AK302" i="14"/>
  <c r="AJ304" i="14"/>
  <c r="AK305" i="14"/>
  <c r="F301" i="14"/>
  <c r="W310" i="14"/>
  <c r="AI305" i="14"/>
  <c r="AI307" i="14"/>
  <c r="AH305" i="14"/>
  <c r="AI303" i="14"/>
  <c r="AH304" i="14"/>
  <c r="AH308" i="14"/>
  <c r="AH306" i="14"/>
  <c r="AI310" i="14"/>
  <c r="AH309" i="14"/>
  <c r="AH310" i="14"/>
  <c r="AH303" i="14"/>
  <c r="AI304" i="14"/>
  <c r="AI302" i="14"/>
  <c r="AH302" i="14"/>
  <c r="AI306" i="14"/>
  <c r="AH307" i="14"/>
  <c r="AI308" i="14"/>
  <c r="AI309" i="14"/>
  <c r="E301" i="14"/>
  <c r="BD88" i="1"/>
  <c r="V56" i="9"/>
  <c r="AB56" i="9"/>
  <c r="N414" i="4"/>
  <c r="BE88" i="1"/>
  <c r="U56" i="9"/>
  <c r="T56" i="9"/>
  <c r="AB339" i="14"/>
  <c r="AB341" i="14"/>
  <c r="AB342" i="14"/>
  <c r="AB340" i="14"/>
  <c r="AB344" i="14"/>
  <c r="AB337" i="14"/>
  <c r="AB336" i="14"/>
  <c r="AB343" i="14"/>
  <c r="AB338" i="14"/>
  <c r="AC338" i="14"/>
  <c r="AC342" i="14"/>
  <c r="AC341" i="14"/>
  <c r="AC340" i="14"/>
  <c r="AC344" i="14"/>
  <c r="AC339" i="14"/>
  <c r="AC337" i="14"/>
  <c r="AC336" i="14"/>
  <c r="AC343" i="14"/>
  <c r="AD342" i="14"/>
  <c r="AD336" i="14"/>
  <c r="AD338" i="14"/>
  <c r="AD341" i="14"/>
  <c r="AD343" i="14"/>
  <c r="AD337" i="14"/>
  <c r="AD340" i="14"/>
  <c r="AD344" i="14"/>
  <c r="AD339" i="14"/>
  <c r="BD83" i="1"/>
  <c r="V55" i="9"/>
  <c r="AB55" i="9"/>
  <c r="N364" i="4"/>
  <c r="BE83" i="1"/>
  <c r="T53" i="9"/>
  <c r="W308" i="14"/>
  <c r="C301" i="14"/>
  <c r="X308" i="14"/>
  <c r="H301" i="14"/>
  <c r="X53" i="9"/>
  <c r="X54" i="9"/>
  <c r="W54" i="9"/>
  <c r="D455" i="17"/>
  <c r="I83" i="1"/>
  <c r="D466" i="17"/>
  <c r="I88" i="1"/>
  <c r="U53" i="9"/>
  <c r="W53" i="9"/>
  <c r="AE310" i="14"/>
  <c r="AE307" i="14"/>
  <c r="AE303" i="14"/>
  <c r="AE306" i="14"/>
  <c r="AE305" i="14"/>
  <c r="AE308" i="14"/>
  <c r="AE304" i="14"/>
  <c r="AE309" i="14"/>
  <c r="AE302" i="14"/>
  <c r="Y274" i="14"/>
  <c r="J267" i="14"/>
  <c r="Z274" i="14"/>
  <c r="O267" i="14"/>
  <c r="AD304" i="14"/>
  <c r="AD310" i="14"/>
  <c r="AD306" i="14"/>
  <c r="AD305" i="14"/>
  <c r="AD308" i="14"/>
  <c r="AD303" i="14"/>
  <c r="AD302" i="14"/>
  <c r="AD307" i="14"/>
  <c r="AD309" i="14"/>
  <c r="X192" i="14"/>
  <c r="W186" i="14"/>
  <c r="AK188" i="14"/>
  <c r="AK185" i="14"/>
  <c r="AK187" i="14"/>
  <c r="AJ184" i="14"/>
  <c r="AK186" i="14"/>
  <c r="AK189" i="14"/>
  <c r="AJ190" i="14"/>
  <c r="AJ187" i="14"/>
  <c r="AJ185" i="14"/>
  <c r="AJ192" i="14"/>
  <c r="AK190" i="14"/>
  <c r="AK192" i="14"/>
  <c r="AK191" i="14"/>
  <c r="AJ189" i="14"/>
  <c r="AJ191" i="14"/>
  <c r="AJ188" i="14"/>
  <c r="AK184" i="14"/>
  <c r="AJ186" i="14"/>
  <c r="F183" i="14"/>
  <c r="W192" i="14"/>
  <c r="AH189" i="14"/>
  <c r="AH185" i="14"/>
  <c r="AI192" i="14"/>
  <c r="AI189" i="14"/>
  <c r="AI191" i="14"/>
  <c r="AI184" i="14"/>
  <c r="AI186" i="14"/>
  <c r="AH188" i="14"/>
  <c r="AH187" i="14"/>
  <c r="AH184" i="14"/>
  <c r="AI185" i="14"/>
  <c r="AI187" i="14"/>
  <c r="AH186" i="14"/>
  <c r="AI190" i="14"/>
  <c r="AH192" i="14"/>
  <c r="AI188" i="14"/>
  <c r="AH191" i="14"/>
  <c r="AH190" i="14"/>
  <c r="E183" i="14"/>
  <c r="BD77" i="1"/>
  <c r="V53" i="9"/>
  <c r="AB53" i="9"/>
  <c r="N164" i="4"/>
  <c r="BE77" i="1"/>
  <c r="BD82" i="1"/>
  <c r="N314" i="4"/>
  <c r="BE82" i="1"/>
  <c r="T54" i="9"/>
  <c r="W46" i="9"/>
  <c r="W208" i="14"/>
  <c r="W202" i="14"/>
  <c r="AI205" i="14"/>
  <c r="AI200" i="14"/>
  <c r="AH202" i="14"/>
  <c r="AH201" i="14"/>
  <c r="AH204" i="14"/>
  <c r="AI204" i="14"/>
  <c r="AH208" i="14"/>
  <c r="AH205" i="14"/>
  <c r="AI202" i="14"/>
  <c r="AH200" i="14"/>
  <c r="AI201" i="14"/>
  <c r="AI207" i="14"/>
  <c r="AH203" i="14"/>
  <c r="AH207" i="14"/>
  <c r="AI208" i="14"/>
  <c r="AH206" i="14"/>
  <c r="AI206" i="14"/>
  <c r="AI203" i="14"/>
  <c r="E199" i="14"/>
  <c r="Z242" i="14"/>
  <c r="Y236" i="14"/>
  <c r="AO234" i="14"/>
  <c r="AO239" i="14"/>
  <c r="AN242" i="14"/>
  <c r="AN234" i="14"/>
  <c r="AN240" i="14"/>
  <c r="AO237" i="14"/>
  <c r="AN237" i="14"/>
  <c r="AN241" i="14"/>
  <c r="AO236" i="14"/>
  <c r="AO242" i="14"/>
  <c r="AN236" i="14"/>
  <c r="AO241" i="14"/>
  <c r="AO235" i="14"/>
  <c r="AO240" i="14"/>
  <c r="AN239" i="14"/>
  <c r="AN238" i="14"/>
  <c r="AO238" i="14"/>
  <c r="AN235" i="14"/>
  <c r="M233" i="14"/>
  <c r="W190" i="14"/>
  <c r="C183" i="14"/>
  <c r="X190" i="14"/>
  <c r="H183" i="14"/>
  <c r="D433" i="17"/>
  <c r="I77" i="1"/>
  <c r="W276" i="14"/>
  <c r="W270" i="14"/>
  <c r="AI272" i="14"/>
  <c r="AH271" i="14"/>
  <c r="AI275" i="14"/>
  <c r="AH276" i="14"/>
  <c r="AI268" i="14"/>
  <c r="AH275" i="14"/>
  <c r="AH268" i="14"/>
  <c r="AH269" i="14"/>
  <c r="AI271" i="14"/>
  <c r="AH274" i="14"/>
  <c r="AI273" i="14"/>
  <c r="AI269" i="14"/>
  <c r="AH270" i="14"/>
  <c r="AH273" i="14"/>
  <c r="AH272" i="14"/>
  <c r="AI276" i="14"/>
  <c r="AI274" i="14"/>
  <c r="AI270" i="14"/>
  <c r="E267" i="14"/>
  <c r="Y242" i="14"/>
  <c r="AM236" i="14"/>
  <c r="AM238" i="14"/>
  <c r="AL241" i="14"/>
  <c r="AL237" i="14"/>
  <c r="AL234" i="14"/>
  <c r="AL235" i="14"/>
  <c r="AM234" i="14"/>
  <c r="AL238" i="14"/>
  <c r="AM235" i="14"/>
  <c r="AM241" i="14"/>
  <c r="AM237" i="14"/>
  <c r="AL236" i="14"/>
  <c r="AM240" i="14"/>
  <c r="AL240" i="14"/>
  <c r="AL239" i="14"/>
  <c r="AL242" i="14"/>
  <c r="AM242" i="14"/>
  <c r="AM239" i="14"/>
  <c r="L233" i="14"/>
  <c r="X46" i="9"/>
  <c r="D444" i="17"/>
  <c r="I82" i="1"/>
  <c r="AB307" i="14"/>
  <c r="AB303" i="14"/>
  <c r="AB308" i="14"/>
  <c r="AB304" i="14"/>
  <c r="AB302" i="14"/>
  <c r="AB305" i="14"/>
  <c r="AB310" i="14"/>
  <c r="AB309" i="14"/>
  <c r="AB306" i="14"/>
  <c r="AC310" i="14"/>
  <c r="AC304" i="14"/>
  <c r="AC305" i="14"/>
  <c r="AC306" i="14"/>
  <c r="AC308" i="14"/>
  <c r="AC307" i="14"/>
  <c r="AC309" i="14"/>
  <c r="AC302" i="14"/>
  <c r="AC303" i="14"/>
  <c r="X276" i="14"/>
  <c r="AJ275" i="14"/>
  <c r="AK272" i="14"/>
  <c r="AJ270" i="14"/>
  <c r="AJ268" i="14"/>
  <c r="AK276" i="14"/>
  <c r="AK273" i="14"/>
  <c r="AK274" i="14"/>
  <c r="AJ273" i="14"/>
  <c r="AK270" i="14"/>
  <c r="AJ276" i="14"/>
  <c r="AK268" i="14"/>
  <c r="AK271" i="14"/>
  <c r="AJ271" i="14"/>
  <c r="AK275" i="14"/>
  <c r="AK269" i="14"/>
  <c r="AJ272" i="14"/>
  <c r="AJ274" i="14"/>
  <c r="AJ269" i="14"/>
  <c r="F267" i="14"/>
  <c r="AE271" i="14"/>
  <c r="AE276" i="14"/>
  <c r="AE275" i="14"/>
  <c r="AE270" i="14"/>
  <c r="AE268" i="14"/>
  <c r="AE272" i="14"/>
  <c r="AE269" i="14"/>
  <c r="AE274" i="14"/>
  <c r="AE273" i="14"/>
  <c r="AD271" i="14"/>
  <c r="AD268" i="14"/>
  <c r="AD275" i="14"/>
  <c r="AD272" i="14"/>
  <c r="AD269" i="14"/>
  <c r="AD276" i="14"/>
  <c r="AD270" i="14"/>
  <c r="AD274" i="14"/>
  <c r="AD273" i="14"/>
  <c r="X208" i="14"/>
  <c r="AK202" i="14"/>
  <c r="AJ201" i="14"/>
  <c r="AJ205" i="14"/>
  <c r="AK205" i="14"/>
  <c r="AJ200" i="14"/>
  <c r="AK207" i="14"/>
  <c r="AJ203" i="14"/>
  <c r="AJ207" i="14"/>
  <c r="AK206" i="14"/>
  <c r="AK204" i="14"/>
  <c r="AK203" i="14"/>
  <c r="AK208" i="14"/>
  <c r="AJ208" i="14"/>
  <c r="AJ202" i="14"/>
  <c r="AJ206" i="14"/>
  <c r="AJ204" i="14"/>
  <c r="AK200" i="14"/>
  <c r="AK201" i="14"/>
  <c r="F199" i="14"/>
  <c r="W52" i="9"/>
  <c r="W48" i="9"/>
  <c r="Y186" i="14"/>
  <c r="Z190" i="14"/>
  <c r="O183" i="14"/>
  <c r="Y190" i="14"/>
  <c r="J183" i="14"/>
  <c r="X52" i="9"/>
  <c r="W206" i="14"/>
  <c r="C199" i="14"/>
  <c r="X206" i="14"/>
  <c r="H199" i="14"/>
  <c r="Z240" i="14"/>
  <c r="O233" i="14"/>
  <c r="Y240" i="14"/>
  <c r="J233" i="14"/>
  <c r="BD62" i="1"/>
  <c r="V46" i="9"/>
  <c r="AB46" i="9"/>
  <c r="N513" i="4"/>
  <c r="BE62" i="1"/>
  <c r="X51" i="9"/>
  <c r="W51" i="9"/>
  <c r="W274" i="14"/>
  <c r="C267" i="14"/>
  <c r="X274" i="14"/>
  <c r="H267" i="14"/>
  <c r="X48" i="9"/>
  <c r="Y202" i="14"/>
  <c r="Y206" i="14"/>
  <c r="J199" i="14"/>
  <c r="Z206" i="14"/>
  <c r="O199" i="14"/>
  <c r="Y192" i="14"/>
  <c r="AM184" i="14"/>
  <c r="AL184" i="14"/>
  <c r="AM185" i="14"/>
  <c r="AM187" i="14"/>
  <c r="AL190" i="14"/>
  <c r="AM190" i="14"/>
  <c r="AL188" i="14"/>
  <c r="AM189" i="14"/>
  <c r="AL185" i="14"/>
  <c r="AM188" i="14"/>
  <c r="AM192" i="14"/>
  <c r="AM186" i="14"/>
  <c r="AM191" i="14"/>
  <c r="AL186" i="14"/>
  <c r="AL192" i="14"/>
  <c r="AL189" i="14"/>
  <c r="AL187" i="14"/>
  <c r="AL191" i="14"/>
  <c r="L183" i="14"/>
  <c r="D344" i="17"/>
  <c r="I62" i="1"/>
  <c r="BD75" i="1"/>
  <c r="BE75" i="1"/>
  <c r="T51" i="9"/>
  <c r="U51" i="9"/>
  <c r="O232" i="14"/>
  <c r="F74" i="1"/>
  <c r="W47" i="9"/>
  <c r="D390" i="17"/>
  <c r="M69" i="1"/>
  <c r="F63" i="1"/>
  <c r="W242" i="14"/>
  <c r="W236" i="14"/>
  <c r="AI240" i="14"/>
  <c r="AH239" i="14"/>
  <c r="AI235" i="14"/>
  <c r="AH242" i="14"/>
  <c r="AH237" i="14"/>
  <c r="AI236" i="14"/>
  <c r="AH234" i="14"/>
  <c r="AI242" i="14"/>
  <c r="AI239" i="14"/>
  <c r="AI238" i="14"/>
  <c r="AI234" i="14"/>
  <c r="AI237" i="14"/>
  <c r="AH241" i="14"/>
  <c r="AH235" i="14"/>
  <c r="AH240" i="14"/>
  <c r="AH236" i="14"/>
  <c r="AH238" i="14"/>
  <c r="AI241" i="14"/>
  <c r="E233" i="14"/>
  <c r="Z192" i="14"/>
  <c r="X47" i="9"/>
  <c r="AE199" i="14"/>
  <c r="AE206" i="14"/>
  <c r="AE201" i="14"/>
  <c r="AE208" i="14"/>
  <c r="AE205" i="14"/>
  <c r="AE200" i="14"/>
  <c r="AE203" i="14"/>
  <c r="AE204" i="14"/>
  <c r="AE202" i="14"/>
  <c r="AE207" i="14"/>
  <c r="G63" i="1"/>
  <c r="N183" i="14"/>
  <c r="AN188" i="14"/>
  <c r="AO184" i="14"/>
  <c r="AO188" i="14"/>
  <c r="AO186" i="14"/>
  <c r="AN192" i="14"/>
  <c r="AN184" i="14"/>
  <c r="AN189" i="14"/>
  <c r="AN185" i="14"/>
  <c r="AO187" i="14"/>
  <c r="AO190" i="14"/>
  <c r="AN187" i="14"/>
  <c r="AO185" i="14"/>
  <c r="AO189" i="14"/>
  <c r="AO191" i="14"/>
  <c r="AN186" i="14"/>
  <c r="AN191" i="14"/>
  <c r="AN190" i="14"/>
  <c r="AO192" i="14"/>
  <c r="M183" i="14"/>
  <c r="N233" i="14"/>
  <c r="AE233" i="14"/>
  <c r="AC274" i="14"/>
  <c r="AC275" i="14"/>
  <c r="AC273" i="14"/>
  <c r="AC276" i="14"/>
  <c r="AC270" i="14"/>
  <c r="AC272" i="14"/>
  <c r="AC268" i="14"/>
  <c r="AC271" i="14"/>
  <c r="AC269" i="14"/>
  <c r="H232" i="14"/>
  <c r="Y208" i="14"/>
  <c r="AM206" i="14"/>
  <c r="AL202" i="14"/>
  <c r="AM207" i="14"/>
  <c r="AM204" i="14"/>
  <c r="AL206" i="14"/>
  <c r="AM203" i="14"/>
  <c r="AM208" i="14"/>
  <c r="AL200" i="14"/>
  <c r="AM200" i="14"/>
  <c r="AL201" i="14"/>
  <c r="AL208" i="14"/>
  <c r="AL205" i="14"/>
  <c r="AL203" i="14"/>
  <c r="AL207" i="14"/>
  <c r="AM202" i="14"/>
  <c r="AL204" i="14"/>
  <c r="AM201" i="14"/>
  <c r="AM205" i="14"/>
  <c r="L199" i="14"/>
  <c r="G233" i="14"/>
  <c r="AC233" i="14"/>
  <c r="BD76" i="1"/>
  <c r="N114" i="4"/>
  <c r="BE76" i="1"/>
  <c r="X242" i="14"/>
  <c r="AJ239" i="14"/>
  <c r="AJ238" i="14"/>
  <c r="AK239" i="14"/>
  <c r="AK235" i="14"/>
  <c r="AK236" i="14"/>
  <c r="AK240" i="14"/>
  <c r="AK238" i="14"/>
  <c r="AK242" i="14"/>
  <c r="AJ237" i="14"/>
  <c r="AK237" i="14"/>
  <c r="AJ236" i="14"/>
  <c r="AJ235" i="14"/>
  <c r="AK234" i="14"/>
  <c r="AJ242" i="14"/>
  <c r="AK241" i="14"/>
  <c r="AJ241" i="14"/>
  <c r="AJ240" i="14"/>
  <c r="AJ234" i="14"/>
  <c r="F233" i="14"/>
  <c r="Z208" i="14"/>
  <c r="AO202" i="14"/>
  <c r="AO200" i="14"/>
  <c r="AO204" i="14"/>
  <c r="AO203" i="14"/>
  <c r="AN206" i="14"/>
  <c r="AO208" i="14"/>
  <c r="AO205" i="14"/>
  <c r="AN207" i="14"/>
  <c r="AO207" i="14"/>
  <c r="AO201" i="14"/>
  <c r="AN200" i="14"/>
  <c r="AO206" i="14"/>
  <c r="AN205" i="14"/>
  <c r="AN203" i="14"/>
  <c r="AN204" i="14"/>
  <c r="AN201" i="14"/>
  <c r="AN202" i="14"/>
  <c r="AN208" i="14"/>
  <c r="M199" i="14"/>
  <c r="X240" i="14"/>
  <c r="H233" i="14"/>
  <c r="W50" i="9"/>
  <c r="K233" i="14"/>
  <c r="AD233" i="14"/>
  <c r="AD235" i="14"/>
  <c r="AD240" i="14"/>
  <c r="AD239" i="14"/>
  <c r="AD241" i="14"/>
  <c r="AD236" i="14"/>
  <c r="AD234" i="14"/>
  <c r="AD238" i="14"/>
  <c r="AD237" i="14"/>
  <c r="AD242" i="14"/>
  <c r="D345" i="17"/>
  <c r="M62" i="1"/>
  <c r="G76" i="1"/>
  <c r="X49" i="9"/>
  <c r="W49" i="9"/>
  <c r="D356" i="17"/>
  <c r="M63" i="1"/>
  <c r="F76" i="1"/>
  <c r="G69" i="1"/>
  <c r="G62" i="1"/>
  <c r="X50" i="9"/>
  <c r="T49" i="9"/>
  <c r="U47" i="9"/>
  <c r="AB240" i="14"/>
  <c r="AB234" i="14"/>
  <c r="AB236" i="14"/>
  <c r="AB238" i="14"/>
  <c r="AB241" i="14"/>
  <c r="AB242" i="14"/>
  <c r="AB237" i="14"/>
  <c r="AB239" i="14"/>
  <c r="AB235" i="14"/>
  <c r="F69" i="1"/>
  <c r="D423" i="17"/>
  <c r="M76" i="1"/>
  <c r="W240" i="14"/>
  <c r="C233" i="14"/>
  <c r="BD74" i="1"/>
  <c r="BE74" i="1"/>
  <c r="T50" i="9"/>
  <c r="D199" i="14"/>
  <c r="AB199" i="14"/>
  <c r="AB203" i="14"/>
  <c r="AB206" i="14"/>
  <c r="AB205" i="14"/>
  <c r="AB201" i="14"/>
  <c r="AB200" i="14"/>
  <c r="AB204" i="14"/>
  <c r="AB208" i="14"/>
  <c r="AB202" i="14"/>
  <c r="AB207" i="14"/>
  <c r="K199" i="14"/>
  <c r="AD199" i="14"/>
  <c r="AD203" i="14"/>
  <c r="AD208" i="14"/>
  <c r="AD201" i="14"/>
  <c r="AD206" i="14"/>
  <c r="AD205" i="14"/>
  <c r="AD204" i="14"/>
  <c r="AD207" i="14"/>
  <c r="AD202" i="14"/>
  <c r="AD200" i="14"/>
  <c r="K183" i="14"/>
  <c r="AD183" i="14"/>
  <c r="AD187" i="14"/>
  <c r="AD192" i="14"/>
  <c r="AD190" i="14"/>
  <c r="AD185" i="14"/>
  <c r="AD186" i="14"/>
  <c r="AD191" i="14"/>
  <c r="AD189" i="14"/>
  <c r="AD188" i="14"/>
  <c r="AD184" i="14"/>
  <c r="AE183" i="14"/>
  <c r="AE190" i="14"/>
  <c r="AE187" i="14"/>
  <c r="AE185" i="14"/>
  <c r="AE186" i="14"/>
  <c r="AE189" i="14"/>
  <c r="AE184" i="14"/>
  <c r="AE191" i="14"/>
  <c r="AE192" i="14"/>
  <c r="AE188" i="14"/>
  <c r="D400" i="17"/>
  <c r="I74" i="1"/>
  <c r="H266" i="14"/>
  <c r="G75" i="1"/>
  <c r="BD63" i="1"/>
  <c r="V47" i="9"/>
  <c r="AB47" i="9"/>
  <c r="N413" i="4"/>
  <c r="BE63" i="1"/>
  <c r="T47" i="9"/>
  <c r="D378" i="17"/>
  <c r="I68" i="1"/>
  <c r="D355" i="17"/>
  <c r="I63" i="1"/>
  <c r="AB183" i="14"/>
  <c r="BD69" i="1"/>
  <c r="BE69" i="1"/>
  <c r="U49" i="9"/>
  <c r="BD68" i="1"/>
  <c r="BE68" i="1"/>
  <c r="T48" i="9"/>
  <c r="U48" i="9"/>
  <c r="AC234" i="14"/>
  <c r="AC235" i="14"/>
  <c r="AC236" i="14"/>
  <c r="AC240" i="14"/>
  <c r="AC242" i="14"/>
  <c r="AC237" i="14"/>
  <c r="AC238" i="14"/>
  <c r="AC241" i="14"/>
  <c r="AC239" i="14"/>
  <c r="AE236" i="14"/>
  <c r="AE234" i="14"/>
  <c r="AE239" i="14"/>
  <c r="AE238" i="14"/>
  <c r="AE242" i="14"/>
  <c r="AE235" i="14"/>
  <c r="AE237" i="14"/>
  <c r="AE241" i="14"/>
  <c r="AE240" i="14"/>
  <c r="AB267" i="14"/>
  <c r="AB272" i="14"/>
  <c r="AB268" i="14"/>
  <c r="AB276" i="14"/>
  <c r="AB270" i="14"/>
  <c r="AB275" i="14"/>
  <c r="AB273" i="14"/>
  <c r="AB274" i="14"/>
  <c r="AB271" i="14"/>
  <c r="AB269" i="14"/>
  <c r="G199" i="14"/>
  <c r="AC199" i="14"/>
  <c r="AC204" i="14"/>
  <c r="AC203" i="14"/>
  <c r="AC200" i="14"/>
  <c r="AC202" i="14"/>
  <c r="AC207" i="14"/>
  <c r="AC205" i="14"/>
  <c r="AC206" i="14"/>
  <c r="AC208" i="14"/>
  <c r="AC201" i="14"/>
  <c r="D389" i="17"/>
  <c r="I69" i="1"/>
  <c r="AB186" i="14"/>
  <c r="AB188" i="14"/>
  <c r="AB191" i="14"/>
  <c r="AB184" i="14"/>
  <c r="AB185" i="14"/>
  <c r="AB190" i="14"/>
  <c r="AB192" i="14"/>
  <c r="AB187" i="14"/>
  <c r="AB189" i="14"/>
  <c r="D422" i="17"/>
  <c r="I76" i="1"/>
  <c r="D401" i="17"/>
  <c r="M74" i="1"/>
  <c r="D411" i="17"/>
  <c r="I75" i="1"/>
  <c r="D412" i="17"/>
  <c r="M75" i="1"/>
  <c r="J708" i="17" l="1"/>
  <c r="AK395" i="17"/>
  <c r="AB648" i="17"/>
  <c r="S699" i="17"/>
  <c r="O700" i="17"/>
  <c r="AD687" i="17"/>
  <c r="V707" i="17"/>
  <c r="AD684" i="17"/>
  <c r="AD689" i="17"/>
  <c r="O653" i="17"/>
  <c r="P593" i="17"/>
  <c r="AB653" i="17"/>
  <c r="J711" i="17"/>
  <c r="AK708" i="17"/>
  <c r="AD711" i="17"/>
  <c r="Z709" i="17"/>
  <c r="S710" i="17"/>
  <c r="I663" i="17"/>
  <c r="O539" i="17"/>
  <c r="AI468" i="17"/>
  <c r="M651" i="17"/>
  <c r="M650" i="17"/>
  <c r="M649" i="17"/>
  <c r="H649" i="17"/>
  <c r="P649" i="17"/>
  <c r="Q660" i="17"/>
  <c r="O584" i="17"/>
  <c r="L403" i="17"/>
  <c r="AD424" i="17"/>
  <c r="AH472" i="17"/>
  <c r="S481" i="17"/>
  <c r="AI582" i="17"/>
  <c r="L631" i="17"/>
  <c r="R651" i="17"/>
  <c r="V648" i="17"/>
  <c r="AA650" i="17"/>
  <c r="AB651" i="17"/>
  <c r="AB650" i="17"/>
  <c r="Y649" i="17"/>
  <c r="O648" i="17"/>
  <c r="O651" i="17"/>
  <c r="AE649" i="17"/>
  <c r="H659" i="17"/>
  <c r="Q659" i="17"/>
  <c r="I662" i="17"/>
  <c r="J706" i="17"/>
  <c r="AK709" i="17"/>
  <c r="AD706" i="17"/>
  <c r="AD710" i="17"/>
  <c r="Z707" i="17"/>
  <c r="S707" i="17"/>
  <c r="AA711" i="17"/>
  <c r="J381" i="17"/>
  <c r="M357" i="17"/>
  <c r="Y392" i="17"/>
  <c r="Y651" i="17"/>
  <c r="AB641" i="17"/>
  <c r="H640" i="17"/>
  <c r="W450" i="17"/>
  <c r="Y457" i="17"/>
  <c r="J458" i="17"/>
  <c r="AH468" i="17"/>
  <c r="AH469" i="17"/>
  <c r="T473" i="17"/>
  <c r="AE473" i="17"/>
  <c r="AI470" i="17"/>
  <c r="V472" i="17"/>
  <c r="AC473" i="17"/>
  <c r="W490" i="17"/>
  <c r="Y559" i="17"/>
  <c r="AI584" i="17"/>
  <c r="AF583" i="17"/>
  <c r="AJ583" i="17"/>
  <c r="M582" i="17"/>
  <c r="O595" i="17"/>
  <c r="V630" i="17"/>
  <c r="AC649" i="17"/>
  <c r="R649" i="17"/>
  <c r="R648" i="17"/>
  <c r="AB688" i="17"/>
  <c r="AG686" i="17"/>
  <c r="Q689" i="17"/>
  <c r="I490" i="17"/>
  <c r="I493" i="17"/>
  <c r="W495" i="17"/>
  <c r="W494" i="17"/>
  <c r="W583" i="17"/>
  <c r="AI601" i="17"/>
  <c r="V631" i="17"/>
  <c r="AC650" i="17"/>
  <c r="AC652" i="17"/>
  <c r="Z651" i="17"/>
  <c r="M652" i="17"/>
  <c r="M653" i="17"/>
  <c r="H648" i="17"/>
  <c r="H653" i="17"/>
  <c r="P653" i="17"/>
  <c r="P651" i="17"/>
  <c r="AI652" i="17"/>
  <c r="R652" i="17"/>
  <c r="R653" i="17"/>
  <c r="V650" i="17"/>
  <c r="V649" i="17"/>
  <c r="AA652" i="17"/>
  <c r="AA653" i="17"/>
  <c r="W653" i="17"/>
  <c r="AB652" i="17"/>
  <c r="Y653" i="17"/>
  <c r="M641" i="17"/>
  <c r="AB638" i="17"/>
  <c r="H638" i="17"/>
  <c r="H637" i="17"/>
  <c r="AA350" i="17"/>
  <c r="R361" i="17"/>
  <c r="Y395" i="17"/>
  <c r="Y391" i="17"/>
  <c r="X391" i="17"/>
  <c r="K395" i="17"/>
  <c r="AI407" i="17"/>
  <c r="U437" i="17"/>
  <c r="X524" i="17"/>
  <c r="AK561" i="17"/>
  <c r="AG561" i="17"/>
  <c r="V569" i="17"/>
  <c r="AI583" i="17"/>
  <c r="M696" i="17"/>
  <c r="S700" i="17"/>
  <c r="M685" i="17"/>
  <c r="T347" i="17"/>
  <c r="Q359" i="17"/>
  <c r="AH385" i="17"/>
  <c r="J383" i="17"/>
  <c r="V385" i="17"/>
  <c r="R380" i="17"/>
  <c r="AK391" i="17"/>
  <c r="AK396" i="17"/>
  <c r="I394" i="17"/>
  <c r="V394" i="17"/>
  <c r="AD404" i="17"/>
  <c r="AI403" i="17"/>
  <c r="AI406" i="17"/>
  <c r="AG416" i="17"/>
  <c r="T413" i="17"/>
  <c r="I416" i="17"/>
  <c r="S416" i="17"/>
  <c r="V425" i="17"/>
  <c r="AE425" i="17"/>
  <c r="AJ450" i="17"/>
  <c r="X460" i="17"/>
  <c r="AI459" i="17"/>
  <c r="L469" i="17"/>
  <c r="AA491" i="17"/>
  <c r="J493" i="17"/>
  <c r="S490" i="17"/>
  <c r="N504" i="17"/>
  <c r="AI524" i="17"/>
  <c r="T535" i="17"/>
  <c r="J547" i="17"/>
  <c r="T557" i="17"/>
  <c r="AK562" i="17"/>
  <c r="H561" i="17"/>
  <c r="L558" i="17"/>
  <c r="Y560" i="17"/>
  <c r="M558" i="17"/>
  <c r="AG559" i="17"/>
  <c r="AG558" i="17"/>
  <c r="V571" i="17"/>
  <c r="V568" i="17"/>
  <c r="S570" i="17"/>
  <c r="K573" i="17"/>
  <c r="L581" i="17"/>
  <c r="O580" i="17"/>
  <c r="O579" i="17"/>
  <c r="H579" i="17"/>
  <c r="Y582" i="17"/>
  <c r="M580" i="17"/>
  <c r="AA591" i="17"/>
  <c r="O593" i="17"/>
  <c r="O590" i="17"/>
  <c r="AF602" i="17"/>
  <c r="AE628" i="17"/>
  <c r="AA627" i="17"/>
  <c r="Z662" i="17"/>
  <c r="J709" i="17"/>
  <c r="J707" i="17"/>
  <c r="AK711" i="17"/>
  <c r="AK706" i="17"/>
  <c r="AD707" i="17"/>
  <c r="AD708" i="17"/>
  <c r="Z711" i="17"/>
  <c r="Z708" i="17"/>
  <c r="S708" i="17"/>
  <c r="S711" i="17"/>
  <c r="AB684" i="17"/>
  <c r="AA706" i="17"/>
  <c r="L640" i="17"/>
  <c r="W347" i="17"/>
  <c r="W346" i="17"/>
  <c r="W351" i="17"/>
  <c r="AA357" i="17"/>
  <c r="AI359" i="17"/>
  <c r="AE359" i="17"/>
  <c r="P385" i="17"/>
  <c r="J392" i="17"/>
  <c r="H392" i="17"/>
  <c r="V392" i="17"/>
  <c r="O392" i="17"/>
  <c r="AJ404" i="17"/>
  <c r="L402" i="17"/>
  <c r="S414" i="17"/>
  <c r="P416" i="17"/>
  <c r="H414" i="17"/>
  <c r="L416" i="17"/>
  <c r="Q426" i="17"/>
  <c r="U425" i="17"/>
  <c r="AK440" i="17"/>
  <c r="AH437" i="17"/>
  <c r="S451" i="17"/>
  <c r="AF457" i="17"/>
  <c r="Q461" i="17"/>
  <c r="AD458" i="17"/>
  <c r="AJ470" i="17"/>
  <c r="Z471" i="17"/>
  <c r="H472" i="17"/>
  <c r="J468" i="17"/>
  <c r="O481" i="17"/>
  <c r="S493" i="17"/>
  <c r="T503" i="17"/>
  <c r="W504" i="17"/>
  <c r="R524" i="17"/>
  <c r="H525" i="17"/>
  <c r="AC525" i="17"/>
  <c r="V535" i="17"/>
  <c r="X536" i="17"/>
  <c r="AJ538" i="17"/>
  <c r="AE546" i="17"/>
  <c r="V561" i="17"/>
  <c r="J558" i="17"/>
  <c r="AH571" i="17"/>
  <c r="W569" i="17"/>
  <c r="AA579" i="17"/>
  <c r="S580" i="17"/>
  <c r="AK581" i="17"/>
  <c r="M581" i="17"/>
  <c r="M583" i="17"/>
  <c r="AB580" i="17"/>
  <c r="W580" i="17"/>
  <c r="W579" i="17"/>
  <c r="U581" i="17"/>
  <c r="M595" i="17"/>
  <c r="P605" i="17"/>
  <c r="T606" i="17"/>
  <c r="V628" i="17"/>
  <c r="V627" i="17"/>
  <c r="V632" i="17" s="1"/>
  <c r="V629" i="17"/>
  <c r="AE629" i="17"/>
  <c r="R631" i="17"/>
  <c r="Q627" i="17"/>
  <c r="AA629" i="17"/>
  <c r="AA630" i="17"/>
  <c r="T661" i="17"/>
  <c r="AB697" i="17"/>
  <c r="AD685" i="17"/>
  <c r="AD686" i="17"/>
  <c r="V686" i="17"/>
  <c r="Y688" i="17"/>
  <c r="M637" i="17"/>
  <c r="M638" i="17"/>
  <c r="AI638" i="17"/>
  <c r="U642" i="17"/>
  <c r="AE638" i="17"/>
  <c r="M391" i="17"/>
  <c r="J391" i="17"/>
  <c r="AI395" i="17"/>
  <c r="AF396" i="17"/>
  <c r="Z407" i="17"/>
  <c r="S404" i="17"/>
  <c r="H406" i="17"/>
  <c r="M403" i="17"/>
  <c r="I404" i="17"/>
  <c r="AE406" i="17"/>
  <c r="I418" i="17"/>
  <c r="S415" i="17"/>
  <c r="S413" i="17"/>
  <c r="S417" i="17"/>
  <c r="P418" i="17"/>
  <c r="P417" i="17"/>
  <c r="W417" i="17"/>
  <c r="J413" i="17"/>
  <c r="AF414" i="17"/>
  <c r="V427" i="17"/>
  <c r="V426" i="17"/>
  <c r="AD428" i="17"/>
  <c r="AD429" i="17"/>
  <c r="AF429" i="17"/>
  <c r="O429" i="17"/>
  <c r="L425" i="17"/>
  <c r="AJ436" i="17"/>
  <c r="U435" i="17"/>
  <c r="U440" i="17"/>
  <c r="R438" i="17"/>
  <c r="AH436" i="17"/>
  <c r="AH435" i="17"/>
  <c r="L439" i="17"/>
  <c r="T437" i="17"/>
  <c r="Q448" i="17"/>
  <c r="V451" i="17"/>
  <c r="AF450" i="17"/>
  <c r="Z459" i="17"/>
  <c r="AK460" i="17"/>
  <c r="AC462" i="17"/>
  <c r="AF460" i="17"/>
  <c r="AF461" i="17"/>
  <c r="W458" i="17"/>
  <c r="X459" i="17"/>
  <c r="X461" i="17"/>
  <c r="R460" i="17"/>
  <c r="AJ472" i="17"/>
  <c r="AJ471" i="17"/>
  <c r="J471" i="17"/>
  <c r="J470" i="17"/>
  <c r="S472" i="17"/>
  <c r="Q469" i="17"/>
  <c r="N484" i="17"/>
  <c r="V482" i="17"/>
  <c r="V480" i="17"/>
  <c r="V483" i="17"/>
  <c r="AB348" i="17"/>
  <c r="U347" i="17"/>
  <c r="Z350" i="17"/>
  <c r="AE349" i="17"/>
  <c r="M361" i="17"/>
  <c r="M359" i="17"/>
  <c r="N359" i="17"/>
  <c r="P360" i="17"/>
  <c r="X357" i="17"/>
  <c r="O359" i="17"/>
  <c r="AE360" i="17"/>
  <c r="AA383" i="17"/>
  <c r="AH382" i="17"/>
  <c r="AH383" i="17"/>
  <c r="AB384" i="17"/>
  <c r="Z383" i="17"/>
  <c r="V393" i="17"/>
  <c r="P403" i="17"/>
  <c r="AJ406" i="17"/>
  <c r="AJ405" i="17"/>
  <c r="U407" i="17"/>
  <c r="P481" i="17"/>
  <c r="H484" i="17"/>
  <c r="AI484" i="17"/>
  <c r="AD505" i="17"/>
  <c r="N501" i="17"/>
  <c r="N502" i="17"/>
  <c r="K503" i="17"/>
  <c r="U506" i="17"/>
  <c r="M527" i="17"/>
  <c r="V528" i="17"/>
  <c r="Z527" i="17"/>
  <c r="H528" i="17"/>
  <c r="H527" i="17"/>
  <c r="Q528" i="17"/>
  <c r="J527" i="17"/>
  <c r="AC526" i="17"/>
  <c r="AC527" i="17"/>
  <c r="V540" i="17"/>
  <c r="V538" i="17"/>
  <c r="J539" i="17"/>
  <c r="O535" i="17"/>
  <c r="O536" i="17"/>
  <c r="W536" i="17"/>
  <c r="AA535" i="17"/>
  <c r="X535" i="17"/>
  <c r="Z539" i="17"/>
  <c r="R537" i="17"/>
  <c r="AD538" i="17"/>
  <c r="S540" i="17"/>
  <c r="AB551" i="17"/>
  <c r="J549" i="17"/>
  <c r="J551" i="17"/>
  <c r="AC549" i="17"/>
  <c r="K557" i="17"/>
  <c r="N570" i="17"/>
  <c r="T568" i="17"/>
  <c r="J580" i="17"/>
  <c r="L582" i="17"/>
  <c r="L579" i="17"/>
  <c r="AC579" i="17"/>
  <c r="AA581" i="17"/>
  <c r="AA583" i="17"/>
  <c r="AH584" i="17"/>
  <c r="I579" i="17"/>
  <c r="AI579" i="17"/>
  <c r="AI581" i="17"/>
  <c r="AF579" i="17"/>
  <c r="AF581" i="17"/>
  <c r="AJ582" i="17"/>
  <c r="AJ584" i="17"/>
  <c r="AE583" i="17"/>
  <c r="S579" i="17"/>
  <c r="S584" i="17"/>
  <c r="AD582" i="17"/>
  <c r="K581" i="17"/>
  <c r="O581" i="17"/>
  <c r="O583" i="17"/>
  <c r="H581" i="17"/>
  <c r="H580" i="17"/>
  <c r="Y583" i="17"/>
  <c r="Y581" i="17"/>
  <c r="X580" i="17"/>
  <c r="AK584" i="17"/>
  <c r="AK580" i="17"/>
  <c r="R579" i="17"/>
  <c r="AG584" i="17"/>
  <c r="M584" i="17"/>
  <c r="AB582" i="17"/>
  <c r="AB583" i="17"/>
  <c r="Z664" i="17"/>
  <c r="Z661" i="17"/>
  <c r="AH661" i="17"/>
  <c r="O688" i="17"/>
  <c r="R637" i="17"/>
  <c r="L492" i="17"/>
  <c r="S591" i="17"/>
  <c r="M591" i="17"/>
  <c r="M594" i="17"/>
  <c r="AE590" i="17"/>
  <c r="AK700" i="17"/>
  <c r="T687" i="17"/>
  <c r="M688" i="17"/>
  <c r="M687" i="17"/>
  <c r="AA688" i="17"/>
  <c r="H689" i="17"/>
  <c r="AG687" i="17"/>
  <c r="AG689" i="17"/>
  <c r="Q686" i="17"/>
  <c r="Q688" i="17"/>
  <c r="AD640" i="17"/>
  <c r="Y686" i="17"/>
  <c r="Y685" i="17"/>
  <c r="AF684" i="17"/>
  <c r="P686" i="17"/>
  <c r="X639" i="17"/>
  <c r="AB346" i="17"/>
  <c r="AK349" i="17"/>
  <c r="AA346" i="17"/>
  <c r="AA348" i="17"/>
  <c r="L346" i="17"/>
  <c r="Y350" i="17"/>
  <c r="AH350" i="17"/>
  <c r="N351" i="17"/>
  <c r="AC351" i="17"/>
  <c r="Z349" i="17"/>
  <c r="Z346" i="17"/>
  <c r="V348" i="17"/>
  <c r="P346" i="17"/>
  <c r="AG346" i="17"/>
  <c r="M349" i="17"/>
  <c r="Q351" i="17"/>
  <c r="O350" i="17"/>
  <c r="AJ349" i="17"/>
  <c r="K351" i="17"/>
  <c r="AE350" i="17"/>
  <c r="AE347" i="17"/>
  <c r="AD360" i="17"/>
  <c r="M358" i="17"/>
  <c r="M360" i="17"/>
  <c r="N361" i="17"/>
  <c r="N357" i="17"/>
  <c r="P358" i="17"/>
  <c r="P362" i="17"/>
  <c r="AF361" i="17"/>
  <c r="AI358" i="17"/>
  <c r="AI361" i="17"/>
  <c r="AK360" i="17"/>
  <c r="J361" i="17"/>
  <c r="AG360" i="17"/>
  <c r="T362" i="17"/>
  <c r="R362" i="17"/>
  <c r="R360" i="17"/>
  <c r="T381" i="17"/>
  <c r="H383" i="17"/>
  <c r="O384" i="17"/>
  <c r="O380" i="17"/>
  <c r="AD383" i="17"/>
  <c r="W392" i="17"/>
  <c r="T391" i="17"/>
  <c r="N396" i="17"/>
  <c r="Z392" i="17"/>
  <c r="AD391" i="17"/>
  <c r="H396" i="17"/>
  <c r="AA393" i="17"/>
  <c r="AJ392" i="17"/>
  <c r="AK392" i="17"/>
  <c r="AK393" i="17"/>
  <c r="I395" i="17"/>
  <c r="AC393" i="17"/>
  <c r="P395" i="17"/>
  <c r="AF391" i="17"/>
  <c r="T581" i="17"/>
  <c r="T584" i="17"/>
  <c r="AH595" i="17"/>
  <c r="AH590" i="17"/>
  <c r="AI593" i="17"/>
  <c r="AI590" i="17"/>
  <c r="T594" i="17"/>
  <c r="T591" i="17"/>
  <c r="W605" i="17"/>
  <c r="W606" i="17"/>
  <c r="R606" i="17"/>
  <c r="R605" i="17"/>
  <c r="AF628" i="17"/>
  <c r="AF627" i="17"/>
  <c r="Z631" i="17"/>
  <c r="Z627" i="17"/>
  <c r="AG664" i="17"/>
  <c r="AG659" i="17"/>
  <c r="Y699" i="17"/>
  <c r="Y698" i="17"/>
  <c r="T695" i="17"/>
  <c r="T698" i="17"/>
  <c r="R699" i="17"/>
  <c r="R696" i="17"/>
  <c r="AH695" i="17"/>
  <c r="AH698" i="17"/>
  <c r="AH700" i="17"/>
  <c r="AH685" i="17"/>
  <c r="AH684" i="17"/>
  <c r="AI687" i="17"/>
  <c r="AI685" i="17"/>
  <c r="AI684" i="17"/>
  <c r="V708" i="17"/>
  <c r="V709" i="17"/>
  <c r="V706" i="17"/>
  <c r="AB708" i="17"/>
  <c r="AB711" i="17"/>
  <c r="AB706" i="17"/>
  <c r="K711" i="17"/>
  <c r="K708" i="17"/>
  <c r="K706" i="17"/>
  <c r="AG707" i="17"/>
  <c r="AG708" i="17"/>
  <c r="AG710" i="17"/>
  <c r="L709" i="17"/>
  <c r="L708" i="17"/>
  <c r="AC707" i="17"/>
  <c r="AC708" i="17"/>
  <c r="X708" i="17"/>
  <c r="X709" i="17"/>
  <c r="O709" i="17"/>
  <c r="O710" i="17"/>
  <c r="AC689" i="17"/>
  <c r="AC687" i="17"/>
  <c r="L684" i="17"/>
  <c r="L687" i="17"/>
  <c r="R710" i="17"/>
  <c r="R709" i="17"/>
  <c r="L385" i="17"/>
  <c r="J384" i="17"/>
  <c r="J380" i="17"/>
  <c r="V383" i="17"/>
  <c r="V380" i="17"/>
  <c r="R385" i="17"/>
  <c r="R384" i="17"/>
  <c r="AI384" i="17"/>
  <c r="AE405" i="17"/>
  <c r="AB405" i="17"/>
  <c r="AD407" i="17"/>
  <c r="AD405" i="17"/>
  <c r="X403" i="17"/>
  <c r="AH402" i="17"/>
  <c r="AI402" i="17"/>
  <c r="AI405" i="17"/>
  <c r="AJ403" i="17"/>
  <c r="AJ402" i="17"/>
  <c r="U406" i="17"/>
  <c r="U403" i="17"/>
  <c r="X415" i="17"/>
  <c r="AK413" i="17"/>
  <c r="AF415" i="17"/>
  <c r="AA413" i="17"/>
  <c r="Y425" i="17"/>
  <c r="R424" i="17"/>
  <c r="U428" i="17"/>
  <c r="U424" i="17"/>
  <c r="AG426" i="17"/>
  <c r="L426" i="17"/>
  <c r="L424" i="17"/>
  <c r="M428" i="17"/>
  <c r="N428" i="17"/>
  <c r="AD437" i="17"/>
  <c r="AK437" i="17"/>
  <c r="AK435" i="17"/>
  <c r="AB438" i="17"/>
  <c r="S440" i="17"/>
  <c r="AE436" i="17"/>
  <c r="Q451" i="17"/>
  <c r="Q446" i="17"/>
  <c r="AH450" i="17"/>
  <c r="H447" i="17"/>
  <c r="S447" i="17"/>
  <c r="O447" i="17"/>
  <c r="AK450" i="17"/>
  <c r="K450" i="17"/>
  <c r="N448" i="17"/>
  <c r="M458" i="17"/>
  <c r="Q462" i="17"/>
  <c r="Q460" i="17"/>
  <c r="Y458" i="17"/>
  <c r="J457" i="17"/>
  <c r="J459" i="17"/>
  <c r="AJ459" i="17"/>
  <c r="W460" i="17"/>
  <c r="W461" i="17"/>
  <c r="AA458" i="17"/>
  <c r="AH462" i="17"/>
  <c r="T460" i="17"/>
  <c r="AI461" i="17"/>
  <c r="AI462" i="17"/>
  <c r="Y470" i="17"/>
  <c r="N468" i="17"/>
  <c r="L468" i="17"/>
  <c r="L472" i="17"/>
  <c r="R473" i="17"/>
  <c r="N479" i="17"/>
  <c r="N483" i="17"/>
  <c r="AJ483" i="17"/>
  <c r="T483" i="17"/>
  <c r="S480" i="17"/>
  <c r="S479" i="17"/>
  <c r="AB483" i="17"/>
  <c r="AH482" i="17"/>
  <c r="AI483" i="17"/>
  <c r="V490" i="17"/>
  <c r="AJ495" i="17"/>
  <c r="AE492" i="17"/>
  <c r="Z491" i="17"/>
  <c r="S495" i="17"/>
  <c r="S491" i="17"/>
  <c r="M504" i="17"/>
  <c r="T502" i="17"/>
  <c r="T501" i="17"/>
  <c r="J506" i="17"/>
  <c r="O505" i="17"/>
  <c r="W502" i="17"/>
  <c r="W501" i="17"/>
  <c r="AI506" i="17"/>
  <c r="H505" i="17"/>
  <c r="X527" i="17"/>
  <c r="X526" i="17"/>
  <c r="AK528" i="17"/>
  <c r="O528" i="17"/>
  <c r="R529" i="17"/>
  <c r="R526" i="17"/>
  <c r="AB525" i="17"/>
  <c r="AG525" i="17"/>
  <c r="AI528" i="17"/>
  <c r="AI527" i="17"/>
  <c r="AH528" i="17"/>
  <c r="K528" i="17"/>
  <c r="X538" i="17"/>
  <c r="X539" i="17"/>
  <c r="X540" i="17"/>
  <c r="Z536" i="17"/>
  <c r="Z535" i="17"/>
  <c r="R539" i="17"/>
  <c r="R536" i="17"/>
  <c r="AF536" i="17"/>
  <c r="T538" i="17"/>
  <c r="T540" i="17"/>
  <c r="L538" i="17"/>
  <c r="AI535" i="17"/>
  <c r="Y540" i="17"/>
  <c r="AD536" i="17"/>
  <c r="AD540" i="17"/>
  <c r="H535" i="17"/>
  <c r="P539" i="17"/>
  <c r="S539" i="17"/>
  <c r="S537" i="17"/>
  <c r="K536" i="17"/>
  <c r="AG536" i="17"/>
  <c r="Z546" i="17"/>
  <c r="V547" i="17"/>
  <c r="M549" i="17"/>
  <c r="V558" i="17"/>
  <c r="V559" i="17"/>
  <c r="J557" i="17"/>
  <c r="J561" i="17"/>
  <c r="AF560" i="17"/>
  <c r="K562" i="17"/>
  <c r="K558" i="17"/>
  <c r="AE561" i="17"/>
  <c r="U560" i="17"/>
  <c r="N571" i="17"/>
  <c r="N572" i="17"/>
  <c r="AB573" i="17"/>
  <c r="AH568" i="17"/>
  <c r="AF570" i="17"/>
  <c r="AJ570" i="17"/>
  <c r="Y571" i="17"/>
  <c r="Z583" i="17"/>
  <c r="Z584" i="17"/>
  <c r="Z582" i="17"/>
  <c r="P584" i="17"/>
  <c r="P583" i="17"/>
  <c r="L590" i="17"/>
  <c r="L593" i="17"/>
  <c r="AI595" i="17"/>
  <c r="AF593" i="17"/>
  <c r="AF595" i="17"/>
  <c r="U593" i="17"/>
  <c r="U590" i="17"/>
  <c r="AC605" i="17"/>
  <c r="AC603" i="17"/>
  <c r="Q605" i="17"/>
  <c r="Q606" i="17"/>
  <c r="H626" i="17"/>
  <c r="H630" i="17"/>
  <c r="H627" i="17"/>
  <c r="N630" i="17"/>
  <c r="N628" i="17"/>
  <c r="L653" i="17"/>
  <c r="L650" i="17"/>
  <c r="W662" i="17"/>
  <c r="W664" i="17"/>
  <c r="N698" i="17"/>
  <c r="N700" i="17"/>
  <c r="T697" i="17"/>
  <c r="AF697" i="17"/>
  <c r="AF696" i="17"/>
  <c r="AC695" i="17"/>
  <c r="AC698" i="17"/>
  <c r="AC700" i="17"/>
  <c r="AI700" i="17"/>
  <c r="AI695" i="17"/>
  <c r="AH697" i="17"/>
  <c r="AH699" i="17"/>
  <c r="V711" i="17"/>
  <c r="AB710" i="17"/>
  <c r="AB709" i="17"/>
  <c r="AG706" i="17"/>
  <c r="AG711" i="17"/>
  <c r="K707" i="17"/>
  <c r="AB685" i="17"/>
  <c r="AB686" i="17"/>
  <c r="AB689" i="17"/>
  <c r="K685" i="17"/>
  <c r="K686" i="17"/>
  <c r="K689" i="17"/>
  <c r="AI689" i="17"/>
  <c r="M706" i="17"/>
  <c r="M709" i="17"/>
  <c r="AA709" i="17"/>
  <c r="AA708" i="17"/>
  <c r="AA707" i="17"/>
  <c r="AH708" i="17"/>
  <c r="AH710" i="17"/>
  <c r="AH707" i="17"/>
  <c r="Y707" i="17"/>
  <c r="Y709" i="17"/>
  <c r="AJ710" i="17"/>
  <c r="AJ706" i="17"/>
  <c r="AJ707" i="17"/>
  <c r="P711" i="17"/>
  <c r="P706" i="17"/>
  <c r="O707" i="17"/>
  <c r="Z686" i="17"/>
  <c r="Z687" i="17"/>
  <c r="V684" i="17"/>
  <c r="V685" i="17"/>
  <c r="V688" i="17"/>
  <c r="V689" i="17"/>
  <c r="X689" i="17"/>
  <c r="X687" i="17"/>
  <c r="X685" i="17"/>
  <c r="H707" i="17"/>
  <c r="H711" i="17"/>
  <c r="AJ688" i="17"/>
  <c r="AJ687" i="17"/>
  <c r="X638" i="17"/>
  <c r="X641" i="17"/>
  <c r="W640" i="17"/>
  <c r="N642" i="17"/>
  <c r="M642" i="17"/>
  <c r="M640" i="17"/>
  <c r="AB640" i="17"/>
  <c r="AB637" i="17"/>
  <c r="H642" i="17"/>
  <c r="H639" i="17"/>
  <c r="O639" i="17"/>
  <c r="AA639" i="17"/>
  <c r="L642" i="17"/>
  <c r="L637" i="17"/>
  <c r="K642" i="17"/>
  <c r="Z641" i="17"/>
  <c r="AD347" i="17"/>
  <c r="AH347" i="17"/>
  <c r="AH346" i="17"/>
  <c r="N350" i="17"/>
  <c r="N349" i="17"/>
  <c r="AC347" i="17"/>
  <c r="AC350" i="17"/>
  <c r="AF347" i="17"/>
  <c r="AA362" i="17"/>
  <c r="AA361" i="17"/>
  <c r="S360" i="17"/>
  <c r="W358" i="17"/>
  <c r="I358" i="17"/>
  <c r="AG357" i="17"/>
  <c r="AG361" i="17"/>
  <c r="V362" i="17"/>
  <c r="Q360" i="17"/>
  <c r="Q362" i="17"/>
  <c r="O358" i="17"/>
  <c r="O357" i="17"/>
  <c r="Y357" i="17"/>
  <c r="AH359" i="17"/>
  <c r="R359" i="17"/>
  <c r="R357" i="17"/>
  <c r="T382" i="17"/>
  <c r="T383" i="17"/>
  <c r="H380" i="17"/>
  <c r="H385" i="17"/>
  <c r="I380" i="17"/>
  <c r="AA382" i="17"/>
  <c r="AA380" i="17"/>
  <c r="P381" i="17"/>
  <c r="P380" i="17"/>
  <c r="U383" i="17"/>
  <c r="M385" i="17"/>
  <c r="J385" i="17"/>
  <c r="M396" i="17"/>
  <c r="M394" i="17"/>
  <c r="AB395" i="17"/>
  <c r="Q391" i="17"/>
  <c r="Z393" i="17"/>
  <c r="AD393" i="17"/>
  <c r="AD395" i="17"/>
  <c r="R394" i="17"/>
  <c r="H395" i="17"/>
  <c r="AF394" i="17"/>
  <c r="J406" i="17"/>
  <c r="N403" i="17"/>
  <c r="Z405" i="17"/>
  <c r="Z403" i="17"/>
  <c r="S407" i="17"/>
  <c r="S403" i="17"/>
  <c r="O406" i="17"/>
  <c r="H407" i="17"/>
  <c r="M402" i="17"/>
  <c r="M404" i="17"/>
  <c r="I407" i="17"/>
  <c r="I402" i="17"/>
  <c r="P406" i="17"/>
  <c r="P407" i="17"/>
  <c r="AG405" i="17"/>
  <c r="AH404" i="17"/>
  <c r="AH406" i="17"/>
  <c r="AC403" i="17"/>
  <c r="L404" i="17"/>
  <c r="T405" i="17"/>
  <c r="T404" i="17"/>
  <c r="AK403" i="17"/>
  <c r="AK405" i="17"/>
  <c r="AK404" i="17"/>
  <c r="AE414" i="17"/>
  <c r="AE417" i="17"/>
  <c r="X417" i="17"/>
  <c r="U417" i="17"/>
  <c r="U415" i="17"/>
  <c r="Z418" i="17"/>
  <c r="Z416" i="17"/>
  <c r="Z413" i="17"/>
  <c r="AJ413" i="17"/>
  <c r="AJ416" i="17"/>
  <c r="AB347" i="17"/>
  <c r="S348" i="17"/>
  <c r="T349" i="17"/>
  <c r="T348" i="17"/>
  <c r="H350" i="17"/>
  <c r="Q347" i="17"/>
  <c r="Q349" i="17"/>
  <c r="N385" i="17"/>
  <c r="W384" i="17"/>
  <c r="AF380" i="17"/>
  <c r="AD385" i="17"/>
  <c r="I392" i="17"/>
  <c r="I393" i="17"/>
  <c r="I391" i="17"/>
  <c r="V395" i="17"/>
  <c r="AC391" i="17"/>
  <c r="L405" i="17"/>
  <c r="L406" i="17"/>
  <c r="AA405" i="17"/>
  <c r="AA403" i="17"/>
  <c r="AA407" i="17"/>
  <c r="Q418" i="17"/>
  <c r="Q415" i="17"/>
  <c r="X413" i="17"/>
  <c r="X416" i="17"/>
  <c r="X414" i="17"/>
  <c r="V416" i="17"/>
  <c r="V417" i="17"/>
  <c r="AB417" i="17"/>
  <c r="AB418" i="17"/>
  <c r="M414" i="17"/>
  <c r="H435" i="17"/>
  <c r="AH440" i="17"/>
  <c r="AH439" i="17"/>
  <c r="L436" i="17"/>
  <c r="L437" i="17"/>
  <c r="T438" i="17"/>
  <c r="T435" i="17"/>
  <c r="AC440" i="17"/>
  <c r="AE435" i="17"/>
  <c r="AE437" i="17"/>
  <c r="AA435" i="17"/>
  <c r="I446" i="17"/>
  <c r="Z450" i="17"/>
  <c r="AJ449" i="17"/>
  <c r="AJ451" i="17"/>
  <c r="L448" i="17"/>
  <c r="R450" i="17"/>
  <c r="Q450" i="17"/>
  <c r="Q447" i="17"/>
  <c r="AH448" i="17"/>
  <c r="AH446" i="17"/>
  <c r="H448" i="17"/>
  <c r="H449" i="17"/>
  <c r="AC448" i="17"/>
  <c r="S449" i="17"/>
  <c r="AE446" i="17"/>
  <c r="Z458" i="17"/>
  <c r="Z462" i="17"/>
  <c r="AK462" i="17"/>
  <c r="AK461" i="17"/>
  <c r="K457" i="17"/>
  <c r="T461" i="17"/>
  <c r="T462" i="17"/>
  <c r="N457" i="17"/>
  <c r="U459" i="17"/>
  <c r="X458" i="17"/>
  <c r="X462" i="17"/>
  <c r="R458" i="17"/>
  <c r="R457" i="17"/>
  <c r="AI460" i="17"/>
  <c r="AI457" i="17"/>
  <c r="AJ469" i="17"/>
  <c r="AJ468" i="17"/>
  <c r="Z470" i="17"/>
  <c r="Z473" i="17"/>
  <c r="H470" i="17"/>
  <c r="H468" i="17"/>
  <c r="AG470" i="17"/>
  <c r="Y471" i="17"/>
  <c r="Y469" i="17"/>
  <c r="P468" i="17"/>
  <c r="I473" i="17"/>
  <c r="AH471" i="17"/>
  <c r="AH470" i="17"/>
  <c r="T468" i="17"/>
  <c r="T472" i="17"/>
  <c r="AE470" i="17"/>
  <c r="AE471" i="17"/>
  <c r="AF472" i="17"/>
  <c r="AI472" i="17"/>
  <c r="O473" i="17"/>
  <c r="K472" i="17"/>
  <c r="AA483" i="17"/>
  <c r="AC481" i="17"/>
  <c r="AF480" i="17"/>
  <c r="O482" i="17"/>
  <c r="O483" i="17"/>
  <c r="X483" i="17"/>
  <c r="V493" i="17"/>
  <c r="V494" i="17"/>
  <c r="O493" i="17"/>
  <c r="K495" i="17"/>
  <c r="AJ491" i="17"/>
  <c r="AJ490" i="17"/>
  <c r="T493" i="17"/>
  <c r="Y491" i="17"/>
  <c r="AE495" i="17"/>
  <c r="AE493" i="17"/>
  <c r="U490" i="17"/>
  <c r="H490" i="17"/>
  <c r="Z495" i="17"/>
  <c r="Z493" i="17"/>
  <c r="AC494" i="17"/>
  <c r="AD494" i="17"/>
  <c r="S494" i="17"/>
  <c r="I495" i="17"/>
  <c r="AG505" i="17"/>
  <c r="AK502" i="17"/>
  <c r="Q504" i="17"/>
  <c r="AE528" i="17"/>
  <c r="M528" i="17"/>
  <c r="M529" i="17"/>
  <c r="L525" i="17"/>
  <c r="W525" i="17"/>
  <c r="X529" i="17"/>
  <c r="X525" i="17"/>
  <c r="AK526" i="17"/>
  <c r="AK529" i="17"/>
  <c r="O527" i="17"/>
  <c r="O525" i="17"/>
  <c r="AJ526" i="17"/>
  <c r="V526" i="17"/>
  <c r="V527" i="17"/>
  <c r="P525" i="17"/>
  <c r="Y526" i="17"/>
  <c r="R525" i="17"/>
  <c r="R528" i="17"/>
  <c r="AB527" i="17"/>
  <c r="AB529" i="17"/>
  <c r="AG529" i="17"/>
  <c r="AG528" i="17"/>
  <c r="U527" i="17"/>
  <c r="Z526" i="17"/>
  <c r="Z525" i="17"/>
  <c r="AF525" i="17"/>
  <c r="S524" i="17"/>
  <c r="AI526" i="17"/>
  <c r="AI525" i="17"/>
  <c r="AH529" i="17"/>
  <c r="AH526" i="17"/>
  <c r="K529" i="17"/>
  <c r="K525" i="17"/>
  <c r="T527" i="17"/>
  <c r="W548" i="17"/>
  <c r="W551" i="17"/>
  <c r="W557" i="17"/>
  <c r="W561" i="17"/>
  <c r="AD417" i="17"/>
  <c r="AG413" i="17"/>
  <c r="AG414" i="17"/>
  <c r="T416" i="17"/>
  <c r="T418" i="17"/>
  <c r="AC416" i="17"/>
  <c r="AK416" i="17"/>
  <c r="AK414" i="17"/>
  <c r="Y413" i="17"/>
  <c r="O416" i="17"/>
  <c r="H416" i="17"/>
  <c r="L415" i="17"/>
  <c r="L418" i="17"/>
  <c r="Y426" i="17"/>
  <c r="Y424" i="17"/>
  <c r="Z429" i="17"/>
  <c r="AH426" i="17"/>
  <c r="R425" i="17"/>
  <c r="R429" i="17"/>
  <c r="S425" i="17"/>
  <c r="L429" i="17"/>
  <c r="L428" i="17"/>
  <c r="M429" i="17"/>
  <c r="M427" i="17"/>
  <c r="N424" i="17"/>
  <c r="N426" i="17"/>
  <c r="T427" i="17"/>
  <c r="AE427" i="17"/>
  <c r="AE428" i="17"/>
  <c r="P429" i="17"/>
  <c r="AK425" i="17"/>
  <c r="Q438" i="17"/>
  <c r="W438" i="17"/>
  <c r="M435" i="17"/>
  <c r="V446" i="17"/>
  <c r="V447" i="17"/>
  <c r="AG447" i="17"/>
  <c r="K447" i="17"/>
  <c r="K451" i="17"/>
  <c r="N446" i="17"/>
  <c r="N449" i="17"/>
  <c r="AB450" i="17"/>
  <c r="L459" i="17"/>
  <c r="Q459" i="17"/>
  <c r="Q458" i="17"/>
  <c r="Y459" i="17"/>
  <c r="X471" i="17"/>
  <c r="M505" i="17"/>
  <c r="M502" i="17"/>
  <c r="AA506" i="17"/>
  <c r="AB505" i="17"/>
  <c r="M539" i="17"/>
  <c r="AJ537" i="17"/>
  <c r="N535" i="17"/>
  <c r="AC537" i="17"/>
  <c r="AK539" i="17"/>
  <c r="I538" i="17"/>
  <c r="AB548" i="17"/>
  <c r="AB546" i="17"/>
  <c r="I546" i="17"/>
  <c r="V548" i="17"/>
  <c r="V549" i="17"/>
  <c r="AA547" i="17"/>
  <c r="AG550" i="17"/>
  <c r="W550" i="17"/>
  <c r="AK547" i="17"/>
  <c r="AK549" i="17"/>
  <c r="V560" i="17"/>
  <c r="V557" i="17"/>
  <c r="J560" i="17"/>
  <c r="J559" i="17"/>
  <c r="AF562" i="17"/>
  <c r="AF561" i="17"/>
  <c r="K560" i="17"/>
  <c r="K561" i="17"/>
  <c r="AE558" i="17"/>
  <c r="AE562" i="17"/>
  <c r="U562" i="17"/>
  <c r="T561" i="17"/>
  <c r="T558" i="17"/>
  <c r="AA561" i="17"/>
  <c r="H562" i="17"/>
  <c r="L561" i="17"/>
  <c r="Y562" i="17"/>
  <c r="Y557" i="17"/>
  <c r="Y558" i="17"/>
  <c r="M562" i="17"/>
  <c r="M561" i="17"/>
  <c r="AG557" i="17"/>
  <c r="AG562" i="17"/>
  <c r="W573" i="17"/>
  <c r="W568" i="17"/>
  <c r="AD569" i="17"/>
  <c r="AA569" i="17"/>
  <c r="T571" i="17"/>
  <c r="T570" i="17"/>
  <c r="AC569" i="17"/>
  <c r="P568" i="17"/>
  <c r="J583" i="17"/>
  <c r="J581" i="17"/>
  <c r="AE627" i="17"/>
  <c r="L627" i="17"/>
  <c r="L630" i="17"/>
  <c r="Y629" i="17"/>
  <c r="L649" i="17"/>
  <c r="L651" i="17"/>
  <c r="AD651" i="17"/>
  <c r="Y710" i="17"/>
  <c r="W709" i="17"/>
  <c r="AJ708" i="17"/>
  <c r="AJ709" i="17"/>
  <c r="X711" i="17"/>
  <c r="X707" i="17"/>
  <c r="Q709" i="17"/>
  <c r="P708" i="17"/>
  <c r="U710" i="17"/>
  <c r="AE709" i="17"/>
  <c r="O708" i="17"/>
  <c r="O711" i="17"/>
  <c r="AF706" i="17"/>
  <c r="O685" i="17"/>
  <c r="O686" i="17"/>
  <c r="N686" i="17"/>
  <c r="AK637" i="17"/>
  <c r="AG640" i="17"/>
  <c r="AF642" i="17"/>
  <c r="V640" i="17"/>
  <c r="S687" i="17"/>
  <c r="AE637" i="17"/>
  <c r="I637" i="17"/>
  <c r="AA642" i="17"/>
  <c r="O585" i="17"/>
  <c r="V591" i="17"/>
  <c r="V596" i="17" s="1"/>
  <c r="AH592" i="17"/>
  <c r="AH594" i="17"/>
  <c r="N595" i="17"/>
  <c r="R593" i="17"/>
  <c r="L595" i="17"/>
  <c r="L591" i="17"/>
  <c r="AI591" i="17"/>
  <c r="AF591" i="17"/>
  <c r="AF592" i="17"/>
  <c r="O591" i="17"/>
  <c r="O594" i="17"/>
  <c r="AC593" i="17"/>
  <c r="T595" i="17"/>
  <c r="T590" i="17"/>
  <c r="I593" i="17"/>
  <c r="J591" i="17"/>
  <c r="M592" i="17"/>
  <c r="M593" i="17"/>
  <c r="AE595" i="17"/>
  <c r="AE593" i="17"/>
  <c r="P592" i="17"/>
  <c r="P594" i="17"/>
  <c r="X590" i="17"/>
  <c r="U592" i="17"/>
  <c r="U591" i="17"/>
  <c r="W604" i="17"/>
  <c r="W603" i="17"/>
  <c r="AB602" i="17"/>
  <c r="L602" i="17"/>
  <c r="AC601" i="17"/>
  <c r="AC606" i="17"/>
  <c r="Y602" i="17"/>
  <c r="K601" i="17"/>
  <c r="R601" i="17"/>
  <c r="R604" i="17"/>
  <c r="N603" i="17"/>
  <c r="AA606" i="17"/>
  <c r="Q601" i="17"/>
  <c r="Q602" i="17"/>
  <c r="AJ605" i="17"/>
  <c r="AG663" i="17"/>
  <c r="AG660" i="17"/>
  <c r="O664" i="17"/>
  <c r="AI660" i="17"/>
  <c r="W661" i="17"/>
  <c r="W663" i="17"/>
  <c r="AD659" i="17"/>
  <c r="L663" i="17"/>
  <c r="Y700" i="17"/>
  <c r="Y696" i="17"/>
  <c r="AG697" i="17"/>
  <c r="J700" i="17"/>
  <c r="N696" i="17"/>
  <c r="N699" i="17"/>
  <c r="W700" i="17"/>
  <c r="U697" i="17"/>
  <c r="L697" i="17"/>
  <c r="S697" i="17"/>
  <c r="S698" i="17"/>
  <c r="O695" i="17"/>
  <c r="O697" i="17"/>
  <c r="T696" i="17"/>
  <c r="L688" i="17"/>
  <c r="AE684" i="17"/>
  <c r="AJ689" i="17"/>
  <c r="W688" i="17"/>
  <c r="I687" i="17"/>
  <c r="U685" i="17"/>
  <c r="AB639" i="17"/>
  <c r="Q396" i="17"/>
  <c r="Q394" i="17"/>
  <c r="S393" i="17"/>
  <c r="W394" i="17"/>
  <c r="W391" i="17"/>
  <c r="Z391" i="17"/>
  <c r="AH396" i="17"/>
  <c r="AH392" i="17"/>
  <c r="AD348" i="17"/>
  <c r="AD346" i="17"/>
  <c r="J346" i="17"/>
  <c r="U348" i="17"/>
  <c r="U350" i="17"/>
  <c r="S350" i="17"/>
  <c r="S347" i="17"/>
  <c r="X351" i="17"/>
  <c r="R351" i="17"/>
  <c r="Z348" i="17"/>
  <c r="Z347" i="17"/>
  <c r="V349" i="17"/>
  <c r="V350" i="17"/>
  <c r="P349" i="17"/>
  <c r="P348" i="17"/>
  <c r="I349" i="17"/>
  <c r="M351" i="17"/>
  <c r="AE346" i="17"/>
  <c r="AE351" i="17"/>
  <c r="AA358" i="17"/>
  <c r="AA359" i="17"/>
  <c r="S362" i="17"/>
  <c r="S359" i="17"/>
  <c r="W359" i="17"/>
  <c r="W360" i="17"/>
  <c r="I361" i="17"/>
  <c r="I357" i="17"/>
  <c r="U361" i="17"/>
  <c r="X360" i="17"/>
  <c r="X359" i="17"/>
  <c r="K362" i="17"/>
  <c r="AJ362" i="17"/>
  <c r="T357" i="17"/>
  <c r="T358" i="17"/>
  <c r="AC358" i="17"/>
  <c r="AB359" i="17"/>
  <c r="O362" i="17"/>
  <c r="O360" i="17"/>
  <c r="Y358" i="17"/>
  <c r="Y360" i="17"/>
  <c r="AE361" i="17"/>
  <c r="O381" i="17"/>
  <c r="O385" i="17"/>
  <c r="AJ380" i="17"/>
  <c r="L384" i="17"/>
  <c r="L383" i="17"/>
  <c r="AC383" i="17"/>
  <c r="AK380" i="17"/>
  <c r="AH380" i="17"/>
  <c r="AH381" i="17"/>
  <c r="AB385" i="17"/>
  <c r="AB380" i="17"/>
  <c r="Q381" i="17"/>
  <c r="AG383" i="17"/>
  <c r="S385" i="17"/>
  <c r="N384" i="17"/>
  <c r="W385" i="17"/>
  <c r="W383" i="17"/>
  <c r="AE384" i="17"/>
  <c r="Z380" i="17"/>
  <c r="Z381" i="17"/>
  <c r="K380" i="17"/>
  <c r="AF381" i="17"/>
  <c r="AF383" i="17"/>
  <c r="Y382" i="17"/>
  <c r="AD381" i="17"/>
  <c r="AD380" i="17"/>
  <c r="AD384" i="17"/>
  <c r="M393" i="17"/>
  <c r="M395" i="17"/>
  <c r="AB391" i="17"/>
  <c r="AB393" i="17"/>
  <c r="J394" i="17"/>
  <c r="L395" i="17"/>
  <c r="L396" i="17"/>
  <c r="AG393" i="17"/>
  <c r="AG392" i="17"/>
  <c r="AG395" i="17"/>
  <c r="O391" i="17"/>
  <c r="O394" i="17"/>
  <c r="O396" i="17"/>
  <c r="Z561" i="17"/>
  <c r="Z562" i="17"/>
  <c r="N562" i="17"/>
  <c r="N560" i="17"/>
  <c r="Q406" i="17"/>
  <c r="V404" i="17"/>
  <c r="AE407" i="17"/>
  <c r="AE404" i="17"/>
  <c r="AB404" i="17"/>
  <c r="AB402" i="17"/>
  <c r="W405" i="17"/>
  <c r="X406" i="17"/>
  <c r="AG402" i="17"/>
  <c r="Y403" i="17"/>
  <c r="AH405" i="17"/>
  <c r="AH403" i="17"/>
  <c r="AC406" i="17"/>
  <c r="AC407" i="17"/>
  <c r="R417" i="17"/>
  <c r="AD418" i="17"/>
  <c r="AD413" i="17"/>
  <c r="K416" i="17"/>
  <c r="O417" i="17"/>
  <c r="W414" i="17"/>
  <c r="J418" i="17"/>
  <c r="J416" i="17"/>
  <c r="AF416" i="17"/>
  <c r="AF413" i="17"/>
  <c r="AA416" i="17"/>
  <c r="AA418" i="17"/>
  <c r="AI416" i="17"/>
  <c r="N415" i="17"/>
  <c r="W429" i="17"/>
  <c r="V428" i="17"/>
  <c r="V424" i="17"/>
  <c r="Y427" i="17"/>
  <c r="Y429" i="17"/>
  <c r="Z427" i="17"/>
  <c r="Z426" i="17"/>
  <c r="AH429" i="17"/>
  <c r="AH427" i="17"/>
  <c r="AC429" i="17"/>
  <c r="Q428" i="17"/>
  <c r="Q424" i="17"/>
  <c r="I427" i="17"/>
  <c r="X426" i="17"/>
  <c r="R428" i="17"/>
  <c r="R426" i="17"/>
  <c r="AD425" i="17"/>
  <c r="AD427" i="17"/>
  <c r="AF425" i="17"/>
  <c r="AF424" i="17"/>
  <c r="O424" i="17"/>
  <c r="O428" i="17"/>
  <c r="K427" i="17"/>
  <c r="S429" i="17"/>
  <c r="S428" i="17"/>
  <c r="AA424" i="17"/>
  <c r="J425" i="17"/>
  <c r="U427" i="17"/>
  <c r="U429" i="17"/>
  <c r="AG425" i="17"/>
  <c r="AG427" i="17"/>
  <c r="AD435" i="17"/>
  <c r="AD438" i="17"/>
  <c r="N440" i="17"/>
  <c r="Q437" i="17"/>
  <c r="Q435" i="17"/>
  <c r="Y438" i="17"/>
  <c r="Z440" i="17"/>
  <c r="W436" i="17"/>
  <c r="W435" i="17"/>
  <c r="M440" i="17"/>
  <c r="M439" i="17"/>
  <c r="P435" i="17"/>
  <c r="AJ438" i="17"/>
  <c r="AJ439" i="17"/>
  <c r="O438" i="17"/>
  <c r="AI436" i="17"/>
  <c r="AK438" i="17"/>
  <c r="AK436" i="17"/>
  <c r="AB437" i="17"/>
  <c r="AB440" i="17"/>
  <c r="S436" i="17"/>
  <c r="S438" i="17"/>
  <c r="K440" i="17"/>
  <c r="H438" i="17"/>
  <c r="H436" i="17"/>
  <c r="X435" i="17"/>
  <c r="AF439" i="17"/>
  <c r="U439" i="17"/>
  <c r="U438" i="17"/>
  <c r="R437" i="17"/>
  <c r="R440" i="17"/>
  <c r="T450" i="17"/>
  <c r="I450" i="17"/>
  <c r="I447" i="17"/>
  <c r="AA448" i="17"/>
  <c r="X448" i="17"/>
  <c r="AK451" i="17"/>
  <c r="AK447" i="17"/>
  <c r="Y447" i="17"/>
  <c r="P451" i="17"/>
  <c r="W446" i="17"/>
  <c r="W449" i="17"/>
  <c r="AD448" i="17"/>
  <c r="J448" i="17"/>
  <c r="N450" i="17"/>
  <c r="N447" i="17"/>
  <c r="AB451" i="17"/>
  <c r="AB447" i="17"/>
  <c r="AF446" i="17"/>
  <c r="AF451" i="17"/>
  <c r="M459" i="17"/>
  <c r="M462" i="17"/>
  <c r="AG462" i="17"/>
  <c r="AB460" i="17"/>
  <c r="L457" i="17"/>
  <c r="L458" i="17"/>
  <c r="V458" i="17"/>
  <c r="K462" i="17"/>
  <c r="K460" i="17"/>
  <c r="I457" i="17"/>
  <c r="AD462" i="17"/>
  <c r="AD460" i="17"/>
  <c r="X473" i="17"/>
  <c r="X469" i="17"/>
  <c r="M472" i="17"/>
  <c r="N469" i="17"/>
  <c r="N472" i="17"/>
  <c r="AB470" i="17"/>
  <c r="W470" i="17"/>
  <c r="J469" i="17"/>
  <c r="J472" i="17"/>
  <c r="S469" i="17"/>
  <c r="S470" i="17"/>
  <c r="Q472" i="17"/>
  <c r="Q468" i="17"/>
  <c r="AD468" i="17"/>
  <c r="O469" i="17"/>
  <c r="O471" i="17"/>
  <c r="AA469" i="17"/>
  <c r="AE479" i="17"/>
  <c r="AA480" i="17"/>
  <c r="AA481" i="17"/>
  <c r="U483" i="17"/>
  <c r="J483" i="17"/>
  <c r="N481" i="17"/>
  <c r="N480" i="17"/>
  <c r="AJ481" i="17"/>
  <c r="AJ480" i="17"/>
  <c r="T481" i="17"/>
  <c r="T479" i="17"/>
  <c r="K483" i="17"/>
  <c r="AC483" i="17"/>
  <c r="AC484" i="17"/>
  <c r="AK479" i="17"/>
  <c r="M482" i="17"/>
  <c r="V481" i="17"/>
  <c r="V484" i="17"/>
  <c r="P479" i="17"/>
  <c r="P480" i="17"/>
  <c r="H482" i="17"/>
  <c r="H480" i="17"/>
  <c r="L483" i="17"/>
  <c r="AF481" i="17"/>
  <c r="AF484" i="17"/>
  <c r="AD481" i="17"/>
  <c r="Y484" i="17"/>
  <c r="S483" i="17"/>
  <c r="S484" i="17"/>
  <c r="AB484" i="17"/>
  <c r="AB479" i="17"/>
  <c r="AH479" i="17"/>
  <c r="AH480" i="17"/>
  <c r="AG479" i="17"/>
  <c r="AI480" i="17"/>
  <c r="AI482" i="17"/>
  <c r="AI481" i="17"/>
  <c r="M494" i="17"/>
  <c r="N490" i="17"/>
  <c r="V495" i="17"/>
  <c r="V492" i="17"/>
  <c r="O492" i="17"/>
  <c r="O490" i="17"/>
  <c r="K494" i="17"/>
  <c r="K490" i="17"/>
  <c r="AG494" i="17"/>
  <c r="AA493" i="17"/>
  <c r="AA492" i="17"/>
  <c r="J490" i="17"/>
  <c r="J494" i="17"/>
  <c r="AH492" i="17"/>
  <c r="X490" i="17"/>
  <c r="AJ493" i="17"/>
  <c r="AJ492" i="17"/>
  <c r="T495" i="17"/>
  <c r="T490" i="17"/>
  <c r="Y492" i="17"/>
  <c r="Y493" i="17"/>
  <c r="P492" i="17"/>
  <c r="L494" i="17"/>
  <c r="L493" i="17"/>
  <c r="AF492" i="17"/>
  <c r="AB495" i="17"/>
  <c r="W492" i="17"/>
  <c r="W491" i="17"/>
  <c r="M503" i="17"/>
  <c r="M501" i="17"/>
  <c r="AA504" i="17"/>
  <c r="AA503" i="17"/>
  <c r="AB506" i="17"/>
  <c r="AB503" i="17"/>
  <c r="R502" i="17"/>
  <c r="AD506" i="17"/>
  <c r="AD504" i="17"/>
  <c r="AE503" i="17"/>
  <c r="Y506" i="17"/>
  <c r="T505" i="17"/>
  <c r="T504" i="17"/>
  <c r="J504" i="17"/>
  <c r="J503" i="17"/>
  <c r="O504" i="17"/>
  <c r="O506" i="17"/>
  <c r="AC503" i="17"/>
  <c r="AG502" i="17"/>
  <c r="AG504" i="17"/>
  <c r="AF502" i="17"/>
  <c r="AJ504" i="17"/>
  <c r="N506" i="17"/>
  <c r="N503" i="17"/>
  <c r="K502" i="17"/>
  <c r="K501" i="17"/>
  <c r="U504" i="17"/>
  <c r="U503" i="17"/>
  <c r="Z505" i="17"/>
  <c r="AK501" i="17"/>
  <c r="AK504" i="17"/>
  <c r="X501" i="17"/>
  <c r="P504" i="17"/>
  <c r="W506" i="17"/>
  <c r="W505" i="17"/>
  <c r="AI503" i="17"/>
  <c r="AI501" i="17"/>
  <c r="H504" i="17"/>
  <c r="H506" i="17"/>
  <c r="AH501" i="17"/>
  <c r="Q501" i="17"/>
  <c r="Q505" i="17"/>
  <c r="I501" i="17"/>
  <c r="AD537" i="17"/>
  <c r="AD535" i="17"/>
  <c r="H539" i="17"/>
  <c r="H536" i="17"/>
  <c r="P535" i="17"/>
  <c r="P536" i="17"/>
  <c r="AH535" i="17"/>
  <c r="M538" i="17"/>
  <c r="M537" i="17"/>
  <c r="Q540" i="17"/>
  <c r="AC538" i="17"/>
  <c r="S535" i="17"/>
  <c r="S536" i="17"/>
  <c r="K535" i="17"/>
  <c r="K539" i="17"/>
  <c r="AG540" i="17"/>
  <c r="AK537" i="17"/>
  <c r="AK536" i="17"/>
  <c r="I535" i="17"/>
  <c r="I540" i="17"/>
  <c r="S550" i="17"/>
  <c r="Z551" i="17"/>
  <c r="Z550" i="17"/>
  <c r="K548" i="17"/>
  <c r="AI547" i="17"/>
  <c r="AB547" i="17"/>
  <c r="AB549" i="17"/>
  <c r="I549" i="17"/>
  <c r="I547" i="17"/>
  <c r="V550" i="17"/>
  <c r="V546" i="17"/>
  <c r="V552" i="17" s="1"/>
  <c r="AA550" i="17"/>
  <c r="AA548" i="17"/>
  <c r="AE547" i="17"/>
  <c r="M551" i="17"/>
  <c r="M546" i="17"/>
  <c r="L551" i="17"/>
  <c r="AG549" i="17"/>
  <c r="AG551" i="17"/>
  <c r="P546" i="17"/>
  <c r="AD551" i="17"/>
  <c r="J550" i="17"/>
  <c r="J546" i="17"/>
  <c r="AC548" i="17"/>
  <c r="W549" i="17"/>
  <c r="W547" i="17"/>
  <c r="AK550" i="17"/>
  <c r="AK551" i="17"/>
  <c r="AK560" i="17"/>
  <c r="AK559" i="17"/>
  <c r="Z560" i="17"/>
  <c r="N557" i="17"/>
  <c r="AI562" i="17"/>
  <c r="AI559" i="17"/>
  <c r="P561" i="17"/>
  <c r="P560" i="17"/>
  <c r="P557" i="17"/>
  <c r="AG661" i="17"/>
  <c r="AG662" i="17"/>
  <c r="O663" i="17"/>
  <c r="O662" i="17"/>
  <c r="AI661" i="17"/>
  <c r="AI662" i="17"/>
  <c r="AE664" i="17"/>
  <c r="W660" i="17"/>
  <c r="W659" i="17"/>
  <c r="AD661" i="17"/>
  <c r="AD664" i="17"/>
  <c r="L659" i="17"/>
  <c r="L664" i="17"/>
  <c r="AC662" i="17"/>
  <c r="R664" i="17"/>
  <c r="P699" i="17"/>
  <c r="AB700" i="17"/>
  <c r="AB695" i="17"/>
  <c r="H695" i="17"/>
  <c r="I698" i="17"/>
  <c r="Y695" i="17"/>
  <c r="Y697" i="17"/>
  <c r="AG698" i="17"/>
  <c r="AG699" i="17"/>
  <c r="J697" i="17"/>
  <c r="J696" i="17"/>
  <c r="V696" i="17"/>
  <c r="AK699" i="17"/>
  <c r="AK696" i="17"/>
  <c r="AE699" i="17"/>
  <c r="AJ698" i="17"/>
  <c r="N697" i="17"/>
  <c r="N695" i="17"/>
  <c r="W699" i="17"/>
  <c r="W697" i="17"/>
  <c r="U696" i="17"/>
  <c r="U700" i="17"/>
  <c r="Z697" i="17"/>
  <c r="M700" i="17"/>
  <c r="M698" i="17"/>
  <c r="X699" i="17"/>
  <c r="S695" i="17"/>
  <c r="H710" i="17"/>
  <c r="H708" i="17"/>
  <c r="R711" i="17"/>
  <c r="R706" i="17"/>
  <c r="I710" i="17"/>
  <c r="AK640" i="17"/>
  <c r="AK639" i="17"/>
  <c r="J640" i="17"/>
  <c r="Y640" i="17"/>
  <c r="AF638" i="17"/>
  <c r="AF641" i="17"/>
  <c r="AC637" i="17"/>
  <c r="T638" i="17"/>
  <c r="L641" i="17"/>
  <c r="L638" i="17"/>
  <c r="K639" i="17"/>
  <c r="K641" i="17"/>
  <c r="Z640" i="17"/>
  <c r="Z638" i="17"/>
  <c r="S639" i="17"/>
  <c r="V639" i="17"/>
  <c r="V638" i="17"/>
  <c r="V643" i="17" s="1"/>
  <c r="R685" i="17"/>
  <c r="AA637" i="17"/>
  <c r="W570" i="17"/>
  <c r="W572" i="17"/>
  <c r="AD570" i="17"/>
  <c r="AD568" i="17"/>
  <c r="AA572" i="17"/>
  <c r="AA570" i="17"/>
  <c r="AE570" i="17"/>
  <c r="AF573" i="17"/>
  <c r="AF572" i="17"/>
  <c r="R572" i="17"/>
  <c r="Z573" i="17"/>
  <c r="T569" i="17"/>
  <c r="T573" i="17"/>
  <c r="AC572" i="17"/>
  <c r="AC573" i="17"/>
  <c r="P570" i="17"/>
  <c r="P573" i="17"/>
  <c r="J571" i="17"/>
  <c r="AJ568" i="17"/>
  <c r="AJ571" i="17"/>
  <c r="O570" i="17"/>
  <c r="X569" i="17"/>
  <c r="V573" i="17"/>
  <c r="V572" i="17"/>
  <c r="S569" i="17"/>
  <c r="S573" i="17"/>
  <c r="K570" i="17"/>
  <c r="K569" i="17"/>
  <c r="AI569" i="17"/>
  <c r="Y568" i="17"/>
  <c r="Y573" i="17"/>
  <c r="AG572" i="17"/>
  <c r="L572" i="17"/>
  <c r="V592" i="17"/>
  <c r="V595" i="17"/>
  <c r="AD593" i="17"/>
  <c r="S590" i="17"/>
  <c r="S594" i="17"/>
  <c r="Y590" i="17"/>
  <c r="AJ595" i="17"/>
  <c r="AH591" i="17"/>
  <c r="AH593" i="17"/>
  <c r="N590" i="17"/>
  <c r="N594" i="17"/>
  <c r="R590" i="17"/>
  <c r="R591" i="17"/>
  <c r="AB593" i="17"/>
  <c r="AA594" i="17"/>
  <c r="AA590" i="17"/>
  <c r="Q593" i="17"/>
  <c r="AK590" i="17"/>
  <c r="L592" i="17"/>
  <c r="L594" i="17"/>
  <c r="H594" i="17"/>
  <c r="P602" i="17"/>
  <c r="P601" i="17"/>
  <c r="Z602" i="17"/>
  <c r="H602" i="17"/>
  <c r="W602" i="17"/>
  <c r="W601" i="17"/>
  <c r="AB606" i="17"/>
  <c r="AB603" i="17"/>
  <c r="L604" i="17"/>
  <c r="L603" i="17"/>
  <c r="AH603" i="17"/>
  <c r="AF605" i="17"/>
  <c r="AF604" i="17"/>
  <c r="X602" i="17"/>
  <c r="S603" i="17"/>
  <c r="AC602" i="17"/>
  <c r="AC604" i="17"/>
  <c r="Y605" i="17"/>
  <c r="Y601" i="17"/>
  <c r="K604" i="17"/>
  <c r="K605" i="17"/>
  <c r="J603" i="17"/>
  <c r="T605" i="17"/>
  <c r="T601" i="17"/>
  <c r="U605" i="17"/>
  <c r="AK601" i="17"/>
  <c r="R603" i="17"/>
  <c r="R602" i="17"/>
  <c r="N604" i="17"/>
  <c r="N606" i="17"/>
  <c r="AA602" i="17"/>
  <c r="AA604" i="17"/>
  <c r="O603" i="17"/>
  <c r="AI604" i="17"/>
  <c r="AI602" i="17"/>
  <c r="I601" i="17"/>
  <c r="AD602" i="17"/>
  <c r="Q603" i="17"/>
  <c r="Q604" i="17"/>
  <c r="AJ601" i="17"/>
  <c r="AJ602" i="17"/>
  <c r="AE626" i="17"/>
  <c r="AE630" i="17"/>
  <c r="R626" i="17"/>
  <c r="R627" i="17"/>
  <c r="Q628" i="17"/>
  <c r="Q631" i="17"/>
  <c r="J627" i="17"/>
  <c r="H629" i="17"/>
  <c r="H628" i="17"/>
  <c r="AF630" i="17"/>
  <c r="AF631" i="17"/>
  <c r="N627" i="17"/>
  <c r="N626" i="17"/>
  <c r="O629" i="17"/>
  <c r="L626" i="17"/>
  <c r="L629" i="17"/>
  <c r="Y627" i="17"/>
  <c r="Y626" i="17"/>
  <c r="Z630" i="17"/>
  <c r="Z629" i="17"/>
  <c r="T626" i="17"/>
  <c r="AA628" i="17"/>
  <c r="AA626" i="17"/>
  <c r="L652" i="17"/>
  <c r="L648" i="17"/>
  <c r="AD652" i="17"/>
  <c r="AD653" i="17"/>
  <c r="AC706" i="17"/>
  <c r="W706" i="17"/>
  <c r="T711" i="17"/>
  <c r="Q706" i="17"/>
  <c r="AI711" i="17"/>
  <c r="AE710" i="17"/>
  <c r="J688" i="17"/>
  <c r="O687" i="17"/>
  <c r="O689" i="17"/>
  <c r="N685" i="17"/>
  <c r="N689" i="17"/>
  <c r="Z685" i="17"/>
  <c r="Z688" i="17"/>
  <c r="I686" i="17"/>
  <c r="U687" i="17"/>
  <c r="U689" i="17"/>
  <c r="AI642" i="17"/>
  <c r="AI641" i="17"/>
  <c r="P642" i="17"/>
  <c r="AE639" i="17"/>
  <c r="AE640" i="17"/>
  <c r="AH640" i="17"/>
  <c r="W350" i="17"/>
  <c r="W349" i="17"/>
  <c r="S346" i="17"/>
  <c r="S351" i="17"/>
  <c r="X348" i="17"/>
  <c r="X350" i="17"/>
  <c r="R348" i="17"/>
  <c r="R349" i="17"/>
  <c r="AI350" i="17"/>
  <c r="AG347" i="17"/>
  <c r="AG350" i="17"/>
  <c r="M348" i="17"/>
  <c r="Q350" i="17"/>
  <c r="Q346" i="17"/>
  <c r="O348" i="17"/>
  <c r="O349" i="17"/>
  <c r="AJ350" i="17"/>
  <c r="AJ346" i="17"/>
  <c r="AD362" i="17"/>
  <c r="AD361" i="17"/>
  <c r="Z362" i="17"/>
  <c r="M363" i="17"/>
  <c r="AI362" i="17"/>
  <c r="AI360" i="17"/>
  <c r="AK357" i="17"/>
  <c r="AK361" i="17"/>
  <c r="J358" i="17"/>
  <c r="J360" i="17"/>
  <c r="X358" i="17"/>
  <c r="X362" i="17"/>
  <c r="K360" i="17"/>
  <c r="K357" i="17"/>
  <c r="AJ357" i="17"/>
  <c r="AJ361" i="17"/>
  <c r="Q357" i="17"/>
  <c r="Q358" i="17"/>
  <c r="T360" i="17"/>
  <c r="T359" i="17"/>
  <c r="AC362" i="17"/>
  <c r="AC361" i="17"/>
  <c r="AB357" i="17"/>
  <c r="AB358" i="17"/>
  <c r="L358" i="17"/>
  <c r="AH360" i="17"/>
  <c r="AH357" i="17"/>
  <c r="H358" i="17"/>
  <c r="AA384" i="17"/>
  <c r="AA381" i="17"/>
  <c r="O383" i="17"/>
  <c r="O382" i="17"/>
  <c r="P384" i="17"/>
  <c r="P382" i="17"/>
  <c r="U380" i="17"/>
  <c r="U382" i="17"/>
  <c r="L382" i="17"/>
  <c r="L380" i="17"/>
  <c r="AC384" i="17"/>
  <c r="AC381" i="17"/>
  <c r="AK384" i="17"/>
  <c r="AK383" i="17"/>
  <c r="X385" i="17"/>
  <c r="Q384" i="17"/>
  <c r="Q383" i="17"/>
  <c r="AG381" i="17"/>
  <c r="AG380" i="17"/>
  <c r="Z385" i="17"/>
  <c r="Z382" i="17"/>
  <c r="K385" i="17"/>
  <c r="K381" i="17"/>
  <c r="Y396" i="17"/>
  <c r="Y393" i="17"/>
  <c r="X392" i="17"/>
  <c r="X393" i="17"/>
  <c r="K396" i="17"/>
  <c r="K394" i="17"/>
  <c r="W396" i="17"/>
  <c r="W393" i="17"/>
  <c r="T394" i="17"/>
  <c r="T396" i="17"/>
  <c r="N391" i="17"/>
  <c r="N395" i="17"/>
  <c r="U396" i="17"/>
  <c r="H393" i="17"/>
  <c r="H394" i="17"/>
  <c r="AA395" i="17"/>
  <c r="AA392" i="17"/>
  <c r="AJ394" i="17"/>
  <c r="AJ395" i="17"/>
  <c r="AE393" i="17"/>
  <c r="L394" i="17"/>
  <c r="L393" i="17"/>
  <c r="AH394" i="17"/>
  <c r="AH393" i="17"/>
  <c r="AF393" i="17"/>
  <c r="J407" i="17"/>
  <c r="J403" i="17"/>
  <c r="N406" i="17"/>
  <c r="N402" i="17"/>
  <c r="K404" i="17"/>
  <c r="Q403" i="17"/>
  <c r="Q407" i="17"/>
  <c r="V402" i="17"/>
  <c r="V403" i="17"/>
  <c r="AA349" i="17"/>
  <c r="AA351" i="17"/>
  <c r="L350" i="17"/>
  <c r="L347" i="17"/>
  <c r="Y349" i="17"/>
  <c r="Y346" i="17"/>
  <c r="U346" i="17"/>
  <c r="U351" i="17"/>
  <c r="AH348" i="17"/>
  <c r="AH349" i="17"/>
  <c r="N380" i="17"/>
  <c r="V391" i="17"/>
  <c r="V397" i="17" s="1"/>
  <c r="O393" i="17"/>
  <c r="AC396" i="17"/>
  <c r="M405" i="17"/>
  <c r="M407" i="17"/>
  <c r="W404" i="17"/>
  <c r="X405" i="17"/>
  <c r="X402" i="17"/>
  <c r="AG404" i="17"/>
  <c r="AG403" i="17"/>
  <c r="Y404" i="17"/>
  <c r="Y407" i="17"/>
  <c r="R407" i="17"/>
  <c r="AF403" i="17"/>
  <c r="AK407" i="17"/>
  <c r="AK402" i="17"/>
  <c r="Q413" i="17"/>
  <c r="Q417" i="17"/>
  <c r="AE413" i="17"/>
  <c r="AE415" i="17"/>
  <c r="AH418" i="17"/>
  <c r="Z417" i="17"/>
  <c r="Z415" i="17"/>
  <c r="V418" i="17"/>
  <c r="V414" i="17"/>
  <c r="AJ414" i="17"/>
  <c r="AJ415" i="17"/>
  <c r="AB413" i="17"/>
  <c r="AB415" i="17"/>
  <c r="AD416" i="17"/>
  <c r="AD414" i="17"/>
  <c r="K415" i="17"/>
  <c r="K417" i="17"/>
  <c r="AK417" i="17"/>
  <c r="AK418" i="17"/>
  <c r="Y414" i="17"/>
  <c r="Y416" i="17"/>
  <c r="O414" i="17"/>
  <c r="J417" i="17"/>
  <c r="J415" i="17"/>
  <c r="L417" i="17"/>
  <c r="L413" i="17"/>
  <c r="AA414" i="17"/>
  <c r="AA415" i="17"/>
  <c r="AI417" i="17"/>
  <c r="AI415" i="17"/>
  <c r="N413" i="17"/>
  <c r="N416" i="17"/>
  <c r="W426" i="17"/>
  <c r="W424" i="17"/>
  <c r="AJ428" i="17"/>
  <c r="Q427" i="17"/>
  <c r="Q429" i="17"/>
  <c r="I426" i="17"/>
  <c r="I424" i="17"/>
  <c r="X428" i="17"/>
  <c r="X424" i="17"/>
  <c r="H429" i="17"/>
  <c r="S427" i="17"/>
  <c r="S426" i="17"/>
  <c r="AA426" i="17"/>
  <c r="AA425" i="17"/>
  <c r="J429" i="17"/>
  <c r="J424" i="17"/>
  <c r="AB425" i="17"/>
  <c r="AI427" i="17"/>
  <c r="AE424" i="17"/>
  <c r="AE429" i="17"/>
  <c r="P424" i="17"/>
  <c r="P426" i="17"/>
  <c r="AK429" i="17"/>
  <c r="AK427" i="17"/>
  <c r="Q440" i="17"/>
  <c r="Q439" i="17"/>
  <c r="Y439" i="17"/>
  <c r="Y440" i="17"/>
  <c r="Z439" i="17"/>
  <c r="Z437" i="17"/>
  <c r="V438" i="17"/>
  <c r="AJ435" i="17"/>
  <c r="AJ440" i="17"/>
  <c r="O437" i="17"/>
  <c r="O440" i="17"/>
  <c r="AI440" i="17"/>
  <c r="AI439" i="17"/>
  <c r="AG438" i="17"/>
  <c r="H440" i="17"/>
  <c r="H439" i="17"/>
  <c r="X436" i="17"/>
  <c r="X440" i="17"/>
  <c r="AF437" i="17"/>
  <c r="AF438" i="17"/>
  <c r="I436" i="17"/>
  <c r="J440" i="17"/>
  <c r="AE438" i="17"/>
  <c r="AE439" i="17"/>
  <c r="AA437" i="17"/>
  <c r="AA436" i="17"/>
  <c r="I448" i="17"/>
  <c r="I449" i="17"/>
  <c r="AA446" i="17"/>
  <c r="AA447" i="17"/>
  <c r="AJ448" i="17"/>
  <c r="AJ447" i="17"/>
  <c r="L451" i="17"/>
  <c r="L447" i="17"/>
  <c r="R451" i="17"/>
  <c r="R448" i="17"/>
  <c r="M449" i="17"/>
  <c r="S450" i="17"/>
  <c r="S446" i="17"/>
  <c r="O451" i="17"/>
  <c r="O446" i="17"/>
  <c r="AK448" i="17"/>
  <c r="AK446" i="17"/>
  <c r="Y449" i="17"/>
  <c r="Y448" i="17"/>
  <c r="P450" i="17"/>
  <c r="P446" i="17"/>
  <c r="K449" i="17"/>
  <c r="K448" i="17"/>
  <c r="W451" i="17"/>
  <c r="W447" i="17"/>
  <c r="AD446" i="17"/>
  <c r="AD450" i="17"/>
  <c r="J451" i="17"/>
  <c r="J449" i="17"/>
  <c r="U449" i="17"/>
  <c r="AE448" i="17"/>
  <c r="AE451" i="17"/>
  <c r="AI448" i="17"/>
  <c r="AF458" i="17"/>
  <c r="AF459" i="17"/>
  <c r="M461" i="17"/>
  <c r="M457" i="17"/>
  <c r="AG458" i="17"/>
  <c r="AG461" i="17"/>
  <c r="AB462" i="17"/>
  <c r="AB458" i="17"/>
  <c r="P460" i="17"/>
  <c r="V457" i="17"/>
  <c r="W462" i="17"/>
  <c r="W459" i="17"/>
  <c r="AA459" i="17"/>
  <c r="AA457" i="17"/>
  <c r="AH458" i="17"/>
  <c r="AH461" i="17"/>
  <c r="AD457" i="17"/>
  <c r="AD459" i="17"/>
  <c r="T459" i="17"/>
  <c r="T457" i="17"/>
  <c r="N462" i="17"/>
  <c r="N458" i="17"/>
  <c r="U458" i="17"/>
  <c r="U462" i="17"/>
  <c r="O459" i="17"/>
  <c r="AE459" i="17"/>
  <c r="H458" i="17"/>
  <c r="Y468" i="17"/>
  <c r="Y473" i="17"/>
  <c r="P469" i="17"/>
  <c r="P473" i="17"/>
  <c r="I472" i="17"/>
  <c r="I470" i="17"/>
  <c r="U469" i="17"/>
  <c r="AI471" i="17"/>
  <c r="AI469" i="17"/>
  <c r="V468" i="17"/>
  <c r="V473" i="17"/>
  <c r="AC469" i="17"/>
  <c r="AC470" i="17"/>
  <c r="N470" i="17"/>
  <c r="N471" i="17"/>
  <c r="AB471" i="17"/>
  <c r="AB468" i="17"/>
  <c r="W469" i="17"/>
  <c r="W473" i="17"/>
  <c r="AK473" i="17"/>
  <c r="O470" i="17"/>
  <c r="O468" i="17"/>
  <c r="L471" i="17"/>
  <c r="L473" i="17"/>
  <c r="R469" i="17"/>
  <c r="R470" i="17"/>
  <c r="K468" i="17"/>
  <c r="K471" i="17"/>
  <c r="AA479" i="17"/>
  <c r="AA482" i="17"/>
  <c r="U482" i="17"/>
  <c r="U481" i="17"/>
  <c r="J479" i="17"/>
  <c r="J481" i="17"/>
  <c r="Z479" i="17"/>
  <c r="AC480" i="17"/>
  <c r="AC479" i="17"/>
  <c r="AK482" i="17"/>
  <c r="AK481" i="17"/>
  <c r="M480" i="17"/>
  <c r="M481" i="17"/>
  <c r="Q480" i="17"/>
  <c r="AF483" i="17"/>
  <c r="AF479" i="17"/>
  <c r="AD484" i="17"/>
  <c r="AD480" i="17"/>
  <c r="Y483" i="17"/>
  <c r="Y482" i="17"/>
  <c r="R481" i="17"/>
  <c r="W480" i="17"/>
  <c r="W483" i="17"/>
  <c r="W481" i="17"/>
  <c r="I480" i="17"/>
  <c r="I481" i="17"/>
  <c r="I482" i="17"/>
  <c r="M493" i="17"/>
  <c r="M492" i="17"/>
  <c r="N495" i="17"/>
  <c r="N491" i="17"/>
  <c r="R494" i="17"/>
  <c r="AA494" i="17"/>
  <c r="AA495" i="17"/>
  <c r="J495" i="17"/>
  <c r="J491" i="17"/>
  <c r="AH494" i="17"/>
  <c r="AH495" i="17"/>
  <c r="X494" i="17"/>
  <c r="X491" i="17"/>
  <c r="AK495" i="17"/>
  <c r="L490" i="17"/>
  <c r="L491" i="17"/>
  <c r="AF491" i="17"/>
  <c r="AF490" i="17"/>
  <c r="AB494" i="17"/>
  <c r="AB490" i="17"/>
  <c r="Z490" i="17"/>
  <c r="Z492" i="17"/>
  <c r="AC495" i="17"/>
  <c r="AC490" i="17"/>
  <c r="AD493" i="17"/>
  <c r="AD492" i="17"/>
  <c r="AI492" i="17"/>
  <c r="Q491" i="17"/>
  <c r="AD501" i="17"/>
  <c r="AD503" i="17"/>
  <c r="AE502" i="17"/>
  <c r="AE505" i="17"/>
  <c r="Y504" i="17"/>
  <c r="Y502" i="17"/>
  <c r="L502" i="17"/>
  <c r="AG506" i="17"/>
  <c r="AG503" i="17"/>
  <c r="AF505" i="17"/>
  <c r="AF506" i="17"/>
  <c r="AJ506" i="17"/>
  <c r="AJ502" i="17"/>
  <c r="S504" i="17"/>
  <c r="AK506" i="17"/>
  <c r="AK505" i="17"/>
  <c r="X506" i="17"/>
  <c r="X504" i="17"/>
  <c r="P505" i="17"/>
  <c r="P501" i="17"/>
  <c r="V502" i="17"/>
  <c r="Q502" i="17"/>
  <c r="Q506" i="17"/>
  <c r="I506" i="17"/>
  <c r="I502" i="17"/>
  <c r="M525" i="17"/>
  <c r="M526" i="17"/>
  <c r="L524" i="17"/>
  <c r="L527" i="17"/>
  <c r="W528" i="17"/>
  <c r="W527" i="17"/>
  <c r="N529" i="17"/>
  <c r="V529" i="17"/>
  <c r="V524" i="17"/>
  <c r="P528" i="17"/>
  <c r="P529" i="17"/>
  <c r="Y527" i="17"/>
  <c r="Y529" i="17"/>
  <c r="I527" i="17"/>
  <c r="Z529" i="17"/>
  <c r="Z524" i="17"/>
  <c r="AF528" i="17"/>
  <c r="AF526" i="17"/>
  <c r="S525" i="17"/>
  <c r="S526" i="17"/>
  <c r="AA528" i="17"/>
  <c r="H529" i="17"/>
  <c r="H526" i="17"/>
  <c r="Q527" i="17"/>
  <c r="Q526" i="17"/>
  <c r="J528" i="17"/>
  <c r="J526" i="17"/>
  <c r="AD525" i="17"/>
  <c r="O538" i="17"/>
  <c r="O537" i="17"/>
  <c r="W538" i="17"/>
  <c r="W537" i="17"/>
  <c r="AA538" i="17"/>
  <c r="AA536" i="17"/>
  <c r="AE537" i="17"/>
  <c r="T537" i="17"/>
  <c r="T539" i="17"/>
  <c r="L539" i="17"/>
  <c r="L536" i="17"/>
  <c r="AI538" i="17"/>
  <c r="AI540" i="17"/>
  <c r="M536" i="17"/>
  <c r="M535" i="17"/>
  <c r="Q536" i="17"/>
  <c r="Q535" i="17"/>
  <c r="AJ536" i="17"/>
  <c r="AK540" i="17"/>
  <c r="AK538" i="17"/>
  <c r="I536" i="17"/>
  <c r="I537" i="17"/>
  <c r="S549" i="17"/>
  <c r="S547" i="17"/>
  <c r="Z547" i="17"/>
  <c r="Z548" i="17"/>
  <c r="K546" i="17"/>
  <c r="K547" i="17"/>
  <c r="AI546" i="17"/>
  <c r="M550" i="17"/>
  <c r="M547" i="17"/>
  <c r="L547" i="17"/>
  <c r="L546" i="17"/>
  <c r="AG548" i="17"/>
  <c r="AG546" i="17"/>
  <c r="P550" i="17"/>
  <c r="P547" i="17"/>
  <c r="AD548" i="17"/>
  <c r="W558" i="17"/>
  <c r="T562" i="17"/>
  <c r="T559" i="17"/>
  <c r="AA562" i="17"/>
  <c r="AA558" i="17"/>
  <c r="AK558" i="17"/>
  <c r="H557" i="17"/>
  <c r="P559" i="17"/>
  <c r="P558" i="17"/>
  <c r="AH569" i="17"/>
  <c r="AH572" i="17"/>
  <c r="AH570" i="17"/>
  <c r="AK569" i="17"/>
  <c r="AK571" i="17"/>
  <c r="AK570" i="17"/>
  <c r="H572" i="17"/>
  <c r="H568" i="17"/>
  <c r="H573" i="17"/>
  <c r="I573" i="17"/>
  <c r="I570" i="17"/>
  <c r="I568" i="17"/>
  <c r="Q557" i="17"/>
  <c r="Q562" i="17"/>
  <c r="Q558" i="17"/>
  <c r="R561" i="17"/>
  <c r="R560" i="17"/>
  <c r="R557" i="17"/>
  <c r="H570" i="17"/>
  <c r="Q568" i="17"/>
  <c r="Q569" i="17"/>
  <c r="I629" i="17"/>
  <c r="I628" i="17"/>
  <c r="AC630" i="17"/>
  <c r="AC626" i="17"/>
  <c r="AC628" i="17"/>
  <c r="M630" i="17"/>
  <c r="M631" i="17"/>
  <c r="M626" i="17"/>
  <c r="AB627" i="17"/>
  <c r="AB630" i="17"/>
  <c r="AB626" i="17"/>
  <c r="P626" i="17"/>
  <c r="P629" i="17"/>
  <c r="P631" i="17"/>
  <c r="X631" i="17"/>
  <c r="X628" i="17"/>
  <c r="X626" i="17"/>
  <c r="AD627" i="17"/>
  <c r="AD628" i="17"/>
  <c r="AD629" i="17"/>
  <c r="AG630" i="17"/>
  <c r="AG629" i="17"/>
  <c r="AG627" i="17"/>
  <c r="AK627" i="17"/>
  <c r="AK628" i="17"/>
  <c r="AK630" i="17"/>
  <c r="U626" i="17"/>
  <c r="U630" i="17"/>
  <c r="U628" i="17"/>
  <c r="K629" i="17"/>
  <c r="K630" i="17"/>
  <c r="K626" i="17"/>
  <c r="AF651" i="17"/>
  <c r="AF652" i="17"/>
  <c r="AF653" i="17"/>
  <c r="AK652" i="17"/>
  <c r="AK648" i="17"/>
  <c r="AK653" i="17"/>
  <c r="N650" i="17"/>
  <c r="N648" i="17"/>
  <c r="N653" i="17"/>
  <c r="I648" i="17"/>
  <c r="I652" i="17"/>
  <c r="I653" i="17"/>
  <c r="T652" i="17"/>
  <c r="T648" i="17"/>
  <c r="T649" i="17"/>
  <c r="Q652" i="17"/>
  <c r="Q648" i="17"/>
  <c r="Q650" i="17"/>
  <c r="U650" i="17"/>
  <c r="U651" i="17"/>
  <c r="U648" i="17"/>
  <c r="AJ649" i="17"/>
  <c r="AJ650" i="17"/>
  <c r="AJ652" i="17"/>
  <c r="AG653" i="17"/>
  <c r="AG652" i="17"/>
  <c r="AG650" i="17"/>
  <c r="K650" i="17"/>
  <c r="K648" i="17"/>
  <c r="K653" i="17"/>
  <c r="S651" i="17"/>
  <c r="S649" i="17"/>
  <c r="S652" i="17"/>
  <c r="J661" i="17"/>
  <c r="J664" i="17"/>
  <c r="U661" i="17"/>
  <c r="U664" i="17"/>
  <c r="U660" i="17"/>
  <c r="K661" i="17"/>
  <c r="K660" i="17"/>
  <c r="K664" i="17"/>
  <c r="M659" i="17"/>
  <c r="M664" i="17"/>
  <c r="M662" i="17"/>
  <c r="X661" i="17"/>
  <c r="X659" i="17"/>
  <c r="X664" i="17"/>
  <c r="N663" i="17"/>
  <c r="N662" i="17"/>
  <c r="N659" i="17"/>
  <c r="AK663" i="17"/>
  <c r="AK662" i="17"/>
  <c r="AF569" i="17"/>
  <c r="AF571" i="17"/>
  <c r="R568" i="17"/>
  <c r="R573" i="17"/>
  <c r="Z569" i="17"/>
  <c r="Z568" i="17"/>
  <c r="U571" i="17"/>
  <c r="AJ569" i="17"/>
  <c r="AJ573" i="17"/>
  <c r="O569" i="17"/>
  <c r="O571" i="17"/>
  <c r="X573" i="17"/>
  <c r="X568" i="17"/>
  <c r="M570" i="17"/>
  <c r="Y569" i="17"/>
  <c r="Y570" i="17"/>
  <c r="AG568" i="17"/>
  <c r="AG570" i="17"/>
  <c r="L569" i="17"/>
  <c r="L573" i="17"/>
  <c r="AA580" i="17"/>
  <c r="AA582" i="17"/>
  <c r="AH582" i="17"/>
  <c r="AH580" i="17"/>
  <c r="I584" i="17"/>
  <c r="I583" i="17"/>
  <c r="Q579" i="17"/>
  <c r="S582" i="17"/>
  <c r="S583" i="17"/>
  <c r="AD584" i="17"/>
  <c r="AD581" i="17"/>
  <c r="K579" i="17"/>
  <c r="K580" i="17"/>
  <c r="V579" i="17"/>
  <c r="AK582" i="17"/>
  <c r="AK583" i="17"/>
  <c r="R584" i="17"/>
  <c r="R583" i="17"/>
  <c r="AG581" i="17"/>
  <c r="AG580" i="17"/>
  <c r="N584" i="17"/>
  <c r="Z580" i="17"/>
  <c r="Z579" i="17"/>
  <c r="T579" i="17"/>
  <c r="T582" i="17"/>
  <c r="P580" i="17"/>
  <c r="P579" i="17"/>
  <c r="S593" i="17"/>
  <c r="S592" i="17"/>
  <c r="Y595" i="17"/>
  <c r="Y594" i="17"/>
  <c r="AJ592" i="17"/>
  <c r="AJ593" i="17"/>
  <c r="K592" i="17"/>
  <c r="AA593" i="17"/>
  <c r="AA592" i="17"/>
  <c r="Q590" i="17"/>
  <c r="Q591" i="17"/>
  <c r="AK594" i="17"/>
  <c r="AK593" i="17"/>
  <c r="Z592" i="17"/>
  <c r="H595" i="17"/>
  <c r="T593" i="17"/>
  <c r="T592" i="17"/>
  <c r="I592" i="17"/>
  <c r="I594" i="17"/>
  <c r="J590" i="17"/>
  <c r="J592" i="17"/>
  <c r="AG595" i="17"/>
  <c r="U594" i="17"/>
  <c r="U595" i="17"/>
  <c r="P606" i="17"/>
  <c r="P603" i="17"/>
  <c r="Z601" i="17"/>
  <c r="Z605" i="17"/>
  <c r="H603" i="17"/>
  <c r="H605" i="17"/>
  <c r="V605" i="17"/>
  <c r="AF603" i="17"/>
  <c r="AF606" i="17"/>
  <c r="X603" i="17"/>
  <c r="X601" i="17"/>
  <c r="S605" i="17"/>
  <c r="S602" i="17"/>
  <c r="AG602" i="17"/>
  <c r="T604" i="17"/>
  <c r="T603" i="17"/>
  <c r="U606" i="17"/>
  <c r="U603" i="17"/>
  <c r="AK605" i="17"/>
  <c r="AK603" i="17"/>
  <c r="AE603" i="17"/>
  <c r="AI603" i="17"/>
  <c r="AI606" i="17"/>
  <c r="I606" i="17"/>
  <c r="I604" i="17"/>
  <c r="AD606" i="17"/>
  <c r="AD605" i="17"/>
  <c r="M603" i="17"/>
  <c r="AI629" i="17"/>
  <c r="I631" i="17"/>
  <c r="AC627" i="17"/>
  <c r="S627" i="17"/>
  <c r="S628" i="17"/>
  <c r="M629" i="17"/>
  <c r="M628" i="17"/>
  <c r="AB629" i="17"/>
  <c r="P630" i="17"/>
  <c r="W626" i="17"/>
  <c r="W629" i="17"/>
  <c r="X630" i="17"/>
  <c r="X629" i="17"/>
  <c r="AD631" i="17"/>
  <c r="AG631" i="17"/>
  <c r="AJ626" i="17"/>
  <c r="AJ630" i="17"/>
  <c r="AK631" i="17"/>
  <c r="AK626" i="17"/>
  <c r="U631" i="17"/>
  <c r="K631" i="17"/>
  <c r="AH629" i="17"/>
  <c r="AH628" i="17"/>
  <c r="AF648" i="17"/>
  <c r="AF650" i="17"/>
  <c r="AK650" i="17"/>
  <c r="N651" i="17"/>
  <c r="X650" i="17"/>
  <c r="X648" i="17"/>
  <c r="M654" i="17"/>
  <c r="I649" i="17"/>
  <c r="I651" i="17"/>
  <c r="T653" i="17"/>
  <c r="Q649" i="17"/>
  <c r="J653" i="17"/>
  <c r="J650" i="17"/>
  <c r="U649" i="17"/>
  <c r="U652" i="17"/>
  <c r="AJ653" i="17"/>
  <c r="AG651" i="17"/>
  <c r="AH648" i="17"/>
  <c r="AH653" i="17"/>
  <c r="K649" i="17"/>
  <c r="K651" i="17"/>
  <c r="S648" i="17"/>
  <c r="Q663" i="17"/>
  <c r="Q664" i="17"/>
  <c r="Q662" i="17"/>
  <c r="Y664" i="17"/>
  <c r="Y663" i="17"/>
  <c r="Y661" i="17"/>
  <c r="V660" i="17"/>
  <c r="V659" i="17"/>
  <c r="V661" i="17"/>
  <c r="I664" i="17"/>
  <c r="I660" i="17"/>
  <c r="I659" i="17"/>
  <c r="AJ661" i="17"/>
  <c r="AJ659" i="17"/>
  <c r="AB663" i="17"/>
  <c r="AB660" i="17"/>
  <c r="AB659" i="17"/>
  <c r="U663" i="17"/>
  <c r="U662" i="17"/>
  <c r="K659" i="17"/>
  <c r="M663" i="17"/>
  <c r="AA662" i="17"/>
  <c r="AA660" i="17"/>
  <c r="X660" i="17"/>
  <c r="X662" i="17"/>
  <c r="N660" i="17"/>
  <c r="T663" i="17"/>
  <c r="T664" i="17"/>
  <c r="R662" i="17"/>
  <c r="Z663" i="17"/>
  <c r="Z659" i="17"/>
  <c r="AH663" i="17"/>
  <c r="AH664" i="17"/>
  <c r="AB698" i="17"/>
  <c r="AB696" i="17"/>
  <c r="H697" i="17"/>
  <c r="H698" i="17"/>
  <c r="I699" i="17"/>
  <c r="I700" i="17"/>
  <c r="AD695" i="17"/>
  <c r="AK697" i="17"/>
  <c r="AK698" i="17"/>
  <c r="AE696" i="17"/>
  <c r="AE698" i="17"/>
  <c r="AJ699" i="17"/>
  <c r="AJ695" i="17"/>
  <c r="Q695" i="17"/>
  <c r="M697" i="17"/>
  <c r="M695" i="17"/>
  <c r="X698" i="17"/>
  <c r="X696" i="17"/>
  <c r="L698" i="17"/>
  <c r="L699" i="17"/>
  <c r="AA699" i="17"/>
  <c r="AC696" i="17"/>
  <c r="AC699" i="17"/>
  <c r="R698" i="17"/>
  <c r="R700" i="17"/>
  <c r="AI696" i="17"/>
  <c r="AI698" i="17"/>
  <c r="K696" i="17"/>
  <c r="AI688" i="17"/>
  <c r="AI686" i="17"/>
  <c r="M707" i="17"/>
  <c r="M710" i="17"/>
  <c r="L710" i="17"/>
  <c r="L706" i="17"/>
  <c r="N710" i="17"/>
  <c r="AC709" i="17"/>
  <c r="AC710" i="17"/>
  <c r="W707" i="17"/>
  <c r="W708" i="17"/>
  <c r="T709" i="17"/>
  <c r="T710" i="17"/>
  <c r="Q711" i="17"/>
  <c r="Q707" i="17"/>
  <c r="AI708" i="17"/>
  <c r="AI709" i="17"/>
  <c r="P709" i="17"/>
  <c r="P710" i="17"/>
  <c r="P707" i="17"/>
  <c r="U709" i="17"/>
  <c r="U711" i="17"/>
  <c r="AE708" i="17"/>
  <c r="AE706" i="17"/>
  <c r="AE707" i="17"/>
  <c r="J684" i="17"/>
  <c r="J686" i="17"/>
  <c r="AF710" i="17"/>
  <c r="AC685" i="17"/>
  <c r="L685" i="17"/>
  <c r="L686" i="17"/>
  <c r="AE686" i="17"/>
  <c r="AE685" i="17"/>
  <c r="R707" i="17"/>
  <c r="R708" i="17"/>
  <c r="I711" i="17"/>
  <c r="I708" i="17"/>
  <c r="AJ686" i="17"/>
  <c r="AJ685" i="17"/>
  <c r="W684" i="17"/>
  <c r="W687" i="17"/>
  <c r="I689" i="17"/>
  <c r="AA641" i="17"/>
  <c r="M686" i="17"/>
  <c r="M689" i="17"/>
  <c r="AA686" i="17"/>
  <c r="AA684" i="17"/>
  <c r="H685" i="17"/>
  <c r="H688" i="17"/>
  <c r="AK687" i="17"/>
  <c r="Y687" i="17"/>
  <c r="Y684" i="17"/>
  <c r="AF686" i="17"/>
  <c r="AF688" i="17"/>
  <c r="P687" i="17"/>
  <c r="P684" i="17"/>
  <c r="AG637" i="17"/>
  <c r="AG642" i="17"/>
  <c r="AF640" i="17"/>
  <c r="AF637" i="17"/>
  <c r="AC638" i="17"/>
  <c r="AC641" i="17"/>
  <c r="T641" i="17"/>
  <c r="T639" i="17"/>
  <c r="Q640" i="17"/>
  <c r="V641" i="17"/>
  <c r="V642" i="17"/>
  <c r="X640" i="17"/>
  <c r="X642" i="17"/>
  <c r="W642" i="17"/>
  <c r="W638" i="17"/>
  <c r="N637" i="17"/>
  <c r="N638" i="17"/>
  <c r="AJ639" i="17"/>
  <c r="S689" i="17"/>
  <c r="S688" i="17"/>
  <c r="U638" i="17"/>
  <c r="U640" i="17"/>
  <c r="I642" i="17"/>
  <c r="R687" i="17"/>
  <c r="AH637" i="17"/>
  <c r="R640" i="17"/>
  <c r="R641" i="17"/>
  <c r="O641" i="17"/>
  <c r="AF395" i="17"/>
  <c r="I405" i="17"/>
  <c r="I403" i="17"/>
  <c r="AB407" i="17"/>
  <c r="AB403" i="17"/>
  <c r="W407" i="17"/>
  <c r="W403" i="17"/>
  <c r="W406" i="17"/>
  <c r="AD403" i="17"/>
  <c r="AD402" i="17"/>
  <c r="X407" i="17"/>
  <c r="P402" i="17"/>
  <c r="P405" i="17"/>
  <c r="Y402" i="17"/>
  <c r="Y405" i="17"/>
  <c r="R403" i="17"/>
  <c r="R402" i="17"/>
  <c r="AF402" i="17"/>
  <c r="AF407" i="17"/>
  <c r="U418" i="17"/>
  <c r="U413" i="17"/>
  <c r="AJ417" i="17"/>
  <c r="AJ418" i="17"/>
  <c r="T414" i="17"/>
  <c r="T417" i="17"/>
  <c r="AC414" i="17"/>
  <c r="AC415" i="17"/>
  <c r="O413" i="17"/>
  <c r="O415" i="17"/>
  <c r="I417" i="17"/>
  <c r="I413" i="17"/>
  <c r="I415" i="17"/>
  <c r="P415" i="17"/>
  <c r="P414" i="17"/>
  <c r="W416" i="17"/>
  <c r="W413" i="17"/>
  <c r="W415" i="17"/>
  <c r="H418" i="17"/>
  <c r="H417" i="17"/>
  <c r="U537" i="17"/>
  <c r="U536" i="17"/>
  <c r="U540" i="17"/>
  <c r="O548" i="17"/>
  <c r="O550" i="17"/>
  <c r="O546" i="17"/>
  <c r="Q549" i="17"/>
  <c r="Q551" i="17"/>
  <c r="Q548" i="17"/>
  <c r="AJ547" i="17"/>
  <c r="AJ549" i="17"/>
  <c r="AJ548" i="17"/>
  <c r="Y547" i="17"/>
  <c r="Y546" i="17"/>
  <c r="Y548" i="17"/>
  <c r="AF550" i="17"/>
  <c r="AF551" i="17"/>
  <c r="AF547" i="17"/>
  <c r="X550" i="17"/>
  <c r="X546" i="17"/>
  <c r="X551" i="17"/>
  <c r="R548" i="17"/>
  <c r="R546" i="17"/>
  <c r="R549" i="17"/>
  <c r="T550" i="17"/>
  <c r="T547" i="17"/>
  <c r="T549" i="17"/>
  <c r="O559" i="17"/>
  <c r="O562" i="17"/>
  <c r="O557" i="17"/>
  <c r="AJ559" i="17"/>
  <c r="AJ560" i="17"/>
  <c r="AJ558" i="17"/>
  <c r="AD559" i="17"/>
  <c r="AD561" i="17"/>
  <c r="AD560" i="17"/>
  <c r="X560" i="17"/>
  <c r="X559" i="17"/>
  <c r="X557" i="17"/>
  <c r="I559" i="17"/>
  <c r="I560" i="17"/>
  <c r="I561" i="17"/>
  <c r="AH557" i="17"/>
  <c r="AH561" i="17"/>
  <c r="AH560" i="17"/>
  <c r="AB349" i="17"/>
  <c r="AB350" i="17"/>
  <c r="AK351" i="17"/>
  <c r="AK348" i="17"/>
  <c r="Y348" i="17"/>
  <c r="Y347" i="17"/>
  <c r="AD350" i="17"/>
  <c r="AD351" i="17"/>
  <c r="J351" i="17"/>
  <c r="J349" i="17"/>
  <c r="AC348" i="17"/>
  <c r="AC346" i="17"/>
  <c r="AF351" i="17"/>
  <c r="AF348" i="17"/>
  <c r="R350" i="17"/>
  <c r="R347" i="17"/>
  <c r="AI349" i="17"/>
  <c r="AI346" i="17"/>
  <c r="P351" i="17"/>
  <c r="P347" i="17"/>
  <c r="I347" i="17"/>
  <c r="I350" i="17"/>
  <c r="M350" i="17"/>
  <c r="M346" i="17"/>
  <c r="T346" i="17"/>
  <c r="T350" i="17"/>
  <c r="H348" i="17"/>
  <c r="H349" i="17"/>
  <c r="AJ351" i="17"/>
  <c r="AJ347" i="17"/>
  <c r="K350" i="17"/>
  <c r="K346" i="17"/>
  <c r="W361" i="17"/>
  <c r="W357" i="17"/>
  <c r="AD359" i="17"/>
  <c r="AD358" i="17"/>
  <c r="Z360" i="17"/>
  <c r="Z358" i="17"/>
  <c r="P361" i="17"/>
  <c r="P357" i="17"/>
  <c r="AF357" i="17"/>
  <c r="AF360" i="17"/>
  <c r="J362" i="17"/>
  <c r="J359" i="17"/>
  <c r="I362" i="17"/>
  <c r="I360" i="17"/>
  <c r="U358" i="17"/>
  <c r="U359" i="17"/>
  <c r="AJ360" i="17"/>
  <c r="AJ359" i="17"/>
  <c r="AG358" i="17"/>
  <c r="AG359" i="17"/>
  <c r="V361" i="17"/>
  <c r="V360" i="17"/>
  <c r="AB361" i="17"/>
  <c r="AB362" i="17"/>
  <c r="L357" i="17"/>
  <c r="L360" i="17"/>
  <c r="AE358" i="17"/>
  <c r="AE357" i="17"/>
  <c r="AH362" i="17"/>
  <c r="AH361" i="17"/>
  <c r="H362" i="17"/>
  <c r="H359" i="17"/>
  <c r="H381" i="17"/>
  <c r="H384" i="17"/>
  <c r="I384" i="17"/>
  <c r="I382" i="17"/>
  <c r="AJ381" i="17"/>
  <c r="AJ383" i="17"/>
  <c r="AK385" i="17"/>
  <c r="AK382" i="17"/>
  <c r="X383" i="17"/>
  <c r="X382" i="17"/>
  <c r="M382" i="17"/>
  <c r="M381" i="17"/>
  <c r="R381" i="17"/>
  <c r="R382" i="17"/>
  <c r="AI383" i="17"/>
  <c r="AI380" i="17"/>
  <c r="AG382" i="17"/>
  <c r="AG385" i="17"/>
  <c r="S381" i="17"/>
  <c r="S380" i="17"/>
  <c r="W382" i="17"/>
  <c r="W380" i="17"/>
  <c r="AE381" i="17"/>
  <c r="AE380" i="17"/>
  <c r="AF385" i="17"/>
  <c r="AF384" i="17"/>
  <c r="Y384" i="17"/>
  <c r="Y381" i="17"/>
  <c r="J396" i="17"/>
  <c r="J393" i="17"/>
  <c r="AI396" i="17"/>
  <c r="AI393" i="17"/>
  <c r="K393" i="17"/>
  <c r="K391" i="17"/>
  <c r="Q393" i="17"/>
  <c r="Q392" i="17"/>
  <c r="S394" i="17"/>
  <c r="S396" i="17"/>
  <c r="N392" i="17"/>
  <c r="N394" i="17"/>
  <c r="U393" i="17"/>
  <c r="U394" i="17"/>
  <c r="AD396" i="17"/>
  <c r="AD392" i="17"/>
  <c r="R392" i="17"/>
  <c r="R393" i="17"/>
  <c r="AJ396" i="17"/>
  <c r="AJ391" i="17"/>
  <c r="AE391" i="17"/>
  <c r="AE396" i="17"/>
  <c r="AG396" i="17"/>
  <c r="AG391" i="17"/>
  <c r="AC394" i="17"/>
  <c r="AC392" i="17"/>
  <c r="P394" i="17"/>
  <c r="P396" i="17"/>
  <c r="AH395" i="17"/>
  <c r="N405" i="17"/>
  <c r="N404" i="17"/>
  <c r="K405" i="17"/>
  <c r="K406" i="17"/>
  <c r="S402" i="17"/>
  <c r="S405" i="17"/>
  <c r="O402" i="17"/>
  <c r="O403" i="17"/>
  <c r="V406" i="17"/>
  <c r="V405" i="17"/>
  <c r="H402" i="17"/>
  <c r="L408" i="17"/>
  <c r="T406" i="17"/>
  <c r="AE416" i="17"/>
  <c r="AE418" i="17"/>
  <c r="AH416" i="17"/>
  <c r="AH417" i="17"/>
  <c r="R416" i="17"/>
  <c r="R414" i="17"/>
  <c r="AF418" i="17"/>
  <c r="M413" i="17"/>
  <c r="M417" i="17"/>
  <c r="W427" i="17"/>
  <c r="W428" i="17"/>
  <c r="AJ427" i="17"/>
  <c r="AJ425" i="17"/>
  <c r="AH428" i="17"/>
  <c r="AH424" i="17"/>
  <c r="AC425" i="17"/>
  <c r="AC424" i="17"/>
  <c r="X425" i="17"/>
  <c r="X429" i="17"/>
  <c r="H424" i="17"/>
  <c r="H426" i="17"/>
  <c r="O427" i="17"/>
  <c r="O426" i="17"/>
  <c r="K428" i="17"/>
  <c r="K429" i="17"/>
  <c r="J428" i="17"/>
  <c r="J427" i="17"/>
  <c r="AB424" i="17"/>
  <c r="AB426" i="17"/>
  <c r="AI426" i="17"/>
  <c r="AI429" i="17"/>
  <c r="N429" i="17"/>
  <c r="N425" i="17"/>
  <c r="T429" i="17"/>
  <c r="T428" i="17"/>
  <c r="AK426" i="17"/>
  <c r="AK424" i="17"/>
  <c r="AD436" i="17"/>
  <c r="AD439" i="17"/>
  <c r="N436" i="17"/>
  <c r="N435" i="17"/>
  <c r="Z436" i="17"/>
  <c r="Z438" i="17"/>
  <c r="V435" i="17"/>
  <c r="V439" i="17"/>
  <c r="M436" i="17"/>
  <c r="M438" i="17"/>
  <c r="P436" i="17"/>
  <c r="P440" i="17"/>
  <c r="AI437" i="17"/>
  <c r="AI438" i="17"/>
  <c r="AG436" i="17"/>
  <c r="AG435" i="17"/>
  <c r="S437" i="17"/>
  <c r="S435" i="17"/>
  <c r="K438" i="17"/>
  <c r="K436" i="17"/>
  <c r="AF435" i="17"/>
  <c r="AF436" i="17"/>
  <c r="I439" i="17"/>
  <c r="I440" i="17"/>
  <c r="J439" i="17"/>
  <c r="J435" i="17"/>
  <c r="T436" i="17"/>
  <c r="T439" i="17"/>
  <c r="AC436" i="17"/>
  <c r="AC435" i="17"/>
  <c r="T451" i="17"/>
  <c r="T448" i="17"/>
  <c r="Z447" i="17"/>
  <c r="Z451" i="17"/>
  <c r="R446" i="17"/>
  <c r="R447" i="17"/>
  <c r="M451" i="17"/>
  <c r="M448" i="17"/>
  <c r="H450" i="17"/>
  <c r="H446" i="17"/>
  <c r="AC451" i="17"/>
  <c r="AC450" i="17"/>
  <c r="X446" i="17"/>
  <c r="X449" i="17"/>
  <c r="P449" i="17"/>
  <c r="P448" i="17"/>
  <c r="V450" i="17"/>
  <c r="V448" i="17"/>
  <c r="AG449" i="17"/>
  <c r="AG450" i="17"/>
  <c r="J446" i="17"/>
  <c r="J447" i="17"/>
  <c r="U451" i="17"/>
  <c r="U446" i="17"/>
  <c r="AF448" i="17"/>
  <c r="AF447" i="17"/>
  <c r="AE450" i="17"/>
  <c r="AE449" i="17"/>
  <c r="AI446" i="17"/>
  <c r="AI447" i="17"/>
  <c r="AK458" i="17"/>
  <c r="AK457" i="17"/>
  <c r="AC458" i="17"/>
  <c r="AC457" i="17"/>
  <c r="AB457" i="17"/>
  <c r="AB459" i="17"/>
  <c r="P462" i="17"/>
  <c r="P459" i="17"/>
  <c r="V461" i="17"/>
  <c r="Y462" i="17"/>
  <c r="Y461" i="17"/>
  <c r="J460" i="17"/>
  <c r="J461" i="17"/>
  <c r="AJ457" i="17"/>
  <c r="AJ458" i="17"/>
  <c r="AH457" i="17"/>
  <c r="AH460" i="17"/>
  <c r="K459" i="17"/>
  <c r="K458" i="17"/>
  <c r="I459" i="17"/>
  <c r="I461" i="17"/>
  <c r="U457" i="17"/>
  <c r="U461" i="17"/>
  <c r="O461" i="17"/>
  <c r="O457" i="17"/>
  <c r="AE462" i="17"/>
  <c r="AE458" i="17"/>
  <c r="H462" i="17"/>
  <c r="H459" i="17"/>
  <c r="H469" i="17"/>
  <c r="H471" i="17"/>
  <c r="AG471" i="17"/>
  <c r="AG468" i="17"/>
  <c r="I468" i="17"/>
  <c r="I471" i="17"/>
  <c r="U471" i="17"/>
  <c r="U473" i="17"/>
  <c r="AE468" i="17"/>
  <c r="AE472" i="17"/>
  <c r="AF468" i="17"/>
  <c r="AF473" i="17"/>
  <c r="AC471" i="17"/>
  <c r="AC472" i="17"/>
  <c r="X472" i="17"/>
  <c r="X470" i="17"/>
  <c r="M473" i="17"/>
  <c r="M471" i="17"/>
  <c r="W468" i="17"/>
  <c r="W471" i="17"/>
  <c r="AK469" i="17"/>
  <c r="AK470" i="17"/>
  <c r="Q471" i="17"/>
  <c r="Q473" i="17"/>
  <c r="AD469" i="17"/>
  <c r="AD470" i="17"/>
  <c r="AA468" i="17"/>
  <c r="AA470" i="17"/>
  <c r="AE481" i="17"/>
  <c r="AE484" i="17"/>
  <c r="J482" i="17"/>
  <c r="J480" i="17"/>
  <c r="Z481" i="17"/>
  <c r="Z484" i="17"/>
  <c r="T484" i="17"/>
  <c r="T480" i="17"/>
  <c r="K484" i="17"/>
  <c r="K479" i="17"/>
  <c r="M483" i="17"/>
  <c r="M479" i="17"/>
  <c r="Q483" i="17"/>
  <c r="Q479" i="17"/>
  <c r="H483" i="17"/>
  <c r="H481" i="17"/>
  <c r="L479" i="17"/>
  <c r="L480" i="17"/>
  <c r="Y480" i="17"/>
  <c r="Y481" i="17"/>
  <c r="R484" i="17"/>
  <c r="R480" i="17"/>
  <c r="AH484" i="17"/>
  <c r="AH481" i="17"/>
  <c r="AG482" i="17"/>
  <c r="AG483" i="17"/>
  <c r="I483" i="17"/>
  <c r="I484" i="17"/>
  <c r="O484" i="17"/>
  <c r="O479" i="17"/>
  <c r="X481" i="17"/>
  <c r="X480" i="17"/>
  <c r="N493" i="17"/>
  <c r="N494" i="17"/>
  <c r="R495" i="17"/>
  <c r="R493" i="17"/>
  <c r="K491" i="17"/>
  <c r="K492" i="17"/>
  <c r="AG490" i="17"/>
  <c r="AG492" i="17"/>
  <c r="X492" i="17"/>
  <c r="X493" i="17"/>
  <c r="AK493" i="17"/>
  <c r="AK491" i="17"/>
  <c r="Y490" i="17"/>
  <c r="Y495" i="17"/>
  <c r="P495" i="17"/>
  <c r="P493" i="17"/>
  <c r="AB493" i="17"/>
  <c r="AB492" i="17"/>
  <c r="AE490" i="17"/>
  <c r="AE491" i="17"/>
  <c r="U493" i="17"/>
  <c r="U495" i="17"/>
  <c r="H493" i="17"/>
  <c r="H491" i="17"/>
  <c r="AD490" i="17"/>
  <c r="AD491" i="17"/>
  <c r="AI495" i="17"/>
  <c r="AI490" i="17"/>
  <c r="Q490" i="17"/>
  <c r="Q493" i="17"/>
  <c r="AB501" i="17"/>
  <c r="AB504" i="17"/>
  <c r="R505" i="17"/>
  <c r="R506" i="17"/>
  <c r="Y501" i="17"/>
  <c r="Y505" i="17"/>
  <c r="L505" i="17"/>
  <c r="L504" i="17"/>
  <c r="O503" i="17"/>
  <c r="O502" i="17"/>
  <c r="AC504" i="17"/>
  <c r="AC505" i="17"/>
  <c r="AJ503" i="17"/>
  <c r="AJ505" i="17"/>
  <c r="S506" i="17"/>
  <c r="S505" i="17"/>
  <c r="U501" i="17"/>
  <c r="U505" i="17"/>
  <c r="Z504" i="17"/>
  <c r="Z502" i="17"/>
  <c r="P506" i="17"/>
  <c r="P502" i="17"/>
  <c r="V505" i="17"/>
  <c r="V506" i="17"/>
  <c r="H503" i="17"/>
  <c r="H501" i="17"/>
  <c r="AH502" i="17"/>
  <c r="AH504" i="17"/>
  <c r="AE529" i="17"/>
  <c r="AE525" i="17"/>
  <c r="W524" i="17"/>
  <c r="W526" i="17"/>
  <c r="N525" i="17"/>
  <c r="N527" i="17"/>
  <c r="O524" i="17"/>
  <c r="O526" i="17"/>
  <c r="AJ524" i="17"/>
  <c r="AJ527" i="17"/>
  <c r="Y524" i="17"/>
  <c r="Y528" i="17"/>
  <c r="I525" i="17"/>
  <c r="I528" i="17"/>
  <c r="AG524" i="17"/>
  <c r="AG526" i="17"/>
  <c r="U526" i="17"/>
  <c r="U525" i="17"/>
  <c r="S528" i="17"/>
  <c r="S527" i="17"/>
  <c r="AA526" i="17"/>
  <c r="AA525" i="17"/>
  <c r="K526" i="17"/>
  <c r="K524" i="17"/>
  <c r="T529" i="17"/>
  <c r="T525" i="17"/>
  <c r="J525" i="17"/>
  <c r="J529" i="17"/>
  <c r="AD527" i="17"/>
  <c r="AD529" i="17"/>
  <c r="V537" i="17"/>
  <c r="V539" i="17"/>
  <c r="J540" i="17"/>
  <c r="J536" i="17"/>
  <c r="AA540" i="17"/>
  <c r="AA539" i="17"/>
  <c r="AE539" i="17"/>
  <c r="AE536" i="17"/>
  <c r="R540" i="17"/>
  <c r="R535" i="17"/>
  <c r="AF538" i="17"/>
  <c r="AF540" i="17"/>
  <c r="AI539" i="17"/>
  <c r="AI537" i="17"/>
  <c r="Y535" i="17"/>
  <c r="Y536" i="17"/>
  <c r="P538" i="17"/>
  <c r="P540" i="17"/>
  <c r="AH537" i="17"/>
  <c r="AH540" i="17"/>
  <c r="AJ540" i="17"/>
  <c r="AJ539" i="17"/>
  <c r="N536" i="17"/>
  <c r="N539" i="17"/>
  <c r="AC536" i="17"/>
  <c r="AC540" i="17"/>
  <c r="AC539" i="17"/>
  <c r="U538" i="17"/>
  <c r="AG538" i="17"/>
  <c r="AG537" i="17"/>
  <c r="AG535" i="17"/>
  <c r="AB539" i="17"/>
  <c r="AB535" i="17"/>
  <c r="AB536" i="17"/>
  <c r="O549" i="17"/>
  <c r="O551" i="17"/>
  <c r="Q546" i="17"/>
  <c r="AI548" i="17"/>
  <c r="AI551" i="17"/>
  <c r="AI549" i="17"/>
  <c r="U550" i="17"/>
  <c r="U549" i="17"/>
  <c r="U548" i="17"/>
  <c r="AJ546" i="17"/>
  <c r="AJ550" i="17"/>
  <c r="Y551" i="17"/>
  <c r="AE548" i="17"/>
  <c r="AE549" i="17"/>
  <c r="AE550" i="17"/>
  <c r="N548" i="17"/>
  <c r="N547" i="17"/>
  <c r="N550" i="17"/>
  <c r="AF549" i="17"/>
  <c r="AF548" i="17"/>
  <c r="X547" i="17"/>
  <c r="AD547" i="17"/>
  <c r="AD546" i="17"/>
  <c r="AD550" i="17"/>
  <c r="AH549" i="17"/>
  <c r="AH551" i="17"/>
  <c r="AH547" i="17"/>
  <c r="R550" i="17"/>
  <c r="R551" i="17"/>
  <c r="T546" i="17"/>
  <c r="T548" i="17"/>
  <c r="W559" i="17"/>
  <c r="W562" i="17"/>
  <c r="W560" i="17"/>
  <c r="AB560" i="17"/>
  <c r="AB559" i="17"/>
  <c r="AB561" i="17"/>
  <c r="O560" i="17"/>
  <c r="O561" i="17"/>
  <c r="AJ562" i="17"/>
  <c r="U561" i="17"/>
  <c r="U557" i="17"/>
  <c r="U559" i="17"/>
  <c r="AC560" i="17"/>
  <c r="AC562" i="17"/>
  <c r="AC561" i="17"/>
  <c r="AD558" i="17"/>
  <c r="AD562" i="17"/>
  <c r="X562" i="17"/>
  <c r="L559" i="17"/>
  <c r="L560" i="17"/>
  <c r="L557" i="17"/>
  <c r="S559" i="17"/>
  <c r="S558" i="17"/>
  <c r="S562" i="17"/>
  <c r="I558" i="17"/>
  <c r="I557" i="17"/>
  <c r="AH559" i="17"/>
  <c r="N561" i="17"/>
  <c r="N559" i="17"/>
  <c r="N558" i="17"/>
  <c r="AF664" i="17"/>
  <c r="AF662" i="17"/>
  <c r="AF663" i="17"/>
  <c r="AI561" i="17"/>
  <c r="AI557" i="17"/>
  <c r="R562" i="17"/>
  <c r="R559" i="17"/>
  <c r="N569" i="17"/>
  <c r="N573" i="17"/>
  <c r="AB572" i="17"/>
  <c r="AB571" i="17"/>
  <c r="I572" i="17"/>
  <c r="I571" i="17"/>
  <c r="Q571" i="17"/>
  <c r="Q570" i="17"/>
  <c r="AA568" i="17"/>
  <c r="AA573" i="17"/>
  <c r="AE569" i="17"/>
  <c r="AE572" i="17"/>
  <c r="Z571" i="17"/>
  <c r="Z572" i="17"/>
  <c r="U570" i="17"/>
  <c r="U573" i="17"/>
  <c r="P572" i="17"/>
  <c r="P571" i="17"/>
  <c r="J573" i="17"/>
  <c r="J568" i="17"/>
  <c r="X571" i="17"/>
  <c r="X570" i="17"/>
  <c r="M573" i="17"/>
  <c r="M571" i="17"/>
  <c r="K571" i="17"/>
  <c r="K572" i="17"/>
  <c r="AI570" i="17"/>
  <c r="AI571" i="17"/>
  <c r="L570" i="17"/>
  <c r="L571" i="17"/>
  <c r="L580" i="17"/>
  <c r="L583" i="17"/>
  <c r="AC582" i="17"/>
  <c r="AC580" i="17"/>
  <c r="I582" i="17"/>
  <c r="I580" i="17"/>
  <c r="Q584" i="17"/>
  <c r="Q581" i="17"/>
  <c r="AJ580" i="17"/>
  <c r="AJ579" i="17"/>
  <c r="AE582" i="17"/>
  <c r="AE581" i="17"/>
  <c r="K584" i="17"/>
  <c r="K583" i="17"/>
  <c r="V584" i="17"/>
  <c r="V580" i="17"/>
  <c r="Y584" i="17"/>
  <c r="Y579" i="17"/>
  <c r="X584" i="17"/>
  <c r="X579" i="17"/>
  <c r="AG583" i="17"/>
  <c r="AG579" i="17"/>
  <c r="N583" i="17"/>
  <c r="N581" i="17"/>
  <c r="W584" i="17"/>
  <c r="W581" i="17"/>
  <c r="U582" i="17"/>
  <c r="U584" i="17"/>
  <c r="P581" i="17"/>
  <c r="P582" i="17"/>
  <c r="V594" i="17"/>
  <c r="V593" i="17"/>
  <c r="AD591" i="17"/>
  <c r="AD594" i="17"/>
  <c r="AJ590" i="17"/>
  <c r="AJ591" i="17"/>
  <c r="K591" i="17"/>
  <c r="K594" i="17"/>
  <c r="R592" i="17"/>
  <c r="R595" i="17"/>
  <c r="AB595" i="17"/>
  <c r="AB594" i="17"/>
  <c r="AK595" i="17"/>
  <c r="AK591" i="17"/>
  <c r="Z594" i="17"/>
  <c r="Z593" i="17"/>
  <c r="H592" i="17"/>
  <c r="H590" i="17"/>
  <c r="AF594" i="17"/>
  <c r="AF590" i="17"/>
  <c r="W592" i="17"/>
  <c r="J593" i="17"/>
  <c r="J594" i="17"/>
  <c r="AG593" i="17"/>
  <c r="AG594" i="17"/>
  <c r="P595" i="17"/>
  <c r="P591" i="17"/>
  <c r="X595" i="17"/>
  <c r="X594" i="17"/>
  <c r="H604" i="17"/>
  <c r="H606" i="17"/>
  <c r="V603" i="17"/>
  <c r="V606" i="17"/>
  <c r="L605" i="17"/>
  <c r="L601" i="17"/>
  <c r="AH602" i="17"/>
  <c r="AH604" i="17"/>
  <c r="S604" i="17"/>
  <c r="S601" i="17"/>
  <c r="AG603" i="17"/>
  <c r="AG601" i="17"/>
  <c r="K603" i="17"/>
  <c r="K602" i="17"/>
  <c r="J605" i="17"/>
  <c r="J602" i="17"/>
  <c r="AK606" i="17"/>
  <c r="AK604" i="17"/>
  <c r="AE605" i="17"/>
  <c r="AE604" i="17"/>
  <c r="AA601" i="17"/>
  <c r="AA605" i="17"/>
  <c r="O602" i="17"/>
  <c r="O605" i="17"/>
  <c r="AD601" i="17"/>
  <c r="AD603" i="17"/>
  <c r="M606" i="17"/>
  <c r="M601" i="17"/>
  <c r="AI630" i="17"/>
  <c r="AI627" i="17"/>
  <c r="AC631" i="17"/>
  <c r="AC629" i="17"/>
  <c r="S630" i="17"/>
  <c r="S626" i="17"/>
  <c r="Q626" i="17"/>
  <c r="Q629" i="17"/>
  <c r="J629" i="17"/>
  <c r="J628" i="17"/>
  <c r="P628" i="17"/>
  <c r="P627" i="17"/>
  <c r="W628" i="17"/>
  <c r="W631" i="17"/>
  <c r="N629" i="17"/>
  <c r="N631" i="17"/>
  <c r="O631" i="17"/>
  <c r="O630" i="17"/>
  <c r="AG626" i="17"/>
  <c r="AG628" i="17"/>
  <c r="AJ628" i="17"/>
  <c r="AJ629" i="17"/>
  <c r="Z626" i="17"/>
  <c r="Z628" i="17"/>
  <c r="T627" i="17"/>
  <c r="T629" i="17"/>
  <c r="K628" i="17"/>
  <c r="K627" i="17"/>
  <c r="AH631" i="17"/>
  <c r="AH626" i="17"/>
  <c r="AC648" i="17"/>
  <c r="AC653" i="17"/>
  <c r="Z650" i="17"/>
  <c r="Z653" i="17"/>
  <c r="N652" i="17"/>
  <c r="N649" i="17"/>
  <c r="X651" i="17"/>
  <c r="X652" i="17"/>
  <c r="P650" i="17"/>
  <c r="P648" i="17"/>
  <c r="AI650" i="17"/>
  <c r="AI648" i="17"/>
  <c r="Q653" i="17"/>
  <c r="Q651" i="17"/>
  <c r="J649" i="17"/>
  <c r="J652" i="17"/>
  <c r="AA648" i="17"/>
  <c r="AA649" i="17"/>
  <c r="W650" i="17"/>
  <c r="W649" i="17"/>
  <c r="AG648" i="17"/>
  <c r="AG649" i="17"/>
  <c r="AH650" i="17"/>
  <c r="AH649" i="17"/>
  <c r="O649" i="17"/>
  <c r="O650" i="17"/>
  <c r="AE650" i="17"/>
  <c r="AE648" i="17"/>
  <c r="H661" i="17"/>
  <c r="H660" i="17"/>
  <c r="V663" i="17"/>
  <c r="V664" i="17"/>
  <c r="J663" i="17"/>
  <c r="J662" i="17"/>
  <c r="AB664" i="17"/>
  <c r="AB662" i="17"/>
  <c r="M661" i="17"/>
  <c r="M660" i="17"/>
  <c r="AA664" i="17"/>
  <c r="AA663" i="17"/>
  <c r="AI664" i="17"/>
  <c r="AI663" i="17"/>
  <c r="AE661" i="17"/>
  <c r="AE663" i="17"/>
  <c r="T659" i="17"/>
  <c r="T660" i="17"/>
  <c r="AK659" i="17"/>
  <c r="AK664" i="17"/>
  <c r="L660" i="17"/>
  <c r="L662" i="17"/>
  <c r="AC663" i="17"/>
  <c r="AC661" i="17"/>
  <c r="R660" i="17"/>
  <c r="R659" i="17"/>
  <c r="R663" i="17"/>
  <c r="AF661" i="17"/>
  <c r="P698" i="17"/>
  <c r="P696" i="17"/>
  <c r="I695" i="17"/>
  <c r="I696" i="17"/>
  <c r="AD700" i="17"/>
  <c r="AD699" i="17"/>
  <c r="J695" i="17"/>
  <c r="J699" i="17"/>
  <c r="V699" i="17"/>
  <c r="V695" i="17"/>
  <c r="AJ696" i="17"/>
  <c r="AJ697" i="17"/>
  <c r="Q698" i="17"/>
  <c r="Q699" i="17"/>
  <c r="U699" i="17"/>
  <c r="U695" i="17"/>
  <c r="Z696" i="17"/>
  <c r="Z695" i="17"/>
  <c r="L700" i="17"/>
  <c r="L696" i="17"/>
  <c r="AA695" i="17"/>
  <c r="AA700" i="17"/>
  <c r="T699" i="17"/>
  <c r="T700" i="17"/>
  <c r="AF699" i="17"/>
  <c r="AF700" i="17"/>
  <c r="AI699" i="17"/>
  <c r="AI697" i="17"/>
  <c r="K697" i="17"/>
  <c r="K700" i="17"/>
  <c r="K687" i="17"/>
  <c r="K688" i="17"/>
  <c r="AH687" i="17"/>
  <c r="AH686" i="17"/>
  <c r="L707" i="17"/>
  <c r="L711" i="17"/>
  <c r="N711" i="17"/>
  <c r="N709" i="17"/>
  <c r="AC711" i="17"/>
  <c r="Y708" i="17"/>
  <c r="O706" i="17"/>
  <c r="AF711" i="17"/>
  <c r="Z689" i="17"/>
  <c r="Z684" i="17"/>
  <c r="AC686" i="17"/>
  <c r="L689" i="17"/>
  <c r="W689" i="17"/>
  <c r="W685" i="17"/>
  <c r="I685" i="17"/>
  <c r="I684" i="17"/>
  <c r="S686" i="17"/>
  <c r="S685" i="17"/>
  <c r="AI640" i="17"/>
  <c r="AI637" i="17"/>
  <c r="P641" i="17"/>
  <c r="P640" i="17"/>
  <c r="AE642" i="17"/>
  <c r="I638" i="17"/>
  <c r="AH639" i="17"/>
  <c r="R639" i="17"/>
  <c r="R642" i="17"/>
  <c r="O638" i="17"/>
  <c r="O640" i="17"/>
  <c r="AA638" i="17"/>
  <c r="W711" i="17"/>
  <c r="Q710" i="17"/>
  <c r="H709" i="17"/>
  <c r="H706" i="17"/>
  <c r="I709" i="17"/>
  <c r="U688" i="17"/>
  <c r="U686" i="17"/>
  <c r="T686" i="17"/>
  <c r="T684" i="17"/>
  <c r="H686" i="17"/>
  <c r="H687" i="17"/>
  <c r="AK688" i="17"/>
  <c r="AK686" i="17"/>
  <c r="Q684" i="17"/>
  <c r="Q685" i="17"/>
  <c r="AD637" i="17"/>
  <c r="AD641" i="17"/>
  <c r="P685" i="17"/>
  <c r="P688" i="17"/>
  <c r="AK638" i="17"/>
  <c r="AK642" i="17"/>
  <c r="J642" i="17"/>
  <c r="J641" i="17"/>
  <c r="Y638" i="17"/>
  <c r="Y642" i="17"/>
  <c r="T642" i="17"/>
  <c r="T637" i="17"/>
  <c r="Q641" i="17"/>
  <c r="Q637" i="17"/>
  <c r="Z637" i="17"/>
  <c r="Z642" i="17"/>
  <c r="S638" i="17"/>
  <c r="S642" i="17"/>
  <c r="N641" i="17"/>
  <c r="N639" i="17"/>
  <c r="AJ638" i="17"/>
  <c r="AJ637" i="17"/>
  <c r="R688" i="17"/>
  <c r="AK350" i="17"/>
  <c r="AK347" i="17"/>
  <c r="L351" i="17"/>
  <c r="L348" i="17"/>
  <c r="J348" i="17"/>
  <c r="J347" i="17"/>
  <c r="N348" i="17"/>
  <c r="N347" i="17"/>
  <c r="AF349" i="17"/>
  <c r="AF346" i="17"/>
  <c r="X349" i="17"/>
  <c r="X347" i="17"/>
  <c r="AI347" i="17"/>
  <c r="AI351" i="17"/>
  <c r="V346" i="17"/>
  <c r="V347" i="17"/>
  <c r="I348" i="17"/>
  <c r="I346" i="17"/>
  <c r="AG349" i="17"/>
  <c r="AG348" i="17"/>
  <c r="H351" i="17"/>
  <c r="H347" i="17"/>
  <c r="O347" i="17"/>
  <c r="O351" i="17"/>
  <c r="K349" i="17"/>
  <c r="K347" i="17"/>
  <c r="S358" i="17"/>
  <c r="S357" i="17"/>
  <c r="Z359" i="17"/>
  <c r="Z357" i="17"/>
  <c r="N362" i="17"/>
  <c r="N360" i="17"/>
  <c r="AF359" i="17"/>
  <c r="AF362" i="17"/>
  <c r="AK362" i="17"/>
  <c r="AK359" i="17"/>
  <c r="U357" i="17"/>
  <c r="U360" i="17"/>
  <c r="K361" i="17"/>
  <c r="K358" i="17"/>
  <c r="V357" i="17"/>
  <c r="V358" i="17"/>
  <c r="AC359" i="17"/>
  <c r="AC360" i="17"/>
  <c r="L361" i="17"/>
  <c r="L362" i="17"/>
  <c r="Y361" i="17"/>
  <c r="Y362" i="17"/>
  <c r="H360" i="17"/>
  <c r="H357" i="17"/>
  <c r="T384" i="17"/>
  <c r="T380" i="17"/>
  <c r="I385" i="17"/>
  <c r="I381" i="17"/>
  <c r="U381" i="17"/>
  <c r="U385" i="17"/>
  <c r="AJ384" i="17"/>
  <c r="AJ382" i="17"/>
  <c r="AC382" i="17"/>
  <c r="AC380" i="17"/>
  <c r="X384" i="17"/>
  <c r="X380" i="17"/>
  <c r="AB382" i="17"/>
  <c r="AB381" i="17"/>
  <c r="M383" i="17"/>
  <c r="M384" i="17"/>
  <c r="V381" i="17"/>
  <c r="V384" i="17"/>
  <c r="AI385" i="17"/>
  <c r="AI381" i="17"/>
  <c r="Q385" i="17"/>
  <c r="Q380" i="17"/>
  <c r="S382" i="17"/>
  <c r="S383" i="17"/>
  <c r="N383" i="17"/>
  <c r="N381" i="17"/>
  <c r="AE385" i="17"/>
  <c r="AE382" i="17"/>
  <c r="K383" i="17"/>
  <c r="K384" i="17"/>
  <c r="Y383" i="17"/>
  <c r="Y380" i="17"/>
  <c r="AB394" i="17"/>
  <c r="AB392" i="17"/>
  <c r="AI394" i="17"/>
  <c r="AI391" i="17"/>
  <c r="X396" i="17"/>
  <c r="X395" i="17"/>
  <c r="S395" i="17"/>
  <c r="S391" i="17"/>
  <c r="T393" i="17"/>
  <c r="T395" i="17"/>
  <c r="U395" i="17"/>
  <c r="U391" i="17"/>
  <c r="Z396" i="17"/>
  <c r="Z394" i="17"/>
  <c r="R396" i="17"/>
  <c r="R395" i="17"/>
  <c r="AA391" i="17"/>
  <c r="AA396" i="17"/>
  <c r="AE395" i="17"/>
  <c r="AE394" i="17"/>
  <c r="L392" i="17"/>
  <c r="P391" i="17"/>
  <c r="P392" i="17"/>
  <c r="AH391" i="17"/>
  <c r="S458" i="17"/>
  <c r="S457" i="17"/>
  <c r="S460" i="17"/>
  <c r="J402" i="17"/>
  <c r="J405" i="17"/>
  <c r="K407" i="17"/>
  <c r="K403" i="17"/>
  <c r="Z402" i="17"/>
  <c r="Z406" i="17"/>
  <c r="O405" i="17"/>
  <c r="O404" i="17"/>
  <c r="Q404" i="17"/>
  <c r="Q402" i="17"/>
  <c r="H404" i="17"/>
  <c r="H405" i="17"/>
  <c r="AE403" i="17"/>
  <c r="AG407" i="17"/>
  <c r="R404" i="17"/>
  <c r="R405" i="17"/>
  <c r="AC402" i="17"/>
  <c r="AC404" i="17"/>
  <c r="AF404" i="17"/>
  <c r="AF406" i="17"/>
  <c r="U404" i="17"/>
  <c r="U402" i="17"/>
  <c r="AA402" i="17"/>
  <c r="AA404" i="17"/>
  <c r="T407" i="17"/>
  <c r="T402" i="17"/>
  <c r="Q414" i="17"/>
  <c r="Q416" i="17"/>
  <c r="AH415" i="17"/>
  <c r="AH413" i="17"/>
  <c r="U416" i="17"/>
  <c r="U414" i="17"/>
  <c r="V413" i="17"/>
  <c r="V419" i="17" s="1"/>
  <c r="V415" i="17"/>
  <c r="AB416" i="17"/>
  <c r="AB414" i="17"/>
  <c r="R415" i="17"/>
  <c r="R418" i="17"/>
  <c r="K413" i="17"/>
  <c r="K414" i="17"/>
  <c r="AG417" i="17"/>
  <c r="AG415" i="17"/>
  <c r="AC417" i="17"/>
  <c r="AC418" i="17"/>
  <c r="Y418" i="17"/>
  <c r="Y415" i="17"/>
  <c r="H413" i="17"/>
  <c r="AI414" i="17"/>
  <c r="AI418" i="17"/>
  <c r="M416" i="17"/>
  <c r="M418" i="17"/>
  <c r="N417" i="17"/>
  <c r="N414" i="17"/>
  <c r="AJ424" i="17"/>
  <c r="AJ429" i="17"/>
  <c r="Z428" i="17"/>
  <c r="Z425" i="17"/>
  <c r="AC428" i="17"/>
  <c r="AC427" i="17"/>
  <c r="I428" i="17"/>
  <c r="I425" i="17"/>
  <c r="H428" i="17"/>
  <c r="H427" i="17"/>
  <c r="AF426" i="17"/>
  <c r="AF427" i="17"/>
  <c r="K426" i="17"/>
  <c r="K424" i="17"/>
  <c r="AA427" i="17"/>
  <c r="AA428" i="17"/>
  <c r="AB428" i="17"/>
  <c r="AB429" i="17"/>
  <c r="AG428" i="17"/>
  <c r="AG424" i="17"/>
  <c r="AI428" i="17"/>
  <c r="AI424" i="17"/>
  <c r="M425" i="17"/>
  <c r="M426" i="17"/>
  <c r="T426" i="17"/>
  <c r="T425" i="17"/>
  <c r="P427" i="17"/>
  <c r="P428" i="17"/>
  <c r="N437" i="17"/>
  <c r="N439" i="17"/>
  <c r="Y436" i="17"/>
  <c r="Y435" i="17"/>
  <c r="V436" i="17"/>
  <c r="V437" i="17"/>
  <c r="W439" i="17"/>
  <c r="W440" i="17"/>
  <c r="P439" i="17"/>
  <c r="P437" i="17"/>
  <c r="O436" i="17"/>
  <c r="O439" i="17"/>
  <c r="AG439" i="17"/>
  <c r="AG437" i="17"/>
  <c r="AB435" i="17"/>
  <c r="AB436" i="17"/>
  <c r="K435" i="17"/>
  <c r="K437" i="17"/>
  <c r="X438" i="17"/>
  <c r="X437" i="17"/>
  <c r="I438" i="17"/>
  <c r="I437" i="17"/>
  <c r="R436" i="17"/>
  <c r="R439" i="17"/>
  <c r="J437" i="17"/>
  <c r="J436" i="17"/>
  <c r="L435" i="17"/>
  <c r="L438" i="17"/>
  <c r="AC438" i="17"/>
  <c r="AC439" i="17"/>
  <c r="AA438" i="17"/>
  <c r="AA440" i="17"/>
  <c r="T446" i="17"/>
  <c r="T447" i="17"/>
  <c r="AA450" i="17"/>
  <c r="AA451" i="17"/>
  <c r="Z446" i="17"/>
  <c r="Z449" i="17"/>
  <c r="L450" i="17"/>
  <c r="L449" i="17"/>
  <c r="M446" i="17"/>
  <c r="M450" i="17"/>
  <c r="AH449" i="17"/>
  <c r="AH447" i="17"/>
  <c r="AC446" i="17"/>
  <c r="AC449" i="17"/>
  <c r="O448" i="17"/>
  <c r="O450" i="17"/>
  <c r="X451" i="17"/>
  <c r="X450" i="17"/>
  <c r="Y450" i="17"/>
  <c r="Y446" i="17"/>
  <c r="AG448" i="17"/>
  <c r="AG451" i="17"/>
  <c r="AD451" i="17"/>
  <c r="AD449" i="17"/>
  <c r="U447" i="17"/>
  <c r="U448" i="17"/>
  <c r="AB446" i="17"/>
  <c r="AB448" i="17"/>
  <c r="AI449" i="17"/>
  <c r="AI451" i="17"/>
  <c r="Z457" i="17"/>
  <c r="Z461" i="17"/>
  <c r="AC459" i="17"/>
  <c r="AC461" i="17"/>
  <c r="AG457" i="17"/>
  <c r="AG460" i="17"/>
  <c r="P457" i="17"/>
  <c r="P458" i="17"/>
  <c r="L462" i="17"/>
  <c r="L460" i="17"/>
  <c r="V462" i="17"/>
  <c r="V460" i="17"/>
  <c r="S461" i="17"/>
  <c r="S459" i="17"/>
  <c r="H548" i="17"/>
  <c r="H547" i="17"/>
  <c r="H546" i="17"/>
  <c r="AJ462" i="17"/>
  <c r="AJ460" i="17"/>
  <c r="AA460" i="17"/>
  <c r="AA461" i="17"/>
  <c r="I458" i="17"/>
  <c r="I462" i="17"/>
  <c r="N459" i="17"/>
  <c r="N461" i="17"/>
  <c r="O462" i="17"/>
  <c r="O460" i="17"/>
  <c r="R461" i="17"/>
  <c r="R459" i="17"/>
  <c r="AE460" i="17"/>
  <c r="AE461" i="17"/>
  <c r="H460" i="17"/>
  <c r="H457" i="17"/>
  <c r="Z469" i="17"/>
  <c r="Z472" i="17"/>
  <c r="AG472" i="17"/>
  <c r="AG469" i="17"/>
  <c r="P472" i="17"/>
  <c r="P471" i="17"/>
  <c r="U472" i="17"/>
  <c r="U470" i="17"/>
  <c r="T470" i="17"/>
  <c r="T471" i="17"/>
  <c r="AF471" i="17"/>
  <c r="AF470" i="17"/>
  <c r="V471" i="17"/>
  <c r="V469" i="17"/>
  <c r="M468" i="17"/>
  <c r="M470" i="17"/>
  <c r="AB473" i="17"/>
  <c r="AB469" i="17"/>
  <c r="AK468" i="17"/>
  <c r="AK471" i="17"/>
  <c r="S473" i="17"/>
  <c r="S471" i="17"/>
  <c r="AD473" i="17"/>
  <c r="AD471" i="17"/>
  <c r="R468" i="17"/>
  <c r="R471" i="17"/>
  <c r="AA473" i="17"/>
  <c r="AA472" i="17"/>
  <c r="K470" i="17"/>
  <c r="K473" i="17"/>
  <c r="AE480" i="17"/>
  <c r="AE483" i="17"/>
  <c r="U484" i="17"/>
  <c r="U479" i="17"/>
  <c r="Z482" i="17"/>
  <c r="Z483" i="17"/>
  <c r="AJ479" i="17"/>
  <c r="AJ482" i="17"/>
  <c r="K482" i="17"/>
  <c r="K480" i="17"/>
  <c r="AK483" i="17"/>
  <c r="AK480" i="17"/>
  <c r="Q481" i="17"/>
  <c r="Q484" i="17"/>
  <c r="P483" i="17"/>
  <c r="P484" i="17"/>
  <c r="L482" i="17"/>
  <c r="L481" i="17"/>
  <c r="AD479" i="17"/>
  <c r="AD482" i="17"/>
  <c r="R483" i="17"/>
  <c r="R482" i="17"/>
  <c r="AB482" i="17"/>
  <c r="AB480" i="17"/>
  <c r="AG481" i="17"/>
  <c r="AG480" i="17"/>
  <c r="W482" i="17"/>
  <c r="W484" i="17"/>
  <c r="X484" i="17"/>
  <c r="X479" i="17"/>
  <c r="M490" i="17"/>
  <c r="M491" i="17"/>
  <c r="R490" i="17"/>
  <c r="R491" i="17"/>
  <c r="O494" i="17"/>
  <c r="O495" i="17"/>
  <c r="AG491" i="17"/>
  <c r="AG495" i="17"/>
  <c r="AH493" i="17"/>
  <c r="AH491" i="17"/>
  <c r="AK490" i="17"/>
  <c r="AK494" i="17"/>
  <c r="T491" i="17"/>
  <c r="T492" i="17"/>
  <c r="P490" i="17"/>
  <c r="P494" i="17"/>
  <c r="AF493" i="17"/>
  <c r="AF495" i="17"/>
  <c r="U492" i="17"/>
  <c r="U491" i="17"/>
  <c r="H492" i="17"/>
  <c r="H494" i="17"/>
  <c r="AC493" i="17"/>
  <c r="AC491" i="17"/>
  <c r="AI491" i="17"/>
  <c r="AI494" i="17"/>
  <c r="I494" i="17"/>
  <c r="I491" i="17"/>
  <c r="Q495" i="17"/>
  <c r="Q494" i="17"/>
  <c r="AA502" i="17"/>
  <c r="AA505" i="17"/>
  <c r="R503" i="17"/>
  <c r="R501" i="17"/>
  <c r="AE501" i="17"/>
  <c r="AE504" i="17"/>
  <c r="L501" i="17"/>
  <c r="L506" i="17"/>
  <c r="J502" i="17"/>
  <c r="J501" i="17"/>
  <c r="AC506" i="17"/>
  <c r="AC501" i="17"/>
  <c r="AF504" i="17"/>
  <c r="AF503" i="17"/>
  <c r="S502" i="17"/>
  <c r="S503" i="17"/>
  <c r="K505" i="17"/>
  <c r="K506" i="17"/>
  <c r="Z506" i="17"/>
  <c r="Z501" i="17"/>
  <c r="X502" i="17"/>
  <c r="X505" i="17"/>
  <c r="V504" i="17"/>
  <c r="V501" i="17"/>
  <c r="AI504" i="17"/>
  <c r="AI505" i="17"/>
  <c r="AH506" i="17"/>
  <c r="AH505" i="17"/>
  <c r="I504" i="17"/>
  <c r="I503" i="17"/>
  <c r="AE524" i="17"/>
  <c r="AE526" i="17"/>
  <c r="L529" i="17"/>
  <c r="L526" i="17"/>
  <c r="N526" i="17"/>
  <c r="N528" i="17"/>
  <c r="AK525" i="17"/>
  <c r="AK524" i="17"/>
  <c r="AJ529" i="17"/>
  <c r="AJ525" i="17"/>
  <c r="P526" i="17"/>
  <c r="P524" i="17"/>
  <c r="I524" i="17"/>
  <c r="I529" i="17"/>
  <c r="AB524" i="17"/>
  <c r="AB526" i="17"/>
  <c r="U528" i="17"/>
  <c r="U529" i="17"/>
  <c r="AF524" i="17"/>
  <c r="AF527" i="17"/>
  <c r="AA527" i="17"/>
  <c r="AA524" i="17"/>
  <c r="AH525" i="17"/>
  <c r="AH527" i="17"/>
  <c r="T526" i="17"/>
  <c r="T524" i="17"/>
  <c r="Q524" i="17"/>
  <c r="Q529" i="17"/>
  <c r="AD524" i="17"/>
  <c r="AD528" i="17"/>
  <c r="AC524" i="17"/>
  <c r="AC529" i="17"/>
  <c r="J538" i="17"/>
  <c r="J537" i="17"/>
  <c r="W539" i="17"/>
  <c r="W535" i="17"/>
  <c r="AE538" i="17"/>
  <c r="AE535" i="17"/>
  <c r="Z540" i="17"/>
  <c r="Z538" i="17"/>
  <c r="AF539" i="17"/>
  <c r="AF535" i="17"/>
  <c r="L537" i="17"/>
  <c r="L535" i="17"/>
  <c r="Y537" i="17"/>
  <c r="Y539" i="17"/>
  <c r="H538" i="17"/>
  <c r="H540" i="17"/>
  <c r="AH538" i="17"/>
  <c r="AH536" i="17"/>
  <c r="Q538" i="17"/>
  <c r="Q539" i="17"/>
  <c r="N537" i="17"/>
  <c r="N540" i="17"/>
  <c r="U535" i="17"/>
  <c r="U539" i="17"/>
  <c r="K537" i="17"/>
  <c r="K540" i="17"/>
  <c r="AB540" i="17"/>
  <c r="AB538" i="17"/>
  <c r="S548" i="17"/>
  <c r="S546" i="17"/>
  <c r="Q550" i="17"/>
  <c r="Q547" i="17"/>
  <c r="K549" i="17"/>
  <c r="K550" i="17"/>
  <c r="U547" i="17"/>
  <c r="U546" i="17"/>
  <c r="I548" i="17"/>
  <c r="I551" i="17"/>
  <c r="Y549" i="17"/>
  <c r="Y550" i="17"/>
  <c r="AA549" i="17"/>
  <c r="AA546" i="17"/>
  <c r="N549" i="17"/>
  <c r="N546" i="17"/>
  <c r="L548" i="17"/>
  <c r="L550" i="17"/>
  <c r="X548" i="17"/>
  <c r="X549" i="17"/>
  <c r="P549" i="17"/>
  <c r="P551" i="17"/>
  <c r="AH550" i="17"/>
  <c r="AH548" i="17"/>
  <c r="AC547" i="17"/>
  <c r="AC546" i="17"/>
  <c r="AC551" i="17"/>
  <c r="H551" i="17"/>
  <c r="H550" i="17"/>
  <c r="AK548" i="17"/>
  <c r="AK546" i="17"/>
  <c r="AB562" i="17"/>
  <c r="AB558" i="17"/>
  <c r="AF558" i="17"/>
  <c r="AF557" i="17"/>
  <c r="AJ561" i="17"/>
  <c r="AJ557" i="17"/>
  <c r="AE559" i="17"/>
  <c r="AE560" i="17"/>
  <c r="AC559" i="17"/>
  <c r="AC557" i="17"/>
  <c r="AA557" i="17"/>
  <c r="AA560" i="17"/>
  <c r="X558" i="17"/>
  <c r="X561" i="17"/>
  <c r="H558" i="17"/>
  <c r="H560" i="17"/>
  <c r="S561" i="17"/>
  <c r="S557" i="17"/>
  <c r="M557" i="17"/>
  <c r="M560" i="17"/>
  <c r="AH558" i="17"/>
  <c r="AH562" i="17"/>
  <c r="Z558" i="17"/>
  <c r="Z557" i="17"/>
  <c r="AI560" i="17"/>
  <c r="AI558" i="17"/>
  <c r="Q559" i="17"/>
  <c r="Q560" i="17"/>
  <c r="AB569" i="17"/>
  <c r="AB570" i="17"/>
  <c r="AK568" i="17"/>
  <c r="AK572" i="17"/>
  <c r="H571" i="17"/>
  <c r="H569" i="17"/>
  <c r="Q572" i="17"/>
  <c r="Q573" i="17"/>
  <c r="AD572" i="17"/>
  <c r="AD571" i="17"/>
  <c r="AE571" i="17"/>
  <c r="AE573" i="17"/>
  <c r="R571" i="17"/>
  <c r="R570" i="17"/>
  <c r="U572" i="17"/>
  <c r="U569" i="17"/>
  <c r="AC568" i="17"/>
  <c r="AC570" i="17"/>
  <c r="J572" i="17"/>
  <c r="J569" i="17"/>
  <c r="O573" i="17"/>
  <c r="O572" i="17"/>
  <c r="M572" i="17"/>
  <c r="M568" i="17"/>
  <c r="S572" i="17"/>
  <c r="S568" i="17"/>
  <c r="AI573" i="17"/>
  <c r="AI572" i="17"/>
  <c r="AG569" i="17"/>
  <c r="AG571" i="17"/>
  <c r="J582" i="17"/>
  <c r="J579" i="17"/>
  <c r="AC584" i="17"/>
  <c r="AC583" i="17"/>
  <c r="AH581" i="17"/>
  <c r="AH579" i="17"/>
  <c r="Q582" i="17"/>
  <c r="Q580" i="17"/>
  <c r="AF580" i="17"/>
  <c r="AF584" i="17"/>
  <c r="AE580" i="17"/>
  <c r="AE584" i="17"/>
  <c r="AD579" i="17"/>
  <c r="AD580" i="17"/>
  <c r="V582" i="17"/>
  <c r="V583" i="17"/>
  <c r="H582" i="17"/>
  <c r="H584" i="17"/>
  <c r="X583" i="17"/>
  <c r="X581" i="17"/>
  <c r="R582" i="17"/>
  <c r="R580" i="17"/>
  <c r="N579" i="17"/>
  <c r="N582" i="17"/>
  <c r="AB584" i="17"/>
  <c r="AB581" i="17"/>
  <c r="U583" i="17"/>
  <c r="U579" i="17"/>
  <c r="T583" i="17"/>
  <c r="T580" i="17"/>
  <c r="AD595" i="17"/>
  <c r="AD592" i="17"/>
  <c r="Y591" i="17"/>
  <c r="Y593" i="17"/>
  <c r="K595" i="17"/>
  <c r="K593" i="17"/>
  <c r="N593" i="17"/>
  <c r="N591" i="17"/>
  <c r="AB592" i="17"/>
  <c r="AB590" i="17"/>
  <c r="Q592" i="17"/>
  <c r="Q594" i="17"/>
  <c r="Z595" i="17"/>
  <c r="Z591" i="17"/>
  <c r="H591" i="17"/>
  <c r="AI592" i="17"/>
  <c r="AI594" i="17"/>
  <c r="W591" i="17"/>
  <c r="AC595" i="17"/>
  <c r="AC592" i="17"/>
  <c r="AC591" i="17"/>
  <c r="W594" i="17"/>
  <c r="W595" i="17"/>
  <c r="W593" i="17"/>
  <c r="AC590" i="17"/>
  <c r="P659" i="17"/>
  <c r="P663" i="17"/>
  <c r="P664" i="17"/>
  <c r="S659" i="17"/>
  <c r="S664" i="17"/>
  <c r="S660" i="17"/>
  <c r="I591" i="17"/>
  <c r="I595" i="17"/>
  <c r="AG590" i="17"/>
  <c r="AG592" i="17"/>
  <c r="AE594" i="17"/>
  <c r="AE592" i="17"/>
  <c r="X593" i="17"/>
  <c r="X591" i="17"/>
  <c r="Z603" i="17"/>
  <c r="Z606" i="17"/>
  <c r="V602" i="17"/>
  <c r="V607" i="17" s="1"/>
  <c r="V604" i="17"/>
  <c r="AB605" i="17"/>
  <c r="AB604" i="17"/>
  <c r="AH605" i="17"/>
  <c r="AH606" i="17"/>
  <c r="X606" i="17"/>
  <c r="X604" i="17"/>
  <c r="AG605" i="17"/>
  <c r="AG606" i="17"/>
  <c r="Y606" i="17"/>
  <c r="Y604" i="17"/>
  <c r="J604" i="17"/>
  <c r="J601" i="17"/>
  <c r="U604" i="17"/>
  <c r="U601" i="17"/>
  <c r="AE606" i="17"/>
  <c r="AE601" i="17"/>
  <c r="N605" i="17"/>
  <c r="N601" i="17"/>
  <c r="O604" i="17"/>
  <c r="O601" i="17"/>
  <c r="I603" i="17"/>
  <c r="I605" i="17"/>
  <c r="M602" i="17"/>
  <c r="M605" i="17"/>
  <c r="AJ606" i="17"/>
  <c r="AJ603" i="17"/>
  <c r="AI626" i="17"/>
  <c r="AI631" i="17"/>
  <c r="I626" i="17"/>
  <c r="I630" i="17"/>
  <c r="S631" i="17"/>
  <c r="S629" i="17"/>
  <c r="R629" i="17"/>
  <c r="R630" i="17"/>
  <c r="J631" i="17"/>
  <c r="J630" i="17"/>
  <c r="AB628" i="17"/>
  <c r="AB631" i="17"/>
  <c r="W627" i="17"/>
  <c r="W630" i="17"/>
  <c r="AF629" i="17"/>
  <c r="AF626" i="17"/>
  <c r="O626" i="17"/>
  <c r="O628" i="17"/>
  <c r="AD630" i="17"/>
  <c r="AD626" i="17"/>
  <c r="AJ627" i="17"/>
  <c r="AJ631" i="17"/>
  <c r="Y628" i="17"/>
  <c r="Y630" i="17"/>
  <c r="T631" i="17"/>
  <c r="T628" i="17"/>
  <c r="U627" i="17"/>
  <c r="U629" i="17"/>
  <c r="AH627" i="17"/>
  <c r="AH630" i="17"/>
  <c r="AD648" i="17"/>
  <c r="AD650" i="17"/>
  <c r="Z652" i="17"/>
  <c r="Z649" i="17"/>
  <c r="AK649" i="17"/>
  <c r="AK651" i="17"/>
  <c r="X653" i="17"/>
  <c r="X649" i="17"/>
  <c r="H652" i="17"/>
  <c r="H651" i="17"/>
  <c r="AI649" i="17"/>
  <c r="AI651" i="17"/>
  <c r="T651" i="17"/>
  <c r="T650" i="17"/>
  <c r="J648" i="17"/>
  <c r="J651" i="17"/>
  <c r="V651" i="17"/>
  <c r="V652" i="17"/>
  <c r="W648" i="17"/>
  <c r="W651" i="17"/>
  <c r="AJ648" i="17"/>
  <c r="AJ651" i="17"/>
  <c r="AH651" i="17"/>
  <c r="AH652" i="17"/>
  <c r="Y652" i="17"/>
  <c r="Y650" i="17"/>
  <c r="AE653" i="17"/>
  <c r="AE652" i="17"/>
  <c r="S650" i="17"/>
  <c r="S653" i="17"/>
  <c r="H664" i="17"/>
  <c r="H662" i="17"/>
  <c r="Y662" i="17"/>
  <c r="Y659" i="17"/>
  <c r="J659" i="17"/>
  <c r="J660" i="17"/>
  <c r="P661" i="17"/>
  <c r="P662" i="17"/>
  <c r="AJ662" i="17"/>
  <c r="AJ663" i="17"/>
  <c r="AJ660" i="17"/>
  <c r="S661" i="17"/>
  <c r="S662" i="17"/>
  <c r="K663" i="17"/>
  <c r="K662" i="17"/>
  <c r="AA661" i="17"/>
  <c r="AA659" i="17"/>
  <c r="O660" i="17"/>
  <c r="O659" i="17"/>
  <c r="AE662" i="17"/>
  <c r="AE660" i="17"/>
  <c r="N661" i="17"/>
  <c r="N664" i="17"/>
  <c r="AK660" i="17"/>
  <c r="AK661" i="17"/>
  <c r="AD662" i="17"/>
  <c r="AD663" i="17"/>
  <c r="AC659" i="17"/>
  <c r="AC664" i="17"/>
  <c r="AF660" i="17"/>
  <c r="AF659" i="17"/>
  <c r="AH662" i="17"/>
  <c r="AH660" i="17"/>
  <c r="P697" i="17"/>
  <c r="P700" i="17"/>
  <c r="H700" i="17"/>
  <c r="H696" i="17"/>
  <c r="AD697" i="17"/>
  <c r="AD696" i="17"/>
  <c r="AG695" i="17"/>
  <c r="AG700" i="17"/>
  <c r="V700" i="17"/>
  <c r="V697" i="17"/>
  <c r="AE697" i="17"/>
  <c r="AE695" i="17"/>
  <c r="Q696" i="17"/>
  <c r="Q697" i="17"/>
  <c r="W698" i="17"/>
  <c r="W695" i="17"/>
  <c r="Z699" i="17"/>
  <c r="Z698" i="17"/>
  <c r="X700" i="17"/>
  <c r="X697" i="17"/>
  <c r="AA697" i="17"/>
  <c r="AA696" i="17"/>
  <c r="O698" i="17"/>
  <c r="O696" i="17"/>
  <c r="AF695" i="17"/>
  <c r="AF698" i="17"/>
  <c r="R697" i="17"/>
  <c r="R695" i="17"/>
  <c r="K699" i="17"/>
  <c r="K695" i="17"/>
  <c r="AH689" i="17"/>
  <c r="AH688" i="17"/>
  <c r="M708" i="17"/>
  <c r="M711" i="17"/>
  <c r="N707" i="17"/>
  <c r="N708" i="17"/>
  <c r="AH706" i="17"/>
  <c r="AH711" i="17"/>
  <c r="Y711" i="17"/>
  <c r="Y706" i="17"/>
  <c r="T707" i="17"/>
  <c r="T706" i="17"/>
  <c r="X706" i="17"/>
  <c r="X710" i="17"/>
  <c r="AI710" i="17"/>
  <c r="AI707" i="17"/>
  <c r="U706" i="17"/>
  <c r="U708" i="17"/>
  <c r="J687" i="17"/>
  <c r="J685" i="17"/>
  <c r="AF707" i="17"/>
  <c r="AF708" i="17"/>
  <c r="N687" i="17"/>
  <c r="N684" i="17"/>
  <c r="AC684" i="17"/>
  <c r="AC688" i="17"/>
  <c r="X686" i="17"/>
  <c r="X688" i="17"/>
  <c r="AE687" i="17"/>
  <c r="AE688" i="17"/>
  <c r="I707" i="17"/>
  <c r="AJ684" i="17"/>
  <c r="T689" i="17"/>
  <c r="T685" i="17"/>
  <c r="AA687" i="17"/>
  <c r="AA685" i="17"/>
  <c r="AK684" i="17"/>
  <c r="AK685" i="17"/>
  <c r="AG684" i="17"/>
  <c r="AG688" i="17"/>
  <c r="AD642" i="17"/>
  <c r="AD639" i="17"/>
  <c r="AF689" i="17"/>
  <c r="AF687" i="17"/>
  <c r="J639" i="17"/>
  <c r="J638" i="17"/>
  <c r="AG641" i="17"/>
  <c r="AG638" i="17"/>
  <c r="Y637" i="17"/>
  <c r="Y641" i="17"/>
  <c r="AC639" i="17"/>
  <c r="AC640" i="17"/>
  <c r="Q638" i="17"/>
  <c r="Q642" i="17"/>
  <c r="K637" i="17"/>
  <c r="K640" i="17"/>
  <c r="S641" i="17"/>
  <c r="S637" i="17"/>
  <c r="W637" i="17"/>
  <c r="W641" i="17"/>
  <c r="AJ642" i="17"/>
  <c r="AJ641" i="17"/>
  <c r="P638" i="17"/>
  <c r="P639" i="17"/>
  <c r="U637" i="17"/>
  <c r="U641" i="17"/>
  <c r="I640" i="17"/>
  <c r="I641" i="17"/>
  <c r="R684" i="17"/>
  <c r="R686" i="17"/>
  <c r="AH642" i="17"/>
  <c r="AH641" i="17"/>
  <c r="O637" i="17"/>
  <c r="V485" i="17" l="1"/>
  <c r="V430" i="17"/>
  <c r="V665" i="17"/>
  <c r="V585" i="17"/>
  <c r="V474" i="17"/>
  <c r="V408" i="17"/>
  <c r="V690" i="17"/>
  <c r="V541" i="17"/>
  <c r="V654" i="17"/>
  <c r="V621" i="17" s="1"/>
  <c r="V701" i="17"/>
  <c r="V507" i="17"/>
  <c r="V363" i="17"/>
  <c r="V352" i="17"/>
  <c r="V441" i="17"/>
  <c r="V530" i="17"/>
  <c r="V463" i="17"/>
  <c r="V563" i="17"/>
  <c r="V452" i="17"/>
  <c r="V496" i="17"/>
  <c r="V386" i="17"/>
  <c r="V712" i="17"/>
  <c r="V574" i="17"/>
  <c r="AA665" i="17"/>
  <c r="AD654" i="17"/>
  <c r="AD530" i="17"/>
  <c r="AA507" i="17"/>
  <c r="AD596" i="17"/>
  <c r="AA574" i="17"/>
  <c r="AD563" i="17"/>
  <c r="AD552" i="17"/>
  <c r="AD463" i="17"/>
  <c r="AA632" i="17"/>
  <c r="AD507" i="17"/>
  <c r="AD496" i="17"/>
  <c r="AD485" i="17"/>
  <c r="AD363" i="17"/>
  <c r="AD643" i="17"/>
  <c r="AD701" i="17"/>
  <c r="AD452" i="17"/>
  <c r="AD574" i="17"/>
  <c r="AD474" i="17"/>
  <c r="AD419" i="17"/>
  <c r="AD352" i="17"/>
  <c r="AD231" i="17" s="1"/>
  <c r="AD665" i="17"/>
  <c r="AD430" i="17"/>
  <c r="AD632" i="17"/>
  <c r="AD585" i="17"/>
  <c r="AD607" i="17"/>
  <c r="AD408" i="17"/>
  <c r="AD541" i="17"/>
  <c r="AD441" i="17"/>
  <c r="AD386" i="17"/>
  <c r="AD397" i="17"/>
  <c r="AD712" i="17"/>
  <c r="AD690" i="17"/>
  <c r="AD679" i="17" s="1"/>
  <c r="M643" i="17"/>
  <c r="M585" i="17"/>
  <c r="AA496" i="17"/>
  <c r="AA408" i="17"/>
  <c r="AA643" i="17"/>
  <c r="AA441" i="17"/>
  <c r="AA419" i="17"/>
  <c r="AA585" i="17"/>
  <c r="AA712" i="17"/>
  <c r="Y643" i="17"/>
  <c r="Y665" i="17"/>
  <c r="AA563" i="17"/>
  <c r="AA552" i="17"/>
  <c r="AA530" i="17"/>
  <c r="AA397" i="17"/>
  <c r="AA701" i="17"/>
  <c r="AA654" i="17"/>
  <c r="AA607" i="17"/>
  <c r="AA690" i="17"/>
  <c r="AA485" i="17"/>
  <c r="AA463" i="17"/>
  <c r="AA452" i="17"/>
  <c r="AA596" i="17"/>
  <c r="AA430" i="17"/>
  <c r="AA386" i="17"/>
  <c r="AA352" i="17"/>
  <c r="AA541" i="17"/>
  <c r="AA363" i="17"/>
  <c r="AA231" i="17" s="1"/>
  <c r="AA474" i="17"/>
  <c r="Z654" i="17"/>
  <c r="Z463" i="17"/>
  <c r="Z452" i="17"/>
  <c r="Z632" i="17"/>
  <c r="Y585" i="17"/>
  <c r="Y408" i="17"/>
  <c r="Y701" i="17"/>
  <c r="Y563" i="17"/>
  <c r="I397" i="17"/>
  <c r="Y654" i="17"/>
  <c r="Y485" i="17"/>
  <c r="Y474" i="17"/>
  <c r="Y352" i="17"/>
  <c r="Y632" i="17"/>
  <c r="Y607" i="17"/>
  <c r="Y596" i="17"/>
  <c r="Y430" i="17"/>
  <c r="Y419" i="17"/>
  <c r="Y363" i="17"/>
  <c r="Y231" i="17" s="1"/>
  <c r="Y397" i="17"/>
  <c r="Y463" i="17"/>
  <c r="Z712" i="17"/>
  <c r="Y712" i="17"/>
  <c r="Z596" i="17"/>
  <c r="Y452" i="17"/>
  <c r="Y441" i="17"/>
  <c r="Y386" i="17"/>
  <c r="Y541" i="17"/>
  <c r="Y530" i="17"/>
  <c r="Y519" i="17" s="1"/>
  <c r="Y507" i="17"/>
  <c r="Y496" i="17"/>
  <c r="Y552" i="17"/>
  <c r="Y690" i="17"/>
  <c r="Y679" i="17" s="1"/>
  <c r="Y574" i="17"/>
  <c r="Z507" i="17"/>
  <c r="Z474" i="17"/>
  <c r="Z441" i="17"/>
  <c r="Z430" i="17"/>
  <c r="Z607" i="17"/>
  <c r="Z574" i="17"/>
  <c r="Z485" i="17"/>
  <c r="Z552" i="17"/>
  <c r="Z352" i="17"/>
  <c r="Z563" i="17"/>
  <c r="Z408" i="17"/>
  <c r="Z363" i="17"/>
  <c r="Z643" i="17"/>
  <c r="Z621" i="17" s="1"/>
  <c r="Z690" i="17"/>
  <c r="Z701" i="17"/>
  <c r="Z665" i="17"/>
  <c r="Z585" i="17"/>
  <c r="Z530" i="17"/>
  <c r="Z496" i="17"/>
  <c r="Z386" i="17"/>
  <c r="Z397" i="17"/>
  <c r="Z419" i="17"/>
  <c r="Z541" i="17"/>
  <c r="W643" i="17"/>
  <c r="AC690" i="17"/>
  <c r="AC596" i="17"/>
  <c r="H596" i="17"/>
  <c r="AC574" i="17"/>
  <c r="O712" i="17"/>
  <c r="W408" i="17"/>
  <c r="W596" i="17"/>
  <c r="W530" i="17"/>
  <c r="W474" i="17"/>
  <c r="W386" i="17"/>
  <c r="W419" i="17"/>
  <c r="W665" i="17"/>
  <c r="W552" i="17"/>
  <c r="W485" i="17"/>
  <c r="W463" i="17"/>
  <c r="W363" i="17"/>
  <c r="AC552" i="17"/>
  <c r="W541" i="17"/>
  <c r="AC452" i="17"/>
  <c r="K690" i="17"/>
  <c r="AC654" i="17"/>
  <c r="K632" i="17"/>
  <c r="W690" i="17"/>
  <c r="W632" i="17"/>
  <c r="W430" i="17"/>
  <c r="W712" i="17"/>
  <c r="W607" i="17"/>
  <c r="W574" i="17"/>
  <c r="W496" i="17"/>
  <c r="W701" i="17"/>
  <c r="W654" i="17"/>
  <c r="W452" i="17"/>
  <c r="W441" i="17"/>
  <c r="W397" i="17"/>
  <c r="M507" i="17"/>
  <c r="W563" i="17"/>
  <c r="W507" i="17"/>
  <c r="W585" i="17"/>
  <c r="W352" i="17"/>
  <c r="W231" i="17" s="1"/>
  <c r="AC541" i="17"/>
  <c r="S701" i="17"/>
  <c r="AC507" i="17"/>
  <c r="AC474" i="17"/>
  <c r="AC419" i="17"/>
  <c r="AC363" i="17"/>
  <c r="AC352" i="17"/>
  <c r="AC496" i="17"/>
  <c r="AC485" i="17"/>
  <c r="AC712" i="17"/>
  <c r="AC607" i="17"/>
  <c r="AC585" i="17"/>
  <c r="AC665" i="17"/>
  <c r="AC563" i="17"/>
  <c r="AC530" i="17"/>
  <c r="AC408" i="17"/>
  <c r="AC386" i="17"/>
  <c r="AC463" i="17"/>
  <c r="AC441" i="17"/>
  <c r="AC430" i="17"/>
  <c r="AC632" i="17"/>
  <c r="AC643" i="17"/>
  <c r="AC397" i="17"/>
  <c r="AC701" i="17"/>
  <c r="U530" i="17"/>
  <c r="U690" i="17"/>
  <c r="T712" i="17"/>
  <c r="U585" i="17"/>
  <c r="U574" i="17"/>
  <c r="U541" i="17"/>
  <c r="U397" i="17"/>
  <c r="U701" i="17"/>
  <c r="U665" i="17"/>
  <c r="U352" i="17"/>
  <c r="U507" i="17"/>
  <c r="U474" i="17"/>
  <c r="U463" i="17"/>
  <c r="U452" i="17"/>
  <c r="U496" i="17"/>
  <c r="U430" i="17"/>
  <c r="U441" i="17"/>
  <c r="U643" i="17"/>
  <c r="U712" i="17"/>
  <c r="U607" i="17"/>
  <c r="U552" i="17"/>
  <c r="U485" i="17"/>
  <c r="U408" i="17"/>
  <c r="U363" i="17"/>
  <c r="U231" i="17" s="1"/>
  <c r="U563" i="17"/>
  <c r="U419" i="17"/>
  <c r="U654" i="17"/>
  <c r="U632" i="17"/>
  <c r="U386" i="17"/>
  <c r="U596" i="17"/>
  <c r="T430" i="17"/>
  <c r="T386" i="17"/>
  <c r="T585" i="17"/>
  <c r="T654" i="17"/>
  <c r="T632" i="17"/>
  <c r="T607" i="17"/>
  <c r="T485" i="17"/>
  <c r="T474" i="17"/>
  <c r="T441" i="17"/>
  <c r="T397" i="17"/>
  <c r="T563" i="17"/>
  <c r="T541" i="17"/>
  <c r="T419" i="17"/>
  <c r="AB574" i="17"/>
  <c r="T530" i="17"/>
  <c r="AB452" i="17"/>
  <c r="T452" i="17"/>
  <c r="AB441" i="17"/>
  <c r="T408" i="17"/>
  <c r="T643" i="17"/>
  <c r="T690" i="17"/>
  <c r="T665" i="17"/>
  <c r="T552" i="17"/>
  <c r="S408" i="17"/>
  <c r="T352" i="17"/>
  <c r="T463" i="17"/>
  <c r="S452" i="17"/>
  <c r="S352" i="17"/>
  <c r="S541" i="17"/>
  <c r="T496" i="17"/>
  <c r="T363" i="17"/>
  <c r="T231" i="17" s="1"/>
  <c r="T596" i="17"/>
  <c r="X463" i="17"/>
  <c r="T507" i="17"/>
  <c r="T701" i="17"/>
  <c r="T574" i="17"/>
  <c r="AB607" i="17"/>
  <c r="AB585" i="17"/>
  <c r="AB563" i="17"/>
  <c r="AB463" i="17"/>
  <c r="AB430" i="17"/>
  <c r="AB665" i="17"/>
  <c r="AB632" i="17"/>
  <c r="AB496" i="17"/>
  <c r="AB474" i="17"/>
  <c r="AB363" i="17"/>
  <c r="AB408" i="17"/>
  <c r="AB397" i="17"/>
  <c r="AB552" i="17"/>
  <c r="AB352" i="17"/>
  <c r="AB690" i="17"/>
  <c r="AB596" i="17"/>
  <c r="AB530" i="17"/>
  <c r="AB541" i="17"/>
  <c r="AB507" i="17"/>
  <c r="AB419" i="17"/>
  <c r="AB701" i="17"/>
  <c r="AB485" i="17"/>
  <c r="AB386" i="17"/>
  <c r="AB643" i="17"/>
  <c r="AB712" i="17"/>
  <c r="AB654" i="17"/>
  <c r="S643" i="17"/>
  <c r="S574" i="17"/>
  <c r="S563" i="17"/>
  <c r="S690" i="17"/>
  <c r="S712" i="17"/>
  <c r="S507" i="17"/>
  <c r="S474" i="17"/>
  <c r="S430" i="17"/>
  <c r="S419" i="17"/>
  <c r="S463" i="17"/>
  <c r="S397" i="17"/>
  <c r="S363" i="17"/>
  <c r="S231" i="17" s="1"/>
  <c r="X352" i="17"/>
  <c r="S632" i="17"/>
  <c r="S607" i="17"/>
  <c r="S441" i="17"/>
  <c r="S386" i="17"/>
  <c r="S654" i="17"/>
  <c r="K563" i="17"/>
  <c r="L430" i="17"/>
  <c r="X690" i="17"/>
  <c r="S665" i="17"/>
  <c r="S552" i="17"/>
  <c r="X701" i="17"/>
  <c r="S596" i="17"/>
  <c r="S530" i="17"/>
  <c r="X643" i="17"/>
  <c r="S485" i="17"/>
  <c r="S585" i="17"/>
  <c r="S496" i="17"/>
  <c r="X474" i="17"/>
  <c r="X386" i="17"/>
  <c r="X712" i="17"/>
  <c r="X485" i="17"/>
  <c r="X585" i="17"/>
  <c r="X452" i="17"/>
  <c r="X552" i="17"/>
  <c r="X574" i="17"/>
  <c r="X632" i="17"/>
  <c r="X430" i="17"/>
  <c r="X496" i="17"/>
  <c r="X363" i="17"/>
  <c r="X563" i="17"/>
  <c r="X654" i="17"/>
  <c r="X607" i="17"/>
  <c r="X665" i="17"/>
  <c r="X408" i="17"/>
  <c r="X507" i="17"/>
  <c r="X441" i="17"/>
  <c r="X596" i="17"/>
  <c r="X419" i="17"/>
  <c r="X541" i="17"/>
  <c r="X530" i="17"/>
  <c r="X397" i="17"/>
  <c r="L419" i="17"/>
  <c r="L386" i="17"/>
  <c r="L596" i="17"/>
  <c r="K654" i="17"/>
  <c r="L474" i="17"/>
  <c r="K496" i="17"/>
  <c r="H419" i="17"/>
  <c r="R654" i="17"/>
  <c r="K530" i="17"/>
  <c r="K463" i="17"/>
  <c r="K397" i="17"/>
  <c r="L654" i="17"/>
  <c r="L643" i="17"/>
  <c r="M397" i="17"/>
  <c r="M596" i="17"/>
  <c r="J712" i="17"/>
  <c r="K607" i="17"/>
  <c r="K574" i="17"/>
  <c r="K585" i="17"/>
  <c r="K452" i="17"/>
  <c r="O643" i="17"/>
  <c r="I712" i="17"/>
  <c r="L397" i="17"/>
  <c r="L690" i="17"/>
  <c r="I419" i="17"/>
  <c r="J386" i="17"/>
  <c r="R690" i="17"/>
  <c r="P643" i="17"/>
  <c r="N712" i="17"/>
  <c r="K701" i="17"/>
  <c r="K679" i="17" s="1"/>
  <c r="R701" i="17"/>
  <c r="H701" i="17"/>
  <c r="O665" i="17"/>
  <c r="K665" i="17"/>
  <c r="J665" i="17"/>
  <c r="J654" i="17"/>
  <c r="J632" i="17"/>
  <c r="O607" i="17"/>
  <c r="N607" i="17"/>
  <c r="J607" i="17"/>
  <c r="I596" i="17"/>
  <c r="K596" i="17"/>
  <c r="H574" i="17"/>
  <c r="M563" i="17"/>
  <c r="H563" i="17"/>
  <c r="L552" i="17"/>
  <c r="I552" i="17"/>
  <c r="K552" i="17"/>
  <c r="K541" i="17"/>
  <c r="H541" i="17"/>
  <c r="Q530" i="17"/>
  <c r="I530" i="17"/>
  <c r="K507" i="17"/>
  <c r="L507" i="17"/>
  <c r="P496" i="17"/>
  <c r="K485" i="17"/>
  <c r="H463" i="17"/>
  <c r="P463" i="17"/>
  <c r="M452" i="17"/>
  <c r="L441" i="17"/>
  <c r="R441" i="17"/>
  <c r="K441" i="17"/>
  <c r="O441" i="17"/>
  <c r="M430" i="17"/>
  <c r="Q408" i="17"/>
  <c r="K408" i="17"/>
  <c r="O352" i="17"/>
  <c r="Q690" i="17"/>
  <c r="I690" i="17"/>
  <c r="L712" i="17"/>
  <c r="L701" i="17"/>
  <c r="R665" i="17"/>
  <c r="P654" i="17"/>
  <c r="L607" i="17"/>
  <c r="P596" i="17"/>
  <c r="L585" i="17"/>
  <c r="L574" i="17"/>
  <c r="N574" i="17"/>
  <c r="O530" i="17"/>
  <c r="R452" i="17"/>
  <c r="P363" i="17"/>
  <c r="R352" i="17"/>
  <c r="P419" i="17"/>
  <c r="O419" i="17"/>
  <c r="P408" i="17"/>
  <c r="Q665" i="17"/>
  <c r="Q363" i="17"/>
  <c r="R363" i="17"/>
  <c r="H496" i="17"/>
  <c r="H643" i="17"/>
  <c r="R485" i="17"/>
  <c r="R419" i="17"/>
  <c r="R397" i="17"/>
  <c r="R386" i="17"/>
  <c r="R552" i="17"/>
  <c r="R574" i="17"/>
  <c r="R563" i="17"/>
  <c r="R596" i="17"/>
  <c r="R463" i="17"/>
  <c r="R231" i="17"/>
  <c r="R430" i="17"/>
  <c r="R585" i="17"/>
  <c r="R530" i="17"/>
  <c r="R507" i="17"/>
  <c r="R496" i="17"/>
  <c r="R474" i="17"/>
  <c r="R541" i="17"/>
  <c r="R408" i="17"/>
  <c r="R632" i="17"/>
  <c r="R712" i="17"/>
  <c r="R607" i="17"/>
  <c r="Q463" i="17"/>
  <c r="R643" i="17"/>
  <c r="P701" i="17"/>
  <c r="Q552" i="17"/>
  <c r="Q496" i="17"/>
  <c r="Q701" i="17"/>
  <c r="Q596" i="17"/>
  <c r="Q585" i="17"/>
  <c r="Q654" i="17"/>
  <c r="Q574" i="17"/>
  <c r="Q507" i="17"/>
  <c r="Q474" i="17"/>
  <c r="Q441" i="17"/>
  <c r="Q430" i="17"/>
  <c r="Q397" i="17"/>
  <c r="Q386" i="17"/>
  <c r="Q643" i="17"/>
  <c r="Q632" i="17"/>
  <c r="Q485" i="17"/>
  <c r="Q563" i="17"/>
  <c r="Q541" i="17"/>
  <c r="Q419" i="17"/>
  <c r="Q352" i="17"/>
  <c r="Q712" i="17"/>
  <c r="Q607" i="17"/>
  <c r="Q452" i="17"/>
  <c r="P690" i="17"/>
  <c r="P585" i="17"/>
  <c r="M552" i="17"/>
  <c r="O541" i="17"/>
  <c r="O474" i="17"/>
  <c r="P552" i="17"/>
  <c r="O386" i="17"/>
  <c r="O690" i="17"/>
  <c r="P574" i="17"/>
  <c r="J563" i="17"/>
  <c r="P474" i="17"/>
  <c r="P665" i="17"/>
  <c r="P530" i="17"/>
  <c r="P397" i="17"/>
  <c r="O654" i="17"/>
  <c r="O507" i="17"/>
  <c r="O574" i="17"/>
  <c r="P632" i="17"/>
  <c r="P507" i="17"/>
  <c r="P452" i="17"/>
  <c r="P430" i="17"/>
  <c r="P607" i="17"/>
  <c r="P563" i="17"/>
  <c r="P541" i="17"/>
  <c r="P485" i="17"/>
  <c r="P441" i="17"/>
  <c r="O596" i="17"/>
  <c r="P386" i="17"/>
  <c r="P712" i="17"/>
  <c r="K712" i="17"/>
  <c r="P352" i="17"/>
  <c r="P231" i="17" s="1"/>
  <c r="N541" i="17"/>
  <c r="N530" i="17"/>
  <c r="O463" i="17"/>
  <c r="O397" i="17"/>
  <c r="O701" i="17"/>
  <c r="O632" i="17"/>
  <c r="O621" i="17" s="1"/>
  <c r="N363" i="17"/>
  <c r="N352" i="17"/>
  <c r="O485" i="17"/>
  <c r="N430" i="17"/>
  <c r="O408" i="17"/>
  <c r="O563" i="17"/>
  <c r="O552" i="17"/>
  <c r="I665" i="17"/>
  <c r="H530" i="17"/>
  <c r="M530" i="17"/>
  <c r="J496" i="17"/>
  <c r="N463" i="17"/>
  <c r="M463" i="17"/>
  <c r="O452" i="17"/>
  <c r="I452" i="17"/>
  <c r="J419" i="17"/>
  <c r="M408" i="17"/>
  <c r="H397" i="17"/>
  <c r="L632" i="17"/>
  <c r="H632" i="17"/>
  <c r="J552" i="17"/>
  <c r="N507" i="17"/>
  <c r="O496" i="17"/>
  <c r="N485" i="17"/>
  <c r="J474" i="17"/>
  <c r="N474" i="17"/>
  <c r="N452" i="17"/>
  <c r="O430" i="17"/>
  <c r="O363" i="17"/>
  <c r="N690" i="17"/>
  <c r="N585" i="17"/>
  <c r="N552" i="17"/>
  <c r="N441" i="17"/>
  <c r="M712" i="17"/>
  <c r="N665" i="17"/>
  <c r="N654" i="17"/>
  <c r="H441" i="17"/>
  <c r="N386" i="17"/>
  <c r="N408" i="17"/>
  <c r="N397" i="17"/>
  <c r="N596" i="17"/>
  <c r="N701" i="17"/>
  <c r="N563" i="17"/>
  <c r="J530" i="17"/>
  <c r="I485" i="17"/>
  <c r="J452" i="17"/>
  <c r="M441" i="17"/>
  <c r="J430" i="17"/>
  <c r="M386" i="17"/>
  <c r="I363" i="17"/>
  <c r="J363" i="17"/>
  <c r="M352" i="17"/>
  <c r="N643" i="17"/>
  <c r="M690" i="17"/>
  <c r="I541" i="17"/>
  <c r="M541" i="17"/>
  <c r="N419" i="17"/>
  <c r="N632" i="17"/>
  <c r="N496" i="17"/>
  <c r="M607" i="17"/>
  <c r="M574" i="17"/>
  <c r="L530" i="17"/>
  <c r="M496" i="17"/>
  <c r="M474" i="17"/>
  <c r="L463" i="17"/>
  <c r="L452" i="17"/>
  <c r="K386" i="17"/>
  <c r="I386" i="17"/>
  <c r="H363" i="17"/>
  <c r="K363" i="17"/>
  <c r="K352" i="17"/>
  <c r="H352" i="17"/>
  <c r="I352" i="17"/>
  <c r="L352" i="17"/>
  <c r="L665" i="17"/>
  <c r="L563" i="17"/>
  <c r="H485" i="17"/>
  <c r="M485" i="17"/>
  <c r="J463" i="17"/>
  <c r="M419" i="17"/>
  <c r="H386" i="17"/>
  <c r="I408" i="17"/>
  <c r="M701" i="17"/>
  <c r="M665" i="17"/>
  <c r="I654" i="17"/>
  <c r="M632" i="17"/>
  <c r="M621" i="17" s="1"/>
  <c r="L496" i="17"/>
  <c r="M231" i="17"/>
  <c r="J643" i="17"/>
  <c r="J690" i="17"/>
  <c r="L541" i="17"/>
  <c r="K474" i="17"/>
  <c r="I441" i="17"/>
  <c r="H430" i="17"/>
  <c r="H408" i="17"/>
  <c r="H690" i="17"/>
  <c r="H712" i="17"/>
  <c r="J701" i="17"/>
  <c r="I701" i="17"/>
  <c r="H607" i="17"/>
  <c r="J596" i="17"/>
  <c r="I585" i="17"/>
  <c r="I574" i="17"/>
  <c r="I563" i="17"/>
  <c r="H507" i="17"/>
  <c r="J485" i="17"/>
  <c r="I474" i="17"/>
  <c r="H474" i="17"/>
  <c r="H452" i="17"/>
  <c r="J397" i="17"/>
  <c r="L485" i="17"/>
  <c r="L363" i="17"/>
  <c r="I643" i="17"/>
  <c r="K643" i="17"/>
  <c r="H665" i="17"/>
  <c r="H654" i="17"/>
  <c r="I632" i="17"/>
  <c r="I607" i="17"/>
  <c r="H585" i="17"/>
  <c r="J585" i="17"/>
  <c r="J574" i="17"/>
  <c r="J541" i="17"/>
  <c r="I507" i="17"/>
  <c r="J507" i="17"/>
  <c r="I496" i="17"/>
  <c r="I463" i="17"/>
  <c r="H552" i="17"/>
  <c r="J441" i="17"/>
  <c r="K430" i="17"/>
  <c r="I430" i="17"/>
  <c r="K419" i="17"/>
  <c r="J408" i="17"/>
  <c r="J352" i="17"/>
  <c r="V519" i="17" l="1"/>
  <c r="V679" i="17"/>
  <c r="Y621" i="17"/>
  <c r="AA621" i="17"/>
  <c r="V375" i="17"/>
  <c r="V231" i="17"/>
  <c r="Q231" i="17"/>
  <c r="AD519" i="17"/>
  <c r="AD375" i="17"/>
  <c r="AD621" i="17"/>
  <c r="AA375" i="17"/>
  <c r="AA679" i="17"/>
  <c r="AA519" i="17"/>
  <c r="Z519" i="17"/>
  <c r="Z679" i="17"/>
  <c r="Z231" i="17"/>
  <c r="Y375" i="17"/>
  <c r="Y7" i="17" s="1"/>
  <c r="BM70" i="17" s="1"/>
  <c r="W519" i="17"/>
  <c r="R679" i="17"/>
  <c r="Z375" i="17"/>
  <c r="J621" i="17"/>
  <c r="L621" i="17"/>
  <c r="O679" i="17"/>
  <c r="X231" i="17"/>
  <c r="AC679" i="17"/>
  <c r="W621" i="17"/>
  <c r="W375" i="17"/>
  <c r="W679" i="17"/>
  <c r="U679" i="17"/>
  <c r="AC621" i="17"/>
  <c r="AC519" i="17"/>
  <c r="AC231" i="17"/>
  <c r="AC375" i="17"/>
  <c r="U621" i="17"/>
  <c r="U519" i="17"/>
  <c r="U375" i="17"/>
  <c r="T375" i="17"/>
  <c r="T679" i="17"/>
  <c r="T519" i="17"/>
  <c r="T621" i="17"/>
  <c r="S519" i="17"/>
  <c r="X679" i="17"/>
  <c r="H519" i="17"/>
  <c r="AB375" i="17"/>
  <c r="S679" i="17"/>
  <c r="AB231" i="17"/>
  <c r="AB519" i="17"/>
  <c r="AB679" i="17"/>
  <c r="AB621" i="17"/>
  <c r="I621" i="17"/>
  <c r="X519" i="17"/>
  <c r="S375" i="17"/>
  <c r="S621" i="17"/>
  <c r="X375" i="17"/>
  <c r="L231" i="17"/>
  <c r="P621" i="17"/>
  <c r="K519" i="17"/>
  <c r="X621" i="17"/>
  <c r="I679" i="17"/>
  <c r="K621" i="17"/>
  <c r="L519" i="17"/>
  <c r="O231" i="17"/>
  <c r="M679" i="17"/>
  <c r="I231" i="17"/>
  <c r="M519" i="17"/>
  <c r="K231" i="17"/>
  <c r="K375" i="17"/>
  <c r="L679" i="17"/>
  <c r="J231" i="17"/>
  <c r="H231" i="17"/>
  <c r="R375" i="17"/>
  <c r="Q679" i="17"/>
  <c r="I519" i="17"/>
  <c r="L375" i="17"/>
  <c r="O519" i="17"/>
  <c r="N231" i="17"/>
  <c r="P375" i="17"/>
  <c r="Q621" i="17"/>
  <c r="R519" i="17"/>
  <c r="I375" i="17"/>
  <c r="Q519" i="17"/>
  <c r="R621" i="17"/>
  <c r="H375" i="17"/>
  <c r="Q375" i="17"/>
  <c r="J375" i="17"/>
  <c r="H621" i="17"/>
  <c r="O375" i="17"/>
  <c r="P519" i="17"/>
  <c r="P679" i="17"/>
  <c r="H679" i="17"/>
  <c r="M375" i="17"/>
  <c r="M7" i="17" s="1"/>
  <c r="BM58" i="17" s="1"/>
  <c r="N519" i="17"/>
  <c r="N621" i="17"/>
  <c r="N375" i="17"/>
  <c r="N679" i="17"/>
  <c r="J679" i="17"/>
  <c r="J519" i="17"/>
  <c r="V7" i="17" l="1"/>
  <c r="BM67" i="17" s="1"/>
  <c r="AD7" i="17"/>
  <c r="BM75" i="17" s="1"/>
  <c r="Z7" i="17"/>
  <c r="BM71" i="17" s="1"/>
  <c r="AA7" i="17"/>
  <c r="BM72" i="17" s="1"/>
  <c r="W7" i="17"/>
  <c r="BM68" i="17" s="1"/>
  <c r="AC7" i="17"/>
  <c r="BM74" i="17" s="1"/>
  <c r="U7" i="17"/>
  <c r="BM66" i="17" s="1"/>
  <c r="S7" i="17"/>
  <c r="BM64" i="17" s="1"/>
  <c r="T7" i="17"/>
  <c r="BM65" i="17" s="1"/>
  <c r="AB7" i="17"/>
  <c r="BM73" i="17" s="1"/>
  <c r="X7" i="17"/>
  <c r="BM69" i="17" s="1"/>
  <c r="K7" i="17"/>
  <c r="BM56" i="17" s="1"/>
  <c r="Q7" i="17"/>
  <c r="BM62" i="17" s="1"/>
  <c r="R7" i="17"/>
  <c r="BM63" i="17" s="1"/>
  <c r="I7" i="17"/>
  <c r="BM54" i="17" s="1"/>
  <c r="L7" i="17"/>
  <c r="BM57" i="17" s="1"/>
  <c r="O7" i="17"/>
  <c r="BM60" i="17" s="1"/>
  <c r="H7" i="17"/>
  <c r="BM53" i="17" s="1"/>
  <c r="J7" i="17"/>
  <c r="BM55" i="17" s="1"/>
  <c r="N7" i="17"/>
  <c r="BM59" i="17" s="1"/>
  <c r="P7" i="17"/>
  <c r="BM61" i="17" s="1"/>
  <c r="BJ54" i="17" l="1"/>
  <c r="BD54" i="17" s="1"/>
  <c r="BJ81" i="17"/>
  <c r="BE81" i="17" s="1"/>
  <c r="BJ63" i="17"/>
  <c r="BD63" i="17" s="1"/>
  <c r="BJ57" i="17"/>
  <c r="BE57" i="17" s="1"/>
  <c r="BJ71" i="17"/>
  <c r="BD71" i="17" s="1"/>
  <c r="BJ66" i="17"/>
  <c r="BE66" i="17" s="1"/>
  <c r="BJ59" i="17"/>
  <c r="BE59" i="17" s="1"/>
  <c r="BJ72" i="17"/>
  <c r="BD72" i="17" s="1"/>
  <c r="BJ82" i="17"/>
  <c r="BE82" i="17" s="1"/>
  <c r="BJ65" i="17"/>
  <c r="BD65" i="17" s="1"/>
  <c r="BJ78" i="17"/>
  <c r="BD78" i="17" s="1"/>
  <c r="U63" i="17" s="1"/>
  <c r="BJ60" i="17"/>
  <c r="BE60" i="17" s="1"/>
  <c r="BJ69" i="17"/>
  <c r="BD69" i="17" s="1"/>
  <c r="BJ76" i="17"/>
  <c r="BD76" i="17" s="1"/>
  <c r="U61" i="17" s="1"/>
  <c r="BJ53" i="17"/>
  <c r="BC54" i="17" s="1"/>
  <c r="BJ55" i="17"/>
  <c r="BD55" i="17" s="1"/>
  <c r="BJ67" i="17"/>
  <c r="BE67" i="17" s="1"/>
  <c r="BJ61" i="17"/>
  <c r="BE61" i="17" s="1"/>
  <c r="BJ58" i="17"/>
  <c r="BE58" i="17" s="1"/>
  <c r="BJ75" i="17"/>
  <c r="BD75" i="17" s="1"/>
  <c r="BJ77" i="17"/>
  <c r="BE77" i="17" s="1"/>
  <c r="BJ70" i="17"/>
  <c r="BE70" i="17" s="1"/>
  <c r="BJ64" i="17"/>
  <c r="BE64" i="17" s="1"/>
  <c r="BJ79" i="17"/>
  <c r="BE79" i="17" s="1"/>
  <c r="BJ73" i="17"/>
  <c r="BD73" i="17" s="1"/>
  <c r="BJ56" i="17"/>
  <c r="BD56" i="17" s="1"/>
  <c r="BJ80" i="17"/>
  <c r="BE80" i="17" s="1"/>
  <c r="BJ74" i="17"/>
  <c r="BD74" i="17" s="1"/>
  <c r="BJ68" i="17"/>
  <c r="BE68" i="17" s="1"/>
  <c r="BJ62" i="17"/>
  <c r="BE62" i="17" s="1"/>
  <c r="BD67" i="17"/>
  <c r="BD61" i="17"/>
  <c r="BD82" i="17"/>
  <c r="U67" i="17" s="1"/>
  <c r="BE65" i="17"/>
  <c r="BE54" i="17"/>
  <c r="BE69" i="17" l="1"/>
  <c r="BF69" i="17" s="1"/>
  <c r="BD81" i="17"/>
  <c r="U66" i="17" s="1"/>
  <c r="AC66" i="17" s="1"/>
  <c r="BE55" i="17"/>
  <c r="BF55" i="17" s="1"/>
  <c r="BE76" i="17"/>
  <c r="BF77" i="17" s="1"/>
  <c r="BD57" i="17"/>
  <c r="BD79" i="17"/>
  <c r="U64" i="17" s="1"/>
  <c r="AC64" i="17" s="1"/>
  <c r="BD60" i="17"/>
  <c r="BE74" i="17"/>
  <c r="BE75" i="17"/>
  <c r="BE72" i="17"/>
  <c r="BD66" i="17"/>
  <c r="BD62" i="17"/>
  <c r="BE56" i="17"/>
  <c r="BF57" i="17" s="1"/>
  <c r="BD70" i="17"/>
  <c r="BD59" i="17"/>
  <c r="BD68" i="17"/>
  <c r="BD80" i="17"/>
  <c r="U65" i="17" s="1"/>
  <c r="AI65" i="17" s="1"/>
  <c r="BE73" i="17"/>
  <c r="BF73" i="17" s="1"/>
  <c r="BD64" i="17"/>
  <c r="BD77" i="17"/>
  <c r="U62" i="17" s="1"/>
  <c r="AF62" i="17" s="1"/>
  <c r="BD58" i="17"/>
  <c r="BD53" i="17"/>
  <c r="BE63" i="17"/>
  <c r="BF63" i="17" s="1"/>
  <c r="BE78" i="17"/>
  <c r="BF79" i="17" s="1"/>
  <c r="BE71" i="17"/>
  <c r="BF71" i="17" s="1"/>
  <c r="BE53" i="17"/>
  <c r="BG77" i="17" s="1"/>
  <c r="BC55" i="17"/>
  <c r="BC56" i="17" s="1"/>
  <c r="BC57" i="17" s="1"/>
  <c r="BC58" i="17" s="1"/>
  <c r="BC59" i="17" s="1"/>
  <c r="BC60" i="17" s="1"/>
  <c r="BC61" i="17" s="1"/>
  <c r="BC62" i="17" s="1"/>
  <c r="BC63" i="17" s="1"/>
  <c r="BC64" i="17" s="1"/>
  <c r="BC65" i="17" s="1"/>
  <c r="BC66" i="17" s="1"/>
  <c r="BC67" i="17" s="1"/>
  <c r="BC68" i="17" s="1"/>
  <c r="BC69" i="17" s="1"/>
  <c r="BC70" i="17" s="1"/>
  <c r="BC71" i="17" s="1"/>
  <c r="BC72" i="17" s="1"/>
  <c r="BC73" i="17" s="1"/>
  <c r="BC74" i="17" s="1"/>
  <c r="BC75" i="17" s="1"/>
  <c r="BC76" i="17" s="1"/>
  <c r="BC77" i="17" s="1"/>
  <c r="BC78" i="17" s="1"/>
  <c r="BC79" i="17" s="1"/>
  <c r="BC80" i="17" s="1"/>
  <c r="BC81" i="17" s="1"/>
  <c r="BC82" i="17" s="1"/>
  <c r="BF67" i="17"/>
  <c r="BF61" i="17"/>
  <c r="BF60" i="17"/>
  <c r="BF81" i="17"/>
  <c r="BF65" i="17"/>
  <c r="BF82" i="17"/>
  <c r="D54" i="17"/>
  <c r="J54" i="17" s="1"/>
  <c r="BF80" i="17"/>
  <c r="AC67" i="17"/>
  <c r="AF67" i="17"/>
  <c r="AI67" i="17"/>
  <c r="BF59" i="17"/>
  <c r="AC61" i="17"/>
  <c r="AI61" i="17"/>
  <c r="AF61" i="17"/>
  <c r="BF58" i="17"/>
  <c r="AF63" i="17"/>
  <c r="AI63" i="17"/>
  <c r="AC63" i="17"/>
  <c r="BF66" i="17"/>
  <c r="BF62" i="17"/>
  <c r="BF68" i="17"/>
  <c r="AD8" i="17" l="1"/>
  <c r="V8" i="17"/>
  <c r="U60" i="17"/>
  <c r="U59" i="17"/>
  <c r="U58" i="17"/>
  <c r="AA8" i="17"/>
  <c r="U57" i="17"/>
  <c r="Y8" i="17"/>
  <c r="U56" i="17"/>
  <c r="Z8" i="17"/>
  <c r="U55" i="17"/>
  <c r="AC55" i="17" s="1"/>
  <c r="AC8" i="17"/>
  <c r="W8" i="17"/>
  <c r="U54" i="17"/>
  <c r="U8" i="17"/>
  <c r="U53" i="17"/>
  <c r="AF53" i="17" s="1"/>
  <c r="T8" i="17"/>
  <c r="D67" i="17"/>
  <c r="D66" i="17"/>
  <c r="M66" i="17" s="1"/>
  <c r="S8" i="17"/>
  <c r="AB8" i="17"/>
  <c r="D65" i="17"/>
  <c r="D64" i="17"/>
  <c r="J64" i="17" s="1"/>
  <c r="R8" i="17"/>
  <c r="X8" i="17"/>
  <c r="D61" i="17"/>
  <c r="M61" i="17" s="1"/>
  <c r="BF70" i="17"/>
  <c r="AF55" i="17" s="1"/>
  <c r="AF66" i="17"/>
  <c r="AI66" i="17"/>
  <c r="AC65" i="17"/>
  <c r="J66" i="17"/>
  <c r="BG80" i="17"/>
  <c r="BF56" i="17"/>
  <c r="AF64" i="17"/>
  <c r="AI64" i="17"/>
  <c r="D57" i="17"/>
  <c r="J57" i="17" s="1"/>
  <c r="BF78" i="17"/>
  <c r="BF76" i="17"/>
  <c r="D58" i="17"/>
  <c r="J58" i="17" s="1"/>
  <c r="AF65" i="17"/>
  <c r="BF64" i="17"/>
  <c r="D60" i="17"/>
  <c r="J60" i="17" s="1"/>
  <c r="D55" i="17"/>
  <c r="J55" i="17" s="1"/>
  <c r="BF75" i="17"/>
  <c r="BG82" i="17"/>
  <c r="BG59" i="17"/>
  <c r="J8" i="17"/>
  <c r="BG76" i="17"/>
  <c r="BG79" i="17"/>
  <c r="BG81" i="17"/>
  <c r="BG66" i="17"/>
  <c r="AC62" i="17"/>
  <c r="O8" i="17"/>
  <c r="H8" i="17"/>
  <c r="K8" i="17"/>
  <c r="BF54" i="17"/>
  <c r="M54" i="17" s="1"/>
  <c r="BG57" i="17"/>
  <c r="BG61" i="17"/>
  <c r="BG69" i="17"/>
  <c r="BG67" i="17"/>
  <c r="BG55" i="17"/>
  <c r="P55" i="17" s="1"/>
  <c r="BG63" i="17"/>
  <c r="BF74" i="17"/>
  <c r="L8" i="17"/>
  <c r="P8" i="17"/>
  <c r="D53" i="17"/>
  <c r="J53" i="17" s="1"/>
  <c r="I8" i="17"/>
  <c r="BF72" i="17"/>
  <c r="BG72" i="17"/>
  <c r="BG73" i="17"/>
  <c r="BG54" i="17"/>
  <c r="P54" i="17" s="1"/>
  <c r="BG58" i="17"/>
  <c r="BG70" i="17"/>
  <c r="BG64" i="17"/>
  <c r="BG68" i="17"/>
  <c r="BG62" i="17"/>
  <c r="BG75" i="17"/>
  <c r="BG60" i="17"/>
  <c r="BG71" i="17"/>
  <c r="BG74" i="17"/>
  <c r="BG65" i="17"/>
  <c r="BG56" i="17"/>
  <c r="AI62" i="17"/>
  <c r="M8" i="17"/>
  <c r="D56" i="17"/>
  <c r="J56" i="17" s="1"/>
  <c r="N8" i="17"/>
  <c r="D59" i="17"/>
  <c r="J59" i="17" s="1"/>
  <c r="Q8" i="17"/>
  <c r="BG78" i="17"/>
  <c r="D63" i="17"/>
  <c r="J63" i="17" s="1"/>
  <c r="D62" i="17"/>
  <c r="AF60" i="17" l="1"/>
  <c r="AI60" i="17"/>
  <c r="AC60" i="17"/>
  <c r="AF59" i="17"/>
  <c r="AI59" i="17"/>
  <c r="AC59" i="17"/>
  <c r="AF58" i="17"/>
  <c r="AC58" i="17"/>
  <c r="AI58" i="17"/>
  <c r="AF57" i="17"/>
  <c r="AC57" i="17"/>
  <c r="AI57" i="17"/>
  <c r="AC56" i="17"/>
  <c r="AF56" i="17"/>
  <c r="AI56" i="17"/>
  <c r="AI55" i="17"/>
  <c r="AF54" i="17"/>
  <c r="AC54" i="17"/>
  <c r="AI54" i="17"/>
  <c r="AI53" i="17"/>
  <c r="AC53" i="17"/>
  <c r="J67" i="17"/>
  <c r="P67" i="17"/>
  <c r="M67" i="17"/>
  <c r="P61" i="17"/>
  <c r="P64" i="17"/>
  <c r="M64" i="17"/>
  <c r="P66" i="17"/>
  <c r="J65" i="17"/>
  <c r="P65" i="17"/>
  <c r="M65" i="17"/>
  <c r="M58" i="17"/>
  <c r="P58" i="17"/>
  <c r="M55" i="17"/>
  <c r="J61" i="17"/>
  <c r="P57" i="17"/>
  <c r="M57" i="17"/>
  <c r="M60" i="17"/>
  <c r="P60" i="17"/>
  <c r="P59" i="17"/>
  <c r="M56" i="17"/>
  <c r="P63" i="17"/>
  <c r="M59" i="17"/>
  <c r="P56" i="17"/>
  <c r="M63" i="17"/>
  <c r="P62" i="17"/>
  <c r="J62" i="17"/>
  <c r="M62" i="17"/>
</calcChain>
</file>

<file path=xl/sharedStrings.xml><?xml version="1.0" encoding="utf-8"?>
<sst xmlns="http://schemas.openxmlformats.org/spreadsheetml/2006/main" count="4948" uniqueCount="1895">
  <si>
    <t>Benjamin</t>
  </si>
  <si>
    <t>FIN</t>
  </si>
  <si>
    <t>Kamara</t>
  </si>
  <si>
    <t>Glen</t>
  </si>
  <si>
    <t>Rangers</t>
  </si>
  <si>
    <t>Kauko</t>
  </si>
  <si>
    <t>Joni</t>
  </si>
  <si>
    <t>Esbjerg</t>
  </si>
  <si>
    <t>Lam</t>
  </si>
  <si>
    <t>PEC Zwolle</t>
  </si>
  <si>
    <t>Lappalainen</t>
  </si>
  <si>
    <t>Lassi</t>
  </si>
  <si>
    <t>Lod</t>
  </si>
  <si>
    <t>Minnesota United</t>
  </si>
  <si>
    <t>O'Shaughnessy</t>
  </si>
  <si>
    <t>HJK</t>
  </si>
  <si>
    <t>Pohjanpalo</t>
  </si>
  <si>
    <t>Joel</t>
  </si>
  <si>
    <t>Union Berlin</t>
  </si>
  <si>
    <t>Pukki</t>
  </si>
  <si>
    <t>Teemu</t>
  </si>
  <si>
    <t>Raitala</t>
  </si>
  <si>
    <t>Jukka</t>
  </si>
  <si>
    <t>Schüller</t>
  </si>
  <si>
    <t>Soiri</t>
  </si>
  <si>
    <t>Pyry</t>
  </si>
  <si>
    <t>Sparv</t>
  </si>
  <si>
    <t>Tim</t>
  </si>
  <si>
    <t>Larisza</t>
  </si>
  <si>
    <t>Markku Kanerva</t>
  </si>
  <si>
    <t>Boyata</t>
  </si>
  <si>
    <t>Dedryck</t>
  </si>
  <si>
    <t>Castagne</t>
  </si>
  <si>
    <t>Timothy</t>
  </si>
  <si>
    <t>Chadli</t>
  </si>
  <si>
    <t>Nacer</t>
  </si>
  <si>
    <t>Thibault</t>
  </si>
  <si>
    <t>Dendoncker</t>
  </si>
  <si>
    <t>Leander</t>
  </si>
  <si>
    <t>Hazard E.</t>
  </si>
  <si>
    <t>Hazard T.</t>
  </si>
  <si>
    <t>Thorgan</t>
  </si>
  <si>
    <t>Real Sociedad</t>
  </si>
  <si>
    <t>Lukaku</t>
  </si>
  <si>
    <t>Praet</t>
  </si>
  <si>
    <t>Dennis</t>
  </si>
  <si>
    <t>Sels</t>
  </si>
  <si>
    <t>Matz</t>
  </si>
  <si>
    <t>Strasbourg</t>
  </si>
  <si>
    <t>Tielemans</t>
  </si>
  <si>
    <t>Youri</t>
  </si>
  <si>
    <t>Roberto Martínez</t>
  </si>
  <si>
    <t>Makszim</t>
  </si>
  <si>
    <t>Cserisev</t>
  </si>
  <si>
    <t>Szocsi</t>
  </si>
  <si>
    <t>Dzsikija</t>
  </si>
  <si>
    <t>Mário</t>
  </si>
  <si>
    <t>Ionov</t>
  </si>
  <si>
    <t>Kudrjasov</t>
  </si>
  <si>
    <t>Antalyaspor</t>
  </si>
  <si>
    <t>Kuzjajev</t>
  </si>
  <si>
    <t>Daler</t>
  </si>
  <si>
    <t>Anton</t>
  </si>
  <si>
    <t>Mosztovoj</t>
  </si>
  <si>
    <t>Ozdojev</t>
  </si>
  <si>
    <t>Magomed</t>
  </si>
  <si>
    <t>Sunyin</t>
  </si>
  <si>
    <t>Sztanyiszlav Csercseszov</t>
  </si>
  <si>
    <t>Aké</t>
  </si>
  <si>
    <t>Nathan</t>
  </si>
  <si>
    <t>Berghuis</t>
  </si>
  <si>
    <t>Bizot</t>
  </si>
  <si>
    <t>AZ</t>
  </si>
  <si>
    <t>Blind</t>
  </si>
  <si>
    <t>Daley</t>
  </si>
  <si>
    <t>de Jong F.</t>
  </si>
  <si>
    <t>Frenkie</t>
  </si>
  <si>
    <t>de Jong L.</t>
  </si>
  <si>
    <t>Luuk</t>
  </si>
  <si>
    <t>de Ligt</t>
  </si>
  <si>
    <t>Matthijs</t>
  </si>
  <si>
    <t>de Roon</t>
  </si>
  <si>
    <t>Marten</t>
  </si>
  <si>
    <t>de Vrij</t>
  </si>
  <si>
    <t>Depay</t>
  </si>
  <si>
    <t>Memphis</t>
  </si>
  <si>
    <t>Dumfries</t>
  </si>
  <si>
    <t>Denzel</t>
  </si>
  <si>
    <t>Krul</t>
  </si>
  <si>
    <t>Malen</t>
  </si>
  <si>
    <t>Donyell</t>
  </si>
  <si>
    <t>Promes</t>
  </si>
  <si>
    <t>Quincy</t>
  </si>
  <si>
    <t>Davy</t>
  </si>
  <si>
    <t>Brighton &amp; Hove Albion</t>
  </si>
  <si>
    <t>Pablo</t>
  </si>
  <si>
    <t>Olympique Marseille</t>
  </si>
  <si>
    <t>van Aanholt</t>
  </si>
  <si>
    <t>Patrick</t>
  </si>
  <si>
    <t>van de Beek</t>
  </si>
  <si>
    <t>Donny</t>
  </si>
  <si>
    <t>Frank de Boer</t>
  </si>
  <si>
    <t>Bezusz</t>
  </si>
  <si>
    <t>Dinamo Kijev</t>
  </si>
  <si>
    <t>Vitalij</t>
  </si>
  <si>
    <t>Cihankov</t>
  </si>
  <si>
    <t>Jaremcsuk</t>
  </si>
  <si>
    <t>Kayserispor</t>
  </si>
  <si>
    <t>Krivcov</t>
  </si>
  <si>
    <t>Makarenko</t>
  </si>
  <si>
    <t>Jevhenyij</t>
  </si>
  <si>
    <t>Kortrijk</t>
  </si>
  <si>
    <t>Malinovszkij</t>
  </si>
  <si>
    <t>Marlos</t>
  </si>
  <si>
    <t>Matvijenko</t>
  </si>
  <si>
    <t>Mikola</t>
  </si>
  <si>
    <t>Mikolenko</t>
  </si>
  <si>
    <t>Andrij Sevcsenko</t>
  </si>
  <si>
    <t>Sanghaj SIPG</t>
  </si>
  <si>
    <t>Friedl</t>
  </si>
  <si>
    <t>LASK</t>
  </si>
  <si>
    <t>Gregoritsch</t>
  </si>
  <si>
    <t>Grillitsch</t>
  </si>
  <si>
    <t>Laimer</t>
  </si>
  <si>
    <t>Konrad</t>
  </si>
  <si>
    <t>Lainer</t>
  </si>
  <si>
    <t>Lazaro</t>
  </si>
  <si>
    <t>Valentino</t>
  </si>
  <si>
    <t>Lienhart</t>
  </si>
  <si>
    <t>Philipp</t>
  </si>
  <si>
    <t>Onisiwo</t>
  </si>
  <si>
    <t>Karim</t>
  </si>
  <si>
    <t>Pervan</t>
  </si>
  <si>
    <t>Pavao</t>
  </si>
  <si>
    <t>Posch</t>
  </si>
  <si>
    <t>Schaub</t>
  </si>
  <si>
    <t>Louis</t>
  </si>
  <si>
    <t>Schlager A.</t>
  </si>
  <si>
    <t>Alexander</t>
  </si>
  <si>
    <t>Schlager X.</t>
  </si>
  <si>
    <t>Xaver</t>
  </si>
  <si>
    <t>Franco Foda</t>
  </si>
  <si>
    <t>Ademi</t>
  </si>
  <si>
    <t>Arijan</t>
  </si>
  <si>
    <t>Alioszki</t>
  </si>
  <si>
    <t>Ezgjan</t>
  </si>
  <si>
    <t>Bardi</t>
  </si>
  <si>
    <t>Enisz</t>
  </si>
  <si>
    <t>Levante</t>
  </si>
  <si>
    <t>Bejtulai</t>
  </si>
  <si>
    <t>Egzon</t>
  </si>
  <si>
    <t>Shkëndija</t>
  </si>
  <si>
    <t>MKD</t>
  </si>
  <si>
    <t>Dimitrievszki</t>
  </si>
  <si>
    <t>Sztole</t>
  </si>
  <si>
    <t>Elmasz</t>
  </si>
  <si>
    <t>Haszani</t>
  </si>
  <si>
    <t>Ferhan</t>
  </si>
  <si>
    <t>Kosztadinov</t>
  </si>
  <si>
    <t>Tihomir</t>
  </si>
  <si>
    <t>Ruzomberok</t>
  </si>
  <si>
    <t>Darko</t>
  </si>
  <si>
    <t>Mol Fehérvár FC</t>
  </si>
  <si>
    <t>Nikolov</t>
  </si>
  <si>
    <t>Boban</t>
  </si>
  <si>
    <t>Pandev</t>
  </si>
  <si>
    <t>Goran</t>
  </si>
  <si>
    <t>Risztevszki</t>
  </si>
  <si>
    <t>Kire</t>
  </si>
  <si>
    <t>Újpest FC</t>
  </si>
  <si>
    <t>Sztefan</t>
  </si>
  <si>
    <t>Siskovszki</t>
  </si>
  <si>
    <t>Damjan</t>
  </si>
  <si>
    <t>Doxa Katokopiasz</t>
  </si>
  <si>
    <t>Szpirovszki</t>
  </si>
  <si>
    <t>AEK Larnaca</t>
  </si>
  <si>
    <t>Sztojanovszki</t>
  </si>
  <si>
    <t>Vlatko</t>
  </si>
  <si>
    <t>Chambly</t>
  </si>
  <si>
    <t>Igor Angelovszki</t>
  </si>
  <si>
    <t>Alexander-Arnold</t>
  </si>
  <si>
    <t>Trent</t>
  </si>
  <si>
    <t>Bellingham</t>
  </si>
  <si>
    <t>Jude</t>
  </si>
  <si>
    <t>Calvert-Lewin</t>
  </si>
  <si>
    <t>Dominic</t>
  </si>
  <si>
    <t>Chilwell</t>
  </si>
  <si>
    <t>Foden</t>
  </si>
  <si>
    <t>Phil</t>
  </si>
  <si>
    <t>Grealish</t>
  </si>
  <si>
    <t>Jack</t>
  </si>
  <si>
    <t>Henderson D.</t>
  </si>
  <si>
    <t>Dean</t>
  </si>
  <si>
    <t>Henderson J.</t>
  </si>
  <si>
    <t>Reece</t>
  </si>
  <si>
    <t>Maguire</t>
  </si>
  <si>
    <t>Mings</t>
  </si>
  <si>
    <t>Tyrone</t>
  </si>
  <si>
    <t>Mount</t>
  </si>
  <si>
    <t>Mason</t>
  </si>
  <si>
    <t>Pickford</t>
  </si>
  <si>
    <t>Rice</t>
  </si>
  <si>
    <t>Declan</t>
  </si>
  <si>
    <t>Sancho</t>
  </si>
  <si>
    <t>Jadon</t>
  </si>
  <si>
    <t>Gareth Southgate</t>
  </si>
  <si>
    <t>Barisic</t>
  </si>
  <si>
    <t>Borna</t>
  </si>
  <si>
    <t>Bradaric</t>
  </si>
  <si>
    <t>Brekalo</t>
  </si>
  <si>
    <t>Josip</t>
  </si>
  <si>
    <t>Budimir</t>
  </si>
  <si>
    <t>Osasuna</t>
  </si>
  <si>
    <t>Caleta-Car</t>
  </si>
  <si>
    <t>Juranovic</t>
  </si>
  <si>
    <t>Kalinic</t>
  </si>
  <si>
    <t>Livakovic</t>
  </si>
  <si>
    <t>Dominik</t>
  </si>
  <si>
    <t>Lovren</t>
  </si>
  <si>
    <t>Dejan</t>
  </si>
  <si>
    <t>Orsic</t>
  </si>
  <si>
    <t>Mislav</t>
  </si>
  <si>
    <t>Pasalic</t>
  </si>
  <si>
    <t>Petkovic</t>
  </si>
  <si>
    <t>Rebic</t>
  </si>
  <si>
    <t>Osijek</t>
  </si>
  <si>
    <t>Zlatko Dalic</t>
  </si>
  <si>
    <t>Armstrong</t>
  </si>
  <si>
    <t>Andrew</t>
  </si>
  <si>
    <t>Cooper</t>
  </si>
  <si>
    <t>Liam</t>
  </si>
  <si>
    <t>Dykes</t>
  </si>
  <si>
    <t>Lyndon</t>
  </si>
  <si>
    <t>Queens Park Rangers</t>
  </si>
  <si>
    <t>Fleck</t>
  </si>
  <si>
    <t>Forrest</t>
  </si>
  <si>
    <t>Gallagher</t>
  </si>
  <si>
    <t>Motherwell</t>
  </si>
  <si>
    <t>Hearts</t>
  </si>
  <si>
    <t>Hanley</t>
  </si>
  <si>
    <t>Grant</t>
  </si>
  <si>
    <t>Marshall</t>
  </si>
  <si>
    <t>McGregor</t>
  </si>
  <si>
    <t>Callum</t>
  </si>
  <si>
    <t>McKenna</t>
  </si>
  <si>
    <t>Scott</t>
  </si>
  <si>
    <t>Jon</t>
  </si>
  <si>
    <t>McTominay</t>
  </si>
  <si>
    <t>O'Donnell</t>
  </si>
  <si>
    <t>Steve Clarke</t>
  </si>
  <si>
    <t>Barák</t>
  </si>
  <si>
    <t>Antonín</t>
  </si>
  <si>
    <t>Boril</t>
  </si>
  <si>
    <t>Brabec</t>
  </si>
  <si>
    <t>Celustka</t>
  </si>
  <si>
    <t>Coufal</t>
  </si>
  <si>
    <t>Holes</t>
  </si>
  <si>
    <t>Jankto</t>
  </si>
  <si>
    <t>Kalas</t>
  </si>
  <si>
    <t>Bristol City</t>
  </si>
  <si>
    <t>Lukás</t>
  </si>
  <si>
    <t>Král</t>
  </si>
  <si>
    <t>Krmencík</t>
  </si>
  <si>
    <t>Masopust</t>
  </si>
  <si>
    <t>Mateju</t>
  </si>
  <si>
    <t>Ales</t>
  </si>
  <si>
    <t>Jaroslav Silhavy</t>
  </si>
  <si>
    <t>Alba</t>
  </si>
  <si>
    <t>Jordi</t>
  </si>
  <si>
    <t>Villarreal</t>
  </si>
  <si>
    <t>Alcántara</t>
  </si>
  <si>
    <t>Busquets</t>
  </si>
  <si>
    <t>Sergio</t>
  </si>
  <si>
    <t>Betis</t>
  </si>
  <si>
    <t>Dani</t>
  </si>
  <si>
    <t>de Gea</t>
  </si>
  <si>
    <t>García</t>
  </si>
  <si>
    <t>Gayá</t>
  </si>
  <si>
    <t>José Luis</t>
  </si>
  <si>
    <t>Koke</t>
  </si>
  <si>
    <t>Diego</t>
  </si>
  <si>
    <t>Mikel</t>
  </si>
  <si>
    <t>Morata</t>
  </si>
  <si>
    <t>Álvaro</t>
  </si>
  <si>
    <t>Moreno</t>
  </si>
  <si>
    <t>Gerard</t>
  </si>
  <si>
    <t>Oyarzabal</t>
  </si>
  <si>
    <t>Rodri</t>
  </si>
  <si>
    <t>Ruiz</t>
  </si>
  <si>
    <t>Fabián</t>
  </si>
  <si>
    <t>Luis Enrique</t>
  </si>
  <si>
    <t>Bengtsson</t>
  </si>
  <si>
    <t>Pierre</t>
  </si>
  <si>
    <t>Claesson</t>
  </si>
  <si>
    <t>Danielson</t>
  </si>
  <si>
    <t>Talien Professional</t>
  </si>
  <si>
    <t>Helander</t>
  </si>
  <si>
    <t>Isak</t>
  </si>
  <si>
    <t>Mattias</t>
  </si>
  <si>
    <t>Johnsson</t>
  </si>
  <si>
    <t>Karl-Johan</t>
  </si>
  <si>
    <t>Krafth</t>
  </si>
  <si>
    <t>Kulusevski</t>
  </si>
  <si>
    <t>Nordfeldt</t>
  </si>
  <si>
    <t>Kristoffer</t>
  </si>
  <si>
    <t>Helsingborg</t>
  </si>
  <si>
    <t>Janne Andersson</t>
  </si>
  <si>
    <t>Bednarek</t>
  </si>
  <si>
    <t>Bereszynski</t>
  </si>
  <si>
    <t>Pawel</t>
  </si>
  <si>
    <t>Frankowski</t>
  </si>
  <si>
    <t>Przemyslaw</t>
  </si>
  <si>
    <t>Chicago Fire</t>
  </si>
  <si>
    <t>Benevento</t>
  </si>
  <si>
    <t>Józwiak</t>
  </si>
  <si>
    <t>Kedziora</t>
  </si>
  <si>
    <t>Klich</t>
  </si>
  <si>
    <t>Mateusz</t>
  </si>
  <si>
    <t>Moder</t>
  </si>
  <si>
    <t>Rybus</t>
  </si>
  <si>
    <t>Maciej</t>
  </si>
  <si>
    <t>Jerzy Brzeczek</t>
  </si>
  <si>
    <t>Bozeník</t>
  </si>
  <si>
    <t>Omonia Nicosia</t>
  </si>
  <si>
    <t>Hancko</t>
  </si>
  <si>
    <t>Dávid</t>
  </si>
  <si>
    <t>Kuciak</t>
  </si>
  <si>
    <t>Lobotka</t>
  </si>
  <si>
    <t>Rodák</t>
  </si>
  <si>
    <t>Satka</t>
  </si>
  <si>
    <t>Lubomír</t>
  </si>
  <si>
    <t>Schranz</t>
  </si>
  <si>
    <t>Stefan Tarkovic</t>
  </si>
  <si>
    <t>Botka</t>
  </si>
  <si>
    <t>Endre</t>
  </si>
  <si>
    <t>Cseri</t>
  </si>
  <si>
    <t>Tamás</t>
  </si>
  <si>
    <t>Mezőkövesd</t>
  </si>
  <si>
    <t>Dibusz</t>
  </si>
  <si>
    <t>Dénes</t>
  </si>
  <si>
    <t>Fiola</t>
  </si>
  <si>
    <t>Attila</t>
  </si>
  <si>
    <t>Gulácsi</t>
  </si>
  <si>
    <t>Péter</t>
  </si>
  <si>
    <t>Ádám</t>
  </si>
  <si>
    <t>Paksi FC</t>
  </si>
  <si>
    <t>Holender</t>
  </si>
  <si>
    <t>Partizan Beograd</t>
  </si>
  <si>
    <t>SRB</t>
  </si>
  <si>
    <t>DAC</t>
  </si>
  <si>
    <t>Kecskés</t>
  </si>
  <si>
    <t>Ákos</t>
  </si>
  <si>
    <t>Kleinheisler</t>
  </si>
  <si>
    <t>László</t>
  </si>
  <si>
    <t>Lovrencsics</t>
  </si>
  <si>
    <t>Gergő</t>
  </si>
  <si>
    <t>Nagy</t>
  </si>
  <si>
    <t>Nego</t>
  </si>
  <si>
    <t>Loic</t>
  </si>
  <si>
    <t>Nikolics</t>
  </si>
  <si>
    <t>Nemanja</t>
  </si>
  <si>
    <t>Orbán</t>
  </si>
  <si>
    <t>Willi</t>
  </si>
  <si>
    <t>Sallai</t>
  </si>
  <si>
    <t>Roland</t>
  </si>
  <si>
    <t>Schäfer</t>
  </si>
  <si>
    <t>András</t>
  </si>
  <si>
    <t>Sigér</t>
  </si>
  <si>
    <t>Marco Rossi</t>
  </si>
  <si>
    <t>Cancelo</t>
  </si>
  <si>
    <t>Carvalho</t>
  </si>
  <si>
    <t>Dias</t>
  </si>
  <si>
    <t>Rúben</t>
  </si>
  <si>
    <t>Guedes</t>
  </si>
  <si>
    <t>Goncalo</t>
  </si>
  <si>
    <t>Raphaël</t>
  </si>
  <si>
    <t>Jota</t>
  </si>
  <si>
    <t>Diogo</t>
  </si>
  <si>
    <t>Neves</t>
  </si>
  <si>
    <t>Oliverira</t>
  </si>
  <si>
    <t>Sérgio</t>
  </si>
  <si>
    <t>Pereira D.</t>
  </si>
  <si>
    <t>Rui Patrício</t>
  </si>
  <si>
    <t>Rui Silva</t>
  </si>
  <si>
    <t>Granada</t>
  </si>
  <si>
    <t>Ben Yedder</t>
  </si>
  <si>
    <t>Wissam</t>
  </si>
  <si>
    <t>Dubois</t>
  </si>
  <si>
    <t>Léo</t>
  </si>
  <si>
    <t>Hernández</t>
  </si>
  <si>
    <t>Kimpembe</t>
  </si>
  <si>
    <t>Presnel</t>
  </si>
  <si>
    <t>Aymeric</t>
  </si>
  <si>
    <t>Lenglet</t>
  </si>
  <si>
    <t>Clément</t>
  </si>
  <si>
    <t>Maignan</t>
  </si>
  <si>
    <t>Mike</t>
  </si>
  <si>
    <t>Mbappé</t>
  </si>
  <si>
    <t>Kylian</t>
  </si>
  <si>
    <t>Pavard</t>
  </si>
  <si>
    <t>Rabiot</t>
  </si>
  <si>
    <t>Ginter</t>
  </si>
  <si>
    <t>Matthias</t>
  </si>
  <si>
    <t>Gnabry</t>
  </si>
  <si>
    <t>Serge</t>
  </si>
  <si>
    <t>Leon</t>
  </si>
  <si>
    <t>Gündogan</t>
  </si>
  <si>
    <t>Ilkay</t>
  </si>
  <si>
    <t>Halstenberg</t>
  </si>
  <si>
    <t>Havertz</t>
  </si>
  <si>
    <t>Kai</t>
  </si>
  <si>
    <t>Hofmann</t>
  </si>
  <si>
    <t>Klostermann</t>
  </si>
  <si>
    <t>Koch</t>
  </si>
  <si>
    <t>Neuhaus</t>
  </si>
  <si>
    <t>Rüdiger</t>
  </si>
  <si>
    <t>Niklas</t>
  </si>
  <si>
    <t>Süle</t>
  </si>
  <si>
    <t>R. Sánchez-Pizjuán Stadion</t>
  </si>
  <si>
    <t>1,1 millió lakos</t>
  </si>
  <si>
    <t>43.000 néző</t>
  </si>
  <si>
    <t>Az UEFA döntése alapján a koronavírus járvány miatt ezen a helyszínen nem rendeznek mérkőzéseket.
A csoportmérkőzéseket Szentpétervárra, a nyolcaddöntőt pedig Londonba helyezték át.</t>
  </si>
  <si>
    <t>ABCD</t>
  </si>
  <si>
    <t>3C</t>
  </si>
  <si>
    <t>3D</t>
  </si>
  <si>
    <t>3A</t>
  </si>
  <si>
    <t>3B</t>
  </si>
  <si>
    <t>ABCE</t>
  </si>
  <si>
    <t>3E</t>
  </si>
  <si>
    <t>ABCF</t>
  </si>
  <si>
    <t>3F</t>
  </si>
  <si>
    <t>ABDE</t>
  </si>
  <si>
    <t>ABDF</t>
  </si>
  <si>
    <t>ABEF</t>
  </si>
  <si>
    <t>ACDE</t>
  </si>
  <si>
    <t>ACDF</t>
  </si>
  <si>
    <t>ACEF</t>
  </si>
  <si>
    <t>ADEF</t>
  </si>
  <si>
    <t>BCDE</t>
  </si>
  <si>
    <t>BCDF</t>
  </si>
  <si>
    <t>BCEF</t>
  </si>
  <si>
    <t>BDEF</t>
  </si>
  <si>
    <t>CDEF</t>
  </si>
  <si>
    <t>a1</t>
  </si>
  <si>
    <t>a2</t>
  </si>
  <si>
    <t>a3</t>
  </si>
  <si>
    <t>a4</t>
  </si>
  <si>
    <t>b1</t>
  </si>
  <si>
    <t>b2</t>
  </si>
  <si>
    <t>b3</t>
  </si>
  <si>
    <t>b4</t>
  </si>
  <si>
    <t>c1</t>
  </si>
  <si>
    <t>c2</t>
  </si>
  <si>
    <t>c3</t>
  </si>
  <si>
    <t>c4</t>
  </si>
  <si>
    <t>d1</t>
  </si>
  <si>
    <t>d2</t>
  </si>
  <si>
    <t>d3</t>
  </si>
  <si>
    <t>d4</t>
  </si>
  <si>
    <t>e1</t>
  </si>
  <si>
    <t>e2</t>
  </si>
  <si>
    <t>e3</t>
  </si>
  <si>
    <t>e4</t>
  </si>
  <si>
    <t>f1</t>
  </si>
  <si>
    <t>f2</t>
  </si>
  <si>
    <t>f3</t>
  </si>
  <si>
    <t>f4</t>
  </si>
  <si>
    <t>tie.sp</t>
  </si>
  <si>
    <t>HOLTVERSENY</t>
  </si>
  <si>
    <t>1. HELY:  </t>
  </si>
  <si>
    <t>2. HELY:  </t>
  </si>
  <si>
    <t>3. HELY:  </t>
  </si>
  <si>
    <t>BÜNTETŐK A 3. CSOPORTKÖRBEN</t>
  </si>
  <si>
    <t>Coman</t>
  </si>
  <si>
    <t>Kingsley</t>
  </si>
  <si>
    <t>AS Roma</t>
  </si>
  <si>
    <t>Olympique Lyon</t>
  </si>
  <si>
    <t>Mandanda</t>
  </si>
  <si>
    <t>Anthony</t>
  </si>
  <si>
    <t>MEZ</t>
  </si>
  <si>
    <t>Ha a csoportmérkőzések utolsó fordulójában két olyan csapat találkozik, amelyek azonos számú pontot gyűjtöttek, valamint ugyanannyi gólt szereztek és kaptak, akkor döntetlen esetén büntetőrúgásokkal döntik el a végső sorrendet feltéve, hogy a csoportból egyetlen másik csapat sem végez ugyanilyen pontszámmal és gólkülönbséggel. Ez utóbbi esetben ugyanis már az általános rangsorolási elv érvényesül: egymás elleni eredmény, gólkülönbség, rúgott gólok száma, fair play statisztika, UEFA koefficiens.</t>
  </si>
  <si>
    <t>3rd placed teams</t>
  </si>
  <si>
    <t>WB</t>
  </si>
  <si>
    <t>WC</t>
  </si>
  <si>
    <t>P.OK</t>
  </si>
  <si>
    <t>PB</t>
  </si>
  <si>
    <t>PA</t>
  </si>
  <si>
    <t xml:space="preserve">Itt rögzíthetjük ez egyes mérkőzéseken elért gólok szerzőit. A csapatok nevei alatt a legördülő listából válasszuk ki a találatot elérő játékos nevét. A lista automatikusan a megfelelő csapat neveivel készül. A játékos neve mellett a vonalon egy rövid megjegyzést is be tudunk írni az adott góllal kapcsolatban. </t>
  </si>
  <si>
    <t>1/4</t>
  </si>
  <si>
    <t>2/4</t>
  </si>
  <si>
    <t>3/4</t>
  </si>
  <si>
    <t>4/4</t>
  </si>
  <si>
    <t>1/2</t>
  </si>
  <si>
    <t>2/2</t>
  </si>
  <si>
    <t xml:space="preserve"> KOR</t>
  </si>
  <si>
    <t xml:space="preserve">CSAPAT ÁTLAG:  </t>
  </si>
  <si>
    <t>pld</t>
  </si>
  <si>
    <t>Döntő:</t>
  </si>
  <si>
    <t>won</t>
  </si>
  <si>
    <t>Lucas</t>
  </si>
  <si>
    <t>ESP</t>
  </si>
  <si>
    <t>ITA</t>
  </si>
  <si>
    <t>FRA</t>
  </si>
  <si>
    <t>Az alábbiakban látható egy tájékoztató jellegű elképzelt minta arról, hogy a gólszerzőket hogyan lehet pontosan rögzíteni.</t>
  </si>
  <si>
    <t xml:space="preserve"> ORSZÁG</t>
  </si>
  <si>
    <t xml:space="preserve"> POSZT</t>
  </si>
  <si>
    <t xml:space="preserve"> KLUB</t>
  </si>
  <si>
    <t>RUS</t>
  </si>
  <si>
    <t>Wolfsburg</t>
  </si>
  <si>
    <t>UKR</t>
  </si>
  <si>
    <t xml:space="preserve"> </t>
  </si>
  <si>
    <t>A TIPPJÁTÉK ÁLLÁSA</t>
  </si>
  <si>
    <t xml:space="preserve"> 1-15. HELYEZETT JÁTÉKOSOK</t>
  </si>
  <si>
    <t xml:space="preserve">     PONTSZÁM</t>
  </si>
  <si>
    <t>ÖSSZESEN</t>
  </si>
  <si>
    <t xml:space="preserve"> HÁTRÁNY</t>
  </si>
  <si>
    <t xml:space="preserve">  16-30. HELYEZETT JÁTÉKOSOK</t>
  </si>
  <si>
    <t>EGYENES KIESÉS, ELŐDÖNTŐK ÉS DÖNTŐ</t>
  </si>
  <si>
    <t>TIPPJÁTÉK</t>
  </si>
  <si>
    <t>Csehország</t>
  </si>
  <si>
    <t>Belgium</t>
  </si>
  <si>
    <t>Wales</t>
  </si>
  <si>
    <t>Ukrajna</t>
  </si>
  <si>
    <t>WE</t>
  </si>
  <si>
    <t>WF</t>
  </si>
  <si>
    <t>Svédország</t>
  </si>
  <si>
    <t>Törökország</t>
  </si>
  <si>
    <t>Németország</t>
  </si>
  <si>
    <t>Ausztria</t>
  </si>
  <si>
    <t>Lengyelország</t>
  </si>
  <si>
    <t>Portugália</t>
  </si>
  <si>
    <t>tie.3rdmw</t>
  </si>
  <si>
    <t xml:space="preserve">A versenysorozat a kiírás szerint három körmérkőzésből, majd ezt követően a csoportokból továbbjutott első két helyezett, és a négy legjobb 3. helyezett, azaz összesen 16 csapat részvételével egy egyenes kieséses szakaszból áll. </t>
  </si>
  <si>
    <t xml:space="preserve">Ha bármelyik mérkőzés sorában a labda rajzára kattintunk, akkor a 'GÓLSZERZŐK' oldalra ugrunk, ahol a gólszerzők neveit és a találkozó fontosabb adatait jegyezhetjük fel. </t>
  </si>
  <si>
    <t>Ha a találkozó döntetlenre végződik, és ez a hosszabbítás során sem változik, akkor büntetőrúgások válnak szükségessé. Ilyenkor ennek eredményét az aktívvá váló alsó ezőkben a "Büntetők" felirat alatt lehet rögzíteni. A továbbjutásokat és a besorolásokat a táblázat automatikusan kiszámolja.</t>
  </si>
  <si>
    <t>Itt megtekinthető a szerzett gólok összesítése, ami alapján a számítógép automatikusan elkészíti a legjobb góllövők listáját. A nevek mellett jobb oldalon lehetőség van megjegyzések beírására is, ám ezt célszerű a teljes EB döntő vége után megtenni, ugyanis a nevek és sorrendjük folyamatosan változni fog, a megjegyzések viszont állandóak, és így elcsúszhatnak menet közben.</t>
  </si>
  <si>
    <t>Itt láthatjuk az EB döntőn részt vevő válogatottak névsorát, az egyes játékosok adataival, a jobb oldalon pedig az eddig szerzett gólok is megjelennek. Az egyes játékosokhoz itt hozzáfűzhetünk megjegyzéseket is. A válogatottak között a fejléc alján a nemzeti zászlókra való kattintással lapozhatunk.</t>
  </si>
  <si>
    <t xml:space="preserve">Erre a gombra kattintva megtekinthetjük a csoportok beosztását és az egyes válogatottak eredményeit, melyeket az eddigi Európa-bajnokságokon értek el. </t>
  </si>
  <si>
    <t>A Nemzeti Sport oldalán:</t>
  </si>
  <si>
    <t>Uefa.com</t>
  </si>
  <si>
    <t>További szurkolói füzetek:</t>
  </si>
  <si>
    <t>http://www.nemzetisport.hu/minden_mas_foci/szurkoloi-szoftverek-104676</t>
  </si>
  <si>
    <t>SZÖVETSÉGI KAPITÁNY:</t>
  </si>
  <si>
    <t>Ezek az adatsorok 2020 decemberében lettek összeállítva a selejtezőkön és a közelmúlt barátságos találkozóin részt vevő játékosok neveivel. Az EB-re kijelölt válogatott keretek ekkor még nem voltak ismertek, így elképzelhető, hogy bizonyos játékosok nem utaznak majd a döntőre, illetve hogy mások pedig később csatlakoznak a kerethez. Éppen ezért ezek a névsorok és az adatok szabadon szerkeszthetőek. Önökre van bízva, hogy a döntő előtti napokban a végleges válogatott keretek kihirdetése után aktualizálják a válogatottak összetételét. A táblázat frissítésének megjelenése a végleges névsorokkal a nyitómérkőzés előtti napokban várható.</t>
  </si>
  <si>
    <t>06</t>
  </si>
  <si>
    <t>07</t>
  </si>
  <si>
    <t xml:space="preserve">Az eredményeket mind a csoportmérkőzések során, mind pedig az egyenes kieséses szakaszban az 'EREDMÉNYEK' oldalon lehet beírni. A már megrendezett vagy épp aktuális mérkőzések elszíneződnek, hogy könnyebb legyen ezeket beazonosítani. Fontos azonban, hogy a felhasználó számítógépe a helyes dátumra legyen beállítva, különben az erre épülő színezések és jelek túl korán vagy későn jelennek majd meg. </t>
  </si>
  <si>
    <t xml:space="preserve">Különleges ritka esetben egy csoporton belül vagy a legjobb 3. helyezettek kiválasztásánál előadódhatnak olyan helyzetek, amikor a helyezések vagy a továbbjutások nem határozhatóak meg pusztán a tornán elért eredmények alapján. Ilyenkor az UEFA a fair play statisztikák vagy az általános koefficiens alapján dönt. A szurkolói füzet megfelelő működése érdekében a felhasználó számára egyszerűsített formában lehetőség van egy külön sorrend felállítására a holtversenyben álló csapatokhoz úgy, hogy az alábbi helyezésekhez a legördülő listából megfelelő sorrendben kiválasztjuk az érintett válogatottakat. A program ezeket az adatokat csak egy tényleges eldöntendő holtverseny fennállása esetén veszi figyelembe. </t>
  </si>
  <si>
    <t>Ha a névsorban változtatást hajtottunk végre, javasolt a neveket újból abc sorrendbe rendezni, hogy később a legördülő listákban könnyebb legyen az egyes játékosokat megtalálni. A sorba rendezést úgy lehet megtenni, hogy kijelöljük a teljes névsort és a csatlakozó adatokat az I oszloptól az R oszlopig és 30 sort (összesen 10 oszlop és 30 sor kijelölése), majd az Excel menüsorában meg kell nyomni az A-tól Z-ig rendező gombot.</t>
  </si>
  <si>
    <t xml:space="preserve">Az egyes fordulóknál a tippeket - értelemszerűen a találkozó megrendezése előtt - minden játékos a saját oszlopában a szürke színű bekeretezett mezőkbe írja: felülre az első csapat, alá pedig a második csapat góljainak számát. A találkozó tényleges végeredményét az 'EREDMÉNYEK' oldalakról automatikusan áthozza a program, mihelyt ott beírtuk az eredményt, és a tippek kiértékelése is csak ezt követően történik meg. </t>
  </si>
  <si>
    <t xml:space="preserve">A találatokat színes pipa jelzi. A versenyzők által elért pontok száma a mérkőzések alatt, a fordulók fejlécében, valamint a táblázat felső sorában is összegezve láthatóak. </t>
  </si>
  <si>
    <t>Eredetileg a táblázat 1280x720 képpontos képernyőméret mellett készült. Amennyiben Ön a számítógépén más beállításokat használ, elképzelhető, hogy az oldalak túlnyúlnak a képernyő szélein. Ekkor használhatja a görgetősávokat.</t>
  </si>
  <si>
    <t>Az alkalmazott képfelbontás miatt az egyes fordulók minden bizonnyal nem férnek majd el egyszerre a képernyőn, ezért az alsóbb sorokban található mérkőzések megtekintéséhez szükséges lehet a jobb oldali függőleges görgetősáv vagy az egér scroll (görgető) gombjának a használata.</t>
  </si>
  <si>
    <t xml:space="preserve">FONTOS!!! A beírt tippek csak akkor érvényesek, és a kiértékelés csak akkor fog megtörténni, ha a gólok számának helyére pozitív egész számot írtunk be. Szükség esetén ellenőrizzük vagy írjuk felül újra a tipp számát. </t>
  </si>
  <si>
    <t>FELÜLÍRÁS ELLENI VÉDELEM</t>
  </si>
  <si>
    <t>Ha írásvédettség miatt nem tudunk rögzíteni egy adatot, akkor biztosan rossz mezőbe akartuk ezt bevinni. Az egész táblázatrendszer előre precízen kiszámított beépített képletek segítségével működik. A mérkőzések eredményeinek, dátumok és feljegyzések bevitelén, illetve a kiválasztási lehetőségeken kívül minden funkció automatikus, vagyis a program minden állást azonnal magától kiszámol és megjelenít a képernyőn. Ha a rengeteg képlet rendszerében akár egyet is megváltoztatnánk vagy kitörölnénk, a táblázat már nem működne megbízhatóan. Ilyen esetben a hibát is nagyon nehéz megtalálni és behatárolni. Ezért a lapok felülírás elleni védelemmel, úgynevezett lapvédelemmel vannak ellátva, de ugyanakkor azok a mezők, ahol nekünk az eredményeket kell bevinni mindig szabadon változtathatók.</t>
  </si>
  <si>
    <t>PONTOSSÁG</t>
  </si>
  <si>
    <t>Nagyon fontos, hogy a mérkőzések eredményeit pontosan adjuk meg, egyébként mind a csapatok sorrendjében, mind pedig a hozzájuk tartozó részletekben hibás adatokat kaphatunk. Amikor a mérkőzések lezajlottak, és bevisszük az eredményeket, egyszerűen csak ügyeljünk arra, hogy ne tévesszük el a számokat. Éppen ezért érdemes egy-kétszer újra átfutni az eredményeket, és ellenőrizni azok helyességét. Hibás kiindulási adatokkal az egész rendszer megbízhatatlanul fog működni.</t>
  </si>
  <si>
    <t>RENDSZERIDŐ</t>
  </si>
  <si>
    <t xml:space="preserve">Ügyeljünk a számítógépünkön a helyes dátumbeállításra. A táblázatokban sok képlet és funkció használja a számítógép rendszerében beállított dátumot, hogy jelölje az aktuális és már lejátszott mérkőzéseket. Ezért az egyébként a felhasználást megkönnyítő színek és formázások felborulhatnak, és zűrzavart okozhatnak, ha a rendszeridő, illetve dátum nem pontos. </t>
  </si>
  <si>
    <t>KÉPERNYŐ FELBONTÁSA</t>
  </si>
  <si>
    <t>SZERZŐI JOGOK</t>
  </si>
  <si>
    <t xml:space="preserve"> BUDAPEST</t>
  </si>
  <si>
    <t>Ez a szurkolói füzet szellemi tulajdon, és az 1999. évi LXXVI. Szerzői Jogi Törvény védelme alá tartozik. A táblázat lapvédelmének feltörési kísérlete, képleteinek és számítási módszereinek másolása a jogtulajdonos külön írásos engedélye nélkül a törvény megsértését jelenti, amely az ott szabályozott valamint polgári jogi következményekkel jár. Szakmai érdeklődés esetén az illegális próbálkozások helyett javasolt a különböző kérdésekkel és észrevételekkel inkább az alábbi e-mail címen a szerzőhöz fordulni.</t>
  </si>
  <si>
    <t>VISSZAJELZÉS</t>
  </si>
  <si>
    <t>Kérdéseit, visszajelzéseit és észrevételeit szívesen fogadjuk a táblázattal kapcsolatban. 
Elérhetőségeink:</t>
  </si>
  <si>
    <t>Ezen az oldalon tippversenyt lehet rendezni összesen legfeljebb harminc játékos részvételével, melynek során mindenki a torna összes mérkőzésének eredményét megtippelheti, és a számítógép a megadott kiértékelési szempontok szerint összesíti a verseny résztvevői által elért pontszámokat.</t>
  </si>
  <si>
    <t>A beállításoknál a jobb oldalon a rubrikák kijelölésével megadhatjuk a játékosok számát, a szürke vonalon pedig beírhatjuk a résztvevők neveit.</t>
  </si>
  <si>
    <t>A fejléc alatt a megfelelő feliratra kattintva megtekinthetjük a tabellát, amely az előző valamint a legelső játékoshoz viszonyított lemaradást is megmutatja. Annak érdekében, hogy egyetlen képernyőn kiférjen az összes játékos, a tabella két részre lett bontva. A verseny állása ezen kívül a felső sorokban is folyamatosan látható és követhető.</t>
  </si>
  <si>
    <t>A fordulók között úgy tudunk váltani, hogy fejléc alsó sávjában annak a fordulónak a feliratára kattintunk, amelyet meg szeretnénk tekinteni, valamint az alapbeállításokhoz illetve a tabellához való ugráshoz is itt találjuk a megfelelő feliratot.</t>
  </si>
  <si>
    <t>https://www.youtube.com/watch?v=7hrZW-jZApA&amp;feature=player_embedded</t>
  </si>
  <si>
    <t>Az 'EREDMÉNYEK' oldalon tudjuk a mérkőzések eredményét rögzíteni. Itt a színek megjelenése mutatja az épp aktuális napi mérkőzéseket, amely elszíneződik, ha már lejátszották, vagy ha elkezdődött. A számokat a csapatok nevei közé a kötőjel két oldalára, a bekeretezett mezőkbe kell írni.</t>
  </si>
  <si>
    <t>Az egyenes kieséses szakaszban, ha büntetőrúgásokra kerül sor, ezeket is rögzíteni tudjuk az adott mérkőzés gólszerzői alatt. A legördülő névsorból válasszuk ki minden játékos nevét sorrendben, akik 11-es rúgásra vállalkoztak, és mellettük középen írjunk vagy válasszunk ki X-et a kihagyott, és O-t az értékesített büntetőkhöz. Itt is ugyanúgy minden próbálkozáshoz tudunk egyéni megjegyzést is fűzni.</t>
  </si>
  <si>
    <t>A baloldalon lehet meghatározni a tippjáték pontozásának kritériumait. Az egyes szempontok mellett megadható a találatért járó pontszám, de a rubrikában levő pipa segítségével törölhetjük is bármelyik kiértékelési módot, így például hagyományos totó játék is játszató 1-x-2 alapon, ha csupán a mérkőzés kimenetelének kritériumát hagyjuk érvényben, mondjuk 1-1 pontértékkel. A pontozás módszerével kapcsolatban ki tudjuk választani, hogy a kritériumok külön-külön a legértékesebb találat szerint vagy pedig az összes találati szempont összegzésével legyenek-e pontozva.</t>
  </si>
  <si>
    <t>A két csapat által szerzett gólok külöbségének eltalálása fordítva (ha a győztest rosszul tippeltük meg)</t>
  </si>
  <si>
    <t>Horvátország</t>
  </si>
  <si>
    <t>jún</t>
  </si>
  <si>
    <t>júl</t>
  </si>
  <si>
    <t>JÚNIUS</t>
  </si>
  <si>
    <t>JÚLIUS</t>
  </si>
  <si>
    <t>Nottingham Forest</t>
  </si>
  <si>
    <t>Stanislav</t>
  </si>
  <si>
    <t>Skriniar</t>
  </si>
  <si>
    <t>Dusan</t>
  </si>
  <si>
    <t>Kimmich</t>
  </si>
  <si>
    <t>Joshua</t>
  </si>
  <si>
    <t>Leno</t>
  </si>
  <si>
    <t>Bernd</t>
  </si>
  <si>
    <t>Sané</t>
  </si>
  <si>
    <t>Leroy</t>
  </si>
  <si>
    <t>Vjacseszlav</t>
  </si>
  <si>
    <t>McLaughlin</t>
  </si>
  <si>
    <t>Athletic Bilbao</t>
  </si>
  <si>
    <t>Slavia Praha</t>
  </si>
  <si>
    <t>Tufan</t>
  </si>
  <si>
    <t>Ozan</t>
  </si>
  <si>
    <t>Ante</t>
  </si>
  <si>
    <t>Gordon</t>
  </si>
  <si>
    <t>Domagoj</t>
  </si>
  <si>
    <t>Carrasco</t>
  </si>
  <si>
    <t>Montreal Impact</t>
  </si>
  <si>
    <t>Denayer</t>
  </si>
  <si>
    <t>Jason</t>
  </si>
  <si>
    <t>Genk</t>
  </si>
  <si>
    <t>Jan</t>
  </si>
  <si>
    <t>Bernardeschi</t>
  </si>
  <si>
    <t>Federico</t>
  </si>
  <si>
    <t>Insigne</t>
  </si>
  <si>
    <t>Lorenzo</t>
  </si>
  <si>
    <t>Stephen</t>
  </si>
  <si>
    <t>Augustinsson</t>
  </si>
  <si>
    <t>Ludwig</t>
  </si>
  <si>
    <t>AIK</t>
  </si>
  <si>
    <t>Jansson</t>
  </si>
  <si>
    <t>Pontus</t>
  </si>
  <si>
    <t>Lindelöf</t>
  </si>
  <si>
    <t>Olsen</t>
  </si>
  <si>
    <t>Robin</t>
  </si>
  <si>
    <t>Ronaldo</t>
  </si>
  <si>
    <t>Cristiano</t>
  </si>
  <si>
    <t>Adrien</t>
  </si>
  <si>
    <t>ADATGYŰJTÉS</t>
  </si>
  <si>
    <t>Marosi Gergely</t>
  </si>
  <si>
    <t>Goretzka</t>
  </si>
  <si>
    <t>Sabitzer</t>
  </si>
  <si>
    <t>Marcel</t>
  </si>
  <si>
    <t>HÉTFŐ</t>
  </si>
  <si>
    <t>KEDD</t>
  </si>
  <si>
    <t>SZERDA</t>
  </si>
  <si>
    <t>CSÜTÖRTÖK</t>
  </si>
  <si>
    <t>PÉNTEK</t>
  </si>
  <si>
    <t>SZOMBAT</t>
  </si>
  <si>
    <t>VASÁRNAP</t>
  </si>
  <si>
    <t>1/8</t>
  </si>
  <si>
    <t>2/8</t>
  </si>
  <si>
    <t>3/8</t>
  </si>
  <si>
    <t>4/8</t>
  </si>
  <si>
    <t>5/8</t>
  </si>
  <si>
    <t>6/8</t>
  </si>
  <si>
    <t>7/8</t>
  </si>
  <si>
    <t>8/8</t>
  </si>
  <si>
    <t>Marcelo</t>
  </si>
  <si>
    <t>3. CSOPORTMÉRKŐZÉSEK</t>
  </si>
  <si>
    <t>2. CSOPORTMÉRKŐZÉSEK</t>
  </si>
  <si>
    <t>3rd match tie</t>
  </si>
  <si>
    <t>a</t>
  </si>
  <si>
    <t>b</t>
  </si>
  <si>
    <t>c</t>
  </si>
  <si>
    <t>d</t>
  </si>
  <si>
    <t>A</t>
  </si>
  <si>
    <t>B</t>
  </si>
  <si>
    <t>C</t>
  </si>
  <si>
    <t>D</t>
  </si>
  <si>
    <t>w</t>
  </si>
  <si>
    <t>l</t>
  </si>
  <si>
    <t>m</t>
  </si>
  <si>
    <t>f</t>
  </si>
  <si>
    <t>diff</t>
  </si>
  <si>
    <t>p</t>
  </si>
  <si>
    <t>cl</t>
  </si>
  <si>
    <t>score</t>
  </si>
  <si>
    <t>V</t>
  </si>
  <si>
    <t>Gy</t>
  </si>
  <si>
    <t>A táblázatokon lapvédelem van, ami elsősorban a beépített képleteket hivatott megvédeni, hogy a táblák mindenkor a helyes eredményt számítsák ki. Ha a program írásvédettségre hivatkozik, biztosak lehetünk abban, hogy nem a megfelelő mezőt használtuk az adatbevitelre.</t>
  </si>
  <si>
    <t>http://www.nemzetisport.hu</t>
  </si>
  <si>
    <t>nsonline@nemzetisport.hu</t>
  </si>
  <si>
    <t xml:space="preserve">Gk </t>
  </si>
  <si>
    <t>Sahtar Doneck</t>
  </si>
  <si>
    <t>KAPCSOLAT</t>
  </si>
  <si>
    <t>SZERZŐ</t>
  </si>
  <si>
    <t>FOTÓK</t>
  </si>
  <si>
    <t>AJÁNLÓ</t>
  </si>
  <si>
    <t>RENDELTETÉS</t>
  </si>
  <si>
    <t>NAVIGÁLÁS</t>
  </si>
  <si>
    <t>EREDMÉNYEK BEVITELE</t>
  </si>
  <si>
    <t>VÉDELEM</t>
  </si>
  <si>
    <t>FELÉPÍTÉS</t>
  </si>
  <si>
    <t>CSOPORTKÖR</t>
  </si>
  <si>
    <t>TABELLÁK</t>
  </si>
  <si>
    <t>EGYENES KIESÉS</t>
  </si>
  <si>
    <t>ÁGRAJZ</t>
  </si>
  <si>
    <t>RANGSOR</t>
  </si>
  <si>
    <t>GÓLSZERZŐK</t>
  </si>
  <si>
    <t>GÓLLÖVŐLISTA</t>
  </si>
  <si>
    <t>CSAPATOK</t>
  </si>
  <si>
    <t>CSOPORTOK</t>
  </si>
  <si>
    <t>HELYSZÍNEK</t>
  </si>
  <si>
    <t>Didier Deschamps</t>
  </si>
  <si>
    <t xml:space="preserve">A táblázatok közötti navigálást a fejléc jobb oldalán található gombokra való kattintással lehet végrehajtani. Egy oldalon belül is tudunk lapozni, illetve a kívánt részhez ugrani azáltal, hogy a fejléc alsó felén található feliratokra kattintunk. </t>
  </si>
  <si>
    <t>A fejlécen a 'TABELLÁK' gombra kattintva megtekinthetjük a csoportok aktuális állását.</t>
  </si>
  <si>
    <t>Ezeket az eredményeket szintén az 'EREDMÉNYEK' lapon, ugyanúgy a kötőjelek két oldalán rögzíthetjük.</t>
  </si>
  <si>
    <t xml:space="preserve">Az egyenes kieséses szakasz bármely időszakában megtekinthetjük a mérkőzések és párosítások elrendezésének vázlatát azáltal, hogy az 'ÁGRAJZ' gombra kattintunk. </t>
  </si>
  <si>
    <t>Itt megtekinthetjük a csapatok aktuális rangsorolását a világbajnokságon eddig elért eredményeik alapján.</t>
  </si>
  <si>
    <t xml:space="preserve">A csapatok nevei mellett a két szélen apró betűvel tájékoztatás olvasható arról, hogy még hány nevet kell rögzíteni az egyes csapatok alatt. Ha a találatok száma teljes, ez a felirat eltűnik. </t>
  </si>
  <si>
    <t xml:space="preserve">A táblázat azzal a céllal készült, hogy a sportrajongók az eredmények feljegyzése által pontosan nyomon tudják követni a versenysorozat alakulását, továbbá hogy előzetes eredmények próbálgatásával az esélylatolgatáshoz segítséget nyújtson. </t>
  </si>
  <si>
    <t>tie</t>
  </si>
  <si>
    <t>sr</t>
  </si>
  <si>
    <t>sc</t>
  </si>
  <si>
    <t>DÖNTŐ</t>
  </si>
  <si>
    <t>1. forduló:</t>
  </si>
  <si>
    <t>2. forduló:</t>
  </si>
  <si>
    <t>3. forduló:</t>
  </si>
  <si>
    <t>Negyeddöntő:</t>
  </si>
  <si>
    <t>középpályás</t>
  </si>
  <si>
    <t>kapus</t>
  </si>
  <si>
    <t>Dátum:</t>
  </si>
  <si>
    <t>Sorszám:</t>
  </si>
  <si>
    <t>Pontosság:</t>
  </si>
  <si>
    <t>Csapatok:</t>
  </si>
  <si>
    <t>Eredmény:</t>
  </si>
  <si>
    <t>Rögzítve?:</t>
  </si>
  <si>
    <t>Hol.van?:</t>
  </si>
  <si>
    <t>Büntetők?</t>
  </si>
  <si>
    <t xml:space="preserve">A mérkőzés alatt három sorban még további személyes kommentárokat és feljegyzéseket lehet rögzíteni az adott találkozóval kapcsolatban. </t>
  </si>
  <si>
    <t>nevek.01</t>
  </si>
  <si>
    <t>nevek.02</t>
  </si>
  <si>
    <t>nevek.03</t>
  </si>
  <si>
    <t>nevek.04</t>
  </si>
  <si>
    <t>nevek.05</t>
  </si>
  <si>
    <t>nevek.06</t>
  </si>
  <si>
    <t>nevek.07</t>
  </si>
  <si>
    <t>nevek.08</t>
  </si>
  <si>
    <t>nevek.09</t>
  </si>
  <si>
    <t>nevek.10</t>
  </si>
  <si>
    <t>nevek.11</t>
  </si>
  <si>
    <t>nevek.12</t>
  </si>
  <si>
    <t>nevek.13</t>
  </si>
  <si>
    <t>nevek.14</t>
  </si>
  <si>
    <t>nevek.15</t>
  </si>
  <si>
    <t>nevek.16</t>
  </si>
  <si>
    <t>nevek.17</t>
  </si>
  <si>
    <t>nevek.18</t>
  </si>
  <si>
    <t>nevek.19</t>
  </si>
  <si>
    <t>nevek.20</t>
  </si>
  <si>
    <t>nevek.21</t>
  </si>
  <si>
    <t>nevek.22</t>
  </si>
  <si>
    <t>nevek.23</t>
  </si>
  <si>
    <t>nevek.24</t>
  </si>
  <si>
    <t>nevek.25</t>
  </si>
  <si>
    <t>nevek.26</t>
  </si>
  <si>
    <t>nevek.27</t>
  </si>
  <si>
    <t>nevek.28</t>
  </si>
  <si>
    <t>nevek.29</t>
  </si>
  <si>
    <t>nevek.30</t>
  </si>
  <si>
    <t>nevek.31</t>
  </si>
  <si>
    <t>nevek.32</t>
  </si>
  <si>
    <t xml:space="preserve">Középütt a játékosok neve mellett rögzíthetjük a percet, amelyben a találat esett. Ebbe a mezőbe csak egy puszta számot lehet beírni, a perc ' jelét a gép automatikusan adja hozzá. A mérkőzés végi hosszabbításban szerzett gól esetén írhatjuk a tényleges számot (pl. 93', a félidő végén pedig csak írjunk 45'-et és a megjegyzésnél írjuk be, hogy a találat a hosszabbítás melyik percében esett. </t>
  </si>
  <si>
    <t>Real Madrid</t>
  </si>
  <si>
    <t>Lazio</t>
  </si>
  <si>
    <t>Bayern München</t>
  </si>
  <si>
    <t>Barcelona</t>
  </si>
  <si>
    <t>Liverpool</t>
  </si>
  <si>
    <t>Erre a gombra kattintva megtekinthető néhány fotó a városokról és a stadionokról, valamint az adott város elhelyezkedése a térképen. Továbbá itt találhatóak a helyszínhez kapcsolódó alapadatok, illetve az itt lejátszott mérkőzések felsorolása.</t>
  </si>
  <si>
    <t>TELITALÁLAT</t>
  </si>
  <si>
    <t xml:space="preserve"> PONTSZÁM:</t>
  </si>
  <si>
    <t>Az eredmény tökéletes eltalálása</t>
  </si>
  <si>
    <t>MÉRKŐZÉS KIMENETELÉNEK ELTALÁLÁSA</t>
  </si>
  <si>
    <t>A győztes csapat vagy a döntetlen eltalálása, 1-X-2 mint a hagyományos TOTÓ-ban</t>
  </si>
  <si>
    <t>AZ EGYIK CSAPAT GÓLJAINAK ELTALÁLÁSA</t>
  </si>
  <si>
    <t>Bármelyik csapat által szerzett gólok számának eltalálása</t>
  </si>
  <si>
    <t>ÖSSZES SZERZETT GÓL SZÁMÁNAK ELTALÁLÁSA</t>
  </si>
  <si>
    <t>A mérkőzésen született összes gól számának eltalálása</t>
  </si>
  <si>
    <t>NÉV</t>
  </si>
  <si>
    <t>RÉSZPONTSZÁMOK ÖSSZEADÁSA</t>
  </si>
  <si>
    <r>
      <t>SÚGÓ</t>
    </r>
    <r>
      <rPr>
        <sz val="14"/>
        <rFont val="Arial Unicode MS"/>
        <family val="2"/>
        <charset val="238"/>
      </rPr>
      <t xml:space="preserve"> / </t>
    </r>
    <r>
      <rPr>
        <u/>
        <sz val="14"/>
        <rFont val="Arial Unicode MS"/>
        <family val="2"/>
        <charset val="238"/>
      </rPr>
      <t>HASZNÁLATI ISMERTETŐ</t>
    </r>
  </si>
  <si>
    <t>2004, '08, '12, '16</t>
  </si>
  <si>
    <t>Európa-bajnok: 2016</t>
  </si>
  <si>
    <t>EB részvétel: 7</t>
  </si>
  <si>
    <t>EB részvétel: 12</t>
  </si>
  <si>
    <t>2000, '04, '08, '12, '16</t>
  </si>
  <si>
    <t>2. hely: 2016</t>
  </si>
  <si>
    <t>1992, 2000, '04, '08, '12, '16</t>
  </si>
  <si>
    <t>2008, 2012, 2016</t>
  </si>
  <si>
    <t>Negyeddöntő: 2016</t>
  </si>
  <si>
    <t>1996, 2000, '04, '08, '12, '16</t>
  </si>
  <si>
    <t>1996, 2004, '08, '12, '16</t>
  </si>
  <si>
    <t>2000, '04, '12, '16</t>
  </si>
  <si>
    <t>1976, '80, '88, '92, '96</t>
  </si>
  <si>
    <t xml:space="preserve"> 2000, '04, '08, '12</t>
  </si>
  <si>
    <t>Európa bajnok: 1988</t>
  </si>
  <si>
    <t>3. hely: 1976, 1992, 2000, 2004</t>
  </si>
  <si>
    <t>3. hely: 1988, 2012, 2016</t>
  </si>
  <si>
    <t>2012, 2016</t>
  </si>
  <si>
    <t>1964, '84, '88, '92, '96</t>
  </si>
  <si>
    <t>Európa bajnok: 1992</t>
  </si>
  <si>
    <t>3. hely: 1984</t>
  </si>
  <si>
    <t>1972, '80, '84</t>
  </si>
  <si>
    <t>2000, '16</t>
  </si>
  <si>
    <t>1992, '96, 2004, '08, '12, '16</t>
  </si>
  <si>
    <t>1996, 2000, 2008, 2016</t>
  </si>
  <si>
    <t>3. hely: 2016</t>
  </si>
  <si>
    <t>1996, 2004, 2008, 2016</t>
  </si>
  <si>
    <t>Nyolcaddöntő: 2016</t>
  </si>
  <si>
    <r>
      <t xml:space="preserve">Ha öngól született, akkor ezt annak a csapatnak a neve alatt kell rögzíteni, aki a találatból profitált. Ilyenkor a megjegyzés vonalára először fel kell írni, hogy </t>
    </r>
    <r>
      <rPr>
        <b/>
        <u/>
        <sz val="10"/>
        <rFont val="Arial Unicode MS"/>
        <family val="2"/>
        <charset val="238"/>
      </rPr>
      <t>öngól</t>
    </r>
    <r>
      <rPr>
        <sz val="8"/>
        <rFont val="Arial Unicode MS"/>
        <family val="2"/>
        <charset val="238"/>
      </rPr>
      <t xml:space="preserve"> csupa kis betűkkel. Ezután a legördülő listában automatikusan az ellenfél csapatának névsora jelenik meg. Figyelni kell rá, hogy ilyenkor a név melletti megjegyzés sorában további betűk vagy karakterek ne szerepeljenek.</t>
    </r>
  </si>
  <si>
    <t>Chelsea</t>
  </si>
  <si>
    <t>PONTOZÁSI KRITÉRIUMOK</t>
  </si>
  <si>
    <t>GÓLKÜLÖNBSÉG ELTALÁLÁSA</t>
  </si>
  <si>
    <t>GÓLKÜLÖNBSÉG ELTALÁLÁSA FORDÍTOTT IRÁNYBAN</t>
  </si>
  <si>
    <t>A két csapat által megszerzett gólok külöbségének eltalálása (csak ha a győztest is helyesen tippeltük meg)</t>
  </si>
  <si>
    <t>PONTSZÁM:</t>
  </si>
  <si>
    <t>xxx</t>
  </si>
  <si>
    <t>RÉSZPONTSZÁMOK:</t>
  </si>
  <si>
    <t>CSOPORTMÉRKŐZÉSEK, 1. FORDULÓ</t>
  </si>
  <si>
    <t>CSOPORTMÉRKŐZÉSEK, 3. FORDULÓ</t>
  </si>
  <si>
    <t>CSOPORTMÉRKŐZÉSEK, 2. FORDULÓ</t>
  </si>
  <si>
    <t>EGYENES KIESÉS, NYOLCADDÖNTŐK</t>
  </si>
  <si>
    <t>EGYENES KIESÉS, NEGYEDDÖNTŐK</t>
  </si>
  <si>
    <t>e</t>
  </si>
  <si>
    <t>g</t>
  </si>
  <si>
    <t>E</t>
  </si>
  <si>
    <t>F</t>
  </si>
  <si>
    <t>–</t>
  </si>
  <si>
    <t>Franciaország</t>
  </si>
  <si>
    <t>Manchester City</t>
  </si>
  <si>
    <t>Napoli</t>
  </si>
  <si>
    <t>Internazionale</t>
  </si>
  <si>
    <t>Tottenham Hotspur</t>
  </si>
  <si>
    <t>Thiago</t>
  </si>
  <si>
    <t>Victor</t>
  </si>
  <si>
    <t>Brozovic</t>
  </si>
  <si>
    <t>Dinamo Zagreb</t>
  </si>
  <si>
    <t>CRO</t>
  </si>
  <si>
    <t>Lokomotiv Moszkva</t>
  </si>
  <si>
    <t>Kovacic</t>
  </si>
  <si>
    <t>Mateo</t>
  </si>
  <si>
    <t>Southampton</t>
  </si>
  <si>
    <t>Mario</t>
  </si>
  <si>
    <t>Ivan</t>
  </si>
  <si>
    <t>Modric</t>
  </si>
  <si>
    <t>Luka</t>
  </si>
  <si>
    <t>Perisic</t>
  </si>
  <si>
    <t>EB részvétel: 3</t>
  </si>
  <si>
    <t>EB részvétel: 6</t>
  </si>
  <si>
    <t>EB részvétel: 8</t>
  </si>
  <si>
    <t>EB részvétel: 9</t>
  </si>
  <si>
    <t>EB részvétel: 4</t>
  </si>
  <si>
    <t>EB részvétel: 2</t>
  </si>
  <si>
    <t>EB részvétel: 11</t>
  </si>
  <si>
    <t>EB részvétel: –</t>
  </si>
  <si>
    <t>EB eredmények</t>
  </si>
  <si>
    <t xml:space="preserve">EB eredmények </t>
  </si>
  <si>
    <t>1. CSOPORTMÉRKŐZÉSEK</t>
  </si>
  <si>
    <t>CSOPORT</t>
  </si>
  <si>
    <t>HELYSZÍN</t>
  </si>
  <si>
    <t>IDŐPONT</t>
  </si>
  <si>
    <t>DÁTUM</t>
  </si>
  <si>
    <t>GRE</t>
  </si>
  <si>
    <t>Sevilla</t>
  </si>
  <si>
    <t>Monaco</t>
  </si>
  <si>
    <t>Genoa</t>
  </si>
  <si>
    <t>Paul</t>
  </si>
  <si>
    <t>Marco</t>
  </si>
  <si>
    <t>Bayer Leverkusen</t>
  </si>
  <si>
    <t>Manchester United</t>
  </si>
  <si>
    <t>Porto</t>
  </si>
  <si>
    <t>POR</t>
  </si>
  <si>
    <t>Rodríguez</t>
  </si>
  <si>
    <t>Galatasaray</t>
  </si>
  <si>
    <t>TUR</t>
  </si>
  <si>
    <t>Besiktas</t>
  </si>
  <si>
    <t>BEL</t>
  </si>
  <si>
    <t>Fenerbahce</t>
  </si>
  <si>
    <t>Arsenal</t>
  </si>
  <si>
    <t>Atlético Madrid</t>
  </si>
  <si>
    <t>David</t>
  </si>
  <si>
    <t>Pepe</t>
  </si>
  <si>
    <t>Ajax</t>
  </si>
  <si>
    <t>NED</t>
  </si>
  <si>
    <t>1960, '84, '92, '96</t>
  </si>
  <si>
    <t>Európa-bajnok: 1984, 2000</t>
  </si>
  <si>
    <t>4. hely: 1960, 1996</t>
  </si>
  <si>
    <t>3. hely: 2008</t>
  </si>
  <si>
    <t>1960, '64, '68, '72, '88</t>
  </si>
  <si>
    <t>EB részvétel: 10</t>
  </si>
  <si>
    <t>Európa-bajnok: 1960</t>
  </si>
  <si>
    <t>2. hely: 1964, 1972, 1988</t>
  </si>
  <si>
    <t>2. hely: 1996</t>
  </si>
  <si>
    <t xml:space="preserve"> –</t>
  </si>
  <si>
    <t xml:space="preserve"> LIGA</t>
  </si>
  <si>
    <t>ÖSSZES GÓL</t>
  </si>
  <si>
    <t>2. hely: 1980</t>
  </si>
  <si>
    <t>3. hely: 1972</t>
  </si>
  <si>
    <t>2. hely: 1960, 1968</t>
  </si>
  <si>
    <t>4. hely: 1976</t>
  </si>
  <si>
    <t>Negyeddöntő: 2000</t>
  </si>
  <si>
    <t>1968, '80, '88, '92, '96</t>
  </si>
  <si>
    <t>2000, '04, '12</t>
  </si>
  <si>
    <t>3. hely: 1968, 1996</t>
  </si>
  <si>
    <t>Negyeddöntő: 2004, 2012</t>
  </si>
  <si>
    <t>EB részvétel: 1</t>
  </si>
  <si>
    <t>EB részvétel: 5</t>
  </si>
  <si>
    <t>4. hely: 1992</t>
  </si>
  <si>
    <t>Negyeddöntő: 2004</t>
  </si>
  <si>
    <t>1972, '76, '80, '84, '88, '92, '96</t>
  </si>
  <si>
    <t>Európa-bajnok: 1972, 1980, 1996</t>
  </si>
  <si>
    <t>2. hely: 1976, 1992, 2008</t>
  </si>
  <si>
    <t>1968, '80, '88, '96</t>
  </si>
  <si>
    <t>Európa-bajnok: 1968</t>
  </si>
  <si>
    <t>2. hely: 2000, 2012</t>
  </si>
  <si>
    <t>4. hely: 1980, 1988</t>
  </si>
  <si>
    <t>1984, '96, 2000</t>
  </si>
  <si>
    <t>2. hely: 2004</t>
  </si>
  <si>
    <t>3. hely: 1984, 2000, 2012</t>
  </si>
  <si>
    <t>1964, '80, '84, '88, '96</t>
  </si>
  <si>
    <t>Európa-bajnok: 1964, 2008, 2012</t>
  </si>
  <si>
    <t>2. hely: 1984</t>
  </si>
  <si>
    <t>Negyeddöntő: 1996, 2000</t>
  </si>
  <si>
    <t>Milan</t>
  </si>
  <si>
    <t>Stefan</t>
  </si>
  <si>
    <t>Norwich City</t>
  </si>
  <si>
    <t>Newcastle United</t>
  </si>
  <si>
    <t>Bruno</t>
  </si>
  <si>
    <t>Augsburg</t>
  </si>
  <si>
    <t>Aston Villa</t>
  </si>
  <si>
    <t>SWE</t>
  </si>
  <si>
    <t>SUI</t>
  </si>
  <si>
    <t>José</t>
  </si>
  <si>
    <t>Juventus</t>
  </si>
  <si>
    <t>Cardiff City</t>
  </si>
  <si>
    <t>Valencia</t>
  </si>
  <si>
    <t>Luzern</t>
  </si>
  <si>
    <t>USA</t>
  </si>
  <si>
    <t>Ben</t>
  </si>
  <si>
    <t>James</t>
  </si>
  <si>
    <t>AUT</t>
  </si>
  <si>
    <t>Crystal Palace</t>
  </si>
  <si>
    <t>Borussia Dortmund</t>
  </si>
  <si>
    <t>Ryan</t>
  </si>
  <si>
    <t>CHN</t>
  </si>
  <si>
    <t>FC Bruges</t>
  </si>
  <si>
    <t>Adam</t>
  </si>
  <si>
    <t>West Ham United</t>
  </si>
  <si>
    <t>PAOK</t>
  </si>
  <si>
    <t>Fulham</t>
  </si>
  <si>
    <t>Celtic</t>
  </si>
  <si>
    <t>SCO</t>
  </si>
  <si>
    <t>Torino</t>
  </si>
  <si>
    <t>Lukasz</t>
  </si>
  <si>
    <t>Trabzonspor</t>
  </si>
  <si>
    <t>Eintracht Frankfurt</t>
  </si>
  <si>
    <t>Mainz</t>
  </si>
  <si>
    <t>West Bromwich Albion</t>
  </si>
  <si>
    <t>Benfica</t>
  </si>
  <si>
    <t>Christian</t>
  </si>
  <si>
    <t>Michael</t>
  </si>
  <si>
    <t>FC Köbenhavn</t>
  </si>
  <si>
    <t>DEN</t>
  </si>
  <si>
    <t>Daniel</t>
  </si>
  <si>
    <t>Everton</t>
  </si>
  <si>
    <t>Steven</t>
  </si>
  <si>
    <t>Joe</t>
  </si>
  <si>
    <t>Jordan</t>
  </si>
  <si>
    <t>Wayne</t>
  </si>
  <si>
    <t>Chris</t>
  </si>
  <si>
    <t>A CSOPORTOK ÁLLÁSA</t>
  </si>
  <si>
    <t>SÚGÓ – A TÁBLÁZAT HASZNÁLATÁNAK ISMERTETÉSE</t>
  </si>
  <si>
    <t>HELYSZÍNEK ÉS STADIONOK</t>
  </si>
  <si>
    <t>A RÉSZTVEVŐ VÁLOGATOTTAK KERETEI</t>
  </si>
  <si>
    <t>A CSOPORTOK BEOSZTÁSA</t>
  </si>
  <si>
    <t>AZ EURÓPA-BAJNOKSÁG VÉGSŐ SORRENDJE</t>
  </si>
  <si>
    <t>EGYENES KIESÉSES SZAKASZ – A LEGJOBB 16 CSAPAT PÁROSÍTÁSA</t>
  </si>
  <si>
    <t>SORSOLÁS ÉS EREDMÉNYEK</t>
  </si>
  <si>
    <t>RÓMA</t>
  </si>
  <si>
    <t>BAKU</t>
  </si>
  <si>
    <t>SZENTPÉTERVÁR</t>
  </si>
  <si>
    <t>KOPPENHÁGA</t>
  </si>
  <si>
    <t>AMSZTERDAM</t>
  </si>
  <si>
    <t>BUKAREST</t>
  </si>
  <si>
    <t>LONDON</t>
  </si>
  <si>
    <t>GLASGOW</t>
  </si>
  <si>
    <t>DUBLIN</t>
  </si>
  <si>
    <t>MÜNCHEN</t>
  </si>
  <si>
    <t>Danny</t>
  </si>
  <si>
    <t>Andrea</t>
  </si>
  <si>
    <t>Bonucci</t>
  </si>
  <si>
    <t>Leonardo</t>
  </si>
  <si>
    <t>Gianluigi</t>
  </si>
  <si>
    <t>Antonio</t>
  </si>
  <si>
    <t>Chiellini</t>
  </si>
  <si>
    <t>Giorgio</t>
  </si>
  <si>
    <t>Immobile</t>
  </si>
  <si>
    <t>Ciro</t>
  </si>
  <si>
    <t>Roman</t>
  </si>
  <si>
    <t>Freiburg</t>
  </si>
  <si>
    <t>Mehmedi</t>
  </si>
  <si>
    <t>Admir</t>
  </si>
  <si>
    <t>Ricardo</t>
  </si>
  <si>
    <t>Schär</t>
  </si>
  <si>
    <t>Fabian</t>
  </si>
  <si>
    <t>Seferovic</t>
  </si>
  <si>
    <t>Haris</t>
  </si>
  <si>
    <t>Shaqiri</t>
  </si>
  <si>
    <t>Xherdan</t>
  </si>
  <si>
    <t>Sommer</t>
  </si>
  <si>
    <t>Yann</t>
  </si>
  <si>
    <t>Steve</t>
  </si>
  <si>
    <t>Young Boys</t>
  </si>
  <si>
    <t>Borussia Mönchengladbach</t>
  </si>
  <si>
    <t>Dinamo Moszkva</t>
  </si>
  <si>
    <t>Joao</t>
  </si>
  <si>
    <t>Digne</t>
  </si>
  <si>
    <t>Giroud</t>
  </si>
  <si>
    <t>Olivier</t>
  </si>
  <si>
    <t>Griezmann</t>
  </si>
  <si>
    <t>Antoine</t>
  </si>
  <si>
    <t>Lloris</t>
  </si>
  <si>
    <t>Hugo</t>
  </si>
  <si>
    <t>Pogba</t>
  </si>
  <si>
    <t>Sissoko</t>
  </si>
  <si>
    <t>Moussa</t>
  </si>
  <si>
    <t>Rayo Vallecano</t>
  </si>
  <si>
    <t>Genclerbirligi</t>
  </si>
  <si>
    <t>Istanbul Basaksehir</t>
  </si>
  <si>
    <t>1. FC Köln</t>
  </si>
  <si>
    <t>CZE</t>
  </si>
  <si>
    <t>Embolo</t>
  </si>
  <si>
    <t>Breel</t>
  </si>
  <si>
    <t>Leicester City</t>
  </si>
  <si>
    <t>Lang</t>
  </si>
  <si>
    <t>Hertha BSC</t>
  </si>
  <si>
    <t>Vladimir Petkovic</t>
  </si>
  <si>
    <t>Tom</t>
  </si>
  <si>
    <t>Burnley</t>
  </si>
  <si>
    <t>Kane</t>
  </si>
  <si>
    <t>Harry</t>
  </si>
  <si>
    <t>Igor</t>
  </si>
  <si>
    <t>Alekszej</t>
  </si>
  <si>
    <t>Gyenyisz</t>
  </si>
  <si>
    <t>Dzjuba</t>
  </si>
  <si>
    <t>Artyom</t>
  </si>
  <si>
    <t>Zenit</t>
  </si>
  <si>
    <t>Viktor</t>
  </si>
  <si>
    <t>Szpartak Moszkva</t>
  </si>
  <si>
    <t>Alekszandr</t>
  </si>
  <si>
    <t>Dmitrij</t>
  </si>
  <si>
    <t>Jurij</t>
  </si>
  <si>
    <t>Pavel</t>
  </si>
  <si>
    <t>FK Krasznodar</t>
  </si>
  <si>
    <t>Georgij</t>
  </si>
  <si>
    <t>Fjodor</t>
  </si>
  <si>
    <t>Allen</t>
  </si>
  <si>
    <t>Bale</t>
  </si>
  <si>
    <t>Gareth</t>
  </si>
  <si>
    <t>Simon</t>
  </si>
  <si>
    <t>Wolverhampton Wanderers</t>
  </si>
  <si>
    <t>Gunter</t>
  </si>
  <si>
    <t>Hennessey</t>
  </si>
  <si>
    <t>Bournemouth</t>
  </si>
  <si>
    <t>Ramsey</t>
  </si>
  <si>
    <t>Aaron</t>
  </si>
  <si>
    <t>Slovan Bratislava</t>
  </si>
  <si>
    <t>SVK</t>
  </si>
  <si>
    <t>Martin</t>
  </si>
  <si>
    <t>Kanté</t>
  </si>
  <si>
    <t>N'Golo</t>
  </si>
  <si>
    <t>Lugano</t>
  </si>
  <si>
    <t>Elvedi</t>
  </si>
  <si>
    <t>Nico</t>
  </si>
  <si>
    <t>Fernandes</t>
  </si>
  <si>
    <t>Eric</t>
  </si>
  <si>
    <t>Fraser</t>
  </si>
  <si>
    <t>Rashford</t>
  </si>
  <si>
    <t>Duda</t>
  </si>
  <si>
    <t>Ondrej</t>
  </si>
  <si>
    <t>Legia Warszawa</t>
  </si>
  <si>
    <t>POL</t>
  </si>
  <si>
    <t>Ján</t>
  </si>
  <si>
    <t>Duris</t>
  </si>
  <si>
    <t>Michal</t>
  </si>
  <si>
    <t>Viktoria Plzen</t>
  </si>
  <si>
    <t>Gregus</t>
  </si>
  <si>
    <t>Jablonec</t>
  </si>
  <si>
    <t>Hamsík</t>
  </si>
  <si>
    <t>Marek</t>
  </si>
  <si>
    <t>Filip</t>
  </si>
  <si>
    <t>Hrosovsky</t>
  </si>
  <si>
    <t>Patrik</t>
  </si>
  <si>
    <t>Hubocan</t>
  </si>
  <si>
    <t>Tomás</t>
  </si>
  <si>
    <t>Kucka</t>
  </si>
  <si>
    <t>Juraj</t>
  </si>
  <si>
    <t>AC Milan</t>
  </si>
  <si>
    <t>Mak</t>
  </si>
  <si>
    <t>Róbert</t>
  </si>
  <si>
    <t>Vladimír</t>
  </si>
  <si>
    <t>Can</t>
  </si>
  <si>
    <t>Emre</t>
  </si>
  <si>
    <t>Julian</t>
  </si>
  <si>
    <t>Jonas</t>
  </si>
  <si>
    <t>Thomas</t>
  </si>
  <si>
    <t>Neuer</t>
  </si>
  <si>
    <t>Manuel</t>
  </si>
  <si>
    <t>Lukas</t>
  </si>
  <si>
    <t>Sebastian</t>
  </si>
  <si>
    <t>Kevin</t>
  </si>
  <si>
    <t>Artem</t>
  </si>
  <si>
    <t>Jarmolenko</t>
  </si>
  <si>
    <t>Andrij</t>
  </si>
  <si>
    <t>Karavajev</t>
  </si>
  <si>
    <t>Ruszlan</t>
  </si>
  <si>
    <t>Pjatov</t>
  </si>
  <si>
    <t>Szerhij</t>
  </si>
  <si>
    <t>Joachim Löw</t>
  </si>
  <si>
    <t>Jakub</t>
  </si>
  <si>
    <t>Fabianski</t>
  </si>
  <si>
    <t>Glik</t>
  </si>
  <si>
    <t>Kamil</t>
  </si>
  <si>
    <t>Tomasz</t>
  </si>
  <si>
    <t>Bartosz</t>
  </si>
  <si>
    <t>Krychowiak</t>
  </si>
  <si>
    <t>Grzegorz</t>
  </si>
  <si>
    <t>Lewandowski</t>
  </si>
  <si>
    <t>Robert</t>
  </si>
  <si>
    <t>Linetty</t>
  </si>
  <si>
    <t>Karol</t>
  </si>
  <si>
    <t>Lech Poznan</t>
  </si>
  <si>
    <t>Lechia Gdansk</t>
  </si>
  <si>
    <t>Milik</t>
  </si>
  <si>
    <t>Arkadiusz</t>
  </si>
  <si>
    <t>Derby County</t>
  </si>
  <si>
    <t>Craig</t>
  </si>
  <si>
    <t>Stuart</t>
  </si>
  <si>
    <t>Leeds United</t>
  </si>
  <si>
    <t>McGinn</t>
  </si>
  <si>
    <t>Sparta Praha</t>
  </si>
  <si>
    <t>Darida</t>
  </si>
  <si>
    <t>Werder Bremen</t>
  </si>
  <si>
    <t>Kaderábek</t>
  </si>
  <si>
    <t>Girondins Bordeaux</t>
  </si>
  <si>
    <t>Hakan</t>
  </si>
  <si>
    <t>Calhanoglu</t>
  </si>
  <si>
    <t>Badelj</t>
  </si>
  <si>
    <t>Duje</t>
  </si>
  <si>
    <t>Lovre</t>
  </si>
  <si>
    <t>Kramaric</t>
  </si>
  <si>
    <t>Andrej</t>
  </si>
  <si>
    <t>Marko</t>
  </si>
  <si>
    <t>Alderweireld</t>
  </si>
  <si>
    <t>Toby</t>
  </si>
  <si>
    <t>Batshuayi</t>
  </si>
  <si>
    <t>Michy</t>
  </si>
  <si>
    <t>Benteke</t>
  </si>
  <si>
    <t>Courtois</t>
  </si>
  <si>
    <t>Yannick</t>
  </si>
  <si>
    <t>Eden</t>
  </si>
  <si>
    <t>Romelu</t>
  </si>
  <si>
    <t>Dries</t>
  </si>
  <si>
    <t>Meunier</t>
  </si>
  <si>
    <t>Dánia</t>
  </si>
  <si>
    <t>Finnország</t>
  </si>
  <si>
    <t>Oroszország</t>
  </si>
  <si>
    <t>Hollandia</t>
  </si>
  <si>
    <t>Mignolet</t>
  </si>
  <si>
    <t>Sampdoria</t>
  </si>
  <si>
    <t>Florenzi</t>
  </si>
  <si>
    <t>Alessandro</t>
  </si>
  <si>
    <t>Christie</t>
  </si>
  <si>
    <t>Mikael</t>
  </si>
  <si>
    <t>Berg</t>
  </si>
  <si>
    <t>Marcus</t>
  </si>
  <si>
    <t>Ekdal</t>
  </si>
  <si>
    <t>Albin</t>
  </si>
  <si>
    <t>Forsberg</t>
  </si>
  <si>
    <t>Emil</t>
  </si>
  <si>
    <t>RB Leipzig</t>
  </si>
  <si>
    <t>Andreas</t>
  </si>
  <si>
    <t>Gent</t>
  </si>
  <si>
    <t>Malmö FF</t>
  </si>
  <si>
    <t>Lustig</t>
  </si>
  <si>
    <t>William</t>
  </si>
  <si>
    <t>Fonte</t>
  </si>
  <si>
    <t>Guerreiro</t>
  </si>
  <si>
    <t>Lopes</t>
  </si>
  <si>
    <t>Moutinho</t>
  </si>
  <si>
    <t>Danilo</t>
  </si>
  <si>
    <t>Fernando Santos</t>
  </si>
  <si>
    <t>Hellas Verona</t>
  </si>
  <si>
    <t>Alaba</t>
  </si>
  <si>
    <t>Arnautovic</t>
  </si>
  <si>
    <t>Baumgartlinger</t>
  </si>
  <si>
    <t>Dragovic</t>
  </si>
  <si>
    <t>Aleksandar</t>
  </si>
  <si>
    <t>Hinteregger</t>
  </si>
  <si>
    <t>Red Bull Salzburg</t>
  </si>
  <si>
    <t>Ilsanker</t>
  </si>
  <si>
    <t>Florian</t>
  </si>
  <si>
    <t xml:space="preserve"> (Csehszlovákia) 1960, '76, '80</t>
  </si>
  <si>
    <t xml:space="preserve">1960, '68, '76, '84 (Jugoszlávia) </t>
  </si>
  <si>
    <t>Stoke City</t>
  </si>
  <si>
    <t>NYOLCADDÖNTŐK</t>
  </si>
  <si>
    <t>NEGYEDDÖNTŐK</t>
  </si>
  <si>
    <t>SORSZÁM</t>
  </si>
  <si>
    <t>ELŐDÖNTŐK</t>
  </si>
  <si>
    <t>lost</t>
  </si>
  <si>
    <t>A2.</t>
  </si>
  <si>
    <t>C2.</t>
  </si>
  <si>
    <t>B1.</t>
  </si>
  <si>
    <t>A/D/E/F</t>
  </si>
  <si>
    <t>A/B/C</t>
  </si>
  <si>
    <t>A/B/C/D</t>
  </si>
  <si>
    <t>D/E/F</t>
  </si>
  <si>
    <t>2C</t>
  </si>
  <si>
    <t>D1.</t>
  </si>
  <si>
    <t>A1.</t>
  </si>
  <si>
    <t>C1.</t>
  </si>
  <si>
    <t>F1.</t>
  </si>
  <si>
    <t>E2.</t>
  </si>
  <si>
    <t>E1.</t>
  </si>
  <si>
    <t>D2.</t>
  </si>
  <si>
    <t>B2.</t>
  </si>
  <si>
    <t>F2.</t>
  </si>
  <si>
    <t>P.WON</t>
  </si>
  <si>
    <t>Sporting CP</t>
  </si>
  <si>
    <t>Ferencváros</t>
  </si>
  <si>
    <t>HUN</t>
  </si>
  <si>
    <t>Hoffenheim</t>
  </si>
  <si>
    <t>Toni</t>
  </si>
  <si>
    <t>CAN</t>
  </si>
  <si>
    <t>Charlton Athletic</t>
  </si>
  <si>
    <t>CSZKA Moszkva</t>
  </si>
  <si>
    <t>John</t>
  </si>
  <si>
    <t>Kroos</t>
  </si>
  <si>
    <t>De Bruyne</t>
  </si>
  <si>
    <t>Mertens</t>
  </si>
  <si>
    <t>Anglia</t>
  </si>
  <si>
    <t>Olaszország</t>
  </si>
  <si>
    <t>Spanyolország</t>
  </si>
  <si>
    <t>Svájc</t>
  </si>
  <si>
    <t>1A</t>
  </si>
  <si>
    <t>2B</t>
  </si>
  <si>
    <t>1C</t>
  </si>
  <si>
    <t>2D</t>
  </si>
  <si>
    <t>1D</t>
  </si>
  <si>
    <t>1B</t>
  </si>
  <si>
    <t>2A</t>
  </si>
  <si>
    <t>1E</t>
  </si>
  <si>
    <t>2F</t>
  </si>
  <si>
    <t>1F</t>
  </si>
  <si>
    <t>2E</t>
  </si>
  <si>
    <t>ELŐDÖNTŐ</t>
  </si>
  <si>
    <t>eki</t>
  </si>
  <si>
    <t>gr</t>
  </si>
  <si>
    <t xml:space="preserve"> RANGSOR</t>
  </si>
  <si>
    <t>CSOP.</t>
  </si>
  <si>
    <t>M</t>
  </si>
  <si>
    <t>L–K</t>
  </si>
  <si>
    <t xml:space="preserve">P   </t>
  </si>
  <si>
    <t>FELJEGYZÉSEK</t>
  </si>
  <si>
    <t>VEZETÉKNÉV</t>
  </si>
  <si>
    <t>KERESZTNÉV</t>
  </si>
  <si>
    <t>KLUB</t>
  </si>
  <si>
    <t>SZÜLETETT</t>
  </si>
  <si>
    <t>KOR</t>
  </si>
  <si>
    <t>MAGASSÁG</t>
  </si>
  <si>
    <t>SÚLY</t>
  </si>
  <si>
    <t>MEGJEGYZÉSEK</t>
  </si>
  <si>
    <t>GÓL</t>
  </si>
  <si>
    <t>ÖNGÓL</t>
  </si>
  <si>
    <t xml:space="preserve"> NÉV</t>
  </si>
  <si>
    <t>1. CSOPORTMÉRKŐZÉS</t>
  </si>
  <si>
    <t>2. CSOPORTMÉRKŐZÉS</t>
  </si>
  <si>
    <t>3. CSOPORTMÉRKŐZÉS</t>
  </si>
  <si>
    <t>NYOLCADDÖNTŐ</t>
  </si>
  <si>
    <t>NEGYEDDÖNTŐ</t>
  </si>
  <si>
    <t>Csoport / Ssz:</t>
  </si>
  <si>
    <t>Típus:</t>
  </si>
  <si>
    <t>X</t>
  </si>
  <si>
    <t>O</t>
  </si>
  <si>
    <t>Nyolcaddöntő:</t>
  </si>
  <si>
    <t>Elődöntő:</t>
  </si>
  <si>
    <t>GER</t>
  </si>
  <si>
    <t>ENG</t>
  </si>
  <si>
    <t/>
  </si>
  <si>
    <t>Gyurka Szilárd</t>
  </si>
  <si>
    <t>JÁTÉKOSOK</t>
  </si>
  <si>
    <t>RÉSZTVEVŐ JÁTÉKOSOK</t>
  </si>
  <si>
    <t>JÁTSZIK</t>
  </si>
  <si>
    <t>résztalálatok összegzése</t>
  </si>
  <si>
    <t>Baku</t>
  </si>
  <si>
    <t>Szentpétervár</t>
  </si>
  <si>
    <t>Koppenhága</t>
  </si>
  <si>
    <t>Amszterdam</t>
  </si>
  <si>
    <t>Róma</t>
  </si>
  <si>
    <t>Bukarest</t>
  </si>
  <si>
    <t>London</t>
  </si>
  <si>
    <t>Glasgow</t>
  </si>
  <si>
    <t>Dublin</t>
  </si>
  <si>
    <t>München</t>
  </si>
  <si>
    <t>Budapest</t>
  </si>
  <si>
    <t>Stadio Olimpico</t>
  </si>
  <si>
    <t>Olimpiai Stadion</t>
  </si>
  <si>
    <t>Kresztovszkij Stadion</t>
  </si>
  <si>
    <t>Parken Stadion</t>
  </si>
  <si>
    <t>Nemzeti Stadion</t>
  </si>
  <si>
    <t>Wembley Stadion</t>
  </si>
  <si>
    <t>Hampden Park</t>
  </si>
  <si>
    <t>Dublin Arena</t>
  </si>
  <si>
    <t>Johan Cruijff Arena</t>
  </si>
  <si>
    <t>München Arena</t>
  </si>
  <si>
    <t>Puskás Ferenc Stadion</t>
  </si>
  <si>
    <t>68.000 néző</t>
  </si>
  <si>
    <t>69.000 néző</t>
  </si>
  <si>
    <t>61.000 néző</t>
  </si>
  <si>
    <t>38.000 néző</t>
  </si>
  <si>
    <t>54.000 néző</t>
  </si>
  <si>
    <t>90.000 néző</t>
  </si>
  <si>
    <t>51.000 néző</t>
  </si>
  <si>
    <t>70.000 néző</t>
  </si>
  <si>
    <t>1,8 millió lakos</t>
  </si>
  <si>
    <t>2,9 millió lakos</t>
  </si>
  <si>
    <t>2,3 millió lakos</t>
  </si>
  <si>
    <t>5,3 millió lakos</t>
  </si>
  <si>
    <t>1,6 millió lakos</t>
  </si>
  <si>
    <t>1,3 millió lakos</t>
  </si>
  <si>
    <t>2,1 millió lakos</t>
  </si>
  <si>
    <t>8,8 millió lakos</t>
  </si>
  <si>
    <t>1,2 millió lakos</t>
  </si>
  <si>
    <t>1,5 millió lakos</t>
  </si>
  <si>
    <t>HELYI IDŐ</t>
  </si>
  <si>
    <t>BUDAPEST</t>
  </si>
  <si>
    <t>Ha ezt a lehetőséget kipipáljuk, akkor telitalálatnál az összes fenti pontszámot együtt meg lehet szerezni, mert minden résszempont stimmel, így például egy döntetlen sikeres tippelésekor automatikusan megkapnánk a gólkülönbségért járó pontszámot is. Ellenkező esetben a pontrendszer "rangsor" szerűen működne, azaz a fenti sorrend szerint csak a legértékesebb találat pontszámát kapnánk meg. Így például nem kapnánk pluszpontot azért, ha a meccs kimenetelén kívül a gólok számát vagy a gólkülönbséget is eltaláljuk.</t>
  </si>
  <si>
    <t>ÖSSZPONTSZÁM</t>
  </si>
  <si>
    <t>HELYEZÉS</t>
  </si>
  <si>
    <t>Észak-Macedónia</t>
  </si>
  <si>
    <t>Skócia</t>
  </si>
  <si>
    <t>Szlovákia</t>
  </si>
  <si>
    <t>MAGYARORSZÁG</t>
  </si>
  <si>
    <t>1992, 1996</t>
  </si>
  <si>
    <t>1960, '76, '80 (Csehszlovákia)</t>
  </si>
  <si>
    <t>Európa-bajnok: 1976  (Csehszlovákia)</t>
  </si>
  <si>
    <t>3. hely: 1960, 1980  (Csehszlovákia)</t>
  </si>
  <si>
    <t>Európa-bajnok: 1976 (Csehszlovákia)</t>
  </si>
  <si>
    <t>3. hely: 2004, (Csehszlovákia: 1960, 1980)</t>
  </si>
  <si>
    <t>1964, 1972, 2016</t>
  </si>
  <si>
    <t>3. hely: 1964</t>
  </si>
  <si>
    <t>4. hely: 1972</t>
  </si>
  <si>
    <t>gyworks.mailbox@gmail.com</t>
  </si>
  <si>
    <t>Ayhan</t>
  </si>
  <si>
    <t>Kaan</t>
  </si>
  <si>
    <t>védő</t>
  </si>
  <si>
    <t>Sassuolo</t>
  </si>
  <si>
    <t>Cakir</t>
  </si>
  <si>
    <t>Ugurcan</t>
  </si>
  <si>
    <t>Celik</t>
  </si>
  <si>
    <t>Mehmet Zeki</t>
  </si>
  <si>
    <t>Lille</t>
  </si>
  <si>
    <t>Demiral</t>
  </si>
  <si>
    <t>Merih</t>
  </si>
  <si>
    <t>Günok</t>
  </si>
  <si>
    <t>Fehmi Mert</t>
  </si>
  <si>
    <t>Kabak</t>
  </si>
  <si>
    <t>Ozan Muhammad</t>
  </si>
  <si>
    <t>Schalke 04</t>
  </si>
  <si>
    <t>Kahveci</t>
  </si>
  <si>
    <t>Irfan Can</t>
  </si>
  <si>
    <t>Karaman</t>
  </si>
  <si>
    <t>Kenan</t>
  </si>
  <si>
    <t>támadó</t>
  </si>
  <si>
    <t>Fortuna Düsseldorf</t>
  </si>
  <si>
    <t>Kökcü</t>
  </si>
  <si>
    <t>Orkun</t>
  </si>
  <si>
    <t>Feyenoord</t>
  </si>
  <si>
    <t>Meras</t>
  </si>
  <si>
    <t>Cengiz Umut</t>
  </si>
  <si>
    <t>Le Havre</t>
  </si>
  <si>
    <t>Ömür</t>
  </si>
  <si>
    <t>Abdülkadir</t>
  </si>
  <si>
    <t>Söyüncü</t>
  </si>
  <si>
    <t>Caglar</t>
  </si>
  <si>
    <t>Toköz</t>
  </si>
  <si>
    <t>Dorukhan</t>
  </si>
  <si>
    <t>Ünal</t>
  </si>
  <si>
    <t>Enes</t>
  </si>
  <si>
    <t>Getafe</t>
  </si>
  <si>
    <t>Senol Günes</t>
  </si>
  <si>
    <t>Acerbi</t>
  </si>
  <si>
    <t>Francesco</t>
  </si>
  <si>
    <t>Barella</t>
  </si>
  <si>
    <t>Nicolo</t>
  </si>
  <si>
    <t>Bastoni</t>
  </si>
  <si>
    <t>Belotti</t>
  </si>
  <si>
    <t>Chiesa</t>
  </si>
  <si>
    <t>Cristante</t>
  </si>
  <si>
    <t>Bryan</t>
  </si>
  <si>
    <t>Di Lorenzo</t>
  </si>
  <si>
    <t>Giovanni</t>
  </si>
  <si>
    <t>Donnarumma</t>
  </si>
  <si>
    <t>PSG</t>
  </si>
  <si>
    <t>Jorginho</t>
  </si>
  <si>
    <t>Udinese</t>
  </si>
  <si>
    <t>Locatelli</t>
  </si>
  <si>
    <t>Meret</t>
  </si>
  <si>
    <t>Alex</t>
  </si>
  <si>
    <t>Pellegrini</t>
  </si>
  <si>
    <t>Roberto Mancini</t>
  </si>
  <si>
    <t>Ampadu</t>
  </si>
  <si>
    <t>Ethan</t>
  </si>
  <si>
    <t>Sheffield United</t>
  </si>
  <si>
    <t>Brooks</t>
  </si>
  <si>
    <t>Davies A.</t>
  </si>
  <si>
    <t>Davies B.</t>
  </si>
  <si>
    <t>WAL</t>
  </si>
  <si>
    <t>Levitt</t>
  </si>
  <si>
    <t>Dylan</t>
  </si>
  <si>
    <t>Lockyer</t>
  </si>
  <si>
    <t>Luton Town</t>
  </si>
  <si>
    <t>Mepham</t>
  </si>
  <si>
    <t>Moore</t>
  </si>
  <si>
    <t>Kieffer</t>
  </si>
  <si>
    <t>Morrell</t>
  </si>
  <si>
    <t>Norrington-Davies</t>
  </si>
  <si>
    <t>Rhys</t>
  </si>
  <si>
    <t>Roberts C.</t>
  </si>
  <si>
    <t>Connor</t>
  </si>
  <si>
    <t>Swansea</t>
  </si>
  <si>
    <t>Roberts T.</t>
  </si>
  <si>
    <t>Tyler</t>
  </si>
  <si>
    <t>Rodon</t>
  </si>
  <si>
    <t>Ryan Giggs</t>
  </si>
  <si>
    <t>Akanji</t>
  </si>
  <si>
    <t>Benito</t>
  </si>
  <si>
    <t>Loris</t>
  </si>
  <si>
    <t>Cömert</t>
  </si>
  <si>
    <t>Eray</t>
  </si>
  <si>
    <t>FC Basel</t>
  </si>
  <si>
    <t>Fassnacht</t>
  </si>
  <si>
    <t>Edimilson</t>
  </si>
  <si>
    <t>Freuler</t>
  </si>
  <si>
    <t>Remo</t>
  </si>
  <si>
    <t>Atalanta</t>
  </si>
  <si>
    <t>Gavranovic</t>
  </si>
  <si>
    <t>Mbabu</t>
  </si>
  <si>
    <t>Mvogo</t>
  </si>
  <si>
    <t>Yvon</t>
  </si>
  <si>
    <t>PSV</t>
  </si>
  <si>
    <t>Omeragic</t>
  </si>
  <si>
    <t>Becir</t>
  </si>
  <si>
    <t>Zürich</t>
  </si>
  <si>
    <t>Omlin</t>
  </si>
  <si>
    <t>Montpellier</t>
  </si>
  <si>
    <t>Sow</t>
  </si>
  <si>
    <t>Djibril</t>
  </si>
  <si>
    <t>Joachim</t>
  </si>
  <si>
    <t>Braithwaite</t>
  </si>
  <si>
    <t>Christensen</t>
  </si>
  <si>
    <t>Christiansen</t>
  </si>
  <si>
    <t>Anders Bleg</t>
  </si>
  <si>
    <t>Cornelius</t>
  </si>
  <si>
    <t>Parma</t>
  </si>
  <si>
    <t>Brentford</t>
  </si>
  <si>
    <t>Delaney</t>
  </si>
  <si>
    <t>Dolberg</t>
  </si>
  <si>
    <t>Kasper</t>
  </si>
  <si>
    <t>Nice</t>
  </si>
  <si>
    <t>Eriksen</t>
  </si>
  <si>
    <t>Midtjylland</t>
  </si>
  <si>
    <t>Höjbjerg</t>
  </si>
  <si>
    <t>Pierre-Emile</t>
  </si>
  <si>
    <t>Kjaer</t>
  </si>
  <si>
    <t>Rasmus</t>
  </si>
  <si>
    <t>Lössl</t>
  </si>
  <si>
    <t>Poulsen</t>
  </si>
  <si>
    <t>Yussuf</t>
  </si>
  <si>
    <t>Rönnow</t>
  </si>
  <si>
    <t>Frederik</t>
  </si>
  <si>
    <t>Schmeichel</t>
  </si>
  <si>
    <t>Kasper Hjulmand</t>
  </si>
  <si>
    <t>Arajuuri</t>
  </si>
  <si>
    <t>Paulus</t>
  </si>
  <si>
    <t>Pafosz</t>
  </si>
  <si>
    <t>CYP</t>
  </si>
  <si>
    <t>Forss</t>
  </si>
  <si>
    <t>Hradecky</t>
  </si>
  <si>
    <t>Jaakola</t>
  </si>
  <si>
    <t>Anssi</t>
  </si>
  <si>
    <t>Bristol Rovers</t>
  </si>
  <si>
    <t>Jensen</t>
  </si>
  <si>
    <t>Fredrik</t>
  </si>
  <si>
    <t>Joronen</t>
  </si>
  <si>
    <t>Jesse</t>
  </si>
  <si>
    <t>Brescia</t>
  </si>
  <si>
    <t>Az eredeti helyszín Bilbao volt. Az UEFA döntése alapján a mérkőzéseket Sevillába helyezték át.</t>
  </si>
  <si>
    <t>SEVILLA</t>
  </si>
  <si>
    <t>Aktürkoglu</t>
  </si>
  <si>
    <t>Kerem</t>
  </si>
  <si>
    <t>Antalyali</t>
  </si>
  <si>
    <t>Taylan</t>
  </si>
  <si>
    <t>Bayindir</t>
  </si>
  <si>
    <t>Altay</t>
  </si>
  <si>
    <t>Dervisoglu</t>
  </si>
  <si>
    <t>Halil</t>
  </si>
  <si>
    <t>Müldür</t>
  </si>
  <si>
    <t>Mert</t>
  </si>
  <si>
    <t>Ünder</t>
  </si>
  <si>
    <t>Cengiz</t>
  </si>
  <si>
    <t>Yazici</t>
  </si>
  <si>
    <t>Yusuf</t>
  </si>
  <si>
    <t>Yilmaz B.</t>
  </si>
  <si>
    <t>Burak</t>
  </si>
  <si>
    <t>Yilmaz R.</t>
  </si>
  <si>
    <t>Ridvan</t>
  </si>
  <si>
    <t>Yokuslu</t>
  </si>
  <si>
    <t>Okay</t>
  </si>
  <si>
    <t>Celta Vigo</t>
  </si>
  <si>
    <t>Berardi</t>
  </si>
  <si>
    <t>Domenico</t>
  </si>
  <si>
    <t>Emerson</t>
  </si>
  <si>
    <t>Raspadori</t>
  </si>
  <si>
    <t>Giacomo</t>
  </si>
  <si>
    <t>Sensi</t>
  </si>
  <si>
    <t>Stefano</t>
  </si>
  <si>
    <t>Sirigu</t>
  </si>
  <si>
    <t>Salvatore</t>
  </si>
  <si>
    <t>Spinazzola</t>
  </si>
  <si>
    <t>Tolói</t>
  </si>
  <si>
    <t>Rafael</t>
  </si>
  <si>
    <t>Verratti</t>
  </si>
  <si>
    <t>Cabango</t>
  </si>
  <si>
    <t>Swansea City</t>
  </si>
  <si>
    <t>Colwill</t>
  </si>
  <si>
    <t>Rubin</t>
  </si>
  <si>
    <t>Smith</t>
  </si>
  <si>
    <t>Matthew</t>
  </si>
  <si>
    <t>Ward</t>
  </si>
  <si>
    <t>Williams J.</t>
  </si>
  <si>
    <t>Jonathan</t>
  </si>
  <si>
    <t>Williams N.</t>
  </si>
  <si>
    <t>Neco</t>
  </si>
  <si>
    <t>Wilson</t>
  </si>
  <si>
    <t>Lotomba</t>
  </si>
  <si>
    <t>Vargas</t>
  </si>
  <si>
    <t>Ruben</t>
  </si>
  <si>
    <t>Widmer</t>
  </si>
  <si>
    <t>Silvan</t>
  </si>
  <si>
    <t>Xhaka</t>
  </si>
  <si>
    <t>Granit</t>
  </si>
  <si>
    <t>Zakaria</t>
  </si>
  <si>
    <t>Denis</t>
  </si>
  <si>
    <t>Zuber</t>
  </si>
  <si>
    <t>Andersen</t>
  </si>
  <si>
    <t>Boilesen</t>
  </si>
  <si>
    <t>Nicolai</t>
  </si>
  <si>
    <t>Damsgaard</t>
  </si>
  <si>
    <t>Mikkel</t>
  </si>
  <si>
    <t>Mathias</t>
  </si>
  <si>
    <t>Jörgensen</t>
  </si>
  <si>
    <t>Mathias Zanka</t>
  </si>
  <si>
    <t>Maehle</t>
  </si>
  <si>
    <t>Joakim</t>
  </si>
  <si>
    <t>Nörgaard</t>
  </si>
  <si>
    <t>Skov</t>
  </si>
  <si>
    <t>Skov Olsen</t>
  </si>
  <si>
    <t>Bologna</t>
  </si>
  <si>
    <t>Stryger Larsen</t>
  </si>
  <si>
    <t>Jens</t>
  </si>
  <si>
    <t>Vestergaard</t>
  </si>
  <si>
    <t>Jannik</t>
  </si>
  <si>
    <t>Wass</t>
  </si>
  <si>
    <t>Wind</t>
  </si>
  <si>
    <t>Alho</t>
  </si>
  <si>
    <t>Nikolai</t>
  </si>
  <si>
    <t>MTK Budapest</t>
  </si>
  <si>
    <t>Hämäläinen</t>
  </si>
  <si>
    <t>Nicholas</t>
  </si>
  <si>
    <t>Ivanov</t>
  </si>
  <si>
    <t>Warta Poznan</t>
  </si>
  <si>
    <t>Taylor</t>
  </si>
  <si>
    <t>Brann</t>
  </si>
  <si>
    <t>NOR</t>
  </si>
  <si>
    <t>Toivio</t>
  </si>
  <si>
    <t>Joona</t>
  </si>
  <si>
    <t>Häcken</t>
  </si>
  <si>
    <t>Uronen</t>
  </si>
  <si>
    <t>Jere</t>
  </si>
  <si>
    <t>Väisänen</t>
  </si>
  <si>
    <t>Sauli</t>
  </si>
  <si>
    <t>Elfsborg</t>
  </si>
  <si>
    <t>Valakari</t>
  </si>
  <si>
    <t>Onni</t>
  </si>
  <si>
    <t>Doku</t>
  </si>
  <si>
    <t>Jeremy</t>
  </si>
  <si>
    <t>Rennes</t>
  </si>
  <si>
    <t>Trossard</t>
  </si>
  <si>
    <t>Leandro</t>
  </si>
  <si>
    <t>Vanaken</t>
  </si>
  <si>
    <t>Hans</t>
  </si>
  <si>
    <t>Vermaelen</t>
  </si>
  <si>
    <t>Vissel Kobe</t>
  </si>
  <si>
    <t>JPN</t>
  </si>
  <si>
    <t>Vertonghen</t>
  </si>
  <si>
    <t>Witsel</t>
  </si>
  <si>
    <t>Axel</t>
  </si>
  <si>
    <t>Barinov</t>
  </si>
  <si>
    <t>Divejev</t>
  </si>
  <si>
    <t>Djupin</t>
  </si>
  <si>
    <t>Rubin Kazany</t>
  </si>
  <si>
    <t>Fomin</t>
  </si>
  <si>
    <t>Danyiil</t>
  </si>
  <si>
    <t>Golovin</t>
  </si>
  <si>
    <t>Makarov</t>
  </si>
  <si>
    <t>Mirancsuk</t>
  </si>
  <si>
    <t>Muhin</t>
  </si>
  <si>
    <t>Szafonov</t>
  </si>
  <si>
    <t>Matvej</t>
  </si>
  <si>
    <t>Szemjonov</t>
  </si>
  <si>
    <t>Ahmat Groznij</t>
  </si>
  <si>
    <t>Szobolev</t>
  </si>
  <si>
    <t>Zabolotnyij</t>
  </si>
  <si>
    <t>Zobnyin</t>
  </si>
  <si>
    <t>Zsemaletdinov</t>
  </si>
  <si>
    <t>Rifat</t>
  </si>
  <si>
    <t>Zsirkov</t>
  </si>
  <si>
    <t>Gakpo</t>
  </si>
  <si>
    <t>Cody</t>
  </si>
  <si>
    <t>Gravenberch</t>
  </si>
  <si>
    <t>Klaasen</t>
  </si>
  <si>
    <t>Koopmeiners</t>
  </si>
  <si>
    <t>Teun</t>
  </si>
  <si>
    <t>Stekelenburg</t>
  </si>
  <si>
    <t>Timber</t>
  </si>
  <si>
    <t>Jurriën</t>
  </si>
  <si>
    <t>Veltman</t>
  </si>
  <si>
    <t>Joël</t>
  </si>
  <si>
    <t>Weghorst</t>
  </si>
  <si>
    <t>Wout</t>
  </si>
  <si>
    <t>Wijnaldum</t>
  </si>
  <si>
    <t>Georginio</t>
  </si>
  <si>
    <t>Wijndal</t>
  </si>
  <si>
    <t>Owen</t>
  </si>
  <si>
    <t>Beszedin</t>
  </si>
  <si>
    <t>Buscsan</t>
  </si>
  <si>
    <t>Heorhij</t>
  </si>
  <si>
    <t>Dovbik</t>
  </si>
  <si>
    <t>Dnipro-1</t>
  </si>
  <si>
    <t>Olekszandr</t>
  </si>
  <si>
    <t>Popov</t>
  </si>
  <si>
    <t>Saparenko</t>
  </si>
  <si>
    <t>Szidorcsuk</t>
  </si>
  <si>
    <t>Szobol</t>
  </si>
  <si>
    <t>Eduard</t>
  </si>
  <si>
    <t>Sztepanenko</t>
  </si>
  <si>
    <t>Tarasz</t>
  </si>
  <si>
    <t>Szudakov</t>
  </si>
  <si>
    <t>Timcsik</t>
  </si>
  <si>
    <t>Trubin</t>
  </si>
  <si>
    <t>Anatolij</t>
  </si>
  <si>
    <t>Zabarnij</t>
  </si>
  <si>
    <t>Illja</t>
  </si>
  <si>
    <t>Zincsenko</t>
  </si>
  <si>
    <t>Zubkov</t>
  </si>
  <si>
    <t>Bachmann</t>
  </si>
  <si>
    <t>Watford</t>
  </si>
  <si>
    <t>Baumgartner</t>
  </si>
  <si>
    <t>Christoph</t>
  </si>
  <si>
    <t>Kalajdzic</t>
  </si>
  <si>
    <t>Sasa</t>
  </si>
  <si>
    <t>VfB Stuttgart</t>
  </si>
  <si>
    <t>Schöpf</t>
  </si>
  <si>
    <t>Trimmel</t>
  </si>
  <si>
    <t>Christopher</t>
  </si>
  <si>
    <t>Ulmer</t>
  </si>
  <si>
    <t>Avramovszki</t>
  </si>
  <si>
    <t>Csurlinov</t>
  </si>
  <si>
    <t>Eljif</t>
  </si>
  <si>
    <t>Jankov</t>
  </si>
  <si>
    <t>Riszto</t>
  </si>
  <si>
    <t>Rabotnicski Szkopje</t>
  </si>
  <si>
    <t>Muszliu</t>
  </si>
  <si>
    <t>Viszar</t>
  </si>
  <si>
    <t>Radeszki</t>
  </si>
  <si>
    <t>Marjan</t>
  </si>
  <si>
    <t>Akademija Pandev</t>
  </si>
  <si>
    <t>Risztovszki M.</t>
  </si>
  <si>
    <t>Spartak Trnava</t>
  </si>
  <si>
    <t>Risztovszki S.</t>
  </si>
  <si>
    <t>Trajkovszki</t>
  </si>
  <si>
    <t>Alekszandar</t>
  </si>
  <si>
    <t>Mallorca</t>
  </si>
  <si>
    <t>Tricskovszki</t>
  </si>
  <si>
    <t>Velkovszki D.</t>
  </si>
  <si>
    <t>Rijeka</t>
  </si>
  <si>
    <t>Velkovszki K.</t>
  </si>
  <si>
    <t>Krszte</t>
  </si>
  <si>
    <t>FK Sarajevo</t>
  </si>
  <si>
    <t>BIH</t>
  </si>
  <si>
    <t>Zajkov</t>
  </si>
  <si>
    <t>Gjoko</t>
  </si>
  <si>
    <t>Charleroi</t>
  </si>
  <si>
    <t>Coady</t>
  </si>
  <si>
    <t>Conor</t>
  </si>
  <si>
    <t>Wolverhampton</t>
  </si>
  <si>
    <t>Johnstone</t>
  </si>
  <si>
    <t>Sam</t>
  </si>
  <si>
    <t>Phillips</t>
  </si>
  <si>
    <t>Kalvin</t>
  </si>
  <si>
    <t>Saka</t>
  </si>
  <si>
    <t>Bukayo</t>
  </si>
  <si>
    <t>Shaw</t>
  </si>
  <si>
    <t>Luke</t>
  </si>
  <si>
    <t>Sterling</t>
  </si>
  <si>
    <t>Raheem</t>
  </si>
  <si>
    <t>Stones</t>
  </si>
  <si>
    <t>Trippier</t>
  </si>
  <si>
    <t>Kieran</t>
  </si>
  <si>
    <t>Walker</t>
  </si>
  <si>
    <t>Kyle</t>
  </si>
  <si>
    <t xml:space="preserve">Gvardiol </t>
  </si>
  <si>
    <t>Josko</t>
  </si>
  <si>
    <t>Ivanusec</t>
  </si>
  <si>
    <t>Skoric</t>
  </si>
  <si>
    <t>Mile</t>
  </si>
  <si>
    <t>Sluga</t>
  </si>
  <si>
    <t>Vida</t>
  </si>
  <si>
    <t>Vlasic</t>
  </si>
  <si>
    <t>Nikola</t>
  </si>
  <si>
    <t>Vrsaljko</t>
  </si>
  <si>
    <t>Sime</t>
  </si>
  <si>
    <t>Adams</t>
  </si>
  <si>
    <t>Ché</t>
  </si>
  <si>
    <t>Gilmour</t>
  </si>
  <si>
    <t>Billy</t>
  </si>
  <si>
    <t>Hendry</t>
  </si>
  <si>
    <t>Oostende</t>
  </si>
  <si>
    <t>Nisbet</t>
  </si>
  <si>
    <t>Hibernian</t>
  </si>
  <si>
    <t>Patterson</t>
  </si>
  <si>
    <t>Robertson</t>
  </si>
  <si>
    <t>Greg</t>
  </si>
  <si>
    <t>Tierney</t>
  </si>
  <si>
    <t>Turnbull</t>
  </si>
  <si>
    <t>Hlozek</t>
  </si>
  <si>
    <t>Mandous</t>
  </si>
  <si>
    <t>Olomouc</t>
  </si>
  <si>
    <t>Pavlenka</t>
  </si>
  <si>
    <t>Jirí</t>
  </si>
  <si>
    <t>Pekhart</t>
  </si>
  <si>
    <t>Pesek</t>
  </si>
  <si>
    <t>Slovan Liberec</t>
  </si>
  <si>
    <t>Sadílek</t>
  </si>
  <si>
    <t>Schick</t>
  </si>
  <si>
    <t>Sevcík</t>
  </si>
  <si>
    <t>Petr</t>
  </si>
  <si>
    <t>Soucek</t>
  </si>
  <si>
    <t>Vaclík</t>
  </si>
  <si>
    <t>Vydra</t>
  </si>
  <si>
    <t>Matej</t>
  </si>
  <si>
    <t>Zima</t>
  </si>
  <si>
    <t>Azpilicueta</t>
  </si>
  <si>
    <t>César</t>
  </si>
  <si>
    <t xml:space="preserve">Laporte </t>
  </si>
  <si>
    <t>Llorente D.</t>
  </si>
  <si>
    <t>Llorente M.</t>
  </si>
  <si>
    <t>Marcos</t>
  </si>
  <si>
    <t>Olmo</t>
  </si>
  <si>
    <t>Pedri</t>
  </si>
  <si>
    <t>Sánchez</t>
  </si>
  <si>
    <t>Brighton</t>
  </si>
  <si>
    <t>Sarabia</t>
  </si>
  <si>
    <t>Paris SG</t>
  </si>
  <si>
    <t>Simón</t>
  </si>
  <si>
    <t>Unai</t>
  </si>
  <si>
    <t>Torres F.</t>
  </si>
  <si>
    <t>Ferran</t>
  </si>
  <si>
    <t>Torres P.</t>
  </si>
  <si>
    <t>Pau</t>
  </si>
  <si>
    <t>Traoré</t>
  </si>
  <si>
    <t>Adama</t>
  </si>
  <si>
    <t>Velje Boldklub</t>
  </si>
  <si>
    <t>Cajuste</t>
  </si>
  <si>
    <t>Granqvist</t>
  </si>
  <si>
    <t>Larsson J.</t>
  </si>
  <si>
    <t>Larsson S.</t>
  </si>
  <si>
    <t>Olsson</t>
  </si>
  <si>
    <t>Quaison</t>
  </si>
  <si>
    <t>Sema</t>
  </si>
  <si>
    <t>Ken</t>
  </si>
  <si>
    <t>Svanberg</t>
  </si>
  <si>
    <t>Svensson</t>
  </si>
  <si>
    <t>Gustav</t>
  </si>
  <si>
    <t>Seattle Sounders</t>
  </si>
  <si>
    <t>Dawidowicz</t>
  </si>
  <si>
    <t>Verona</t>
  </si>
  <si>
    <t>Helik</t>
  </si>
  <si>
    <t>Barnsley</t>
  </si>
  <si>
    <t>Kownacki</t>
  </si>
  <si>
    <t>Dawid</t>
  </si>
  <si>
    <t>Kozlowski</t>
  </si>
  <si>
    <t>Kacper</t>
  </si>
  <si>
    <t>Pogon Szczecin</t>
  </si>
  <si>
    <t>Piatkowski</t>
  </si>
  <si>
    <t>Raków Czestochowa</t>
  </si>
  <si>
    <t>Placheta</t>
  </si>
  <si>
    <t>Puchacz</t>
  </si>
  <si>
    <t>Tymoteusz</t>
  </si>
  <si>
    <t>Skorupski</t>
  </si>
  <si>
    <t>Swiderski</t>
  </si>
  <si>
    <t>Swierczok</t>
  </si>
  <si>
    <t>Piast Gliwice</t>
  </si>
  <si>
    <t>Szczesny</t>
  </si>
  <si>
    <t>Wojciech</t>
  </si>
  <si>
    <t>Zielinski</t>
  </si>
  <si>
    <t>Piotr</t>
  </si>
  <si>
    <t>Bénes</t>
  </si>
  <si>
    <t>Dúbravka</t>
  </si>
  <si>
    <t>Newcastle</t>
  </si>
  <si>
    <t>Haraslín</t>
  </si>
  <si>
    <t>Hromada</t>
  </si>
  <si>
    <t>Koscelník</t>
  </si>
  <si>
    <t>Pekarík</t>
  </si>
  <si>
    <t>Peter</t>
  </si>
  <si>
    <t>Suslov</t>
  </si>
  <si>
    <t>Groningen</t>
  </si>
  <si>
    <t>Valjent</t>
  </si>
  <si>
    <t>Vavro</t>
  </si>
  <si>
    <t>Weiss</t>
  </si>
  <si>
    <t>Bogdán</t>
  </si>
  <si>
    <t>Bolla</t>
  </si>
  <si>
    <t>Bendegúz</t>
  </si>
  <si>
    <t>Gazdag</t>
  </si>
  <si>
    <t>Dániel</t>
  </si>
  <si>
    <t>Philadelphia Union</t>
  </si>
  <si>
    <t>Hahn</t>
  </si>
  <si>
    <t>János</t>
  </si>
  <si>
    <t>Schön</t>
  </si>
  <si>
    <t>Szabolcs</t>
  </si>
  <si>
    <t>FC Dallas</t>
  </si>
  <si>
    <t>Szalai A.</t>
  </si>
  <si>
    <t>Apollon Limasszol</t>
  </si>
  <si>
    <t>Szalai Á.</t>
  </si>
  <si>
    <t>Varga K.</t>
  </si>
  <si>
    <t>Kasimpasa</t>
  </si>
  <si>
    <t>Varga R.</t>
  </si>
  <si>
    <t>Félix</t>
  </si>
  <si>
    <t>Goncalves</t>
  </si>
  <si>
    <t>Pedro</t>
  </si>
  <si>
    <t>Mendes</t>
  </si>
  <si>
    <t>Nuno</t>
  </si>
  <si>
    <t>Palhinha</t>
  </si>
  <si>
    <t>Semedo N.</t>
  </si>
  <si>
    <t>Nélson</t>
  </si>
  <si>
    <t>Semedo R.</t>
  </si>
  <si>
    <t>Olympiakosz Pireusz</t>
  </si>
  <si>
    <t>Silva A.</t>
  </si>
  <si>
    <t>André</t>
  </si>
  <si>
    <t>Silva B.</t>
  </si>
  <si>
    <t>Bernardo</t>
  </si>
  <si>
    <t>Silva R.</t>
  </si>
  <si>
    <t>Rafa</t>
  </si>
  <si>
    <t>Benzema</t>
  </si>
  <si>
    <t>Dembélé</t>
  </si>
  <si>
    <t>Ousmane</t>
  </si>
  <si>
    <t>Koundé</t>
  </si>
  <si>
    <t>Jules</t>
  </si>
  <si>
    <t>Lemar</t>
  </si>
  <si>
    <t>Thuram</t>
  </si>
  <si>
    <t>Mönchengladbach</t>
  </si>
  <si>
    <t>Tolisso</t>
  </si>
  <si>
    <t>Corentin</t>
  </si>
  <si>
    <t>Varane</t>
  </si>
  <si>
    <t>Zouma</t>
  </si>
  <si>
    <t>Kurt</t>
  </si>
  <si>
    <t>Gosens</t>
  </si>
  <si>
    <t>Günter</t>
  </si>
  <si>
    <t>Hummels</t>
  </si>
  <si>
    <t>Mats</t>
  </si>
  <si>
    <t>Musiala</t>
  </si>
  <si>
    <t>Jamal</t>
  </si>
  <si>
    <t>Müller</t>
  </si>
  <si>
    <t>Trapp</t>
  </si>
  <si>
    <t>Volland</t>
  </si>
  <si>
    <t>Werner</t>
  </si>
  <si>
    <t>Timo</t>
  </si>
  <si>
    <t>Kovács Ferenc</t>
  </si>
  <si>
    <t>Csomós László Richárd</t>
  </si>
  <si>
    <t>Valisko Gerő</t>
  </si>
  <si>
    <t>Nagy Norbert</t>
  </si>
  <si>
    <t>Sőregi Bálint</t>
  </si>
  <si>
    <t>Nagy Ádám</t>
  </si>
  <si>
    <t>Dósa Róbert</t>
  </si>
  <si>
    <t>Szabó Erika</t>
  </si>
  <si>
    <t>Nagy Zsolt</t>
  </si>
  <si>
    <t>Kácsor Béla</t>
  </si>
  <si>
    <t>Takó Norbert</t>
  </si>
  <si>
    <t>Kozma Béla</t>
  </si>
  <si>
    <t>Horváth Csaba</t>
  </si>
  <si>
    <t>Kállai Gábor</t>
  </si>
  <si>
    <t>Kaszab Márk</t>
  </si>
  <si>
    <t>Sági Dávid</t>
  </si>
  <si>
    <t>Csontos József</t>
  </si>
  <si>
    <t>Faragó István</t>
  </si>
  <si>
    <t>Csáki Levente</t>
  </si>
  <si>
    <t>Kerepesi Zsolt</t>
  </si>
  <si>
    <t>Vincze Dávid</t>
  </si>
  <si>
    <t>Suvada László</t>
  </si>
  <si>
    <t>Szabó Gábor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</si>
</sst>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7">
    <numFmt numFmtId="164" formatCode="&quot;20&quot;dd/mm/yy"/>
    <numFmt numFmtId="165" formatCode="0&quot;.&quot;"/>
    <numFmt numFmtId="166" formatCode="0&quot; &quot;"/>
    <numFmt numFmtId="167" formatCode="yyyy/\ mmmm\ d/"/>
    <numFmt numFmtId="168" formatCode="&quot;(&quot;0&quot;)&quot;"/>
    <numFmt numFmtId="169" formatCode="mmmm\ d/\ \-\ dddd"/>
    <numFmt numFmtId="170" formatCode="hh:mm"/>
    <numFmt numFmtId="171" formatCode="mmmm\ dd/"/>
    <numFmt numFmtId="172" formatCode="0.0000"/>
    <numFmt numFmtId="173" formatCode="0.0"/>
    <numFmt numFmtId="174" formatCode="0.00000"/>
    <numFmt numFmtId="175" formatCode="0&quot; cm&quot;"/>
    <numFmt numFmtId="176" formatCode="0&quot; kg&quot;"/>
    <numFmt numFmtId="177" formatCode="0&quot; év&quot;"/>
    <numFmt numFmtId="178" formatCode="mmm/d/"/>
    <numFmt numFmtId="179" formatCode="yyyy/\ m/\ d/\ h:mm;@"/>
    <numFmt numFmtId="180" formatCode="0&quot;  &quot;"/>
    <numFmt numFmtId="181" formatCode="0&quot;   &quot;"/>
    <numFmt numFmtId="182" formatCode="&quot; &quot;0"/>
    <numFmt numFmtId="183" formatCode="&quot; &quot;0&quot;'&quot;"/>
    <numFmt numFmtId="184" formatCode="0&quot;' &quot;"/>
    <numFmt numFmtId="185" formatCode="&quot; &quot;mmmm\ dd/\ \–\ dddd"/>
    <numFmt numFmtId="186" formatCode="&quot;  &quot;0"/>
    <numFmt numFmtId="187" formatCode="mmm/\ d/\ \(ddd\)"/>
    <numFmt numFmtId="188" formatCode="h:mm;@"/>
    <numFmt numFmtId="189" formatCode="0&quot; kg &quot;"/>
    <numFmt numFmtId="190" formatCode="&quot; (&quot;0&quot;.)&quot;"/>
  </numFmts>
  <fonts count="108" x14ac:knownFonts="1">
    <font>
      <sz val="10"/>
      <name val="Arial"/>
      <charset val="238"/>
    </font>
    <font>
      <u/>
      <sz val="10"/>
      <color indexed="12"/>
      <name val="Arial"/>
      <charset val="238"/>
    </font>
    <font>
      <sz val="8"/>
      <name val="Arial"/>
      <charset val="238"/>
    </font>
    <font>
      <b/>
      <sz val="7"/>
      <color indexed="9"/>
      <name val="Arial Unicode MS"/>
      <family val="2"/>
      <charset val="238"/>
    </font>
    <font>
      <b/>
      <sz val="7"/>
      <name val="Arial Unicode MS"/>
      <family val="2"/>
      <charset val="238"/>
    </font>
    <font>
      <sz val="6"/>
      <name val="Arial Unicode MS"/>
      <family val="2"/>
      <charset val="238"/>
    </font>
    <font>
      <sz val="11"/>
      <color indexed="9"/>
      <name val="Calibri"/>
      <family val="2"/>
      <charset val="238"/>
    </font>
    <font>
      <sz val="10"/>
      <name val="Arial Unicode MS"/>
      <family val="2"/>
      <charset val="238"/>
    </font>
    <font>
      <b/>
      <sz val="7"/>
      <color indexed="57"/>
      <name val="Arial Unicode MS"/>
      <family val="2"/>
      <charset val="238"/>
    </font>
    <font>
      <sz val="8"/>
      <color indexed="9"/>
      <name val="Arial Unicode MS"/>
      <family val="2"/>
      <charset val="238"/>
    </font>
    <font>
      <sz val="8"/>
      <name val="Arial Unicode MS"/>
      <family val="2"/>
      <charset val="238"/>
    </font>
    <font>
      <b/>
      <sz val="7"/>
      <color indexed="63"/>
      <name val="Arial Unicode MS"/>
      <family val="2"/>
      <charset val="238"/>
    </font>
    <font>
      <sz val="4"/>
      <name val="Arial Unicode MS"/>
      <family val="2"/>
      <charset val="238"/>
    </font>
    <font>
      <b/>
      <sz val="10"/>
      <name val="Arial Unicode MS"/>
      <family val="2"/>
      <charset val="238"/>
    </font>
    <font>
      <b/>
      <sz val="8"/>
      <name val="Arial Unicode MS"/>
      <family val="2"/>
      <charset val="238"/>
    </font>
    <font>
      <sz val="7"/>
      <name val="Arial Unicode MS"/>
      <family val="2"/>
      <charset val="238"/>
    </font>
    <font>
      <sz val="9"/>
      <name val="Arial Unicode MS"/>
      <family val="2"/>
      <charset val="238"/>
    </font>
    <font>
      <sz val="7"/>
      <color indexed="23"/>
      <name val="Arial Unicode MS"/>
      <family val="2"/>
      <charset val="238"/>
    </font>
    <font>
      <b/>
      <sz val="8"/>
      <color indexed="9"/>
      <name val="Arial Unicode MS"/>
      <family val="2"/>
      <charset val="238"/>
    </font>
    <font>
      <i/>
      <sz val="7"/>
      <color indexed="23"/>
      <name val="Arial Unicode MS"/>
      <family val="2"/>
      <charset val="238"/>
    </font>
    <font>
      <b/>
      <sz val="8"/>
      <color indexed="63"/>
      <name val="Arial Unicode MS"/>
      <family val="2"/>
      <charset val="238"/>
    </font>
    <font>
      <sz val="8"/>
      <color indexed="10"/>
      <name val="Arial Unicode MS"/>
      <family val="2"/>
      <charset val="238"/>
    </font>
    <font>
      <i/>
      <sz val="7"/>
      <color indexed="42"/>
      <name val="Arial Unicode MS"/>
      <family val="2"/>
      <charset val="238"/>
    </font>
    <font>
      <u/>
      <sz val="14"/>
      <name val="Arial Unicode MS"/>
      <family val="2"/>
      <charset val="238"/>
    </font>
    <font>
      <sz val="14"/>
      <name val="Arial Unicode MS"/>
      <family val="2"/>
      <charset val="238"/>
    </font>
    <font>
      <b/>
      <sz val="7"/>
      <color indexed="54"/>
      <name val="Arial Unicode MS"/>
      <family val="2"/>
      <charset val="238"/>
    </font>
    <font>
      <i/>
      <sz val="11"/>
      <name val="Arial Unicode MS"/>
      <family val="2"/>
      <charset val="238"/>
    </font>
    <font>
      <b/>
      <sz val="7"/>
      <color indexed="61"/>
      <name val="Arial Unicode MS"/>
      <family val="2"/>
      <charset val="238"/>
    </font>
    <font>
      <b/>
      <u/>
      <sz val="10"/>
      <name val="Arial Unicode MS"/>
      <family val="2"/>
      <charset val="238"/>
    </font>
    <font>
      <i/>
      <sz val="8"/>
      <name val="Arial Unicode MS"/>
      <family val="2"/>
      <charset val="238"/>
    </font>
    <font>
      <i/>
      <sz val="7"/>
      <name val="Arial Unicode MS"/>
      <family val="2"/>
      <charset val="238"/>
    </font>
    <font>
      <sz val="10"/>
      <color indexed="10"/>
      <name val="Arial Unicode MS"/>
      <family val="2"/>
      <charset val="238"/>
    </font>
    <font>
      <i/>
      <sz val="7"/>
      <color indexed="10"/>
      <name val="Arial Unicode MS"/>
      <family val="2"/>
      <charset val="238"/>
    </font>
    <font>
      <sz val="8"/>
      <color indexed="61"/>
      <name val="Arial Unicode MS"/>
      <family val="2"/>
      <charset val="238"/>
    </font>
    <font>
      <sz val="8"/>
      <color indexed="51"/>
      <name val="Arial Unicode MS"/>
      <family val="2"/>
      <charset val="238"/>
    </font>
    <font>
      <sz val="7"/>
      <color indexed="61"/>
      <name val="Arial Unicode MS"/>
      <family val="2"/>
      <charset val="238"/>
    </font>
    <font>
      <sz val="7"/>
      <color indexed="51"/>
      <name val="Arial Unicode MS"/>
      <family val="2"/>
      <charset val="238"/>
    </font>
    <font>
      <b/>
      <sz val="20"/>
      <name val="Arial Unicode MS"/>
      <family val="2"/>
      <charset val="238"/>
    </font>
    <font>
      <sz val="7"/>
      <color indexed="63"/>
      <name val="Arial Unicode MS"/>
      <family val="2"/>
      <charset val="238"/>
    </font>
    <font>
      <i/>
      <sz val="7"/>
      <color indexed="61"/>
      <name val="Arial Unicode MS"/>
      <family val="2"/>
      <charset val="238"/>
    </font>
    <font>
      <i/>
      <sz val="9"/>
      <name val="Arial Unicode MS"/>
      <family val="2"/>
      <charset val="238"/>
    </font>
    <font>
      <b/>
      <sz val="8"/>
      <color indexed="10"/>
      <name val="Arial Unicode MS"/>
      <family val="2"/>
      <charset val="238"/>
    </font>
    <font>
      <i/>
      <sz val="8"/>
      <color indexed="10"/>
      <name val="Arial Unicode MS"/>
      <family val="2"/>
      <charset val="238"/>
    </font>
    <font>
      <sz val="7"/>
      <color indexed="9"/>
      <name val="Arial Unicode MS"/>
      <family val="2"/>
      <charset val="238"/>
    </font>
    <font>
      <b/>
      <sz val="13"/>
      <color indexed="63"/>
      <name val="Arial Unicode MS"/>
      <family val="2"/>
      <charset val="238"/>
    </font>
    <font>
      <b/>
      <sz val="15"/>
      <name val="Arial Unicode MS"/>
      <family val="2"/>
      <charset val="238"/>
    </font>
    <font>
      <b/>
      <sz val="13"/>
      <name val="Arial Unicode MS"/>
      <family val="2"/>
      <charset val="238"/>
    </font>
    <font>
      <sz val="10"/>
      <color indexed="63"/>
      <name val="Arial Unicode MS"/>
      <family val="2"/>
      <charset val="238"/>
    </font>
    <font>
      <b/>
      <sz val="9"/>
      <name val="Arial Unicode MS"/>
      <family val="2"/>
      <charset val="238"/>
    </font>
    <font>
      <b/>
      <sz val="7"/>
      <color indexed="10"/>
      <name val="Arial Unicode MS"/>
      <family val="2"/>
      <charset val="238"/>
    </font>
    <font>
      <b/>
      <i/>
      <sz val="7"/>
      <color indexed="10"/>
      <name val="Arial Unicode MS"/>
      <family val="2"/>
      <charset val="238"/>
    </font>
    <font>
      <b/>
      <sz val="7"/>
      <color indexed="23"/>
      <name val="Arial Unicode MS"/>
      <family val="2"/>
      <charset val="238"/>
    </font>
    <font>
      <sz val="5"/>
      <name val="Arial Unicode MS"/>
      <family val="2"/>
      <charset val="238"/>
    </font>
    <font>
      <b/>
      <i/>
      <sz val="9"/>
      <color indexed="45"/>
      <name val="Arial Unicode MS"/>
      <family val="2"/>
      <charset val="238"/>
    </font>
    <font>
      <i/>
      <sz val="9"/>
      <color indexed="45"/>
      <name val="Arial Unicode MS"/>
      <family val="2"/>
      <charset val="238"/>
    </font>
    <font>
      <sz val="7"/>
      <color indexed="45"/>
      <name val="Arial Unicode MS"/>
      <family val="2"/>
      <charset val="238"/>
    </font>
    <font>
      <b/>
      <i/>
      <sz val="8"/>
      <color indexed="47"/>
      <name val="Arial Unicode MS"/>
      <family val="2"/>
      <charset val="238"/>
    </font>
    <font>
      <sz val="8"/>
      <color indexed="45"/>
      <name val="Arial Unicode MS"/>
      <family val="2"/>
      <charset val="238"/>
    </font>
    <font>
      <b/>
      <i/>
      <sz val="9"/>
      <color indexed="62"/>
      <name val="Arial Unicode MS"/>
      <family val="2"/>
      <charset val="238"/>
    </font>
    <font>
      <b/>
      <i/>
      <sz val="9"/>
      <color indexed="54"/>
      <name val="Arial Unicode MS"/>
      <family val="2"/>
      <charset val="238"/>
    </font>
    <font>
      <b/>
      <sz val="10"/>
      <color indexed="10"/>
      <name val="Arial Unicode MS"/>
      <family val="2"/>
      <charset val="238"/>
    </font>
    <font>
      <b/>
      <i/>
      <sz val="8"/>
      <color indexed="10"/>
      <name val="Arial Unicode MS"/>
      <family val="2"/>
      <charset val="238"/>
    </font>
    <font>
      <b/>
      <sz val="7"/>
      <color indexed="16"/>
      <name val="Arial Unicode MS"/>
      <family val="2"/>
      <charset val="238"/>
    </font>
    <font>
      <sz val="7"/>
      <color indexed="16"/>
      <name val="Arial Unicode MS"/>
      <family val="2"/>
      <charset val="238"/>
    </font>
    <font>
      <sz val="10"/>
      <color indexed="16"/>
      <name val="Arial Unicode MS"/>
      <family val="2"/>
      <charset val="238"/>
    </font>
    <font>
      <b/>
      <sz val="9"/>
      <color indexed="16"/>
      <name val="Arial Unicode MS"/>
      <family val="2"/>
      <charset val="238"/>
    </font>
    <font>
      <sz val="6"/>
      <color indexed="9"/>
      <name val="Arial Unicode MS"/>
      <family val="2"/>
      <charset val="238"/>
    </font>
    <font>
      <sz val="9"/>
      <color indexed="50"/>
      <name val="Arial Unicode MS"/>
      <family val="2"/>
      <charset val="238"/>
    </font>
    <font>
      <sz val="6"/>
      <color indexed="63"/>
      <name val="Arial Unicode MS"/>
      <family val="2"/>
      <charset val="238"/>
    </font>
    <font>
      <b/>
      <sz val="8"/>
      <color indexed="23"/>
      <name val="Arial Unicode MS"/>
      <family val="2"/>
      <charset val="238"/>
    </font>
    <font>
      <sz val="10"/>
      <name val="Verdana"/>
      <family val="2"/>
      <charset val="238"/>
    </font>
    <font>
      <sz val="7"/>
      <name val="Verdana"/>
      <family val="2"/>
      <charset val="238"/>
    </font>
    <font>
      <sz val="8"/>
      <color indexed="63"/>
      <name val="Arial Unicode MS"/>
      <family val="2"/>
      <charset val="238"/>
    </font>
    <font>
      <b/>
      <sz val="7"/>
      <name val="Verdana"/>
      <family val="2"/>
      <charset val="238"/>
    </font>
    <font>
      <b/>
      <sz val="6"/>
      <color indexed="16"/>
      <name val="Arial Unicode MS"/>
      <family val="2"/>
      <charset val="238"/>
    </font>
    <font>
      <b/>
      <sz val="6"/>
      <color indexed="63"/>
      <name val="Arial Unicode MS"/>
      <family val="2"/>
      <charset val="238"/>
    </font>
    <font>
      <sz val="6"/>
      <color indexed="16"/>
      <name val="Arial Unicode MS"/>
      <family val="2"/>
      <charset val="238"/>
    </font>
    <font>
      <b/>
      <i/>
      <sz val="9"/>
      <name val="Arial Unicode MS"/>
      <family val="2"/>
      <charset val="238"/>
    </font>
    <font>
      <sz val="8"/>
      <color indexed="13"/>
      <name val="Arial Unicode MS"/>
      <family val="2"/>
      <charset val="238"/>
    </font>
    <font>
      <b/>
      <sz val="8"/>
      <color indexed="47"/>
      <name val="Arial Unicode MS"/>
      <family val="2"/>
      <charset val="238"/>
    </font>
    <font>
      <b/>
      <sz val="8"/>
      <color indexed="13"/>
      <name val="Arial Unicode MS"/>
      <family val="2"/>
      <charset val="238"/>
    </font>
    <font>
      <b/>
      <sz val="7"/>
      <color indexed="13"/>
      <name val="Arial Unicode MS"/>
      <family val="2"/>
      <charset val="238"/>
    </font>
    <font>
      <sz val="7"/>
      <color indexed="13"/>
      <name val="Arial Unicode MS"/>
      <family val="2"/>
      <charset val="238"/>
    </font>
    <font>
      <b/>
      <sz val="6"/>
      <color indexed="13"/>
      <name val="Arial Unicode MS"/>
      <family val="2"/>
      <charset val="238"/>
    </font>
    <font>
      <sz val="6"/>
      <color indexed="42"/>
      <name val="Arial Unicode MS"/>
      <family val="2"/>
      <charset val="238"/>
    </font>
    <font>
      <b/>
      <sz val="7"/>
      <color indexed="42"/>
      <name val="Arial Unicode MS"/>
      <family val="2"/>
      <charset val="238"/>
    </font>
    <font>
      <sz val="7"/>
      <color indexed="55"/>
      <name val="Arial Unicode MS"/>
      <family val="2"/>
      <charset val="238"/>
    </font>
    <font>
      <b/>
      <sz val="7"/>
      <color indexed="47"/>
      <name val="Arial Unicode MS"/>
      <family val="2"/>
      <charset val="238"/>
    </font>
    <font>
      <sz val="10"/>
      <color indexed="9"/>
      <name val="Arial Unicode MS"/>
      <family val="2"/>
      <charset val="238"/>
    </font>
    <font>
      <b/>
      <sz val="8"/>
      <color indexed="47"/>
      <name val="Wingdings"/>
      <charset val="2"/>
    </font>
    <font>
      <sz val="10"/>
      <color indexed="47"/>
      <name val="Arial Unicode MS"/>
      <family val="2"/>
      <charset val="238"/>
    </font>
    <font>
      <i/>
      <sz val="7"/>
      <color indexed="47"/>
      <name val="Arial Unicode MS"/>
      <family val="2"/>
      <charset val="238"/>
    </font>
    <font>
      <sz val="7"/>
      <color indexed="47"/>
      <name val="Arial Unicode MS"/>
      <family val="2"/>
      <charset val="238"/>
    </font>
    <font>
      <b/>
      <u/>
      <sz val="7"/>
      <color indexed="47"/>
      <name val="Arial Unicode MS"/>
      <family val="2"/>
      <charset val="238"/>
    </font>
    <font>
      <sz val="9"/>
      <color indexed="45"/>
      <name val="Arial Unicode MS"/>
      <family val="2"/>
      <charset val="238"/>
    </font>
    <font>
      <b/>
      <sz val="8"/>
      <color indexed="16"/>
      <name val="Arial Unicode MS"/>
      <family val="2"/>
      <charset val="238"/>
    </font>
    <font>
      <b/>
      <sz val="8"/>
      <name val="Arial Unicode MS"/>
      <charset val="238"/>
    </font>
    <font>
      <b/>
      <sz val="7"/>
      <color indexed="9"/>
      <name val="Arial Unicode MS"/>
      <family val="2"/>
      <charset val="238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5700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8"/>
      <color rgb="FFC00000"/>
      <name val="Arial Unicode MS"/>
      <family val="2"/>
      <charset val="238"/>
    </font>
    <font>
      <sz val="8"/>
      <color rgb="FFC00000"/>
      <name val="Arial"/>
      <family val="2"/>
      <charset val="238"/>
    </font>
    <font>
      <sz val="10"/>
      <color theme="0"/>
      <name val="Arial"/>
      <family val="2"/>
      <charset val="238"/>
    </font>
  </fonts>
  <fills count="36">
    <fill>
      <patternFill patternType="none"/>
    </fill>
    <fill>
      <patternFill patternType="gray125"/>
    </fill>
    <fill>
      <patternFill patternType="solid">
        <fgColor indexed="12"/>
      </patternFill>
    </fill>
    <fill>
      <patternFill patternType="solid">
        <fgColor indexed="20"/>
      </patternFill>
    </fill>
    <fill>
      <patternFill patternType="solid">
        <fgColor indexed="41"/>
      </patternFill>
    </fill>
    <fill>
      <patternFill patternType="solid">
        <fgColor indexed="17"/>
      </patternFill>
    </fill>
    <fill>
      <patternFill patternType="solid">
        <fgColor indexed="48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F2F2F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</fills>
  <borders count="79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dotted">
        <color indexed="61"/>
      </top>
      <bottom style="dotted">
        <color indexed="61"/>
      </bottom>
      <diagonal/>
    </border>
    <border>
      <left/>
      <right style="thick">
        <color indexed="45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46"/>
      </bottom>
      <diagonal/>
    </border>
    <border>
      <left style="thin">
        <color indexed="46"/>
      </left>
      <right/>
      <top style="thin">
        <color indexed="46"/>
      </top>
      <bottom style="thin">
        <color indexed="46"/>
      </bottom>
      <diagonal/>
    </border>
    <border>
      <left/>
      <right/>
      <top style="thin">
        <color indexed="46"/>
      </top>
      <bottom style="thin">
        <color indexed="46"/>
      </bottom>
      <diagonal/>
    </border>
    <border>
      <left/>
      <right style="thin">
        <color indexed="46"/>
      </right>
      <top style="thin">
        <color indexed="46"/>
      </top>
      <bottom style="thin">
        <color indexed="46"/>
      </bottom>
      <diagonal/>
    </border>
    <border>
      <left/>
      <right/>
      <top style="thin">
        <color indexed="46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46"/>
      </top>
      <bottom style="thin">
        <color indexed="64"/>
      </bottom>
      <diagonal/>
    </border>
    <border>
      <left/>
      <right style="thin">
        <color indexed="22"/>
      </right>
      <top style="thin">
        <color indexed="61"/>
      </top>
      <bottom/>
      <diagonal/>
    </border>
    <border>
      <left/>
      <right style="thin">
        <color indexed="22"/>
      </right>
      <top/>
      <bottom/>
      <diagonal/>
    </border>
    <border>
      <left/>
      <right/>
      <top/>
      <bottom style="thin">
        <color indexed="9"/>
      </bottom>
      <diagonal/>
    </border>
    <border>
      <left/>
      <right style="thin">
        <color indexed="61"/>
      </right>
      <top style="thin">
        <color indexed="42"/>
      </top>
      <bottom style="thin">
        <color indexed="61"/>
      </bottom>
      <diagonal/>
    </border>
    <border>
      <left style="thin">
        <color indexed="42"/>
      </left>
      <right/>
      <top style="thin">
        <color indexed="42"/>
      </top>
      <bottom style="thin">
        <color indexed="61"/>
      </bottom>
      <diagonal/>
    </border>
    <border>
      <left/>
      <right/>
      <top/>
      <bottom style="dotted">
        <color indexed="61"/>
      </bottom>
      <diagonal/>
    </border>
    <border>
      <left/>
      <right/>
      <top/>
      <bottom style="thin">
        <color indexed="4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6"/>
      </left>
      <right style="thin">
        <color indexed="46"/>
      </right>
      <top style="thin">
        <color indexed="46"/>
      </top>
      <bottom style="thin">
        <color indexed="46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22"/>
      </right>
      <top style="thin">
        <color indexed="2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ck">
        <color indexed="45"/>
      </top>
      <bottom/>
      <diagonal/>
    </border>
    <border>
      <left/>
      <right/>
      <top style="thin">
        <color indexed="50"/>
      </top>
      <bottom/>
      <diagonal/>
    </border>
    <border>
      <left/>
      <right/>
      <top/>
      <bottom style="dotted">
        <color indexed="55"/>
      </bottom>
      <diagonal/>
    </border>
    <border>
      <left/>
      <right/>
      <top/>
      <bottom style="thick">
        <color indexed="9"/>
      </bottom>
      <diagonal/>
    </border>
    <border>
      <left style="thin">
        <color indexed="64"/>
      </left>
      <right/>
      <top style="thin">
        <color indexed="42"/>
      </top>
      <bottom style="thin">
        <color indexed="42"/>
      </bottom>
      <diagonal/>
    </border>
    <border>
      <left/>
      <right/>
      <top style="thin">
        <color indexed="42"/>
      </top>
      <bottom style="thin">
        <color indexed="42"/>
      </bottom>
      <diagonal/>
    </border>
    <border>
      <left/>
      <right/>
      <top style="dotted">
        <color indexed="61"/>
      </top>
      <bottom/>
      <diagonal/>
    </border>
    <border>
      <left/>
      <right/>
      <top style="thin">
        <color indexed="43"/>
      </top>
      <bottom/>
      <diagonal/>
    </border>
    <border>
      <left/>
      <right/>
      <top style="thin">
        <color indexed="64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43"/>
      </bottom>
      <diagonal/>
    </border>
    <border>
      <left/>
      <right/>
      <top style="thin">
        <color indexed="64"/>
      </top>
      <bottom style="thin">
        <color indexed="43"/>
      </bottom>
      <diagonal/>
    </border>
    <border>
      <left style="thin">
        <color indexed="22"/>
      </left>
      <right/>
      <top/>
      <bottom/>
      <diagonal/>
    </border>
    <border>
      <left/>
      <right style="thin">
        <color indexed="42"/>
      </right>
      <top/>
      <bottom/>
      <diagonal/>
    </border>
    <border>
      <left style="thin">
        <color indexed="42"/>
      </left>
      <right style="thin">
        <color indexed="42"/>
      </right>
      <top/>
      <bottom/>
      <diagonal/>
    </border>
    <border>
      <left style="thin">
        <color indexed="42"/>
      </left>
      <right/>
      <top/>
      <bottom/>
      <diagonal/>
    </border>
    <border>
      <left style="thin">
        <color indexed="46"/>
      </left>
      <right style="thin">
        <color indexed="46"/>
      </right>
      <top/>
      <bottom/>
      <diagonal/>
    </border>
    <border>
      <left style="thin">
        <color indexed="46"/>
      </left>
      <right/>
      <top/>
      <bottom/>
      <diagonal/>
    </border>
    <border>
      <left style="thin">
        <color indexed="46"/>
      </left>
      <right style="thin">
        <color indexed="46"/>
      </right>
      <top style="thin">
        <color indexed="46"/>
      </top>
      <bottom/>
      <diagonal/>
    </border>
    <border>
      <left style="thin">
        <color indexed="46"/>
      </left>
      <right/>
      <top style="thin">
        <color indexed="46"/>
      </top>
      <bottom/>
      <diagonal/>
    </border>
    <border>
      <left/>
      <right style="thin">
        <color indexed="43"/>
      </right>
      <top/>
      <bottom/>
      <diagonal/>
    </border>
    <border>
      <left style="thin">
        <color indexed="43"/>
      </left>
      <right style="thin">
        <color indexed="43"/>
      </right>
      <top/>
      <bottom/>
      <diagonal/>
    </border>
    <border>
      <left style="thin">
        <color indexed="43"/>
      </left>
      <right/>
      <top/>
      <bottom/>
      <diagonal/>
    </border>
    <border>
      <left/>
      <right/>
      <top style="thin">
        <color indexed="9"/>
      </top>
      <bottom style="thin">
        <color indexed="64"/>
      </bottom>
      <diagonal/>
    </border>
    <border>
      <left/>
      <right/>
      <top style="thin">
        <color indexed="42"/>
      </top>
      <bottom style="thin">
        <color indexed="6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/>
      <top/>
      <bottom style="thin">
        <color indexed="22"/>
      </bottom>
      <diagonal/>
    </border>
    <border>
      <left style="thin">
        <color indexed="64"/>
      </left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22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22"/>
      </bottom>
      <diagonal/>
    </border>
    <border>
      <left/>
      <right/>
      <top/>
      <bottom style="dotted">
        <color indexed="40"/>
      </bottom>
      <diagonal/>
    </border>
    <border>
      <left/>
      <right/>
      <top style="thin">
        <color indexed="22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22"/>
      </bottom>
      <diagonal/>
    </border>
    <border>
      <left/>
      <right style="thin">
        <color indexed="64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22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22"/>
      </bottom>
      <diagonal/>
    </border>
    <border>
      <left/>
      <right/>
      <top style="dotted">
        <color indexed="40"/>
      </top>
      <bottom style="dotted">
        <color indexed="4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20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6" fillId="4" borderId="0" applyNumberFormat="0" applyBorder="0" applyAlignment="0" applyProtection="0"/>
    <xf numFmtId="0" fontId="6" fillId="3" borderId="0" applyNumberFormat="0" applyBorder="0" applyAlignment="0" applyProtection="0"/>
    <xf numFmtId="0" fontId="6" fillId="5" borderId="0" applyNumberFormat="0" applyBorder="0" applyAlignment="0" applyProtection="0"/>
    <xf numFmtId="0" fontId="6" fillId="2" borderId="0" applyNumberFormat="0" applyBorder="0" applyAlignment="0" applyProtection="0"/>
    <xf numFmtId="0" fontId="6" fillId="4" borderId="0" applyNumberFormat="0" applyBorder="0" applyAlignment="0" applyProtection="0"/>
    <xf numFmtId="0" fontId="6" fillId="6" borderId="0" applyNumberFormat="0" applyBorder="0" applyAlignment="0" applyProtection="0"/>
    <xf numFmtId="0" fontId="98" fillId="26" borderId="0" applyNumberFormat="0" applyBorder="0" applyAlignment="0" applyProtection="0"/>
    <xf numFmtId="0" fontId="99" fillId="27" borderId="0" applyNumberFormat="0" applyBorder="0" applyAlignment="0" applyProtection="0"/>
    <xf numFmtId="0" fontId="100" fillId="28" borderId="0" applyNumberFormat="0" applyBorder="0" applyAlignment="0" applyProtection="0"/>
    <xf numFmtId="0" fontId="101" fillId="25" borderId="77" applyNumberFormat="0" applyAlignment="0" applyProtection="0"/>
    <xf numFmtId="0" fontId="102" fillId="29" borderId="78" applyNumberFormat="0" applyAlignment="0" applyProtection="0"/>
    <xf numFmtId="0" fontId="103" fillId="0" borderId="0" applyNumberFormat="0" applyFill="0" applyBorder="0" applyAlignment="0" applyProtection="0"/>
    <xf numFmtId="0" fontId="104" fillId="30" borderId="0" applyNumberFormat="0" applyBorder="0" applyAlignment="0" applyProtection="0"/>
    <xf numFmtId="0" fontId="104" fillId="31" borderId="0" applyNumberFormat="0" applyBorder="0" applyAlignment="0" applyProtection="0"/>
    <xf numFmtId="0" fontId="104" fillId="32" borderId="0" applyNumberFormat="0" applyBorder="0" applyAlignment="0" applyProtection="0"/>
    <xf numFmtId="0" fontId="104" fillId="33" borderId="0" applyNumberFormat="0" applyBorder="0" applyAlignment="0" applyProtection="0"/>
    <xf numFmtId="0" fontId="104" fillId="34" borderId="0" applyNumberFormat="0" applyBorder="0" applyAlignment="0" applyProtection="0"/>
    <xf numFmtId="0" fontId="104" fillId="35" borderId="0" applyNumberFormat="0" applyBorder="0" applyAlignment="0" applyProtection="0"/>
  </cellStyleXfs>
  <cellXfs count="805">
    <xf numFmtId="0" fontId="0" fillId="0" borderId="0" xfId="0"/>
    <xf numFmtId="0" fontId="35" fillId="0" borderId="2" xfId="0" applyFont="1" applyBorder="1" applyAlignment="1" applyProtection="1">
      <alignment horizontal="left" vertical="center"/>
      <protection locked="0"/>
    </xf>
    <xf numFmtId="0" fontId="10" fillId="7" borderId="3" xfId="0" applyFont="1" applyFill="1" applyBorder="1" applyAlignment="1" applyProtection="1">
      <alignment horizontal="center" vertical="center"/>
      <protection hidden="1"/>
    </xf>
    <xf numFmtId="0" fontId="35" fillId="0" borderId="0" xfId="0" applyFont="1" applyBorder="1" applyAlignment="1" applyProtection="1">
      <alignment horizontal="left" vertical="center"/>
      <protection locked="0"/>
    </xf>
    <xf numFmtId="0" fontId="10" fillId="8" borderId="0" xfId="0" applyFont="1" applyFill="1" applyBorder="1" applyAlignment="1" applyProtection="1">
      <alignment vertical="center"/>
      <protection hidden="1"/>
    </xf>
    <xf numFmtId="0" fontId="7" fillId="8" borderId="0" xfId="0" applyFont="1" applyFill="1" applyAlignment="1" applyProtection="1">
      <alignment vertical="center"/>
      <protection hidden="1"/>
    </xf>
    <xf numFmtId="165" fontId="11" fillId="8" borderId="0" xfId="0" applyNumberFormat="1" applyFont="1" applyFill="1" applyBorder="1" applyAlignment="1" applyProtection="1">
      <alignment horizontal="center" vertical="top"/>
      <protection hidden="1"/>
    </xf>
    <xf numFmtId="0" fontId="7" fillId="9" borderId="0" xfId="0" applyFont="1" applyFill="1" applyAlignment="1" applyProtection="1">
      <alignment vertical="center"/>
      <protection hidden="1"/>
    </xf>
    <xf numFmtId="165" fontId="11" fillId="9" borderId="0" xfId="0" applyNumberFormat="1" applyFont="1" applyFill="1" applyBorder="1" applyAlignment="1" applyProtection="1">
      <alignment horizontal="center" vertical="top"/>
      <protection hidden="1"/>
    </xf>
    <xf numFmtId="0" fontId="12" fillId="9" borderId="4" xfId="0" applyFont="1" applyFill="1" applyBorder="1" applyAlignment="1" applyProtection="1">
      <alignment horizontal="center" vertical="center"/>
      <protection hidden="1"/>
    </xf>
    <xf numFmtId="0" fontId="7" fillId="0" borderId="0" xfId="0" applyFont="1" applyProtection="1">
      <protection hidden="1"/>
    </xf>
    <xf numFmtId="0" fontId="7" fillId="0" borderId="0" xfId="0" applyFont="1" applyAlignment="1" applyProtection="1">
      <alignment horizontal="center"/>
      <protection hidden="1"/>
    </xf>
    <xf numFmtId="0" fontId="7" fillId="0" borderId="5" xfId="0" applyFont="1" applyBorder="1" applyProtection="1">
      <protection hidden="1"/>
    </xf>
    <xf numFmtId="0" fontId="7" fillId="0" borderId="5" xfId="0" applyFont="1" applyBorder="1" applyAlignment="1" applyProtection="1">
      <alignment horizontal="center"/>
      <protection hidden="1"/>
    </xf>
    <xf numFmtId="0" fontId="7" fillId="8" borderId="0" xfId="0" applyFont="1" applyFill="1" applyProtection="1">
      <protection hidden="1"/>
    </xf>
    <xf numFmtId="0" fontId="7" fillId="0" borderId="0" xfId="0" applyFont="1" applyBorder="1" applyProtection="1">
      <protection hidden="1"/>
    </xf>
    <xf numFmtId="0" fontId="7" fillId="0" borderId="0" xfId="0" applyFont="1" applyBorder="1" applyAlignment="1" applyProtection="1">
      <alignment horizontal="center"/>
      <protection hidden="1"/>
    </xf>
    <xf numFmtId="0" fontId="7" fillId="0" borderId="6" xfId="0" applyFont="1" applyBorder="1" applyAlignment="1" applyProtection="1">
      <alignment vertical="center"/>
      <protection hidden="1"/>
    </xf>
    <xf numFmtId="0" fontId="7" fillId="10" borderId="1" xfId="0" applyFont="1" applyFill="1" applyBorder="1" applyAlignment="1" applyProtection="1">
      <alignment vertical="center"/>
      <protection hidden="1"/>
    </xf>
    <xf numFmtId="0" fontId="7" fillId="0" borderId="6" xfId="0" applyFont="1" applyBorder="1" applyAlignment="1" applyProtection="1">
      <alignment horizontal="center" vertical="center"/>
      <protection hidden="1"/>
    </xf>
    <xf numFmtId="0" fontId="10" fillId="10" borderId="1" xfId="0" applyFont="1" applyFill="1" applyBorder="1" applyAlignment="1" applyProtection="1">
      <alignment horizontal="center" vertical="center"/>
      <protection hidden="1"/>
    </xf>
    <xf numFmtId="0" fontId="7" fillId="0" borderId="0" xfId="0" applyFont="1" applyBorder="1" applyAlignment="1" applyProtection="1">
      <alignment vertical="center"/>
      <protection hidden="1"/>
    </xf>
    <xf numFmtId="0" fontId="15" fillId="0" borderId="0" xfId="0" applyFont="1" applyBorder="1" applyAlignment="1" applyProtection="1">
      <alignment horizontal="right"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15" fillId="9" borderId="4" xfId="0" applyFont="1" applyFill="1" applyBorder="1" applyAlignment="1" applyProtection="1">
      <alignment horizontal="center" vertical="center"/>
      <protection hidden="1"/>
    </xf>
    <xf numFmtId="0" fontId="19" fillId="0" borderId="0" xfId="0" applyFont="1" applyBorder="1" applyAlignment="1" applyProtection="1">
      <alignment horizontal="center" vertical="top" wrapText="1"/>
      <protection hidden="1"/>
    </xf>
    <xf numFmtId="0" fontId="4" fillId="0" borderId="0" xfId="0" applyFont="1" applyBorder="1" applyAlignment="1" applyProtection="1">
      <alignment vertical="center"/>
      <protection hidden="1"/>
    </xf>
    <xf numFmtId="0" fontId="7" fillId="0" borderId="0" xfId="0" applyFont="1" applyFill="1" applyBorder="1" applyAlignment="1" applyProtection="1">
      <alignment vertical="center"/>
      <protection hidden="1"/>
    </xf>
    <xf numFmtId="0" fontId="20" fillId="0" borderId="0" xfId="0" applyFont="1" applyFill="1" applyBorder="1" applyAlignment="1" applyProtection="1">
      <alignment horizontal="left" vertical="center"/>
      <protection hidden="1"/>
    </xf>
    <xf numFmtId="0" fontId="20" fillId="0" borderId="0" xfId="0" applyFont="1" applyFill="1" applyBorder="1" applyAlignment="1" applyProtection="1">
      <alignment horizontal="center" vertical="center"/>
      <protection hidden="1"/>
    </xf>
    <xf numFmtId="0" fontId="10" fillId="0" borderId="0" xfId="0" applyFont="1" applyFill="1" applyBorder="1" applyProtection="1">
      <protection hidden="1"/>
    </xf>
    <xf numFmtId="0" fontId="7" fillId="0" borderId="0" xfId="0" applyFont="1" applyFill="1" applyBorder="1" applyAlignment="1" applyProtection="1">
      <alignment horizontal="right" vertical="center"/>
      <protection hidden="1"/>
    </xf>
    <xf numFmtId="0" fontId="7" fillId="0" borderId="0" xfId="0" applyFont="1" applyFill="1" applyBorder="1" applyAlignment="1" applyProtection="1">
      <alignment horizontal="center" vertical="center"/>
      <protection hidden="1"/>
    </xf>
    <xf numFmtId="0" fontId="12" fillId="0" borderId="4" xfId="0" applyFont="1" applyFill="1" applyBorder="1" applyAlignment="1" applyProtection="1">
      <alignment horizontal="center" vertical="center"/>
      <protection hidden="1"/>
    </xf>
    <xf numFmtId="0" fontId="10" fillId="0" borderId="0" xfId="0" applyFont="1" applyFill="1" applyBorder="1" applyAlignment="1" applyProtection="1">
      <alignment horizontal="center" vertical="center"/>
      <protection hidden="1"/>
    </xf>
    <xf numFmtId="0" fontId="10" fillId="0" borderId="0" xfId="0" applyFont="1" applyFill="1" applyBorder="1" applyAlignment="1" applyProtection="1">
      <alignment vertical="center"/>
      <protection hidden="1"/>
    </xf>
    <xf numFmtId="0" fontId="7" fillId="0" borderId="0" xfId="0" applyFont="1" applyFill="1" applyBorder="1" applyProtection="1">
      <protection hidden="1"/>
    </xf>
    <xf numFmtId="0" fontId="8" fillId="0" borderId="0" xfId="0" applyFont="1" applyFill="1" applyBorder="1" applyAlignment="1" applyProtection="1">
      <alignment vertical="center"/>
      <protection hidden="1"/>
    </xf>
    <xf numFmtId="0" fontId="7" fillId="0" borderId="0" xfId="0" applyFont="1" applyFill="1" applyAlignment="1" applyProtection="1">
      <alignment vertical="center"/>
      <protection hidden="1"/>
    </xf>
    <xf numFmtId="0" fontId="4" fillId="0" borderId="0" xfId="0" applyFont="1" applyFill="1" applyAlignment="1" applyProtection="1">
      <alignment horizontal="right" vertical="center"/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8" fillId="0" borderId="0" xfId="0" applyFont="1" applyFill="1" applyAlignment="1" applyProtection="1">
      <alignment horizontal="right" vertical="center"/>
      <protection hidden="1"/>
    </xf>
    <xf numFmtId="0" fontId="4" fillId="0" borderId="0" xfId="0" applyFont="1" applyFill="1" applyBorder="1" applyAlignment="1" applyProtection="1">
      <alignment horizontal="left" vertical="center" indent="7"/>
      <protection hidden="1"/>
    </xf>
    <xf numFmtId="167" fontId="23" fillId="0" borderId="0" xfId="0" applyNumberFormat="1" applyFont="1" applyFill="1" applyBorder="1" applyAlignment="1" applyProtection="1">
      <alignment horizontal="center" wrapText="1"/>
      <protection hidden="1"/>
    </xf>
    <xf numFmtId="167" fontId="26" fillId="0" borderId="0" xfId="0" applyNumberFormat="1" applyFont="1" applyFill="1" applyBorder="1" applyAlignment="1" applyProtection="1">
      <alignment wrapText="1"/>
      <protection hidden="1"/>
    </xf>
    <xf numFmtId="167" fontId="10" fillId="0" borderId="0" xfId="0" applyNumberFormat="1" applyFont="1" applyFill="1" applyBorder="1" applyAlignment="1" applyProtection="1">
      <alignment horizontal="justify" vertical="top" wrapText="1"/>
      <protection hidden="1"/>
    </xf>
    <xf numFmtId="167" fontId="10" fillId="0" borderId="0" xfId="0" applyNumberFormat="1" applyFont="1" applyFill="1" applyBorder="1" applyAlignment="1" applyProtection="1">
      <alignment horizontal="left" vertical="top" wrapText="1"/>
      <protection hidden="1"/>
    </xf>
    <xf numFmtId="167" fontId="21" fillId="0" borderId="0" xfId="1" applyNumberFormat="1" applyFont="1" applyFill="1" applyBorder="1" applyAlignment="1" applyProtection="1">
      <alignment horizontal="left" wrapText="1" indent="10"/>
      <protection hidden="1"/>
    </xf>
    <xf numFmtId="167" fontId="29" fillId="0" borderId="0" xfId="0" applyNumberFormat="1" applyFont="1" applyFill="1" applyBorder="1" applyAlignment="1" applyProtection="1">
      <alignment horizontal="left" vertical="top" wrapText="1"/>
      <protection hidden="1"/>
    </xf>
    <xf numFmtId="0" fontId="7" fillId="0" borderId="0" xfId="0" applyFont="1" applyAlignment="1" applyProtection="1">
      <alignment horizontal="right" vertic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15" fillId="11" borderId="4" xfId="0" applyFont="1" applyFill="1" applyBorder="1" applyAlignment="1" applyProtection="1">
      <alignment horizontal="center" vertical="center"/>
      <protection hidden="1"/>
    </xf>
    <xf numFmtId="0" fontId="7" fillId="0" borderId="0" xfId="0" applyFont="1"/>
    <xf numFmtId="0" fontId="33" fillId="0" borderId="0" xfId="0" applyFont="1" applyFill="1" applyBorder="1" applyAlignment="1" applyProtection="1">
      <alignment vertical="center"/>
      <protection hidden="1"/>
    </xf>
    <xf numFmtId="0" fontId="15" fillId="0" borderId="0" xfId="0" applyFont="1" applyFill="1" applyAlignment="1" applyProtection="1">
      <alignment vertical="center"/>
      <protection hidden="1"/>
    </xf>
    <xf numFmtId="0" fontId="15" fillId="0" borderId="0" xfId="0" applyFont="1" applyFill="1" applyAlignment="1" applyProtection="1">
      <alignment horizontal="right" vertical="center"/>
      <protection hidden="1"/>
    </xf>
    <xf numFmtId="0" fontId="15" fillId="0" borderId="0" xfId="0" applyFont="1" applyFill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vertical="center"/>
      <protection hidden="1"/>
    </xf>
    <xf numFmtId="0" fontId="36" fillId="0" borderId="0" xfId="0" applyFont="1" applyAlignment="1" applyProtection="1">
      <alignment vertical="center"/>
      <protection hidden="1"/>
    </xf>
    <xf numFmtId="0" fontId="37" fillId="0" borderId="7" xfId="0" applyFont="1" applyBorder="1" applyAlignment="1" applyProtection="1">
      <alignment horizontal="center" vertical="center" textRotation="90"/>
      <protection hidden="1"/>
    </xf>
    <xf numFmtId="0" fontId="38" fillId="0" borderId="0" xfId="0" applyFont="1" applyBorder="1" applyAlignment="1" applyProtection="1">
      <alignment vertical="center"/>
      <protection locked="0"/>
    </xf>
    <xf numFmtId="14" fontId="38" fillId="0" borderId="0" xfId="0" applyNumberFormat="1" applyFont="1" applyBorder="1" applyAlignment="1" applyProtection="1">
      <alignment horizontal="center" vertical="center"/>
      <protection locked="0"/>
    </xf>
    <xf numFmtId="175" fontId="38" fillId="0" borderId="0" xfId="0" applyNumberFormat="1" applyFont="1" applyBorder="1" applyAlignment="1" applyProtection="1">
      <alignment horizontal="center" vertical="center"/>
      <protection locked="0"/>
    </xf>
    <xf numFmtId="176" fontId="38" fillId="0" borderId="0" xfId="0" applyNumberFormat="1" applyFont="1" applyBorder="1" applyAlignment="1" applyProtection="1">
      <alignment horizontal="center" vertical="center"/>
      <protection locked="0"/>
    </xf>
    <xf numFmtId="0" fontId="17" fillId="0" borderId="0" xfId="0" applyFont="1" applyBorder="1" applyAlignment="1" applyProtection="1">
      <alignment vertical="center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vertical="center"/>
      <protection hidden="1"/>
    </xf>
    <xf numFmtId="0" fontId="15" fillId="0" borderId="0" xfId="0" applyFont="1" applyBorder="1" applyAlignment="1" applyProtection="1">
      <alignment horizontal="center" vertical="center"/>
      <protection hidden="1"/>
    </xf>
    <xf numFmtId="177" fontId="15" fillId="0" borderId="0" xfId="0" applyNumberFormat="1" applyFont="1" applyBorder="1" applyAlignment="1" applyProtection="1">
      <alignment horizontal="center" vertical="center"/>
      <protection hidden="1"/>
    </xf>
    <xf numFmtId="175" fontId="15" fillId="0" borderId="0" xfId="0" applyNumberFormat="1" applyFont="1" applyBorder="1" applyAlignment="1" applyProtection="1">
      <alignment horizontal="center" vertical="center"/>
      <protection hidden="1"/>
    </xf>
    <xf numFmtId="176" fontId="15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36" fillId="0" borderId="0" xfId="0" applyFont="1" applyProtection="1">
      <protection hidden="1"/>
    </xf>
    <xf numFmtId="0" fontId="11" fillId="0" borderId="0" xfId="0" applyFont="1" applyBorder="1" applyAlignment="1" applyProtection="1">
      <alignment horizontal="right" vertical="center"/>
      <protection hidden="1"/>
    </xf>
    <xf numFmtId="0" fontId="38" fillId="0" borderId="0" xfId="0" applyFont="1" applyBorder="1" applyAlignment="1" applyProtection="1">
      <alignment vertical="center"/>
      <protection hidden="1"/>
    </xf>
    <xf numFmtId="0" fontId="38" fillId="0" borderId="0" xfId="0" applyFont="1" applyBorder="1" applyAlignment="1" applyProtection="1">
      <alignment horizontal="center" vertical="center"/>
      <protection hidden="1"/>
    </xf>
    <xf numFmtId="175" fontId="38" fillId="0" borderId="0" xfId="0" applyNumberFormat="1" applyFont="1" applyBorder="1" applyAlignment="1" applyProtection="1">
      <alignment horizontal="center" vertical="center"/>
      <protection hidden="1"/>
    </xf>
    <xf numFmtId="176" fontId="38" fillId="0" borderId="0" xfId="0" applyNumberFormat="1" applyFont="1" applyBorder="1" applyAlignment="1" applyProtection="1">
      <alignment horizontal="center" vertical="center"/>
      <protection hidden="1"/>
    </xf>
    <xf numFmtId="0" fontId="4" fillId="0" borderId="0" xfId="0" applyFont="1" applyBorder="1" applyAlignment="1" applyProtection="1">
      <alignment horizontal="right" vertical="center"/>
      <protection hidden="1"/>
    </xf>
    <xf numFmtId="0" fontId="15" fillId="0" borderId="0" xfId="0" applyFont="1" applyAlignment="1" applyProtection="1">
      <alignment horizontal="right"/>
      <protection hidden="1"/>
    </xf>
    <xf numFmtId="0" fontId="15" fillId="0" borderId="0" xfId="0" applyFont="1" applyAlignment="1" applyProtection="1">
      <alignment horizontal="center"/>
      <protection hidden="1"/>
    </xf>
    <xf numFmtId="0" fontId="13" fillId="0" borderId="0" xfId="0" applyFont="1" applyFill="1" applyBorder="1" applyAlignment="1" applyProtection="1">
      <alignment vertical="center"/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166" fontId="15" fillId="0" borderId="0" xfId="0" applyNumberFormat="1" applyFont="1" applyFill="1" applyBorder="1" applyAlignment="1" applyProtection="1">
      <alignment horizontal="right" vertical="center"/>
      <protection hidden="1"/>
    </xf>
    <xf numFmtId="181" fontId="15" fillId="0" borderId="0" xfId="0" applyNumberFormat="1" applyFont="1" applyFill="1" applyBorder="1" applyAlignment="1" applyProtection="1">
      <alignment vertical="center"/>
      <protection hidden="1"/>
    </xf>
    <xf numFmtId="0" fontId="40" fillId="0" borderId="0" xfId="0" applyFont="1" applyFill="1" applyBorder="1" applyProtection="1">
      <protection hidden="1"/>
    </xf>
    <xf numFmtId="0" fontId="7" fillId="12" borderId="0" xfId="0" applyFont="1" applyFill="1" applyBorder="1" applyProtection="1">
      <protection hidden="1"/>
    </xf>
    <xf numFmtId="0" fontId="7" fillId="9" borderId="0" xfId="0" applyFont="1" applyFill="1" applyBorder="1" applyProtection="1">
      <protection hidden="1"/>
    </xf>
    <xf numFmtId="0" fontId="41" fillId="0" borderId="0" xfId="0" applyFont="1" applyFill="1" applyBorder="1" applyAlignment="1" applyProtection="1">
      <alignment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42" fillId="0" borderId="0" xfId="0" applyFont="1" applyFill="1" applyBorder="1" applyAlignment="1" applyProtection="1">
      <alignment vertical="center"/>
      <protection hidden="1"/>
    </xf>
    <xf numFmtId="0" fontId="31" fillId="0" borderId="0" xfId="0" applyFont="1" applyFill="1" applyBorder="1" applyAlignment="1" applyProtection="1">
      <alignment vertical="center"/>
      <protection hidden="1"/>
    </xf>
    <xf numFmtId="0" fontId="10" fillId="0" borderId="0" xfId="0" applyFont="1" applyFill="1" applyBorder="1" applyAlignment="1" applyProtection="1">
      <alignment vertical="center" textRotation="180"/>
      <protection hidden="1"/>
    </xf>
    <xf numFmtId="0" fontId="10" fillId="0" borderId="0" xfId="0" applyFont="1" applyFill="1" applyBorder="1" applyAlignment="1" applyProtection="1">
      <alignment horizontal="center" wrapText="1"/>
      <protection hidden="1"/>
    </xf>
    <xf numFmtId="0" fontId="10" fillId="0" borderId="0" xfId="0" applyFont="1" applyFill="1" applyBorder="1" applyAlignment="1" applyProtection="1">
      <alignment vertical="center" wrapText="1"/>
      <protection hidden="1"/>
    </xf>
    <xf numFmtId="0" fontId="15" fillId="0" borderId="0" xfId="0" applyFont="1" applyFill="1" applyBorder="1" applyProtection="1">
      <protection hidden="1"/>
    </xf>
    <xf numFmtId="0" fontId="15" fillId="0" borderId="0" xfId="0" applyFont="1" applyFill="1" applyBorder="1" applyAlignment="1" applyProtection="1">
      <protection hidden="1"/>
    </xf>
    <xf numFmtId="0" fontId="15" fillId="0" borderId="0" xfId="0" applyFont="1" applyFill="1" applyBorder="1" applyAlignment="1" applyProtection="1">
      <alignment horizontal="right"/>
      <protection hidden="1"/>
    </xf>
    <xf numFmtId="166" fontId="15" fillId="0" borderId="0" xfId="0" applyNumberFormat="1" applyFont="1" applyFill="1" applyBorder="1" applyAlignment="1" applyProtection="1">
      <alignment horizontal="right"/>
      <protection hidden="1"/>
    </xf>
    <xf numFmtId="181" fontId="15" fillId="0" borderId="0" xfId="0" applyNumberFormat="1" applyFont="1" applyFill="1" applyBorder="1" applyAlignment="1" applyProtection="1">
      <protection hidden="1"/>
    </xf>
    <xf numFmtId="0" fontId="15" fillId="0" borderId="0" xfId="0" applyFont="1" applyFill="1" applyBorder="1" applyAlignment="1" applyProtection="1">
      <alignment horizontal="center"/>
      <protection hidden="1"/>
    </xf>
    <xf numFmtId="0" fontId="44" fillId="0" borderId="0" xfId="0" applyFont="1" applyBorder="1" applyAlignment="1" applyProtection="1">
      <alignment vertical="top"/>
      <protection hidden="1"/>
    </xf>
    <xf numFmtId="0" fontId="45" fillId="0" borderId="0" xfId="0" applyFont="1" applyFill="1" applyBorder="1" applyAlignment="1" applyProtection="1">
      <alignment horizontal="right" vertical="top"/>
      <protection hidden="1"/>
    </xf>
    <xf numFmtId="0" fontId="46" fillId="0" borderId="7" xfId="0" applyFont="1" applyFill="1" applyBorder="1" applyAlignment="1" applyProtection="1">
      <alignment horizontal="left" vertical="top"/>
      <protection hidden="1"/>
    </xf>
    <xf numFmtId="0" fontId="46" fillId="0" borderId="0" xfId="0" applyFont="1" applyFill="1" applyBorder="1" applyAlignment="1" applyProtection="1">
      <alignment horizontal="left" vertical="top"/>
      <protection hidden="1"/>
    </xf>
    <xf numFmtId="0" fontId="46" fillId="0" borderId="0" xfId="0" applyFont="1" applyFill="1" applyBorder="1" applyAlignment="1" applyProtection="1">
      <alignment horizontal="right" vertical="top"/>
      <protection hidden="1"/>
    </xf>
    <xf numFmtId="0" fontId="46" fillId="0" borderId="8" xfId="0" applyFont="1" applyFill="1" applyBorder="1" applyAlignment="1" applyProtection="1">
      <alignment horizontal="right" vertical="top"/>
      <protection hidden="1"/>
    </xf>
    <xf numFmtId="0" fontId="45" fillId="0" borderId="0" xfId="0" applyFont="1" applyFill="1" applyBorder="1" applyAlignment="1" applyProtection="1">
      <alignment horizontal="left" vertical="top"/>
      <protection hidden="1"/>
    </xf>
    <xf numFmtId="0" fontId="7" fillId="0" borderId="7" xfId="0" applyFont="1" applyFill="1" applyBorder="1" applyProtection="1">
      <protection hidden="1"/>
    </xf>
    <xf numFmtId="0" fontId="15" fillId="0" borderId="0" xfId="0" applyFont="1" applyFill="1" applyBorder="1" applyAlignment="1" applyProtection="1">
      <alignment vertical="top" wrapText="1"/>
      <protection hidden="1"/>
    </xf>
    <xf numFmtId="0" fontId="7" fillId="0" borderId="8" xfId="0" applyFont="1" applyFill="1" applyBorder="1" applyProtection="1">
      <protection hidden="1"/>
    </xf>
    <xf numFmtId="0" fontId="15" fillId="0" borderId="0" xfId="0" applyFont="1" applyFill="1" applyBorder="1" applyAlignment="1" applyProtection="1">
      <alignment horizontal="left" vertical="top" wrapText="1"/>
      <protection hidden="1"/>
    </xf>
    <xf numFmtId="0" fontId="7" fillId="0" borderId="0" xfId="0" applyFont="1" applyBorder="1" applyAlignment="1" applyProtection="1">
      <protection hidden="1"/>
    </xf>
    <xf numFmtId="0" fontId="4" fillId="0" borderId="0" xfId="0" applyFont="1" applyBorder="1" applyAlignment="1" applyProtection="1">
      <alignment horizontal="right" wrapText="1"/>
      <protection hidden="1"/>
    </xf>
    <xf numFmtId="0" fontId="7" fillId="0" borderId="7" xfId="0" applyFont="1" applyFill="1" applyBorder="1" applyAlignment="1" applyProtection="1">
      <protection hidden="1"/>
    </xf>
    <xf numFmtId="0" fontId="7" fillId="0" borderId="0" xfId="0" applyFont="1" applyFill="1" applyBorder="1" applyAlignment="1" applyProtection="1">
      <protection hidden="1"/>
    </xf>
    <xf numFmtId="0" fontId="7" fillId="0" borderId="8" xfId="0" applyFont="1" applyFill="1" applyBorder="1" applyAlignment="1" applyProtection="1">
      <protection hidden="1"/>
    </xf>
    <xf numFmtId="0" fontId="7" fillId="0" borderId="0" xfId="0" applyFont="1" applyAlignment="1" applyProtection="1">
      <protection hidden="1"/>
    </xf>
    <xf numFmtId="0" fontId="7" fillId="0" borderId="7" xfId="0" applyFont="1" applyBorder="1" applyProtection="1">
      <protection hidden="1"/>
    </xf>
    <xf numFmtId="0" fontId="7" fillId="0" borderId="8" xfId="0" applyFont="1" applyBorder="1" applyProtection="1">
      <protection hidden="1"/>
    </xf>
    <xf numFmtId="0" fontId="15" fillId="0" borderId="0" xfId="0" applyFont="1" applyBorder="1" applyAlignment="1" applyProtection="1">
      <alignment horizontal="left" vertical="center"/>
      <protection hidden="1"/>
    </xf>
    <xf numFmtId="0" fontId="10" fillId="0" borderId="0" xfId="0" applyFont="1" applyBorder="1" applyAlignment="1">
      <alignment horizontal="right"/>
    </xf>
    <xf numFmtId="0" fontId="15" fillId="0" borderId="0" xfId="0" applyFont="1" applyBorder="1" applyAlignment="1" applyProtection="1">
      <alignment horizontal="left" vertical="top"/>
      <protection hidden="1"/>
    </xf>
    <xf numFmtId="0" fontId="7" fillId="0" borderId="7" xfId="0" applyFont="1" applyBorder="1" applyAlignment="1" applyProtection="1">
      <protection hidden="1"/>
    </xf>
    <xf numFmtId="0" fontId="7" fillId="0" borderId="8" xfId="0" applyFont="1" applyBorder="1" applyAlignment="1" applyProtection="1">
      <protection hidden="1"/>
    </xf>
    <xf numFmtId="0" fontId="7" fillId="0" borderId="0" xfId="0" applyFont="1" applyFill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7" fillId="0" borderId="0" xfId="0" applyFont="1" applyFill="1" applyBorder="1" applyAlignment="1" applyProtection="1">
      <alignment horizontal="left"/>
      <protection hidden="1"/>
    </xf>
    <xf numFmtId="0" fontId="15" fillId="0" borderId="0" xfId="0" applyFont="1" applyBorder="1" applyAlignment="1" applyProtection="1">
      <alignment horizontal="right" vertical="top"/>
      <protection hidden="1"/>
    </xf>
    <xf numFmtId="0" fontId="10" fillId="0" borderId="0" xfId="0" applyFont="1"/>
    <xf numFmtId="0" fontId="4" fillId="0" borderId="0" xfId="0" applyFont="1" applyBorder="1" applyAlignment="1" applyProtection="1">
      <alignment horizontal="right"/>
      <protection hidden="1"/>
    </xf>
    <xf numFmtId="0" fontId="47" fillId="0" borderId="0" xfId="0" applyFont="1" applyAlignment="1" applyProtection="1">
      <alignment vertical="center"/>
      <protection hidden="1"/>
    </xf>
    <xf numFmtId="0" fontId="39" fillId="0" borderId="0" xfId="0" applyFont="1" applyAlignment="1" applyProtection="1">
      <alignment vertical="center"/>
      <protection hidden="1"/>
    </xf>
    <xf numFmtId="0" fontId="47" fillId="0" borderId="0" xfId="0" applyFont="1" applyBorder="1" applyAlignment="1" applyProtection="1">
      <alignment vertical="center"/>
      <protection hidden="1"/>
    </xf>
    <xf numFmtId="0" fontId="39" fillId="0" borderId="0" xfId="0" applyFont="1" applyBorder="1" applyAlignment="1" applyProtection="1">
      <alignment vertical="center"/>
      <protection hidden="1"/>
    </xf>
    <xf numFmtId="0" fontId="49" fillId="0" borderId="0" xfId="0" applyFont="1" applyFill="1" applyBorder="1" applyAlignment="1" applyProtection="1">
      <alignment horizontal="center" vertical="center"/>
      <protection hidden="1"/>
    </xf>
    <xf numFmtId="0" fontId="49" fillId="0" borderId="0" xfId="0" applyFont="1" applyFill="1" applyBorder="1" applyAlignment="1" applyProtection="1">
      <alignment vertical="center"/>
      <protection hidden="1"/>
    </xf>
    <xf numFmtId="0" fontId="49" fillId="0" borderId="0" xfId="0" applyFont="1" applyFill="1" applyBorder="1" applyAlignment="1" applyProtection="1">
      <alignment horizontal="right" vertical="center"/>
      <protection hidden="1"/>
    </xf>
    <xf numFmtId="0" fontId="50" fillId="0" borderId="0" xfId="0" applyFont="1" applyFill="1" applyBorder="1" applyAlignment="1" applyProtection="1">
      <alignment horizontal="center" vertical="center"/>
      <protection hidden="1"/>
    </xf>
    <xf numFmtId="0" fontId="49" fillId="0" borderId="0" xfId="0" applyFont="1" applyFill="1" applyBorder="1" applyAlignment="1" applyProtection="1">
      <alignment horizontal="left" vertical="center"/>
      <protection hidden="1"/>
    </xf>
    <xf numFmtId="0" fontId="53" fillId="0" borderId="0" xfId="0" applyFont="1" applyFill="1" applyBorder="1" applyAlignment="1" applyProtection="1">
      <alignment horizontal="left" vertical="center"/>
      <protection hidden="1"/>
    </xf>
    <xf numFmtId="0" fontId="54" fillId="0" borderId="0" xfId="0" applyFont="1" applyFill="1" applyBorder="1" applyAlignment="1" applyProtection="1">
      <protection hidden="1"/>
    </xf>
    <xf numFmtId="0" fontId="40" fillId="0" borderId="0" xfId="0" applyFont="1" applyFill="1" applyBorder="1" applyAlignment="1" applyProtection="1">
      <alignment horizontal="center"/>
      <protection hidden="1"/>
    </xf>
    <xf numFmtId="0" fontId="29" fillId="0" borderId="0" xfId="0" applyFont="1" applyFill="1" applyBorder="1" applyAlignment="1" applyProtection="1">
      <protection hidden="1"/>
    </xf>
    <xf numFmtId="0" fontId="56" fillId="0" borderId="0" xfId="0" applyNumberFormat="1" applyFont="1" applyFill="1" applyBorder="1" applyAlignment="1" applyProtection="1">
      <alignment horizontal="center" vertical="center"/>
      <protection hidden="1"/>
    </xf>
    <xf numFmtId="0" fontId="57" fillId="0" borderId="0" xfId="0" applyFont="1" applyFill="1" applyBorder="1" applyAlignment="1" applyProtection="1">
      <protection hidden="1"/>
    </xf>
    <xf numFmtId="0" fontId="58" fillId="0" borderId="0" xfId="0" applyFont="1" applyFill="1" applyBorder="1" applyAlignment="1" applyProtection="1">
      <alignment horizontal="right" vertical="center"/>
      <protection hidden="1"/>
    </xf>
    <xf numFmtId="20" fontId="16" fillId="0" borderId="9" xfId="0" applyNumberFormat="1" applyFont="1" applyFill="1" applyBorder="1" applyAlignment="1" applyProtection="1">
      <protection hidden="1"/>
    </xf>
    <xf numFmtId="1" fontId="48" fillId="0" borderId="9" xfId="0" applyNumberFormat="1" applyFont="1" applyFill="1" applyBorder="1" applyAlignment="1" applyProtection="1">
      <alignment horizontal="center"/>
      <protection hidden="1"/>
    </xf>
    <xf numFmtId="168" fontId="32" fillId="0" borderId="0" xfId="0" applyNumberFormat="1" applyFont="1" applyFill="1" applyBorder="1" applyAlignment="1" applyProtection="1">
      <alignment vertical="center" textRotation="90"/>
      <protection hidden="1"/>
    </xf>
    <xf numFmtId="0" fontId="40" fillId="0" borderId="0" xfId="0" applyFont="1" applyFill="1" applyBorder="1" applyAlignment="1" applyProtection="1">
      <protection hidden="1"/>
    </xf>
    <xf numFmtId="0" fontId="40" fillId="0" borderId="0" xfId="0" applyFont="1" applyFill="1" applyBorder="1" applyAlignment="1" applyProtection="1">
      <alignment horizontal="right"/>
      <protection hidden="1"/>
    </xf>
    <xf numFmtId="0" fontId="40" fillId="0" borderId="0" xfId="0" applyFont="1" applyFill="1" applyBorder="1" applyAlignment="1" applyProtection="1">
      <alignment horizontal="left"/>
      <protection hidden="1"/>
    </xf>
    <xf numFmtId="0" fontId="56" fillId="0" borderId="0" xfId="0" applyNumberFormat="1" applyFont="1" applyFill="1" applyBorder="1" applyAlignment="1" applyProtection="1">
      <alignment horizontal="left" vertical="center"/>
      <protection hidden="1"/>
    </xf>
    <xf numFmtId="0" fontId="57" fillId="0" borderId="0" xfId="0" applyFont="1" applyFill="1" applyBorder="1" applyAlignment="1" applyProtection="1">
      <alignment horizontal="left"/>
      <protection hidden="1"/>
    </xf>
    <xf numFmtId="0" fontId="59" fillId="0" borderId="0" xfId="0" applyFont="1" applyFill="1" applyBorder="1" applyAlignment="1" applyProtection="1">
      <alignment horizontal="left" vertical="center"/>
      <protection hidden="1"/>
    </xf>
    <xf numFmtId="20" fontId="16" fillId="0" borderId="0" xfId="0" applyNumberFormat="1" applyFont="1" applyFill="1" applyBorder="1" applyAlignment="1" applyProtection="1">
      <alignment vertical="top"/>
      <protection hidden="1"/>
    </xf>
    <xf numFmtId="1" fontId="48" fillId="0" borderId="0" xfId="0" applyNumberFormat="1" applyFont="1" applyFill="1" applyBorder="1" applyAlignment="1" applyProtection="1">
      <alignment horizontal="center" vertical="top"/>
      <protection hidden="1"/>
    </xf>
    <xf numFmtId="20" fontId="40" fillId="0" borderId="0" xfId="0" applyNumberFormat="1" applyFont="1" applyFill="1" applyBorder="1" applyAlignment="1" applyProtection="1">
      <alignment vertical="center"/>
      <protection hidden="1"/>
    </xf>
    <xf numFmtId="164" fontId="15" fillId="0" borderId="0" xfId="0" applyNumberFormat="1" applyFont="1" applyFill="1" applyBorder="1" applyAlignment="1" applyProtection="1">
      <alignment vertical="center"/>
      <protection hidden="1"/>
    </xf>
    <xf numFmtId="165" fontId="15" fillId="0" borderId="0" xfId="0" applyNumberFormat="1" applyFont="1" applyFill="1" applyBorder="1" applyAlignment="1" applyProtection="1">
      <alignment vertical="center"/>
      <protection hidden="1"/>
    </xf>
    <xf numFmtId="164" fontId="7" fillId="0" borderId="0" xfId="0" applyNumberFormat="1" applyFont="1" applyFill="1" applyBorder="1" applyAlignment="1" applyProtection="1">
      <alignment vertical="center"/>
      <protection hidden="1"/>
    </xf>
    <xf numFmtId="165" fontId="60" fillId="11" borderId="10" xfId="0" applyNumberFormat="1" applyFont="1" applyFill="1" applyBorder="1" applyAlignment="1" applyProtection="1">
      <alignment horizontal="left" vertical="center"/>
      <protection hidden="1"/>
    </xf>
    <xf numFmtId="165" fontId="61" fillId="11" borderId="11" xfId="0" applyNumberFormat="1" applyFont="1" applyFill="1" applyBorder="1" applyAlignment="1" applyProtection="1">
      <alignment horizontal="center" vertical="center"/>
      <protection hidden="1"/>
    </xf>
    <xf numFmtId="165" fontId="61" fillId="11" borderId="11" xfId="0" applyNumberFormat="1" applyFont="1" applyFill="1" applyBorder="1" applyAlignment="1" applyProtection="1">
      <alignment horizontal="right" vertical="center"/>
      <protection hidden="1"/>
    </xf>
    <xf numFmtId="166" fontId="61" fillId="11" borderId="11" xfId="0" applyNumberFormat="1" applyFont="1" applyFill="1" applyBorder="1" applyAlignment="1" applyProtection="1">
      <alignment horizontal="right" vertical="center"/>
      <protection hidden="1"/>
    </xf>
    <xf numFmtId="181" fontId="61" fillId="11" borderId="12" xfId="0" applyNumberFormat="1" applyFont="1" applyFill="1" applyBorder="1" applyAlignment="1" applyProtection="1">
      <alignment vertical="center"/>
      <protection hidden="1"/>
    </xf>
    <xf numFmtId="0" fontId="14" fillId="0" borderId="9" xfId="0" applyFont="1" applyFill="1" applyBorder="1" applyAlignment="1" applyProtection="1">
      <alignment vertical="center"/>
      <protection hidden="1"/>
    </xf>
    <xf numFmtId="0" fontId="10" fillId="0" borderId="9" xfId="0" applyFont="1" applyFill="1" applyBorder="1" applyAlignment="1" applyProtection="1">
      <alignment horizontal="center" vertical="center"/>
      <protection hidden="1"/>
    </xf>
    <xf numFmtId="166" fontId="10" fillId="0" borderId="9" xfId="0" applyNumberFormat="1" applyFont="1" applyFill="1" applyBorder="1" applyAlignment="1" applyProtection="1">
      <alignment horizontal="right" vertical="center"/>
      <protection hidden="1"/>
    </xf>
    <xf numFmtId="181" fontId="14" fillId="0" borderId="9" xfId="0" applyNumberFormat="1" applyFont="1" applyFill="1" applyBorder="1" applyAlignment="1" applyProtection="1">
      <alignment vertical="center"/>
      <protection hidden="1"/>
    </xf>
    <xf numFmtId="0" fontId="10" fillId="0" borderId="11" xfId="0" applyFont="1" applyFill="1" applyBorder="1" applyAlignment="1" applyProtection="1">
      <alignment horizontal="center" vertical="center"/>
      <protection hidden="1"/>
    </xf>
    <xf numFmtId="166" fontId="10" fillId="0" borderId="11" xfId="0" applyNumberFormat="1" applyFont="1" applyFill="1" applyBorder="1" applyAlignment="1" applyProtection="1">
      <alignment horizontal="right" vertical="center"/>
      <protection hidden="1"/>
    </xf>
    <xf numFmtId="181" fontId="14" fillId="0" borderId="11" xfId="0" applyNumberFormat="1" applyFont="1" applyFill="1" applyBorder="1" applyAlignment="1" applyProtection="1">
      <alignment vertical="center"/>
      <protection hidden="1"/>
    </xf>
    <xf numFmtId="0" fontId="14" fillId="0" borderId="13" xfId="0" applyFont="1" applyFill="1" applyBorder="1" applyAlignment="1" applyProtection="1">
      <alignment vertical="center"/>
      <protection hidden="1"/>
    </xf>
    <xf numFmtId="0" fontId="10" fillId="0" borderId="13" xfId="0" applyFont="1" applyFill="1" applyBorder="1" applyAlignment="1" applyProtection="1">
      <alignment horizontal="center" vertical="center"/>
      <protection hidden="1"/>
    </xf>
    <xf numFmtId="166" fontId="10" fillId="0" borderId="13" xfId="0" applyNumberFormat="1" applyFont="1" applyFill="1" applyBorder="1" applyAlignment="1" applyProtection="1">
      <alignment horizontal="right" vertical="center"/>
      <protection hidden="1"/>
    </xf>
    <xf numFmtId="181" fontId="14" fillId="0" borderId="13" xfId="0" applyNumberFormat="1" applyFont="1" applyFill="1" applyBorder="1" applyAlignment="1" applyProtection="1">
      <alignment vertical="center"/>
      <protection hidden="1"/>
    </xf>
    <xf numFmtId="166" fontId="7" fillId="0" borderId="0" xfId="0" applyNumberFormat="1" applyFont="1" applyFill="1" applyBorder="1" applyAlignment="1" applyProtection="1">
      <alignment horizontal="right" vertical="center"/>
      <protection hidden="1"/>
    </xf>
    <xf numFmtId="181" fontId="7" fillId="0" borderId="0" xfId="0" applyNumberFormat="1" applyFont="1" applyFill="1" applyBorder="1" applyAlignment="1" applyProtection="1">
      <alignment vertical="center"/>
      <protection hidden="1"/>
    </xf>
    <xf numFmtId="165" fontId="7" fillId="0" borderId="0" xfId="0" applyNumberFormat="1" applyFont="1" applyFill="1" applyBorder="1" applyAlignment="1" applyProtection="1">
      <alignment vertical="center"/>
      <protection hidden="1"/>
    </xf>
    <xf numFmtId="164" fontId="15" fillId="0" borderId="0" xfId="0" applyNumberFormat="1" applyFont="1" applyFill="1" applyBorder="1" applyAlignment="1" applyProtection="1">
      <protection hidden="1"/>
    </xf>
    <xf numFmtId="165" fontId="15" fillId="0" borderId="0" xfId="0" applyNumberFormat="1" applyFont="1" applyFill="1" applyBorder="1" applyAlignment="1" applyProtection="1">
      <protection hidden="1"/>
    </xf>
    <xf numFmtId="171" fontId="15" fillId="0" borderId="0" xfId="0" applyNumberFormat="1" applyFont="1" applyFill="1" applyBorder="1" applyAlignment="1" applyProtection="1">
      <alignment horizontal="center" vertical="center"/>
      <protection hidden="1"/>
    </xf>
    <xf numFmtId="170" fontId="15" fillId="0" borderId="0" xfId="0" applyNumberFormat="1" applyFont="1" applyFill="1" applyBorder="1" applyAlignment="1" applyProtection="1">
      <alignment horizontal="center" vertical="center"/>
      <protection hidden="1"/>
    </xf>
    <xf numFmtId="0" fontId="15" fillId="0" borderId="0" xfId="0" applyFont="1" applyFill="1" applyBorder="1" applyAlignment="1" applyProtection="1">
      <alignment horizontal="center" vertical="center"/>
      <protection hidden="1"/>
    </xf>
    <xf numFmtId="0" fontId="10" fillId="0" borderId="0" xfId="0" applyFont="1" applyFill="1" applyBorder="1" applyAlignment="1" applyProtection="1">
      <alignment horizontal="right" vertical="center"/>
      <protection hidden="1"/>
    </xf>
    <xf numFmtId="0" fontId="10" fillId="0" borderId="0" xfId="0" applyFont="1" applyFill="1" applyBorder="1" applyAlignment="1" applyProtection="1">
      <alignment horizontal="left" vertical="center"/>
      <protection hidden="1"/>
    </xf>
    <xf numFmtId="0" fontId="9" fillId="0" borderId="0" xfId="0" applyFont="1" applyFill="1" applyBorder="1" applyAlignment="1" applyProtection="1">
      <alignment horizontal="center" vertical="center" textRotation="255" shrinkToFit="1"/>
      <protection hidden="1"/>
    </xf>
    <xf numFmtId="169" fontId="14" fillId="0" borderId="0" xfId="0" applyNumberFormat="1" applyFont="1" applyFill="1" applyBorder="1" applyAlignment="1" applyProtection="1">
      <alignment horizontal="left" vertical="center" indent="1"/>
      <protection hidden="1"/>
    </xf>
    <xf numFmtId="0" fontId="10" fillId="0" borderId="0" xfId="0" applyFont="1" applyFill="1" applyBorder="1" applyAlignment="1" applyProtection="1">
      <alignment horizontal="left" vertical="top"/>
      <protection hidden="1"/>
    </xf>
    <xf numFmtId="0" fontId="10" fillId="0" borderId="0" xfId="0" applyFont="1" applyFill="1" applyBorder="1" applyAlignment="1" applyProtection="1">
      <alignment horizontal="center" vertical="center" textRotation="255" shrinkToFit="1"/>
      <protection hidden="1"/>
    </xf>
    <xf numFmtId="170" fontId="14" fillId="0" borderId="14" xfId="0" applyNumberFormat="1" applyFont="1" applyFill="1" applyBorder="1" applyAlignment="1" applyProtection="1">
      <alignment horizontal="center" vertical="center"/>
      <protection hidden="1"/>
    </xf>
    <xf numFmtId="20" fontId="16" fillId="0" borderId="14" xfId="0" applyNumberFormat="1" applyFont="1" applyFill="1" applyBorder="1" applyAlignment="1" applyProtection="1">
      <alignment horizontal="right" vertical="center"/>
      <protection hidden="1"/>
    </xf>
    <xf numFmtId="20" fontId="16" fillId="0" borderId="14" xfId="0" applyNumberFormat="1" applyFont="1" applyFill="1" applyBorder="1" applyAlignment="1" applyProtection="1">
      <alignment horizontal="left" vertical="center"/>
      <protection hidden="1"/>
    </xf>
    <xf numFmtId="0" fontId="33" fillId="0" borderId="0" xfId="0" applyFont="1" applyFill="1" applyBorder="1" applyAlignment="1" applyProtection="1">
      <alignment horizontal="right" vertical="center"/>
      <protection hidden="1"/>
    </xf>
    <xf numFmtId="0" fontId="33" fillId="0" borderId="0" xfId="0" applyFont="1" applyFill="1" applyBorder="1" applyAlignment="1" applyProtection="1">
      <alignment horizontal="center" vertical="center"/>
      <protection hidden="1"/>
    </xf>
    <xf numFmtId="0" fontId="34" fillId="0" borderId="0" xfId="0" applyFont="1" applyFill="1" applyBorder="1" applyAlignment="1" applyProtection="1">
      <alignment vertical="center"/>
      <protection hidden="1"/>
    </xf>
    <xf numFmtId="0" fontId="14" fillId="0" borderId="0" xfId="0" applyFont="1" applyFill="1" applyBorder="1" applyAlignment="1" applyProtection="1">
      <alignment horizontal="center" vertical="center"/>
      <protection hidden="1"/>
    </xf>
    <xf numFmtId="171" fontId="15" fillId="0" borderId="0" xfId="0" applyNumberFormat="1" applyFont="1" applyFill="1" applyBorder="1" applyAlignment="1" applyProtection="1">
      <alignment horizontal="right" vertical="center"/>
      <protection hidden="1"/>
    </xf>
    <xf numFmtId="20" fontId="10" fillId="0" borderId="0" xfId="0" applyNumberFormat="1" applyFont="1" applyFill="1" applyBorder="1" applyAlignment="1" applyProtection="1">
      <alignment horizontal="right" vertical="center"/>
      <protection hidden="1"/>
    </xf>
    <xf numFmtId="20" fontId="10" fillId="0" borderId="0" xfId="0" applyNumberFormat="1" applyFont="1" applyFill="1" applyBorder="1" applyAlignment="1" applyProtection="1">
      <alignment horizontal="left" vertical="center"/>
      <protection hidden="1"/>
    </xf>
    <xf numFmtId="170" fontId="11" fillId="0" borderId="0" xfId="0" applyNumberFormat="1" applyFont="1" applyFill="1" applyBorder="1" applyAlignment="1" applyProtection="1">
      <alignment horizontal="left" indent="1"/>
      <protection hidden="1"/>
    </xf>
    <xf numFmtId="0" fontId="27" fillId="0" borderId="0" xfId="0" applyFont="1" applyFill="1" applyBorder="1" applyAlignment="1" applyProtection="1">
      <alignment horizontal="left"/>
      <protection hidden="1"/>
    </xf>
    <xf numFmtId="0" fontId="27" fillId="0" borderId="0" xfId="0" applyFont="1" applyFill="1" applyBorder="1" applyAlignment="1" applyProtection="1">
      <protection hidden="1"/>
    </xf>
    <xf numFmtId="170" fontId="14" fillId="0" borderId="14" xfId="0" applyNumberFormat="1" applyFont="1" applyFill="1" applyBorder="1" applyAlignment="1" applyProtection="1">
      <alignment horizontal="right" vertical="center"/>
      <protection hidden="1"/>
    </xf>
    <xf numFmtId="170" fontId="10" fillId="0" borderId="14" xfId="0" applyNumberFormat="1" applyFont="1" applyFill="1" applyBorder="1" applyAlignment="1" applyProtection="1">
      <alignment horizontal="left" vertical="center"/>
      <protection hidden="1"/>
    </xf>
    <xf numFmtId="0" fontId="48" fillId="0" borderId="14" xfId="0" applyFont="1" applyFill="1" applyBorder="1" applyAlignment="1" applyProtection="1">
      <alignment horizontal="right" vertical="center"/>
      <protection locked="0"/>
    </xf>
    <xf numFmtId="0" fontId="16" fillId="0" borderId="14" xfId="0" applyFont="1" applyFill="1" applyBorder="1" applyAlignment="1" applyProtection="1">
      <alignment horizontal="center" vertical="center"/>
      <protection hidden="1"/>
    </xf>
    <xf numFmtId="0" fontId="48" fillId="0" borderId="14" xfId="0" applyFont="1" applyFill="1" applyBorder="1" applyAlignment="1" applyProtection="1">
      <alignment horizontal="left" vertical="center"/>
      <protection locked="0"/>
    </xf>
    <xf numFmtId="0" fontId="29" fillId="0" borderId="0" xfId="0" applyFont="1" applyFill="1" applyBorder="1" applyAlignment="1" applyProtection="1">
      <alignment horizontal="center" vertical="center"/>
      <protection hidden="1"/>
    </xf>
    <xf numFmtId="0" fontId="4" fillId="10" borderId="9" xfId="0" applyFont="1" applyFill="1" applyBorder="1" applyAlignment="1" applyProtection="1">
      <alignment horizontal="center" vertical="center"/>
      <protection hidden="1"/>
    </xf>
    <xf numFmtId="0" fontId="4" fillId="10" borderId="11" xfId="0" applyFont="1" applyFill="1" applyBorder="1" applyAlignment="1" applyProtection="1">
      <alignment horizontal="center" vertical="center"/>
      <protection hidden="1"/>
    </xf>
    <xf numFmtId="0" fontId="4" fillId="10" borderId="15" xfId="0" applyFont="1" applyFill="1" applyBorder="1" applyAlignment="1" applyProtection="1">
      <alignment horizontal="center" vertical="center"/>
      <protection hidden="1"/>
    </xf>
    <xf numFmtId="0" fontId="35" fillId="0" borderId="0" xfId="0" applyFont="1" applyFill="1" applyBorder="1" applyAlignment="1" applyProtection="1">
      <alignment horizontal="left" vertical="center"/>
      <protection locked="0"/>
    </xf>
    <xf numFmtId="0" fontId="35" fillId="0" borderId="2" xfId="0" applyFont="1" applyFill="1" applyBorder="1" applyAlignment="1" applyProtection="1">
      <alignment horizontal="left" vertical="center"/>
      <protection locked="0"/>
    </xf>
    <xf numFmtId="0" fontId="35" fillId="0" borderId="0" xfId="0" applyFont="1" applyBorder="1" applyAlignment="1" applyProtection="1">
      <alignment horizontal="center" vertical="center"/>
      <protection locked="0"/>
    </xf>
    <xf numFmtId="0" fontId="35" fillId="0" borderId="2" xfId="0" applyFont="1" applyBorder="1" applyAlignment="1" applyProtection="1">
      <alignment horizontal="center" vertical="center"/>
      <protection locked="0"/>
    </xf>
    <xf numFmtId="0" fontId="15" fillId="0" borderId="0" xfId="0" applyFont="1" applyFill="1" applyBorder="1" applyAlignment="1" applyProtection="1">
      <alignment horizontal="right" vertical="center"/>
      <protection locked="0"/>
    </xf>
    <xf numFmtId="184" fontId="15" fillId="0" borderId="16" xfId="0" applyNumberFormat="1" applyFont="1" applyFill="1" applyBorder="1" applyAlignment="1" applyProtection="1">
      <alignment horizontal="right" vertical="center"/>
      <protection locked="0"/>
    </xf>
    <xf numFmtId="183" fontId="15" fillId="0" borderId="0" xfId="0" applyNumberFormat="1" applyFont="1" applyFill="1" applyBorder="1" applyAlignment="1" applyProtection="1">
      <alignment horizontal="left" vertical="center"/>
      <protection locked="0"/>
    </xf>
    <xf numFmtId="0" fontId="15" fillId="0" borderId="0" xfId="0" applyFont="1" applyFill="1" applyBorder="1" applyAlignment="1" applyProtection="1">
      <alignment horizontal="left" vertical="center"/>
      <protection locked="0"/>
    </xf>
    <xf numFmtId="184" fontId="15" fillId="0" borderId="17" xfId="0" applyNumberFormat="1" applyFont="1" applyFill="1" applyBorder="1" applyAlignment="1" applyProtection="1">
      <alignment horizontal="right" vertical="center"/>
      <protection locked="0"/>
    </xf>
    <xf numFmtId="184" fontId="15" fillId="0" borderId="0" xfId="0" applyNumberFormat="1" applyFont="1" applyFill="1" applyBorder="1" applyAlignment="1" applyProtection="1">
      <alignment horizontal="right" vertical="center"/>
      <protection locked="0"/>
    </xf>
    <xf numFmtId="185" fontId="4" fillId="0" borderId="18" xfId="0" applyNumberFormat="1" applyFont="1" applyFill="1" applyBorder="1" applyAlignment="1" applyProtection="1">
      <alignment horizontal="right" vertical="center"/>
      <protection hidden="1"/>
    </xf>
    <xf numFmtId="185" fontId="4" fillId="0" borderId="0" xfId="0" applyNumberFormat="1" applyFont="1" applyFill="1" applyBorder="1" applyAlignment="1" applyProtection="1">
      <alignment vertical="center"/>
      <protection hidden="1"/>
    </xf>
    <xf numFmtId="171" fontId="4" fillId="0" borderId="0" xfId="0" applyNumberFormat="1" applyFont="1" applyFill="1" applyBorder="1" applyAlignment="1" applyProtection="1">
      <alignment horizontal="left" vertical="center" indent="1"/>
      <protection hidden="1"/>
    </xf>
    <xf numFmtId="171" fontId="4" fillId="0" borderId="0" xfId="0" applyNumberFormat="1" applyFont="1" applyFill="1" applyBorder="1" applyAlignment="1" applyProtection="1">
      <alignment horizontal="right" vertical="center"/>
      <protection hidden="1"/>
    </xf>
    <xf numFmtId="171" fontId="30" fillId="0" borderId="0" xfId="0" applyNumberFormat="1" applyFont="1" applyFill="1" applyBorder="1" applyAlignment="1" applyProtection="1">
      <alignment horizontal="right" vertical="center" indent="8"/>
      <protection hidden="1"/>
    </xf>
    <xf numFmtId="185" fontId="4" fillId="0" borderId="0" xfId="0" applyNumberFormat="1" applyFont="1" applyFill="1" applyBorder="1" applyAlignment="1" applyProtection="1">
      <alignment horizontal="right" vertical="center"/>
      <protection hidden="1"/>
    </xf>
    <xf numFmtId="0" fontId="63" fillId="10" borderId="19" xfId="0" applyFont="1" applyFill="1" applyBorder="1" applyAlignment="1" applyProtection="1">
      <alignment horizontal="center" vertical="center"/>
      <protection hidden="1"/>
    </xf>
    <xf numFmtId="0" fontId="63" fillId="10" borderId="20" xfId="0" applyFont="1" applyFill="1" applyBorder="1" applyAlignment="1" applyProtection="1">
      <alignment horizontal="center" vertical="center"/>
      <protection hidden="1"/>
    </xf>
    <xf numFmtId="185" fontId="62" fillId="0" borderId="0" xfId="0" applyNumberFormat="1" applyFont="1" applyFill="1" applyBorder="1" applyAlignment="1" applyProtection="1">
      <alignment vertical="center"/>
      <protection hidden="1"/>
    </xf>
    <xf numFmtId="0" fontId="64" fillId="0" borderId="0" xfId="0" applyFont="1" applyBorder="1" applyProtection="1">
      <protection hidden="1"/>
    </xf>
    <xf numFmtId="0" fontId="35" fillId="0" borderId="21" xfId="0" applyFont="1" applyBorder="1" applyAlignment="1" applyProtection="1">
      <alignment horizontal="center" vertical="center"/>
      <protection locked="0"/>
    </xf>
    <xf numFmtId="20" fontId="47" fillId="0" borderId="6" xfId="0" applyNumberFormat="1" applyFont="1" applyFill="1" applyBorder="1" applyAlignment="1" applyProtection="1">
      <alignment horizontal="right" vertical="center"/>
      <protection hidden="1"/>
    </xf>
    <xf numFmtId="20" fontId="47" fillId="0" borderId="6" xfId="0" applyNumberFormat="1" applyFont="1" applyFill="1" applyBorder="1" applyAlignment="1" applyProtection="1">
      <alignment horizontal="left" vertical="center"/>
      <protection hidden="1"/>
    </xf>
    <xf numFmtId="180" fontId="65" fillId="0" borderId="6" xfId="0" applyNumberFormat="1" applyFont="1" applyFill="1" applyBorder="1" applyAlignment="1" applyProtection="1">
      <alignment horizontal="right" vertical="center"/>
      <protection hidden="1"/>
    </xf>
    <xf numFmtId="186" fontId="65" fillId="0" borderId="6" xfId="0" applyNumberFormat="1" applyFont="1" applyFill="1" applyBorder="1" applyAlignment="1" applyProtection="1">
      <alignment horizontal="left" vertical="center"/>
      <protection hidden="1"/>
    </xf>
    <xf numFmtId="0" fontId="63" fillId="0" borderId="6" xfId="0" applyFont="1" applyFill="1" applyBorder="1" applyAlignment="1" applyProtection="1">
      <alignment horizontal="center" vertical="center"/>
      <protection hidden="1"/>
    </xf>
    <xf numFmtId="0" fontId="15" fillId="11" borderId="4" xfId="0" applyFont="1" applyFill="1" applyBorder="1" applyAlignment="1" applyProtection="1">
      <alignment horizontal="center"/>
      <protection hidden="1"/>
    </xf>
    <xf numFmtId="0" fontId="7" fillId="9" borderId="0" xfId="0" applyFont="1" applyFill="1" applyProtection="1">
      <protection hidden="1"/>
    </xf>
    <xf numFmtId="0" fontId="7" fillId="12" borderId="0" xfId="0" applyFont="1" applyFill="1" applyProtection="1">
      <protection hidden="1"/>
    </xf>
    <xf numFmtId="0" fontId="4" fillId="0" borderId="4" xfId="0" applyFont="1" applyFill="1" applyBorder="1" applyProtection="1">
      <protection locked="0" hidden="1"/>
    </xf>
    <xf numFmtId="185" fontId="4" fillId="0" borderId="18" xfId="0" applyNumberFormat="1" applyFont="1" applyFill="1" applyBorder="1" applyAlignment="1" applyProtection="1">
      <alignment vertical="center"/>
      <protection hidden="1"/>
    </xf>
    <xf numFmtId="185" fontId="4" fillId="0" borderId="22" xfId="0" applyNumberFormat="1" applyFont="1" applyFill="1" applyBorder="1" applyAlignment="1" applyProtection="1">
      <alignment vertical="center"/>
      <protection hidden="1"/>
    </xf>
    <xf numFmtId="0" fontId="67" fillId="0" borderId="0" xfId="0" applyFont="1" applyAlignment="1" applyProtection="1">
      <alignment vertical="center"/>
      <protection hidden="1"/>
    </xf>
    <xf numFmtId="0" fontId="67" fillId="0" borderId="0" xfId="0" applyFont="1" applyBorder="1" applyAlignment="1" applyProtection="1">
      <alignment vertical="center"/>
      <protection hidden="1"/>
    </xf>
    <xf numFmtId="0" fontId="35" fillId="0" borderId="0" xfId="0" applyFont="1" applyBorder="1" applyAlignment="1" applyProtection="1">
      <alignment vertical="center"/>
      <protection locked="0"/>
    </xf>
    <xf numFmtId="0" fontId="35" fillId="0" borderId="2" xfId="0" applyFont="1" applyBorder="1" applyAlignment="1" applyProtection="1">
      <alignment vertical="center"/>
      <protection locked="0"/>
    </xf>
    <xf numFmtId="189" fontId="38" fillId="0" borderId="0" xfId="0" applyNumberFormat="1" applyFont="1" applyBorder="1" applyAlignment="1" applyProtection="1">
      <alignment horizontal="right" vertical="center"/>
      <protection locked="0"/>
    </xf>
    <xf numFmtId="177" fontId="38" fillId="0" borderId="0" xfId="0" applyNumberFormat="1" applyFont="1" applyBorder="1" applyAlignment="1" applyProtection="1">
      <alignment horizontal="left" vertical="center"/>
      <protection locked="0"/>
    </xf>
    <xf numFmtId="177" fontId="38" fillId="0" borderId="0" xfId="0" applyNumberFormat="1" applyFont="1" applyBorder="1" applyAlignment="1" applyProtection="1">
      <alignment horizontal="left" vertical="center"/>
      <protection hidden="1"/>
    </xf>
    <xf numFmtId="189" fontId="38" fillId="0" borderId="0" xfId="0" applyNumberFormat="1" applyFont="1" applyBorder="1" applyAlignment="1" applyProtection="1">
      <alignment horizontal="right" vertical="center"/>
      <protection hidden="1"/>
    </xf>
    <xf numFmtId="0" fontId="68" fillId="0" borderId="0" xfId="0" applyFont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left" vertical="center"/>
      <protection hidden="1"/>
    </xf>
    <xf numFmtId="0" fontId="35" fillId="0" borderId="0" xfId="0" applyFont="1" applyBorder="1" applyAlignment="1" applyProtection="1">
      <alignment horizontal="right" vertical="center"/>
      <protection hidden="1"/>
    </xf>
    <xf numFmtId="0" fontId="69" fillId="13" borderId="0" xfId="0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Fill="1" applyAlignment="1" applyProtection="1">
      <alignment horizontal="right"/>
      <protection hidden="1"/>
    </xf>
    <xf numFmtId="0" fontId="7" fillId="0" borderId="0" xfId="0" applyFont="1" applyFill="1" applyBorder="1" applyAlignment="1" applyProtection="1">
      <alignment horizontal="center"/>
      <protection hidden="1"/>
    </xf>
    <xf numFmtId="0" fontId="15" fillId="0" borderId="0" xfId="0" applyNumberFormat="1" applyFont="1" applyFill="1" applyBorder="1" applyAlignment="1" applyProtection="1">
      <alignment horizontal="center" textRotation="90"/>
      <protection hidden="1"/>
    </xf>
    <xf numFmtId="0" fontId="4" fillId="0" borderId="0" xfId="0" applyFont="1" applyFill="1" applyAlignment="1" applyProtection="1">
      <alignment horizontal="right" vertical="top"/>
      <protection hidden="1"/>
    </xf>
    <xf numFmtId="165" fontId="4" fillId="0" borderId="0" xfId="0" applyNumberFormat="1" applyFont="1" applyFill="1" applyBorder="1" applyAlignment="1" applyProtection="1">
      <alignment horizontal="center" vertical="top"/>
      <protection hidden="1"/>
    </xf>
    <xf numFmtId="0" fontId="13" fillId="0" borderId="0" xfId="0" applyFont="1" applyBorder="1" applyProtection="1">
      <protection hidden="1"/>
    </xf>
    <xf numFmtId="0" fontId="4" fillId="0" borderId="0" xfId="0" applyFont="1" applyAlignment="1" applyProtection="1">
      <alignment horizontal="center" vertical="top"/>
      <protection hidden="1"/>
    </xf>
    <xf numFmtId="0" fontId="4" fillId="0" borderId="0" xfId="0" applyFont="1" applyAlignment="1" applyProtection="1">
      <alignment horizontal="left" vertical="top"/>
      <protection hidden="1"/>
    </xf>
    <xf numFmtId="0" fontId="4" fillId="0" borderId="6" xfId="0" applyFont="1" applyBorder="1" applyAlignment="1" applyProtection="1">
      <alignment horizontal="right" vertical="center" indent="1"/>
      <protection hidden="1"/>
    </xf>
    <xf numFmtId="0" fontId="7" fillId="0" borderId="6" xfId="0" applyFont="1" applyBorder="1" applyProtection="1">
      <protection hidden="1"/>
    </xf>
    <xf numFmtId="0" fontId="15" fillId="0" borderId="23" xfId="0" applyNumberFormat="1" applyFont="1" applyFill="1" applyBorder="1" applyAlignment="1" applyProtection="1">
      <alignment horizontal="center" textRotation="90"/>
      <protection hidden="1"/>
    </xf>
    <xf numFmtId="0" fontId="14" fillId="0" borderId="6" xfId="0" applyFont="1" applyBorder="1" applyAlignment="1" applyProtection="1">
      <alignment vertical="center"/>
      <protection hidden="1"/>
    </xf>
    <xf numFmtId="0" fontId="7" fillId="10" borderId="24" xfId="0" applyFont="1" applyFill="1" applyBorder="1" applyAlignment="1" applyProtection="1">
      <alignment vertical="center"/>
      <protection hidden="1"/>
    </xf>
    <xf numFmtId="0" fontId="15" fillId="10" borderId="25" xfId="0" applyFont="1" applyFill="1" applyBorder="1" applyAlignment="1" applyProtection="1">
      <alignment vertical="center"/>
      <protection hidden="1"/>
    </xf>
    <xf numFmtId="0" fontId="7" fillId="10" borderId="25" xfId="0" applyFont="1" applyFill="1" applyBorder="1" applyAlignment="1" applyProtection="1">
      <alignment vertical="center"/>
      <protection hidden="1"/>
    </xf>
    <xf numFmtId="0" fontId="4" fillId="10" borderId="25" xfId="0" applyFont="1" applyFill="1" applyBorder="1" applyAlignment="1" applyProtection="1">
      <alignment horizontal="right" vertical="center"/>
      <protection hidden="1"/>
    </xf>
    <xf numFmtId="0" fontId="7" fillId="10" borderId="25" xfId="0" applyFont="1" applyFill="1" applyBorder="1" applyAlignment="1" applyProtection="1">
      <alignment horizontal="center" vertical="center"/>
      <protection hidden="1"/>
    </xf>
    <xf numFmtId="0" fontId="4" fillId="10" borderId="26" xfId="0" applyFont="1" applyFill="1" applyBorder="1" applyAlignment="1" applyProtection="1">
      <alignment horizontal="center" vertical="center"/>
      <protection hidden="1"/>
    </xf>
    <xf numFmtId="0" fontId="14" fillId="0" borderId="6" xfId="0" applyFont="1" applyBorder="1" applyAlignment="1" applyProtection="1">
      <protection hidden="1"/>
    </xf>
    <xf numFmtId="0" fontId="14" fillId="10" borderId="1" xfId="0" applyFont="1" applyFill="1" applyBorder="1" applyAlignment="1" applyProtection="1">
      <alignment horizontal="center" vertical="center"/>
      <protection locked="0"/>
    </xf>
    <xf numFmtId="0" fontId="8" fillId="0" borderId="0" xfId="0" applyFont="1" applyFill="1" applyBorder="1" applyAlignment="1" applyProtection="1">
      <alignment vertical="center" wrapText="1"/>
      <protection hidden="1"/>
    </xf>
    <xf numFmtId="0" fontId="7" fillId="0" borderId="0" xfId="0" applyFont="1" applyAlignment="1" applyProtection="1">
      <alignment vertical="top"/>
      <protection hidden="1"/>
    </xf>
    <xf numFmtId="0" fontId="7" fillId="8" borderId="0" xfId="0" applyFont="1" applyFill="1" applyAlignment="1" applyProtection="1">
      <alignment vertical="top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7" fillId="0" borderId="0" xfId="0" applyFont="1" applyBorder="1" applyAlignment="1" applyProtection="1">
      <alignment vertical="top"/>
      <protection hidden="1"/>
    </xf>
    <xf numFmtId="0" fontId="13" fillId="0" borderId="0" xfId="0" applyFont="1" applyProtection="1">
      <protection hidden="1"/>
    </xf>
    <xf numFmtId="0" fontId="14" fillId="0" borderId="0" xfId="0" applyFont="1" applyAlignment="1" applyProtection="1">
      <protection hidden="1"/>
    </xf>
    <xf numFmtId="0" fontId="7" fillId="8" borderId="0" xfId="0" applyFont="1" applyFill="1" applyBorder="1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5" xfId="0" applyFont="1" applyBorder="1" applyAlignment="1" applyProtection="1">
      <alignment vertical="center"/>
      <protection hidden="1"/>
    </xf>
    <xf numFmtId="0" fontId="70" fillId="0" borderId="0" xfId="0" applyFont="1" applyFill="1" applyBorder="1" applyProtection="1">
      <protection hidden="1"/>
    </xf>
    <xf numFmtId="0" fontId="71" fillId="0" borderId="0" xfId="0" applyFont="1" applyFill="1" applyBorder="1" applyAlignment="1" applyProtection="1">
      <alignment horizontal="left" vertical="top" wrapText="1"/>
      <protection hidden="1"/>
    </xf>
    <xf numFmtId="0" fontId="70" fillId="0" borderId="0" xfId="0" applyFont="1" applyFill="1" applyBorder="1" applyAlignment="1" applyProtection="1">
      <alignment horizontal="left"/>
      <protection hidden="1"/>
    </xf>
    <xf numFmtId="0" fontId="4" fillId="0" borderId="0" xfId="0" applyFont="1" applyBorder="1" applyAlignment="1" applyProtection="1">
      <alignment horizontal="left"/>
      <protection hidden="1"/>
    </xf>
    <xf numFmtId="0" fontId="10" fillId="0" borderId="0" xfId="0" applyFont="1" applyAlignment="1" applyProtection="1">
      <alignment horizontal="justify" vertical="top" wrapText="1"/>
      <protection hidden="1"/>
    </xf>
    <xf numFmtId="0" fontId="20" fillId="0" borderId="0" xfId="0" applyFont="1" applyBorder="1" applyAlignment="1" applyProtection="1">
      <alignment horizontal="center" vertical="center"/>
      <protection locked="0"/>
    </xf>
    <xf numFmtId="0" fontId="72" fillId="0" borderId="0" xfId="0" applyFont="1" applyBorder="1" applyAlignment="1" applyProtection="1">
      <alignment vertical="center"/>
      <protection hidden="1"/>
    </xf>
    <xf numFmtId="0" fontId="20" fillId="10" borderId="27" xfId="0" applyFont="1" applyFill="1" applyBorder="1" applyAlignment="1" applyProtection="1">
      <alignment horizontal="center" vertical="center"/>
      <protection hidden="1"/>
    </xf>
    <xf numFmtId="0" fontId="10" fillId="0" borderId="0" xfId="0" applyFont="1" applyProtection="1">
      <protection hidden="1"/>
    </xf>
    <xf numFmtId="0" fontId="34" fillId="0" borderId="0" xfId="0" applyFont="1" applyProtection="1">
      <protection hidden="1"/>
    </xf>
    <xf numFmtId="170" fontId="11" fillId="0" borderId="5" xfId="0" applyNumberFormat="1" applyFont="1" applyFill="1" applyBorder="1" applyAlignment="1" applyProtection="1">
      <alignment horizontal="left" vertical="center" indent="1"/>
      <protection hidden="1"/>
    </xf>
    <xf numFmtId="170" fontId="11" fillId="0" borderId="5" xfId="0" applyNumberFormat="1" applyFont="1" applyFill="1" applyBorder="1" applyAlignment="1" applyProtection="1">
      <alignment horizontal="center" vertical="center"/>
      <protection hidden="1"/>
    </xf>
    <xf numFmtId="170" fontId="11" fillId="0" borderId="5" xfId="0" applyNumberFormat="1" applyFont="1" applyFill="1" applyBorder="1" applyAlignment="1" applyProtection="1">
      <alignment horizontal="left" vertical="center"/>
      <protection hidden="1"/>
    </xf>
    <xf numFmtId="0" fontId="15" fillId="14" borderId="0" xfId="0" applyFont="1" applyFill="1" applyBorder="1" applyAlignment="1" applyProtection="1">
      <alignment vertical="center"/>
      <protection hidden="1"/>
    </xf>
    <xf numFmtId="0" fontId="7" fillId="14" borderId="0" xfId="0" applyFont="1" applyFill="1" applyBorder="1" applyAlignment="1" applyProtection="1">
      <alignment vertical="center"/>
      <protection hidden="1"/>
    </xf>
    <xf numFmtId="0" fontId="10" fillId="14" borderId="0" xfId="0" applyFont="1" applyFill="1" applyBorder="1" applyAlignment="1" applyProtection="1">
      <alignment vertical="center"/>
      <protection hidden="1"/>
    </xf>
    <xf numFmtId="0" fontId="4" fillId="14" borderId="28" xfId="0" applyFont="1" applyFill="1" applyBorder="1" applyAlignment="1" applyProtection="1">
      <alignment horizontal="center" vertical="center"/>
      <protection hidden="1"/>
    </xf>
    <xf numFmtId="0" fontId="4" fillId="14" borderId="0" xfId="0" applyFont="1" applyFill="1" applyBorder="1" applyAlignment="1" applyProtection="1">
      <alignment horizontal="center" vertical="center"/>
      <protection hidden="1"/>
    </xf>
    <xf numFmtId="0" fontId="4" fillId="14" borderId="4" xfId="0" applyFont="1" applyFill="1" applyBorder="1" applyAlignment="1" applyProtection="1">
      <alignment horizontal="center" vertical="center"/>
      <protection hidden="1"/>
    </xf>
    <xf numFmtId="0" fontId="15" fillId="14" borderId="4" xfId="0" applyFont="1" applyFill="1" applyBorder="1" applyAlignment="1" applyProtection="1">
      <alignment vertical="center"/>
      <protection hidden="1"/>
    </xf>
    <xf numFmtId="0" fontId="15" fillId="14" borderId="4" xfId="0" applyFont="1" applyFill="1" applyBorder="1" applyAlignment="1" applyProtection="1">
      <alignment horizontal="left" vertical="center"/>
      <protection hidden="1"/>
    </xf>
    <xf numFmtId="0" fontId="15" fillId="14" borderId="4" xfId="0" applyFont="1" applyFill="1" applyBorder="1" applyAlignment="1" applyProtection="1">
      <alignment horizontal="center" vertical="center"/>
      <protection hidden="1"/>
    </xf>
    <xf numFmtId="188" fontId="15" fillId="14" borderId="4" xfId="0" applyNumberFormat="1" applyFont="1" applyFill="1" applyBorder="1" applyAlignment="1" applyProtection="1">
      <alignment horizontal="center" vertical="center"/>
      <protection hidden="1"/>
    </xf>
    <xf numFmtId="188" fontId="15" fillId="14" borderId="4" xfId="0" applyNumberFormat="1" applyFont="1" applyFill="1" applyBorder="1" applyAlignment="1" applyProtection="1">
      <alignment horizontal="left" vertical="center"/>
      <protection hidden="1"/>
    </xf>
    <xf numFmtId="0" fontId="15" fillId="14" borderId="0" xfId="0" applyFont="1" applyFill="1" applyBorder="1" applyAlignment="1" applyProtection="1">
      <alignment horizontal="left" vertical="center"/>
      <protection hidden="1"/>
    </xf>
    <xf numFmtId="0" fontId="15" fillId="14" borderId="0" xfId="0" applyFont="1" applyFill="1" applyBorder="1" applyAlignment="1" applyProtection="1">
      <alignment horizontal="center" vertical="center"/>
      <protection hidden="1"/>
    </xf>
    <xf numFmtId="171" fontId="10" fillId="14" borderId="0" xfId="0" applyNumberFormat="1" applyFont="1" applyFill="1" applyBorder="1" applyAlignment="1" applyProtection="1">
      <alignment vertical="center"/>
      <protection hidden="1"/>
    </xf>
    <xf numFmtId="171" fontId="10" fillId="14" borderId="0" xfId="0" applyNumberFormat="1" applyFont="1" applyFill="1" applyBorder="1" applyAlignment="1" applyProtection="1">
      <alignment horizontal="center" vertical="center"/>
      <protection hidden="1"/>
    </xf>
    <xf numFmtId="170" fontId="15" fillId="14" borderId="0" xfId="0" applyNumberFormat="1" applyFont="1" applyFill="1" applyBorder="1" applyAlignment="1" applyProtection="1">
      <alignment horizontal="center" vertical="center"/>
      <protection hidden="1"/>
    </xf>
    <xf numFmtId="170" fontId="15" fillId="14" borderId="0" xfId="0" applyNumberFormat="1" applyFont="1" applyFill="1" applyBorder="1" applyAlignment="1" applyProtection="1">
      <alignment vertical="center"/>
      <protection hidden="1"/>
    </xf>
    <xf numFmtId="170" fontId="15" fillId="14" borderId="0" xfId="0" applyNumberFormat="1" applyFont="1" applyFill="1" applyBorder="1" applyAlignment="1" applyProtection="1">
      <alignment horizontal="left" vertical="center"/>
      <protection hidden="1"/>
    </xf>
    <xf numFmtId="0" fontId="4" fillId="14" borderId="0" xfId="0" applyFont="1" applyFill="1" applyBorder="1" applyAlignment="1" applyProtection="1">
      <alignment horizontal="left" vertical="center"/>
      <protection hidden="1"/>
    </xf>
    <xf numFmtId="0" fontId="31" fillId="8" borderId="0" xfId="0" applyFont="1" applyFill="1" applyBorder="1" applyAlignment="1" applyProtection="1">
      <alignment vertical="center"/>
      <protection hidden="1"/>
    </xf>
    <xf numFmtId="0" fontId="15" fillId="14" borderId="0" xfId="0" applyFont="1" applyFill="1" applyBorder="1" applyProtection="1">
      <protection hidden="1"/>
    </xf>
    <xf numFmtId="0" fontId="15" fillId="14" borderId="0" xfId="0" applyFont="1" applyFill="1" applyBorder="1" applyAlignment="1" applyProtection="1">
      <protection hidden="1"/>
    </xf>
    <xf numFmtId="0" fontId="15" fillId="14" borderId="0" xfId="0" applyFont="1" applyFill="1" applyBorder="1" applyAlignment="1" applyProtection="1">
      <alignment horizontal="center"/>
      <protection hidden="1"/>
    </xf>
    <xf numFmtId="0" fontId="15" fillId="14" borderId="4" xfId="0" applyFont="1" applyFill="1" applyBorder="1" applyProtection="1">
      <protection hidden="1"/>
    </xf>
    <xf numFmtId="0" fontId="15" fillId="14" borderId="4" xfId="0" applyFont="1" applyFill="1" applyBorder="1" applyAlignment="1" applyProtection="1">
      <alignment horizontal="center"/>
      <protection hidden="1"/>
    </xf>
    <xf numFmtId="0" fontId="15" fillId="14" borderId="0" xfId="0" applyFont="1" applyFill="1" applyBorder="1" applyAlignment="1" applyProtection="1">
      <alignment horizontal="left"/>
      <protection hidden="1"/>
    </xf>
    <xf numFmtId="0" fontId="15" fillId="14" borderId="5" xfId="0" applyFont="1" applyFill="1" applyBorder="1" applyAlignment="1" applyProtection="1">
      <alignment horizontal="center"/>
      <protection hidden="1"/>
    </xf>
    <xf numFmtId="0" fontId="15" fillId="14" borderId="29" xfId="0" applyFont="1" applyFill="1" applyBorder="1" applyAlignment="1" applyProtection="1">
      <alignment horizontal="center"/>
      <protection hidden="1"/>
    </xf>
    <xf numFmtId="0" fontId="15" fillId="14" borderId="4" xfId="0" applyFont="1" applyFill="1" applyBorder="1" applyAlignment="1" applyProtection="1">
      <protection hidden="1"/>
    </xf>
    <xf numFmtId="174" fontId="15" fillId="14" borderId="30" xfId="0" applyNumberFormat="1" applyFont="1" applyFill="1" applyBorder="1" applyAlignment="1" applyProtection="1">
      <protection hidden="1"/>
    </xf>
    <xf numFmtId="1" fontId="15" fillId="14" borderId="30" xfId="0" applyNumberFormat="1" applyFont="1" applyFill="1" applyBorder="1" applyAlignment="1" applyProtection="1">
      <alignment horizontal="center"/>
      <protection hidden="1"/>
    </xf>
    <xf numFmtId="174" fontId="15" fillId="14" borderId="4" xfId="0" applyNumberFormat="1" applyFont="1" applyFill="1" applyBorder="1" applyAlignment="1" applyProtection="1">
      <protection hidden="1"/>
    </xf>
    <xf numFmtId="173" fontId="15" fillId="14" borderId="4" xfId="0" applyNumberFormat="1" applyFont="1" applyFill="1" applyBorder="1" applyAlignment="1" applyProtection="1">
      <alignment horizontal="center"/>
      <protection hidden="1"/>
    </xf>
    <xf numFmtId="174" fontId="15" fillId="14" borderId="4" xfId="0" applyNumberFormat="1" applyFont="1" applyFill="1" applyBorder="1" applyAlignment="1" applyProtection="1">
      <alignment horizontal="center"/>
      <protection hidden="1"/>
    </xf>
    <xf numFmtId="1" fontId="15" fillId="14" borderId="4" xfId="0" applyNumberFormat="1" applyFont="1" applyFill="1" applyBorder="1" applyAlignment="1" applyProtection="1">
      <alignment horizontal="center"/>
      <protection hidden="1"/>
    </xf>
    <xf numFmtId="173" fontId="15" fillId="14" borderId="4" xfId="0" applyNumberFormat="1" applyFont="1" applyFill="1" applyBorder="1" applyAlignment="1" applyProtection="1">
      <alignment horizontal="center" vertical="center"/>
      <protection hidden="1"/>
    </xf>
    <xf numFmtId="0" fontId="15" fillId="14" borderId="30" xfId="0" applyFont="1" applyFill="1" applyBorder="1" applyAlignment="1" applyProtection="1">
      <alignment horizontal="left" vertical="center"/>
      <protection hidden="1"/>
    </xf>
    <xf numFmtId="0" fontId="15" fillId="14" borderId="30" xfId="0" applyFont="1" applyFill="1" applyBorder="1" applyAlignment="1" applyProtection="1">
      <alignment horizontal="center" vertical="center"/>
      <protection hidden="1"/>
    </xf>
    <xf numFmtId="0" fontId="3" fillId="9" borderId="31" xfId="0" applyFont="1" applyFill="1" applyBorder="1" applyAlignment="1" applyProtection="1">
      <alignment horizontal="center" vertical="center"/>
      <protection hidden="1"/>
    </xf>
    <xf numFmtId="0" fontId="3" fillId="9" borderId="4" xfId="0" applyFont="1" applyFill="1" applyBorder="1" applyAlignment="1" applyProtection="1">
      <alignment vertical="center"/>
      <protection hidden="1"/>
    </xf>
    <xf numFmtId="0" fontId="3" fillId="9" borderId="4" xfId="0" applyFont="1" applyFill="1" applyBorder="1" applyAlignment="1" applyProtection="1">
      <alignment horizontal="center" vertical="center"/>
      <protection hidden="1"/>
    </xf>
    <xf numFmtId="0" fontId="3" fillId="15" borderId="31" xfId="0" applyFont="1" applyFill="1" applyBorder="1" applyAlignment="1" applyProtection="1">
      <alignment horizontal="center" vertical="center"/>
      <protection hidden="1"/>
    </xf>
    <xf numFmtId="0" fontId="3" fillId="15" borderId="4" xfId="0" applyFont="1" applyFill="1" applyBorder="1" applyAlignment="1" applyProtection="1">
      <alignment vertical="center"/>
      <protection hidden="1"/>
    </xf>
    <xf numFmtId="0" fontId="3" fillId="15" borderId="4" xfId="0" applyFont="1" applyFill="1" applyBorder="1" applyAlignment="1" applyProtection="1">
      <alignment horizontal="center" vertical="center"/>
      <protection hidden="1"/>
    </xf>
    <xf numFmtId="0" fontId="3" fillId="16" borderId="31" xfId="0" applyFont="1" applyFill="1" applyBorder="1" applyAlignment="1" applyProtection="1">
      <alignment horizontal="center" vertical="center"/>
      <protection hidden="1"/>
    </xf>
    <xf numFmtId="0" fontId="3" fillId="16" borderId="4" xfId="0" applyFont="1" applyFill="1" applyBorder="1" applyAlignment="1" applyProtection="1">
      <alignment vertical="center"/>
      <protection hidden="1"/>
    </xf>
    <xf numFmtId="0" fontId="3" fillId="16" borderId="4" xfId="0" applyFont="1" applyFill="1" applyBorder="1" applyAlignment="1" applyProtection="1">
      <alignment horizontal="center" vertical="center"/>
      <protection hidden="1"/>
    </xf>
    <xf numFmtId="0" fontId="3" fillId="17" borderId="31" xfId="0" applyFont="1" applyFill="1" applyBorder="1" applyAlignment="1" applyProtection="1">
      <alignment horizontal="center" vertical="center"/>
      <protection hidden="1"/>
    </xf>
    <xf numFmtId="0" fontId="3" fillId="17" borderId="4" xfId="0" applyFont="1" applyFill="1" applyBorder="1" applyAlignment="1" applyProtection="1">
      <alignment vertical="center"/>
      <protection hidden="1"/>
    </xf>
    <xf numFmtId="0" fontId="3" fillId="17" borderId="4" xfId="0" applyFont="1" applyFill="1" applyBorder="1" applyAlignment="1" applyProtection="1">
      <alignment horizontal="center" vertical="center"/>
      <protection hidden="1"/>
    </xf>
    <xf numFmtId="0" fontId="3" fillId="18" borderId="31" xfId="0" applyFont="1" applyFill="1" applyBorder="1" applyAlignment="1" applyProtection="1">
      <alignment horizontal="center" vertical="center"/>
      <protection hidden="1"/>
    </xf>
    <xf numFmtId="0" fontId="3" fillId="18" borderId="4" xfId="0" applyFont="1" applyFill="1" applyBorder="1" applyAlignment="1" applyProtection="1">
      <alignment vertical="center"/>
      <protection hidden="1"/>
    </xf>
    <xf numFmtId="0" fontId="3" fillId="18" borderId="4" xfId="0" applyFont="1" applyFill="1" applyBorder="1" applyAlignment="1" applyProtection="1">
      <alignment horizontal="center" vertical="center"/>
      <protection hidden="1"/>
    </xf>
    <xf numFmtId="0" fontId="3" fillId="18" borderId="32" xfId="0" applyFont="1" applyFill="1" applyBorder="1" applyAlignment="1" applyProtection="1">
      <alignment horizontal="center" vertical="center"/>
      <protection hidden="1"/>
    </xf>
    <xf numFmtId="0" fontId="3" fillId="18" borderId="31" xfId="0" applyFont="1" applyFill="1" applyBorder="1" applyAlignment="1" applyProtection="1">
      <alignment horizontal="left" vertical="center"/>
      <protection hidden="1"/>
    </xf>
    <xf numFmtId="0" fontId="3" fillId="17" borderId="33" xfId="0" applyFont="1" applyFill="1" applyBorder="1" applyAlignment="1" applyProtection="1">
      <alignment horizontal="center" vertical="center"/>
      <protection hidden="1"/>
    </xf>
    <xf numFmtId="0" fontId="3" fillId="17" borderId="32" xfId="0" applyFont="1" applyFill="1" applyBorder="1" applyAlignment="1" applyProtection="1">
      <alignment horizontal="center" vertical="center"/>
      <protection hidden="1"/>
    </xf>
    <xf numFmtId="0" fontId="3" fillId="17" borderId="31" xfId="0" applyFont="1" applyFill="1" applyBorder="1" applyAlignment="1" applyProtection="1">
      <alignment horizontal="left" vertical="center"/>
      <protection hidden="1"/>
    </xf>
    <xf numFmtId="0" fontId="3" fillId="16" borderId="33" xfId="0" applyFont="1" applyFill="1" applyBorder="1" applyAlignment="1" applyProtection="1">
      <alignment horizontal="center" vertical="center"/>
      <protection hidden="1"/>
    </xf>
    <xf numFmtId="0" fontId="3" fillId="16" borderId="32" xfId="0" applyFont="1" applyFill="1" applyBorder="1" applyAlignment="1" applyProtection="1">
      <alignment horizontal="center" vertical="center"/>
      <protection hidden="1"/>
    </xf>
    <xf numFmtId="0" fontId="3" fillId="16" borderId="31" xfId="0" applyFont="1" applyFill="1" applyBorder="1" applyAlignment="1" applyProtection="1">
      <alignment horizontal="left" vertical="center"/>
      <protection hidden="1"/>
    </xf>
    <xf numFmtId="0" fontId="3" fillId="15" borderId="32" xfId="0" applyFont="1" applyFill="1" applyBorder="1" applyAlignment="1" applyProtection="1">
      <alignment horizontal="center" vertical="center"/>
      <protection hidden="1"/>
    </xf>
    <xf numFmtId="0" fontId="3" fillId="15" borderId="31" xfId="0" applyFont="1" applyFill="1" applyBorder="1" applyAlignment="1" applyProtection="1">
      <alignment horizontal="left" vertical="center"/>
      <protection hidden="1"/>
    </xf>
    <xf numFmtId="0" fontId="3" fillId="9" borderId="33" xfId="0" applyFont="1" applyFill="1" applyBorder="1" applyAlignment="1" applyProtection="1">
      <alignment horizontal="center" vertical="center"/>
      <protection hidden="1"/>
    </xf>
    <xf numFmtId="0" fontId="3" fillId="9" borderId="32" xfId="0" applyFont="1" applyFill="1" applyBorder="1" applyAlignment="1" applyProtection="1">
      <alignment horizontal="center" vertical="center"/>
      <protection hidden="1"/>
    </xf>
    <xf numFmtId="0" fontId="3" fillId="9" borderId="31" xfId="0" applyFont="1" applyFill="1" applyBorder="1" applyAlignment="1" applyProtection="1">
      <alignment horizontal="left" vertical="center"/>
      <protection hidden="1"/>
    </xf>
    <xf numFmtId="0" fontId="71" fillId="14" borderId="0" xfId="0" applyFont="1" applyFill="1" applyBorder="1" applyAlignment="1" applyProtection="1">
      <alignment horizontal="center"/>
      <protection hidden="1"/>
    </xf>
    <xf numFmtId="0" fontId="71" fillId="14" borderId="0" xfId="0" applyFont="1" applyFill="1" applyBorder="1" applyProtection="1">
      <protection hidden="1"/>
    </xf>
    <xf numFmtId="0" fontId="71" fillId="14" borderId="0" xfId="0" applyFont="1" applyFill="1" applyBorder="1" applyAlignment="1" applyProtection="1">
      <alignment horizontal="left"/>
      <protection hidden="1"/>
    </xf>
    <xf numFmtId="170" fontId="75" fillId="0" borderId="5" xfId="0" applyNumberFormat="1" applyFont="1" applyFill="1" applyBorder="1" applyAlignment="1" applyProtection="1">
      <alignment horizontal="center" vertical="center"/>
      <protection hidden="1"/>
    </xf>
    <xf numFmtId="170" fontId="74" fillId="0" borderId="5" xfId="0" applyNumberFormat="1" applyFont="1" applyFill="1" applyBorder="1" applyAlignment="1" applyProtection="1">
      <alignment horizontal="right" vertical="center"/>
      <protection hidden="1"/>
    </xf>
    <xf numFmtId="0" fontId="63" fillId="0" borderId="0" xfId="0" applyFont="1" applyFill="1" applyBorder="1" applyAlignment="1" applyProtection="1">
      <alignment horizontal="right" vertical="center"/>
      <protection hidden="1"/>
    </xf>
    <xf numFmtId="0" fontId="63" fillId="0" borderId="0" xfId="0" applyFont="1" applyFill="1" applyBorder="1" applyAlignment="1" applyProtection="1">
      <alignment horizontal="center" vertical="center"/>
      <protection hidden="1"/>
    </xf>
    <xf numFmtId="0" fontId="63" fillId="0" borderId="0" xfId="0" applyFont="1" applyFill="1" applyBorder="1" applyAlignment="1" applyProtection="1">
      <alignment horizontal="left" vertical="center"/>
      <protection hidden="1"/>
    </xf>
    <xf numFmtId="170" fontId="38" fillId="0" borderId="5" xfId="0" applyNumberFormat="1" applyFont="1" applyFill="1" applyBorder="1" applyAlignment="1" applyProtection="1">
      <alignment horizontal="left" vertical="center"/>
      <protection hidden="1"/>
    </xf>
    <xf numFmtId="170" fontId="68" fillId="0" borderId="5" xfId="0" applyNumberFormat="1" applyFont="1" applyFill="1" applyBorder="1" applyAlignment="1" applyProtection="1">
      <alignment horizontal="center" vertical="center"/>
      <protection hidden="1"/>
    </xf>
    <xf numFmtId="170" fontId="76" fillId="0" borderId="5" xfId="0" applyNumberFormat="1" applyFont="1" applyFill="1" applyBorder="1" applyAlignment="1" applyProtection="1">
      <alignment horizontal="right" vertical="center"/>
      <protection hidden="1"/>
    </xf>
    <xf numFmtId="170" fontId="38" fillId="0" borderId="0" xfId="0" applyNumberFormat="1" applyFont="1" applyFill="1" applyBorder="1" applyAlignment="1" applyProtection="1">
      <alignment horizontal="left" indent="1"/>
      <protection hidden="1"/>
    </xf>
    <xf numFmtId="0" fontId="35" fillId="0" borderId="0" xfId="0" applyFont="1" applyFill="1" applyBorder="1" applyAlignment="1" applyProtection="1">
      <alignment horizontal="left"/>
      <protection hidden="1"/>
    </xf>
    <xf numFmtId="0" fontId="35" fillId="0" borderId="0" xfId="0" applyFont="1" applyFill="1" applyBorder="1" applyAlignment="1" applyProtection="1">
      <protection hidden="1"/>
    </xf>
    <xf numFmtId="170" fontId="11" fillId="0" borderId="0" xfId="0" applyNumberFormat="1" applyFont="1" applyFill="1" applyBorder="1" applyAlignment="1" applyProtection="1">
      <alignment horizontal="center"/>
      <protection hidden="1"/>
    </xf>
    <xf numFmtId="0" fontId="10" fillId="0" borderId="14" xfId="0" applyFont="1" applyFill="1" applyBorder="1" applyAlignment="1" applyProtection="1">
      <alignment horizontal="center" vertical="center"/>
      <protection hidden="1"/>
    </xf>
    <xf numFmtId="0" fontId="7" fillId="0" borderId="0" xfId="0" applyFont="1" applyFill="1" applyAlignment="1" applyProtection="1">
      <alignment horizontal="center"/>
      <protection hidden="1"/>
    </xf>
    <xf numFmtId="0" fontId="49" fillId="11" borderId="4" xfId="0" applyFont="1" applyFill="1" applyBorder="1" applyAlignment="1" applyProtection="1">
      <alignment horizontal="center" vertical="center"/>
      <protection hidden="1"/>
    </xf>
    <xf numFmtId="0" fontId="49" fillId="11" borderId="4" xfId="0" applyFont="1" applyFill="1" applyBorder="1" applyAlignment="1" applyProtection="1">
      <alignment vertical="center"/>
      <protection hidden="1"/>
    </xf>
    <xf numFmtId="0" fontId="15" fillId="14" borderId="32" xfId="0" applyFont="1" applyFill="1" applyBorder="1" applyAlignment="1" applyProtection="1">
      <protection hidden="1"/>
    </xf>
    <xf numFmtId="0" fontId="15" fillId="14" borderId="7" xfId="0" applyFont="1" applyFill="1" applyBorder="1" applyAlignment="1" applyProtection="1">
      <alignment horizontal="center"/>
      <protection hidden="1"/>
    </xf>
    <xf numFmtId="0" fontId="10" fillId="14" borderId="0" xfId="0" applyFont="1" applyFill="1" applyBorder="1" applyAlignment="1" applyProtection="1">
      <alignment horizontal="center" vertical="center"/>
      <protection hidden="1"/>
    </xf>
    <xf numFmtId="0" fontId="30" fillId="14" borderId="0" xfId="0" applyFont="1" applyFill="1" applyBorder="1" applyProtection="1">
      <protection hidden="1"/>
    </xf>
    <xf numFmtId="0" fontId="7" fillId="14" borderId="0" xfId="0" applyFont="1" applyFill="1" applyBorder="1" applyProtection="1">
      <protection hidden="1"/>
    </xf>
    <xf numFmtId="0" fontId="7" fillId="14" borderId="0" xfId="0" applyFont="1" applyFill="1" applyBorder="1" applyAlignment="1" applyProtection="1">
      <alignment horizontal="left"/>
      <protection hidden="1"/>
    </xf>
    <xf numFmtId="1" fontId="5" fillId="14" borderId="4" xfId="0" applyNumberFormat="1" applyFont="1" applyFill="1" applyBorder="1" applyAlignment="1" applyProtection="1">
      <alignment horizontal="center"/>
      <protection hidden="1"/>
    </xf>
    <xf numFmtId="0" fontId="32" fillId="14" borderId="0" xfId="0" applyFont="1" applyFill="1" applyBorder="1" applyAlignment="1" applyProtection="1">
      <alignment vertical="center"/>
      <protection hidden="1"/>
    </xf>
    <xf numFmtId="2" fontId="15" fillId="14" borderId="4" xfId="0" applyNumberFormat="1" applyFont="1" applyFill="1" applyBorder="1" applyAlignment="1" applyProtection="1">
      <protection hidden="1"/>
    </xf>
    <xf numFmtId="2" fontId="15" fillId="14" borderId="4" xfId="0" applyNumberFormat="1" applyFont="1" applyFill="1" applyBorder="1" applyAlignment="1" applyProtection="1">
      <alignment horizontal="center"/>
      <protection hidden="1"/>
    </xf>
    <xf numFmtId="1" fontId="15" fillId="14" borderId="0" xfId="0" applyNumberFormat="1" applyFont="1" applyFill="1" applyBorder="1" applyAlignment="1" applyProtection="1">
      <alignment horizontal="center"/>
      <protection hidden="1"/>
    </xf>
    <xf numFmtId="174" fontId="15" fillId="14" borderId="0" xfId="0" applyNumberFormat="1" applyFont="1" applyFill="1" applyBorder="1" applyAlignment="1" applyProtection="1">
      <protection hidden="1"/>
    </xf>
    <xf numFmtId="0" fontId="7" fillId="14" borderId="0" xfId="0" applyFont="1" applyFill="1" applyBorder="1" applyAlignment="1" applyProtection="1">
      <protection hidden="1"/>
    </xf>
    <xf numFmtId="0" fontId="7" fillId="14" borderId="0" xfId="0" applyFont="1" applyFill="1" applyBorder="1" applyAlignment="1" applyProtection="1">
      <alignment horizontal="center"/>
      <protection hidden="1"/>
    </xf>
    <xf numFmtId="1" fontId="5" fillId="11" borderId="4" xfId="0" applyNumberFormat="1" applyFont="1" applyFill="1" applyBorder="1" applyAlignment="1" applyProtection="1">
      <alignment horizontal="center"/>
      <protection hidden="1"/>
    </xf>
    <xf numFmtId="0" fontId="15" fillId="11" borderId="4" xfId="0" applyFont="1" applyFill="1" applyBorder="1" applyAlignment="1" applyProtection="1">
      <protection hidden="1"/>
    </xf>
    <xf numFmtId="0" fontId="15" fillId="14" borderId="33" xfId="0" applyFont="1" applyFill="1" applyBorder="1" applyProtection="1">
      <protection hidden="1"/>
    </xf>
    <xf numFmtId="0" fontId="15" fillId="14" borderId="34" xfId="0" applyFont="1" applyFill="1" applyBorder="1" applyProtection="1">
      <protection hidden="1"/>
    </xf>
    <xf numFmtId="0" fontId="15" fillId="14" borderId="30" xfId="0" applyFont="1" applyFill="1" applyBorder="1" applyProtection="1">
      <protection hidden="1"/>
    </xf>
    <xf numFmtId="0" fontId="55" fillId="8" borderId="0" xfId="0" applyFont="1" applyFill="1" applyBorder="1" applyAlignment="1" applyProtection="1">
      <alignment horizontal="center" vertical="center"/>
      <protection hidden="1"/>
    </xf>
    <xf numFmtId="0" fontId="15" fillId="8" borderId="0" xfId="0" applyFont="1" applyFill="1" applyBorder="1" applyAlignment="1" applyProtection="1">
      <alignment horizontal="center" vertical="center"/>
      <protection hidden="1"/>
    </xf>
    <xf numFmtId="0" fontId="55" fillId="14" borderId="0" xfId="0" applyFont="1" applyFill="1" applyBorder="1" applyAlignment="1" applyProtection="1">
      <alignment horizontal="center" vertical="center"/>
      <protection hidden="1"/>
    </xf>
    <xf numFmtId="0" fontId="21" fillId="14" borderId="0" xfId="0" applyFont="1" applyFill="1" applyBorder="1" applyAlignment="1" applyProtection="1">
      <alignment horizontal="center" vertical="center"/>
      <protection hidden="1"/>
    </xf>
    <xf numFmtId="0" fontId="5" fillId="14" borderId="4" xfId="0" applyFont="1" applyFill="1" applyBorder="1" applyAlignment="1" applyProtection="1">
      <alignment horizontal="left"/>
      <protection hidden="1"/>
    </xf>
    <xf numFmtId="3" fontId="5" fillId="14" borderId="0" xfId="0" applyNumberFormat="1" applyFont="1" applyFill="1" applyBorder="1" applyAlignment="1" applyProtection="1">
      <alignment horizontal="left"/>
      <protection hidden="1"/>
    </xf>
    <xf numFmtId="0" fontId="15" fillId="14" borderId="0" xfId="0" applyFont="1" applyFill="1" applyBorder="1" applyAlignment="1" applyProtection="1">
      <alignment horizontal="center" vertical="top"/>
      <protection hidden="1"/>
    </xf>
    <xf numFmtId="0" fontId="15" fillId="14" borderId="4" xfId="0" applyFont="1" applyFill="1" applyBorder="1" applyAlignment="1" applyProtection="1">
      <alignment horizontal="center" vertical="top"/>
      <protection hidden="1"/>
    </xf>
    <xf numFmtId="0" fontId="5" fillId="14" borderId="4" xfId="0" applyFont="1" applyFill="1" applyBorder="1" applyAlignment="1" applyProtection="1">
      <alignment horizontal="left" vertical="top"/>
      <protection hidden="1"/>
    </xf>
    <xf numFmtId="0" fontId="5" fillId="14" borderId="0" xfId="0" applyFont="1" applyFill="1" applyBorder="1" applyAlignment="1" applyProtection="1">
      <alignment horizontal="left" vertical="top"/>
      <protection hidden="1"/>
    </xf>
    <xf numFmtId="170" fontId="14" fillId="0" borderId="0" xfId="0" applyNumberFormat="1" applyFont="1" applyFill="1" applyBorder="1" applyAlignment="1" applyProtection="1">
      <alignment horizontal="center" vertical="center"/>
      <protection hidden="1"/>
    </xf>
    <xf numFmtId="170" fontId="14" fillId="0" borderId="0" xfId="0" applyNumberFormat="1" applyFont="1" applyFill="1" applyBorder="1" applyAlignment="1" applyProtection="1">
      <alignment horizontal="right" vertical="center"/>
      <protection hidden="1"/>
    </xf>
    <xf numFmtId="170" fontId="10" fillId="0" borderId="0" xfId="0" applyNumberFormat="1" applyFont="1" applyFill="1" applyBorder="1" applyAlignment="1" applyProtection="1">
      <alignment horizontal="left" vertical="center"/>
      <protection hidden="1"/>
    </xf>
    <xf numFmtId="20" fontId="16" fillId="0" borderId="0" xfId="0" applyNumberFormat="1" applyFont="1" applyFill="1" applyBorder="1" applyAlignment="1" applyProtection="1">
      <alignment horizontal="right" vertical="center"/>
      <protection hidden="1"/>
    </xf>
    <xf numFmtId="0" fontId="48" fillId="0" borderId="0" xfId="0" applyFont="1" applyFill="1" applyBorder="1" applyAlignment="1" applyProtection="1">
      <alignment horizontal="right" vertical="center"/>
      <protection locked="0"/>
    </xf>
    <xf numFmtId="0" fontId="16" fillId="0" borderId="0" xfId="0" applyFont="1" applyFill="1" applyBorder="1" applyAlignment="1" applyProtection="1">
      <alignment horizontal="center" vertical="center"/>
      <protection hidden="1"/>
    </xf>
    <xf numFmtId="0" fontId="48" fillId="0" borderId="0" xfId="0" applyFont="1" applyFill="1" applyBorder="1" applyAlignment="1" applyProtection="1">
      <alignment horizontal="left" vertical="center"/>
      <protection locked="0"/>
    </xf>
    <xf numFmtId="20" fontId="16" fillId="0" borderId="0" xfId="0" applyNumberFormat="1" applyFont="1" applyFill="1" applyBorder="1" applyAlignment="1" applyProtection="1">
      <alignment horizontal="left" vertical="center"/>
      <protection hidden="1"/>
    </xf>
    <xf numFmtId="188" fontId="15" fillId="14" borderId="0" xfId="0" applyNumberFormat="1" applyFont="1" applyFill="1" applyBorder="1" applyAlignment="1" applyProtection="1">
      <alignment horizontal="center" vertical="center"/>
      <protection hidden="1"/>
    </xf>
    <xf numFmtId="188" fontId="15" fillId="14" borderId="0" xfId="0" applyNumberFormat="1" applyFont="1" applyFill="1" applyBorder="1" applyAlignment="1" applyProtection="1">
      <alignment horizontal="left" vertical="center"/>
      <protection hidden="1"/>
    </xf>
    <xf numFmtId="20" fontId="5" fillId="14" borderId="4" xfId="0" applyNumberFormat="1" applyFont="1" applyFill="1" applyBorder="1" applyAlignment="1" applyProtection="1">
      <alignment horizontal="left" vertical="center"/>
      <protection hidden="1"/>
    </xf>
    <xf numFmtId="3" fontId="5" fillId="14" borderId="4" xfId="0" applyNumberFormat="1" applyFont="1" applyFill="1" applyBorder="1" applyAlignment="1" applyProtection="1">
      <alignment horizontal="left" vertical="center"/>
      <protection hidden="1"/>
    </xf>
    <xf numFmtId="0" fontId="57" fillId="14" borderId="0" xfId="0" applyFont="1" applyFill="1" applyBorder="1" applyAlignment="1" applyProtection="1">
      <alignment horizontal="center" vertical="center"/>
      <protection hidden="1"/>
    </xf>
    <xf numFmtId="3" fontId="10" fillId="14" borderId="4" xfId="0" applyNumberFormat="1" applyFont="1" applyFill="1" applyBorder="1" applyAlignment="1" applyProtection="1">
      <alignment horizontal="center" vertical="center"/>
      <protection hidden="1"/>
    </xf>
    <xf numFmtId="0" fontId="15" fillId="14" borderId="28" xfId="0" applyFont="1" applyFill="1" applyBorder="1" applyAlignment="1" applyProtection="1">
      <alignment horizontal="center" vertical="center"/>
      <protection hidden="1"/>
    </xf>
    <xf numFmtId="0" fontId="53" fillId="0" borderId="0" xfId="0" applyFont="1" applyFill="1" applyBorder="1" applyAlignment="1" applyProtection="1">
      <alignment horizontal="center" vertical="center"/>
      <protection hidden="1"/>
    </xf>
    <xf numFmtId="0" fontId="77" fillId="0" borderId="0" xfId="0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Border="1" applyAlignment="1" applyProtection="1">
      <alignment horizontal="center" vertical="top"/>
      <protection hidden="1"/>
    </xf>
    <xf numFmtId="0" fontId="4" fillId="0" borderId="0" xfId="0" applyFont="1" applyFill="1" applyBorder="1" applyAlignment="1" applyProtection="1">
      <alignment horizontal="center"/>
      <protection hidden="1"/>
    </xf>
    <xf numFmtId="0" fontId="59" fillId="0" borderId="0" xfId="0" applyFont="1" applyFill="1" applyBorder="1" applyAlignment="1" applyProtection="1">
      <alignment horizontal="center" vertical="center"/>
      <protection hidden="1"/>
    </xf>
    <xf numFmtId="0" fontId="14" fillId="0" borderId="5" xfId="0" applyFont="1" applyFill="1" applyBorder="1" applyAlignment="1" applyProtection="1">
      <alignment horizontal="center" vertical="center"/>
      <protection hidden="1"/>
    </xf>
    <xf numFmtId="0" fontId="16" fillId="0" borderId="0" xfId="0" applyFont="1" applyFill="1" applyBorder="1" applyAlignment="1" applyProtection="1">
      <alignment horizontal="left"/>
      <protection hidden="1"/>
    </xf>
    <xf numFmtId="0" fontId="79" fillId="0" borderId="0" xfId="0" applyNumberFormat="1" applyFont="1" applyFill="1" applyBorder="1" applyAlignment="1" applyProtection="1">
      <alignment horizontal="left" vertical="center"/>
      <protection hidden="1"/>
    </xf>
    <xf numFmtId="0" fontId="71" fillId="11" borderId="4" xfId="0" applyFont="1" applyFill="1" applyBorder="1" applyProtection="1">
      <protection hidden="1"/>
    </xf>
    <xf numFmtId="0" fontId="71" fillId="19" borderId="4" xfId="0" applyFont="1" applyFill="1" applyBorder="1" applyProtection="1">
      <protection hidden="1"/>
    </xf>
    <xf numFmtId="0" fontId="73" fillId="11" borderId="4" xfId="0" applyFont="1" applyFill="1" applyBorder="1" applyProtection="1">
      <protection hidden="1"/>
    </xf>
    <xf numFmtId="0" fontId="4" fillId="19" borderId="4" xfId="0" applyFont="1" applyFill="1" applyBorder="1" applyAlignment="1" applyProtection="1">
      <alignment horizontal="center" vertical="center"/>
      <protection hidden="1"/>
    </xf>
    <xf numFmtId="0" fontId="15" fillId="14" borderId="5" xfId="0" applyFont="1" applyFill="1" applyBorder="1" applyAlignment="1" applyProtection="1">
      <alignment vertical="center"/>
      <protection hidden="1"/>
    </xf>
    <xf numFmtId="0" fontId="15" fillId="14" borderId="5" xfId="0" applyFont="1" applyFill="1" applyBorder="1" applyAlignment="1" applyProtection="1">
      <alignment horizontal="left" vertical="center"/>
      <protection hidden="1"/>
    </xf>
    <xf numFmtId="0" fontId="15" fillId="14" borderId="5" xfId="0" applyFont="1" applyFill="1" applyBorder="1" applyAlignment="1" applyProtection="1">
      <alignment horizontal="center" vertical="center"/>
      <protection hidden="1"/>
    </xf>
    <xf numFmtId="170" fontId="15" fillId="14" borderId="5" xfId="0" applyNumberFormat="1" applyFont="1" applyFill="1" applyBorder="1" applyAlignment="1" applyProtection="1">
      <alignment vertical="center"/>
      <protection hidden="1"/>
    </xf>
    <xf numFmtId="171" fontId="10" fillId="14" borderId="5" xfId="0" applyNumberFormat="1" applyFont="1" applyFill="1" applyBorder="1" applyAlignment="1" applyProtection="1">
      <alignment vertical="center"/>
      <protection hidden="1"/>
    </xf>
    <xf numFmtId="171" fontId="10" fillId="14" borderId="5" xfId="0" applyNumberFormat="1" applyFont="1" applyFill="1" applyBorder="1" applyAlignment="1" applyProtection="1">
      <alignment horizontal="center" vertical="center"/>
      <protection hidden="1"/>
    </xf>
    <xf numFmtId="170" fontId="15" fillId="14" borderId="5" xfId="0" applyNumberFormat="1" applyFont="1" applyFill="1" applyBorder="1" applyAlignment="1" applyProtection="1">
      <alignment horizontal="center" vertical="center"/>
      <protection hidden="1"/>
    </xf>
    <xf numFmtId="170" fontId="15" fillId="14" borderId="5" xfId="0" applyNumberFormat="1" applyFont="1" applyFill="1" applyBorder="1" applyAlignment="1" applyProtection="1">
      <alignment horizontal="left" vertical="center"/>
      <protection hidden="1"/>
    </xf>
    <xf numFmtId="0" fontId="15" fillId="20" borderId="4" xfId="0" applyFont="1" applyFill="1" applyBorder="1" applyAlignment="1" applyProtection="1">
      <alignment horizontal="center" vertical="center"/>
      <protection hidden="1"/>
    </xf>
    <xf numFmtId="170" fontId="81" fillId="0" borderId="5" xfId="0" applyNumberFormat="1" applyFont="1" applyFill="1" applyBorder="1" applyAlignment="1" applyProtection="1">
      <alignment horizontal="left" vertical="center"/>
      <protection hidden="1"/>
    </xf>
    <xf numFmtId="170" fontId="81" fillId="0" borderId="0" xfId="0" applyNumberFormat="1" applyFont="1" applyFill="1" applyBorder="1" applyAlignment="1" applyProtection="1">
      <alignment horizontal="left" indent="1"/>
      <protection hidden="1"/>
    </xf>
    <xf numFmtId="0" fontId="81" fillId="0" borderId="0" xfId="0" applyFont="1" applyFill="1" applyBorder="1" applyAlignment="1" applyProtection="1">
      <alignment horizontal="left"/>
      <protection hidden="1"/>
    </xf>
    <xf numFmtId="0" fontId="81" fillId="0" borderId="0" xfId="0" applyFont="1" applyFill="1" applyBorder="1" applyAlignment="1" applyProtection="1">
      <protection hidden="1"/>
    </xf>
    <xf numFmtId="0" fontId="82" fillId="0" borderId="0" xfId="0" applyFont="1" applyFill="1" applyBorder="1" applyAlignment="1" applyProtection="1">
      <alignment horizontal="center" vertical="center"/>
      <protection hidden="1"/>
    </xf>
    <xf numFmtId="170" fontId="81" fillId="0" borderId="5" xfId="0" applyNumberFormat="1" applyFont="1" applyFill="1" applyBorder="1" applyAlignment="1" applyProtection="1">
      <alignment horizontal="right" vertical="center"/>
      <protection hidden="1"/>
    </xf>
    <xf numFmtId="170" fontId="83" fillId="0" borderId="5" xfId="0" applyNumberFormat="1" applyFont="1" applyFill="1" applyBorder="1" applyAlignment="1" applyProtection="1">
      <alignment horizontal="right" vertical="center"/>
      <protection hidden="1"/>
    </xf>
    <xf numFmtId="0" fontId="80" fillId="0" borderId="0" xfId="0" applyFont="1" applyFill="1" applyBorder="1" applyAlignment="1" applyProtection="1">
      <alignment horizontal="right" vertical="center"/>
      <protection locked="0"/>
    </xf>
    <xf numFmtId="0" fontId="80" fillId="0" borderId="0" xfId="0" applyFont="1" applyFill="1" applyBorder="1" applyAlignment="1" applyProtection="1">
      <alignment horizontal="left" vertical="center"/>
      <protection locked="0"/>
    </xf>
    <xf numFmtId="0" fontId="10" fillId="0" borderId="0" xfId="0" applyFont="1" applyFill="1" applyBorder="1" applyAlignment="1" applyProtection="1">
      <alignment horizontal="center" vertical="center" shrinkToFit="1"/>
      <protection hidden="1"/>
    </xf>
    <xf numFmtId="0" fontId="15" fillId="14" borderId="29" xfId="0" applyFont="1" applyFill="1" applyBorder="1" applyAlignment="1" applyProtection="1">
      <alignment horizontal="right"/>
      <protection hidden="1"/>
    </xf>
    <xf numFmtId="0" fontId="15" fillId="14" borderId="35" xfId="0" applyFont="1" applyFill="1" applyBorder="1" applyAlignment="1" applyProtection="1">
      <alignment horizontal="right" vertical="top"/>
      <protection hidden="1"/>
    </xf>
    <xf numFmtId="0" fontId="4" fillId="0" borderId="11" xfId="0" applyFont="1" applyFill="1" applyBorder="1" applyAlignment="1" applyProtection="1">
      <alignment horizontal="center" vertical="center"/>
      <protection hidden="1"/>
    </xf>
    <xf numFmtId="0" fontId="10" fillId="10" borderId="9" xfId="0" applyFont="1" applyFill="1" applyBorder="1" applyAlignment="1" applyProtection="1">
      <alignment vertical="center"/>
      <protection hidden="1"/>
    </xf>
    <xf numFmtId="0" fontId="10" fillId="10" borderId="5" xfId="0" applyFont="1" applyFill="1" applyBorder="1" applyAlignment="1" applyProtection="1">
      <alignment vertical="center"/>
      <protection hidden="1"/>
    </xf>
    <xf numFmtId="0" fontId="10" fillId="0" borderId="11" xfId="0" applyFont="1" applyFill="1" applyBorder="1" applyAlignment="1" applyProtection="1">
      <alignment vertical="center"/>
      <protection hidden="1"/>
    </xf>
    <xf numFmtId="0" fontId="10" fillId="10" borderId="9" xfId="0" applyFont="1" applyFill="1" applyBorder="1" applyAlignment="1" applyProtection="1">
      <alignment horizontal="center" vertical="center"/>
      <protection hidden="1"/>
    </xf>
    <xf numFmtId="166" fontId="10" fillId="10" borderId="9" xfId="0" applyNumberFormat="1" applyFont="1" applyFill="1" applyBorder="1" applyAlignment="1" applyProtection="1">
      <alignment horizontal="right" vertical="center"/>
      <protection hidden="1"/>
    </xf>
    <xf numFmtId="181" fontId="14" fillId="10" borderId="9" xfId="0" applyNumberFormat="1" applyFont="1" applyFill="1" applyBorder="1" applyAlignment="1" applyProtection="1">
      <alignment vertical="center"/>
      <protection hidden="1"/>
    </xf>
    <xf numFmtId="0" fontId="10" fillId="10" borderId="11" xfId="0" applyFont="1" applyFill="1" applyBorder="1" applyAlignment="1" applyProtection="1">
      <alignment horizontal="center" vertical="center"/>
      <protection hidden="1"/>
    </xf>
    <xf numFmtId="166" fontId="10" fillId="10" borderId="11" xfId="0" applyNumberFormat="1" applyFont="1" applyFill="1" applyBorder="1" applyAlignment="1" applyProtection="1">
      <alignment horizontal="right" vertical="center"/>
      <protection hidden="1"/>
    </xf>
    <xf numFmtId="181" fontId="14" fillId="10" borderId="11" xfId="0" applyNumberFormat="1" applyFont="1" applyFill="1" applyBorder="1" applyAlignment="1" applyProtection="1">
      <alignment vertical="center"/>
      <protection hidden="1"/>
    </xf>
    <xf numFmtId="0" fontId="10" fillId="10" borderId="15" xfId="0" applyFont="1" applyFill="1" applyBorder="1" applyAlignment="1" applyProtection="1">
      <alignment horizontal="center" vertical="center"/>
      <protection hidden="1"/>
    </xf>
    <xf numFmtId="166" fontId="10" fillId="10" borderId="15" xfId="0" applyNumberFormat="1" applyFont="1" applyFill="1" applyBorder="1" applyAlignment="1" applyProtection="1">
      <alignment horizontal="right" vertical="center"/>
      <protection hidden="1"/>
    </xf>
    <xf numFmtId="181" fontId="14" fillId="10" borderId="15" xfId="0" applyNumberFormat="1" applyFont="1" applyFill="1" applyBorder="1" applyAlignment="1" applyProtection="1">
      <alignment vertical="center"/>
      <protection hidden="1"/>
    </xf>
    <xf numFmtId="166" fontId="10" fillId="0" borderId="0" xfId="0" applyNumberFormat="1" applyFont="1" applyFill="1" applyBorder="1" applyAlignment="1" applyProtection="1">
      <alignment horizontal="right" vertical="center"/>
      <protection hidden="1"/>
    </xf>
    <xf numFmtId="181" fontId="14" fillId="0" borderId="0" xfId="0" applyNumberFormat="1" applyFont="1" applyFill="1" applyBorder="1" applyAlignment="1" applyProtection="1">
      <alignment vertical="center"/>
      <protection hidden="1"/>
    </xf>
    <xf numFmtId="0" fontId="14" fillId="0" borderId="5" xfId="0" applyFont="1" applyFill="1" applyBorder="1" applyAlignment="1" applyProtection="1">
      <alignment vertical="center"/>
      <protection hidden="1"/>
    </xf>
    <xf numFmtId="0" fontId="14" fillId="0" borderId="5" xfId="0" applyFont="1" applyFill="1" applyBorder="1" applyAlignment="1" applyProtection="1">
      <alignment horizontal="right" vertical="center"/>
      <protection hidden="1"/>
    </xf>
    <xf numFmtId="0" fontId="21" fillId="0" borderId="0" xfId="0" applyFont="1" applyFill="1" applyBorder="1" applyAlignment="1" applyProtection="1">
      <alignment vertical="center"/>
      <protection hidden="1"/>
    </xf>
    <xf numFmtId="0" fontId="15" fillId="8" borderId="0" xfId="0" applyFont="1" applyFill="1" applyProtection="1">
      <protection hidden="1"/>
    </xf>
    <xf numFmtId="0" fontId="49" fillId="8" borderId="0" xfId="0" applyFont="1" applyFill="1" applyBorder="1" applyAlignment="1" applyProtection="1">
      <alignment horizontal="left" vertical="center"/>
      <protection hidden="1"/>
    </xf>
    <xf numFmtId="0" fontId="15" fillId="14" borderId="0" xfId="0" applyFont="1" applyFill="1" applyProtection="1">
      <protection hidden="1"/>
    </xf>
    <xf numFmtId="0" fontId="15" fillId="14" borderId="28" xfId="0" applyFont="1" applyFill="1" applyBorder="1" applyProtection="1">
      <protection hidden="1"/>
    </xf>
    <xf numFmtId="0" fontId="15" fillId="14" borderId="0" xfId="0" applyFont="1" applyFill="1" applyAlignment="1" applyProtection="1">
      <alignment horizontal="right"/>
      <protection hidden="1"/>
    </xf>
    <xf numFmtId="0" fontId="52" fillId="14" borderId="4" xfId="0" applyFont="1" applyFill="1" applyBorder="1" applyAlignment="1" applyProtection="1">
      <alignment horizontal="center"/>
      <protection hidden="1"/>
    </xf>
    <xf numFmtId="0" fontId="5" fillId="14" borderId="4" xfId="0" applyFont="1" applyFill="1" applyBorder="1" applyAlignment="1" applyProtection="1">
      <alignment horizontal="center"/>
      <protection hidden="1"/>
    </xf>
    <xf numFmtId="178" fontId="5" fillId="14" borderId="4" xfId="0" applyNumberFormat="1" applyFont="1" applyFill="1" applyBorder="1" applyAlignment="1" applyProtection="1">
      <alignment horizontal="right"/>
      <protection hidden="1"/>
    </xf>
    <xf numFmtId="0" fontId="5" fillId="14" borderId="4" xfId="0" applyFont="1" applyFill="1" applyBorder="1" applyAlignment="1" applyProtection="1">
      <alignment horizontal="right"/>
      <protection hidden="1"/>
    </xf>
    <xf numFmtId="0" fontId="15" fillId="14" borderId="4" xfId="0" applyFont="1" applyFill="1" applyBorder="1" applyAlignment="1" applyProtection="1">
      <alignment horizontal="right"/>
      <protection hidden="1"/>
    </xf>
    <xf numFmtId="0" fontId="15" fillId="14" borderId="4" xfId="0" applyFont="1" applyFill="1" applyBorder="1" applyAlignment="1" applyProtection="1">
      <alignment horizontal="left"/>
      <protection hidden="1"/>
    </xf>
    <xf numFmtId="0" fontId="5" fillId="14" borderId="0" xfId="0" applyFont="1" applyFill="1" applyProtection="1">
      <protection hidden="1"/>
    </xf>
    <xf numFmtId="0" fontId="15" fillId="14" borderId="5" xfId="0" applyFont="1" applyFill="1" applyBorder="1" applyProtection="1">
      <protection hidden="1"/>
    </xf>
    <xf numFmtId="0" fontId="52" fillId="14" borderId="30" xfId="0" applyFont="1" applyFill="1" applyBorder="1" applyAlignment="1" applyProtection="1">
      <alignment horizontal="center"/>
      <protection hidden="1"/>
    </xf>
    <xf numFmtId="0" fontId="11" fillId="14" borderId="0" xfId="0" applyFont="1" applyFill="1" applyBorder="1" applyAlignment="1" applyProtection="1">
      <alignment horizontal="center" vertical="center"/>
      <protection hidden="1"/>
    </xf>
    <xf numFmtId="0" fontId="15" fillId="14" borderId="0" xfId="0" applyFont="1" applyFill="1" applyAlignment="1" applyProtection="1">
      <alignment horizontal="center"/>
      <protection hidden="1"/>
    </xf>
    <xf numFmtId="0" fontId="5" fillId="14" borderId="0" xfId="0" applyFont="1" applyFill="1" applyBorder="1" applyProtection="1">
      <protection hidden="1"/>
    </xf>
    <xf numFmtId="0" fontId="17" fillId="8" borderId="0" xfId="0" applyFont="1" applyFill="1" applyProtection="1">
      <protection hidden="1"/>
    </xf>
    <xf numFmtId="0" fontId="51" fillId="8" borderId="0" xfId="0" applyFont="1" applyFill="1" applyBorder="1" applyAlignment="1" applyProtection="1">
      <alignment horizontal="left" vertical="center"/>
      <protection hidden="1"/>
    </xf>
    <xf numFmtId="0" fontId="7" fillId="14" borderId="0" xfId="0" applyFont="1" applyFill="1" applyAlignment="1" applyProtection="1">
      <alignment vertical="center"/>
      <protection hidden="1"/>
    </xf>
    <xf numFmtId="172" fontId="15" fillId="14" borderId="0" xfId="0" applyNumberFormat="1" applyFont="1" applyFill="1" applyAlignment="1" applyProtection="1">
      <alignment vertical="center"/>
      <protection hidden="1"/>
    </xf>
    <xf numFmtId="0" fontId="15" fillId="14" borderId="0" xfId="0" applyFont="1" applyFill="1" applyAlignment="1" applyProtection="1">
      <alignment horizontal="right" vertical="center"/>
      <protection hidden="1"/>
    </xf>
    <xf numFmtId="0" fontId="15" fillId="14" borderId="0" xfId="0" applyFont="1" applyFill="1" applyAlignment="1" applyProtection="1">
      <alignment vertical="center"/>
      <protection hidden="1"/>
    </xf>
    <xf numFmtId="172" fontId="7" fillId="14" borderId="0" xfId="0" applyNumberFormat="1" applyFont="1" applyFill="1" applyAlignment="1" applyProtection="1">
      <alignment vertical="center"/>
      <protection hidden="1"/>
    </xf>
    <xf numFmtId="172" fontId="15" fillId="14" borderId="0" xfId="0" applyNumberFormat="1" applyFont="1" applyFill="1" applyProtection="1">
      <protection hidden="1"/>
    </xf>
    <xf numFmtId="0" fontId="20" fillId="0" borderId="11" xfId="0" applyFont="1" applyBorder="1" applyAlignment="1" applyProtection="1">
      <alignment horizontal="center" vertical="center"/>
      <protection locked="0"/>
    </xf>
    <xf numFmtId="0" fontId="38" fillId="0" borderId="11" xfId="0" applyFont="1" applyBorder="1" applyAlignment="1" applyProtection="1">
      <alignment vertical="center"/>
      <protection locked="0"/>
    </xf>
    <xf numFmtId="0" fontId="68" fillId="0" borderId="11" xfId="0" applyFont="1" applyBorder="1" applyAlignment="1" applyProtection="1">
      <alignment horizontal="center" vertical="center"/>
      <protection locked="0"/>
    </xf>
    <xf numFmtId="14" fontId="38" fillId="0" borderId="11" xfId="0" applyNumberFormat="1" applyFont="1" applyBorder="1" applyAlignment="1" applyProtection="1">
      <alignment horizontal="center" vertical="center"/>
      <protection locked="0"/>
    </xf>
    <xf numFmtId="177" fontId="38" fillId="0" borderId="11" xfId="0" applyNumberFormat="1" applyFont="1" applyBorder="1" applyAlignment="1" applyProtection="1">
      <alignment horizontal="left" vertical="center"/>
      <protection locked="0"/>
    </xf>
    <xf numFmtId="175" fontId="38" fillId="0" borderId="11" xfId="0" applyNumberFormat="1" applyFont="1" applyBorder="1" applyAlignment="1" applyProtection="1">
      <alignment horizontal="center" vertical="center"/>
      <protection locked="0"/>
    </xf>
    <xf numFmtId="189" fontId="38" fillId="0" borderId="11" xfId="0" applyNumberFormat="1" applyFont="1" applyBorder="1" applyAlignment="1" applyProtection="1">
      <alignment horizontal="right" vertical="center"/>
      <protection locked="0"/>
    </xf>
    <xf numFmtId="0" fontId="25" fillId="0" borderId="36" xfId="0" applyNumberFormat="1" applyFont="1" applyFill="1" applyBorder="1" applyAlignment="1" applyProtection="1">
      <alignment horizontal="center" vertical="center"/>
      <protection locked="0"/>
    </xf>
    <xf numFmtId="0" fontId="25" fillId="0" borderId="0" xfId="0" applyNumberFormat="1" applyFont="1" applyFill="1" applyBorder="1" applyAlignment="1" applyProtection="1">
      <alignment horizontal="center" vertical="center"/>
      <protection locked="0"/>
    </xf>
    <xf numFmtId="0" fontId="25" fillId="0" borderId="17" xfId="0" applyNumberFormat="1" applyFont="1" applyFill="1" applyBorder="1" applyAlignment="1" applyProtection="1">
      <alignment horizontal="center" vertical="center"/>
      <protection locked="0"/>
    </xf>
    <xf numFmtId="0" fontId="80" fillId="10" borderId="27" xfId="0" applyFont="1" applyFill="1" applyBorder="1" applyAlignment="1" applyProtection="1">
      <alignment horizontal="center" vertical="center"/>
      <protection hidden="1"/>
    </xf>
    <xf numFmtId="0" fontId="65" fillId="0" borderId="7" xfId="0" applyFont="1" applyBorder="1" applyAlignment="1" applyProtection="1">
      <alignment horizontal="right" vertical="center"/>
      <protection hidden="1"/>
    </xf>
    <xf numFmtId="0" fontId="10" fillId="14" borderId="0" xfId="0" applyFont="1" applyFill="1" applyBorder="1" applyProtection="1">
      <protection hidden="1"/>
    </xf>
    <xf numFmtId="0" fontId="15" fillId="14" borderId="4" xfId="0" applyFont="1" applyFill="1" applyBorder="1" applyAlignment="1" applyProtection="1">
      <alignment horizontal="right" vertical="center"/>
      <protection hidden="1"/>
    </xf>
    <xf numFmtId="0" fontId="15" fillId="14" borderId="0" xfId="0" applyFont="1" applyFill="1" applyBorder="1" applyAlignment="1" applyProtection="1">
      <alignment horizontal="right" vertical="center"/>
      <protection hidden="1"/>
    </xf>
    <xf numFmtId="0" fontId="10" fillId="14" borderId="0" xfId="0" applyFont="1" applyFill="1" applyBorder="1" applyAlignment="1" applyProtection="1">
      <alignment vertical="top"/>
      <protection hidden="1"/>
    </xf>
    <xf numFmtId="0" fontId="10" fillId="14" borderId="0" xfId="0" applyFont="1" applyFill="1" applyBorder="1" applyAlignment="1" applyProtection="1">
      <alignment horizontal="center" vertical="top"/>
      <protection hidden="1"/>
    </xf>
    <xf numFmtId="0" fontId="12" fillId="14" borderId="4" xfId="0" applyFont="1" applyFill="1" applyBorder="1" applyAlignment="1" applyProtection="1">
      <alignment horizontal="center" vertical="center"/>
      <protection hidden="1"/>
    </xf>
    <xf numFmtId="0" fontId="15" fillId="0" borderId="4" xfId="0" applyFont="1" applyFill="1" applyBorder="1" applyAlignment="1" applyProtection="1">
      <alignment horizontal="center" vertical="center"/>
      <protection hidden="1"/>
    </xf>
    <xf numFmtId="0" fontId="43" fillId="0" borderId="4" xfId="0" applyFont="1" applyFill="1" applyBorder="1" applyAlignment="1" applyProtection="1">
      <alignment horizontal="right" vertical="center"/>
      <protection hidden="1"/>
    </xf>
    <xf numFmtId="0" fontId="5" fillId="14" borderId="4" xfId="0" applyFont="1" applyFill="1" applyBorder="1" applyAlignment="1" applyProtection="1">
      <alignment horizontal="center" vertical="center"/>
      <protection locked="0"/>
    </xf>
    <xf numFmtId="0" fontId="10" fillId="14" borderId="34" xfId="0" applyFont="1" applyFill="1" applyBorder="1" applyAlignment="1" applyProtection="1">
      <alignment horizontal="center" vertical="center"/>
      <protection hidden="1"/>
    </xf>
    <xf numFmtId="0" fontId="5" fillId="14" borderId="4" xfId="0" applyFont="1" applyFill="1" applyBorder="1" applyAlignment="1" applyProtection="1">
      <alignment horizontal="left" vertical="center"/>
      <protection hidden="1"/>
    </xf>
    <xf numFmtId="0" fontId="5" fillId="14" borderId="0" xfId="0" applyFont="1" applyFill="1" applyBorder="1" applyAlignment="1" applyProtection="1">
      <alignment horizontal="center" vertical="center"/>
      <protection hidden="1"/>
    </xf>
    <xf numFmtId="0" fontId="5" fillId="14" borderId="4" xfId="0" applyFont="1" applyFill="1" applyBorder="1" applyAlignment="1" applyProtection="1">
      <alignment horizontal="center" vertical="center"/>
      <protection hidden="1"/>
    </xf>
    <xf numFmtId="0" fontId="10" fillId="14" borderId="37" xfId="0" applyFont="1" applyFill="1" applyBorder="1" applyAlignment="1" applyProtection="1">
      <alignment horizontal="center" vertical="center"/>
      <protection hidden="1"/>
    </xf>
    <xf numFmtId="0" fontId="10" fillId="14" borderId="35" xfId="0" applyFont="1" applyFill="1" applyBorder="1" applyAlignment="1" applyProtection="1">
      <alignment horizontal="center" vertical="center"/>
      <protection hidden="1"/>
    </xf>
    <xf numFmtId="0" fontId="10" fillId="14" borderId="33" xfId="0" applyFont="1" applyFill="1" applyBorder="1" applyAlignment="1" applyProtection="1">
      <alignment horizontal="center" vertical="center"/>
      <protection hidden="1"/>
    </xf>
    <xf numFmtId="0" fontId="10" fillId="14" borderId="8" xfId="0" applyFont="1" applyFill="1" applyBorder="1" applyAlignment="1" applyProtection="1">
      <alignment horizontal="center" vertical="center"/>
      <protection hidden="1"/>
    </xf>
    <xf numFmtId="0" fontId="10" fillId="14" borderId="7" xfId="0" applyFont="1" applyFill="1" applyBorder="1" applyAlignment="1" applyProtection="1">
      <alignment horizontal="center" vertical="center"/>
      <protection hidden="1"/>
    </xf>
    <xf numFmtId="0" fontId="10" fillId="14" borderId="38" xfId="0" applyFont="1" applyFill="1" applyBorder="1" applyAlignment="1" applyProtection="1">
      <alignment horizontal="center" vertical="center"/>
      <protection hidden="1"/>
    </xf>
    <xf numFmtId="0" fontId="10" fillId="14" borderId="29" xfId="0" applyFont="1" applyFill="1" applyBorder="1" applyAlignment="1" applyProtection="1">
      <alignment horizontal="center" vertical="center"/>
      <protection hidden="1"/>
    </xf>
    <xf numFmtId="0" fontId="10" fillId="14" borderId="30" xfId="0" applyFont="1" applyFill="1" applyBorder="1" applyAlignment="1" applyProtection="1">
      <alignment horizontal="center" vertical="center"/>
      <protection hidden="1"/>
    </xf>
    <xf numFmtId="0" fontId="4" fillId="11" borderId="4" xfId="0" applyFont="1" applyFill="1" applyBorder="1" applyAlignment="1" applyProtection="1">
      <alignment horizontal="center" vertical="center"/>
      <protection hidden="1"/>
    </xf>
    <xf numFmtId="0" fontId="4" fillId="11" borderId="4" xfId="0" applyFont="1" applyFill="1" applyBorder="1" applyAlignment="1" applyProtection="1">
      <alignment horizontal="left" vertical="center"/>
      <protection hidden="1"/>
    </xf>
    <xf numFmtId="0" fontId="14" fillId="11" borderId="4" xfId="0" applyFont="1" applyFill="1" applyBorder="1" applyAlignment="1" applyProtection="1">
      <alignment horizontal="center" vertical="center"/>
      <protection hidden="1"/>
    </xf>
    <xf numFmtId="0" fontId="14" fillId="0" borderId="15" xfId="0" applyFont="1" applyFill="1" applyBorder="1" applyAlignment="1" applyProtection="1">
      <alignment vertical="center"/>
      <protection hidden="1"/>
    </xf>
    <xf numFmtId="0" fontId="10" fillId="0" borderId="15" xfId="0" applyFont="1" applyFill="1" applyBorder="1" applyAlignment="1" applyProtection="1">
      <alignment horizontal="center" vertical="center"/>
      <protection hidden="1"/>
    </xf>
    <xf numFmtId="166" fontId="10" fillId="0" borderId="15" xfId="0" applyNumberFormat="1" applyFont="1" applyFill="1" applyBorder="1" applyAlignment="1" applyProtection="1">
      <alignment horizontal="right" vertical="center"/>
      <protection hidden="1"/>
    </xf>
    <xf numFmtId="181" fontId="14" fillId="0" borderId="15" xfId="0" applyNumberFormat="1" applyFont="1" applyFill="1" applyBorder="1" applyAlignment="1" applyProtection="1">
      <alignment vertical="center"/>
      <protection hidden="1"/>
    </xf>
    <xf numFmtId="190" fontId="27" fillId="0" borderId="0" xfId="0" applyNumberFormat="1" applyFont="1" applyFill="1" applyBorder="1" applyAlignment="1" applyProtection="1">
      <alignment horizontal="left" vertical="center"/>
      <protection hidden="1"/>
    </xf>
    <xf numFmtId="164" fontId="4" fillId="0" borderId="0" xfId="0" applyNumberFormat="1" applyFont="1" applyFill="1" applyBorder="1" applyAlignment="1" applyProtection="1">
      <alignment horizontal="center" vertical="center"/>
      <protection hidden="1"/>
    </xf>
    <xf numFmtId="0" fontId="15" fillId="14" borderId="33" xfId="0" applyFont="1" applyFill="1" applyBorder="1" applyAlignment="1" applyProtection="1">
      <protection hidden="1"/>
    </xf>
    <xf numFmtId="0" fontId="15" fillId="14" borderId="34" xfId="0" applyFont="1" applyFill="1" applyBorder="1" applyAlignment="1" applyProtection="1">
      <protection hidden="1"/>
    </xf>
    <xf numFmtId="0" fontId="15" fillId="14" borderId="30" xfId="0" applyFont="1" applyFill="1" applyBorder="1" applyAlignment="1" applyProtection="1">
      <protection hidden="1"/>
    </xf>
    <xf numFmtId="0" fontId="10" fillId="0" borderId="25" xfId="0" applyNumberFormat="1" applyFont="1" applyFill="1" applyBorder="1" applyAlignment="1" applyProtection="1">
      <alignment horizontal="justify" vertical="center" wrapText="1"/>
      <protection locked="0"/>
    </xf>
    <xf numFmtId="0" fontId="20" fillId="0" borderId="13" xfId="0" applyFont="1" applyBorder="1" applyAlignment="1" applyProtection="1">
      <alignment horizontal="center" vertical="center"/>
      <protection locked="0"/>
    </xf>
    <xf numFmtId="0" fontId="38" fillId="0" borderId="13" xfId="0" applyFont="1" applyBorder="1" applyAlignment="1" applyProtection="1">
      <alignment vertical="center"/>
      <protection locked="0"/>
    </xf>
    <xf numFmtId="0" fontId="68" fillId="0" borderId="13" xfId="0" applyFont="1" applyBorder="1" applyAlignment="1" applyProtection="1">
      <alignment horizontal="center" vertical="center"/>
      <protection locked="0"/>
    </xf>
    <xf numFmtId="14" fontId="38" fillId="0" borderId="13" xfId="0" applyNumberFormat="1" applyFont="1" applyBorder="1" applyAlignment="1" applyProtection="1">
      <alignment horizontal="center" vertical="center"/>
      <protection locked="0"/>
    </xf>
    <xf numFmtId="177" fontId="38" fillId="0" borderId="13" xfId="0" applyNumberFormat="1" applyFont="1" applyBorder="1" applyAlignment="1" applyProtection="1">
      <alignment horizontal="left" vertical="center"/>
      <protection locked="0"/>
    </xf>
    <xf numFmtId="175" fontId="38" fillId="0" borderId="13" xfId="0" applyNumberFormat="1" applyFont="1" applyBorder="1" applyAlignment="1" applyProtection="1">
      <alignment horizontal="center" vertical="center"/>
      <protection locked="0"/>
    </xf>
    <xf numFmtId="189" fontId="38" fillId="0" borderId="13" xfId="0" applyNumberFormat="1" applyFont="1" applyBorder="1" applyAlignment="1" applyProtection="1">
      <alignment horizontal="right" vertical="center"/>
      <protection locked="0"/>
    </xf>
    <xf numFmtId="0" fontId="7" fillId="7" borderId="0" xfId="0" applyFont="1" applyFill="1" applyBorder="1" applyAlignment="1" applyProtection="1">
      <alignment vertical="center"/>
      <protection hidden="1"/>
    </xf>
    <xf numFmtId="0" fontId="7" fillId="7" borderId="0" xfId="0" applyFont="1" applyFill="1" applyBorder="1" applyAlignment="1" applyProtection="1">
      <alignment horizontal="center" vertical="center"/>
      <protection hidden="1"/>
    </xf>
    <xf numFmtId="0" fontId="22" fillId="7" borderId="0" xfId="0" applyFont="1" applyFill="1" applyBorder="1" applyAlignment="1" applyProtection="1">
      <alignment horizontal="left" indent="1"/>
      <protection hidden="1"/>
    </xf>
    <xf numFmtId="0" fontId="10" fillId="7" borderId="3" xfId="0" applyFont="1" applyFill="1" applyBorder="1" applyAlignment="1" applyProtection="1">
      <alignment vertical="center"/>
      <protection hidden="1"/>
    </xf>
    <xf numFmtId="0" fontId="15" fillId="7" borderId="39" xfId="0" applyFont="1" applyFill="1" applyBorder="1" applyAlignment="1" applyProtection="1">
      <alignment vertical="center"/>
      <protection hidden="1"/>
    </xf>
    <xf numFmtId="0" fontId="15" fillId="7" borderId="39" xfId="0" applyFont="1" applyFill="1" applyBorder="1" applyAlignment="1" applyProtection="1">
      <alignment horizontal="center" vertical="center"/>
      <protection hidden="1"/>
    </xf>
    <xf numFmtId="0" fontId="85" fillId="7" borderId="39" xfId="0" applyFont="1" applyFill="1" applyBorder="1" applyAlignment="1" applyProtection="1">
      <alignment vertical="center"/>
      <protection hidden="1"/>
    </xf>
    <xf numFmtId="0" fontId="10" fillId="21" borderId="3" xfId="0" applyFont="1" applyFill="1" applyBorder="1" applyAlignment="1" applyProtection="1">
      <alignment vertical="center"/>
      <protection hidden="1"/>
    </xf>
    <xf numFmtId="0" fontId="84" fillId="21" borderId="40" xfId="0" applyFont="1" applyFill="1" applyBorder="1" applyAlignment="1" applyProtection="1">
      <protection hidden="1"/>
    </xf>
    <xf numFmtId="172" fontId="84" fillId="21" borderId="40" xfId="0" applyNumberFormat="1" applyFont="1" applyFill="1" applyBorder="1" applyAlignment="1" applyProtection="1">
      <protection hidden="1"/>
    </xf>
    <xf numFmtId="0" fontId="84" fillId="21" borderId="40" xfId="0" applyFont="1" applyFill="1" applyBorder="1" applyAlignment="1" applyProtection="1">
      <alignment horizontal="center"/>
      <protection hidden="1"/>
    </xf>
    <xf numFmtId="0" fontId="84" fillId="21" borderId="40" xfId="0" applyFont="1" applyFill="1" applyBorder="1" applyAlignment="1" applyProtection="1">
      <alignment horizontal="left"/>
      <protection hidden="1"/>
    </xf>
    <xf numFmtId="0" fontId="66" fillId="21" borderId="40" xfId="0" applyFont="1" applyFill="1" applyBorder="1" applyAlignment="1" applyProtection="1">
      <protection hidden="1"/>
    </xf>
    <xf numFmtId="0" fontId="66" fillId="21" borderId="40" xfId="0" applyFont="1" applyFill="1" applyBorder="1" applyAlignment="1" applyProtection="1">
      <alignment horizontal="left"/>
      <protection hidden="1"/>
    </xf>
    <xf numFmtId="0" fontId="66" fillId="21" borderId="40" xfId="0" applyFont="1" applyFill="1" applyBorder="1" applyAlignment="1" applyProtection="1">
      <alignment horizontal="center"/>
      <protection hidden="1"/>
    </xf>
    <xf numFmtId="0" fontId="10" fillId="14" borderId="28" xfId="0" applyFont="1" applyFill="1" applyBorder="1" applyAlignment="1" applyProtection="1">
      <alignment vertical="center"/>
      <protection hidden="1"/>
    </xf>
    <xf numFmtId="0" fontId="10" fillId="14" borderId="28" xfId="0" applyFont="1" applyFill="1" applyBorder="1" applyAlignment="1" applyProtection="1">
      <alignment horizontal="center" vertical="center"/>
      <protection hidden="1"/>
    </xf>
    <xf numFmtId="166" fontId="10" fillId="14" borderId="28" xfId="0" applyNumberFormat="1" applyFont="1" applyFill="1" applyBorder="1" applyAlignment="1" applyProtection="1">
      <alignment horizontal="right" vertical="center"/>
      <protection hidden="1"/>
    </xf>
    <xf numFmtId="181" fontId="14" fillId="14" borderId="28" xfId="0" applyNumberFormat="1" applyFont="1" applyFill="1" applyBorder="1" applyAlignment="1" applyProtection="1">
      <alignment vertical="center"/>
      <protection hidden="1"/>
    </xf>
    <xf numFmtId="0" fontId="9" fillId="21" borderId="5" xfId="0" applyFont="1" applyFill="1" applyBorder="1" applyAlignment="1" applyProtection="1">
      <alignment vertical="center"/>
      <protection hidden="1"/>
    </xf>
    <xf numFmtId="0" fontId="3" fillId="21" borderId="5" xfId="0" applyFont="1" applyFill="1" applyBorder="1" applyAlignment="1" applyProtection="1">
      <alignment horizontal="center" vertical="center"/>
      <protection hidden="1"/>
    </xf>
    <xf numFmtId="0" fontId="9" fillId="21" borderId="5" xfId="0" applyFont="1" applyFill="1" applyBorder="1" applyAlignment="1" applyProtection="1">
      <alignment horizontal="center" vertical="center"/>
      <protection hidden="1"/>
    </xf>
    <xf numFmtId="166" fontId="9" fillId="21" borderId="5" xfId="0" applyNumberFormat="1" applyFont="1" applyFill="1" applyBorder="1" applyAlignment="1" applyProtection="1">
      <alignment horizontal="right" vertical="center"/>
      <protection hidden="1"/>
    </xf>
    <xf numFmtId="181" fontId="18" fillId="21" borderId="5" xfId="0" applyNumberFormat="1" applyFont="1" applyFill="1" applyBorder="1" applyAlignment="1" applyProtection="1">
      <alignment vertical="center"/>
      <protection hidden="1"/>
    </xf>
    <xf numFmtId="0" fontId="9" fillId="7" borderId="0" xfId="0" applyFont="1" applyFill="1" applyBorder="1" applyAlignment="1" applyProtection="1">
      <alignment vertical="center"/>
      <protection hidden="1"/>
    </xf>
    <xf numFmtId="0" fontId="3" fillId="7" borderId="0" xfId="0" applyFont="1" applyFill="1" applyBorder="1" applyAlignment="1" applyProtection="1">
      <alignment horizontal="center" vertical="center"/>
      <protection hidden="1"/>
    </xf>
    <xf numFmtId="0" fontId="9" fillId="7" borderId="0" xfId="0" applyFont="1" applyFill="1" applyBorder="1" applyAlignment="1" applyProtection="1">
      <alignment horizontal="center" vertical="center"/>
      <protection hidden="1"/>
    </xf>
    <xf numFmtId="166" fontId="9" fillId="7" borderId="0" xfId="0" applyNumberFormat="1" applyFont="1" applyFill="1" applyBorder="1" applyAlignment="1" applyProtection="1">
      <alignment horizontal="right" vertical="center"/>
      <protection hidden="1"/>
    </xf>
    <xf numFmtId="181" fontId="18" fillId="7" borderId="0" xfId="0" applyNumberFormat="1" applyFont="1" applyFill="1" applyBorder="1" applyAlignment="1" applyProtection="1">
      <alignment vertical="center"/>
      <protection hidden="1"/>
    </xf>
    <xf numFmtId="0" fontId="86" fillId="0" borderId="41" xfId="0" applyFont="1" applyFill="1" applyBorder="1" applyAlignment="1" applyProtection="1">
      <alignment vertical="center"/>
      <protection locked="0"/>
    </xf>
    <xf numFmtId="0" fontId="4" fillId="0" borderId="42" xfId="0" applyFont="1" applyFill="1" applyBorder="1" applyAlignment="1" applyProtection="1">
      <alignment horizontal="center" vertical="top"/>
      <protection hidden="1"/>
    </xf>
    <xf numFmtId="0" fontId="10" fillId="22" borderId="0" xfId="0" applyFont="1" applyFill="1" applyBorder="1" applyAlignment="1" applyProtection="1">
      <alignment vertical="center"/>
      <protection hidden="1"/>
    </xf>
    <xf numFmtId="0" fontId="4" fillId="22" borderId="0" xfId="0" applyFont="1" applyFill="1" applyBorder="1" applyAlignment="1" applyProtection="1">
      <alignment horizontal="center" vertical="center"/>
      <protection hidden="1"/>
    </xf>
    <xf numFmtId="0" fontId="10" fillId="22" borderId="0" xfId="0" applyFont="1" applyFill="1" applyBorder="1" applyAlignment="1" applyProtection="1">
      <alignment horizontal="center" vertical="center"/>
      <protection hidden="1"/>
    </xf>
    <xf numFmtId="166" fontId="10" fillId="22" borderId="0" xfId="0" applyNumberFormat="1" applyFont="1" applyFill="1" applyBorder="1" applyAlignment="1" applyProtection="1">
      <alignment horizontal="right" vertical="center"/>
      <protection hidden="1"/>
    </xf>
    <xf numFmtId="181" fontId="14" fillId="22" borderId="0" xfId="0" applyNumberFormat="1" applyFont="1" applyFill="1" applyBorder="1" applyAlignment="1" applyProtection="1">
      <alignment vertical="center"/>
      <protection hidden="1"/>
    </xf>
    <xf numFmtId="0" fontId="10" fillId="8" borderId="28" xfId="0" applyFont="1" applyFill="1" applyBorder="1" applyAlignment="1" applyProtection="1">
      <alignment vertical="center"/>
      <protection hidden="1"/>
    </xf>
    <xf numFmtId="0" fontId="4" fillId="8" borderId="28" xfId="0" applyFont="1" applyFill="1" applyBorder="1" applyAlignment="1" applyProtection="1">
      <alignment horizontal="center" vertical="center"/>
      <protection hidden="1"/>
    </xf>
    <xf numFmtId="0" fontId="10" fillId="8" borderId="28" xfId="0" applyFont="1" applyFill="1" applyBorder="1" applyAlignment="1" applyProtection="1">
      <alignment horizontal="center" vertical="center"/>
      <protection hidden="1"/>
    </xf>
    <xf numFmtId="166" fontId="10" fillId="8" borderId="28" xfId="0" applyNumberFormat="1" applyFont="1" applyFill="1" applyBorder="1" applyAlignment="1" applyProtection="1">
      <alignment horizontal="right" vertical="center"/>
      <protection hidden="1"/>
    </xf>
    <xf numFmtId="181" fontId="14" fillId="8" borderId="28" xfId="0" applyNumberFormat="1" applyFont="1" applyFill="1" applyBorder="1" applyAlignment="1" applyProtection="1">
      <alignment vertical="center"/>
      <protection hidden="1"/>
    </xf>
    <xf numFmtId="0" fontId="10" fillId="8" borderId="5" xfId="0" applyFont="1" applyFill="1" applyBorder="1" applyAlignment="1" applyProtection="1">
      <alignment vertical="center"/>
      <protection hidden="1"/>
    </xf>
    <xf numFmtId="0" fontId="4" fillId="8" borderId="5" xfId="0" applyFont="1" applyFill="1" applyBorder="1" applyAlignment="1" applyProtection="1">
      <alignment horizontal="center" vertical="center"/>
      <protection hidden="1"/>
    </xf>
    <xf numFmtId="0" fontId="10" fillId="8" borderId="5" xfId="0" applyFont="1" applyFill="1" applyBorder="1" applyAlignment="1" applyProtection="1">
      <alignment horizontal="center" vertical="center"/>
      <protection hidden="1"/>
    </xf>
    <xf numFmtId="166" fontId="10" fillId="8" borderId="5" xfId="0" applyNumberFormat="1" applyFont="1" applyFill="1" applyBorder="1" applyAlignment="1" applyProtection="1">
      <alignment horizontal="right" vertical="center"/>
      <protection hidden="1"/>
    </xf>
    <xf numFmtId="181" fontId="14" fillId="8" borderId="5" xfId="0" applyNumberFormat="1" applyFont="1" applyFill="1" applyBorder="1" applyAlignment="1" applyProtection="1">
      <alignment vertical="center"/>
      <protection hidden="1"/>
    </xf>
    <xf numFmtId="0" fontId="10" fillId="8" borderId="11" xfId="0" applyFont="1" applyFill="1" applyBorder="1" applyAlignment="1" applyProtection="1">
      <alignment vertical="center"/>
      <protection hidden="1"/>
    </xf>
    <xf numFmtId="0" fontId="4" fillId="8" borderId="11" xfId="0" applyFont="1" applyFill="1" applyBorder="1" applyAlignment="1" applyProtection="1">
      <alignment horizontal="center" vertical="center"/>
      <protection hidden="1"/>
    </xf>
    <xf numFmtId="0" fontId="10" fillId="8" borderId="11" xfId="0" applyFont="1" applyFill="1" applyBorder="1" applyAlignment="1" applyProtection="1">
      <alignment horizontal="center" vertical="center"/>
      <protection hidden="1"/>
    </xf>
    <xf numFmtId="166" fontId="10" fillId="8" borderId="11" xfId="0" applyNumberFormat="1" applyFont="1" applyFill="1" applyBorder="1" applyAlignment="1" applyProtection="1">
      <alignment horizontal="right" vertical="center"/>
      <protection hidden="1"/>
    </xf>
    <xf numFmtId="181" fontId="14" fillId="8" borderId="11" xfId="0" applyNumberFormat="1" applyFont="1" applyFill="1" applyBorder="1" applyAlignment="1" applyProtection="1">
      <alignment vertical="center"/>
      <protection hidden="1"/>
    </xf>
    <xf numFmtId="0" fontId="22" fillId="7" borderId="0" xfId="0" applyFont="1" applyFill="1" applyBorder="1" applyAlignment="1" applyProtection="1">
      <alignment horizontal="center"/>
      <protection hidden="1"/>
    </xf>
    <xf numFmtId="0" fontId="3" fillId="23" borderId="31" xfId="0" applyFont="1" applyFill="1" applyBorder="1" applyAlignment="1" applyProtection="1">
      <alignment horizontal="center" vertical="center"/>
      <protection hidden="1"/>
    </xf>
    <xf numFmtId="0" fontId="3" fillId="23" borderId="4" xfId="0" applyFont="1" applyFill="1" applyBorder="1" applyAlignment="1" applyProtection="1">
      <alignment vertical="center"/>
      <protection hidden="1"/>
    </xf>
    <xf numFmtId="0" fontId="3" fillId="23" borderId="4" xfId="0" applyFont="1" applyFill="1" applyBorder="1" applyAlignment="1" applyProtection="1">
      <alignment horizontal="center" vertical="center"/>
      <protection hidden="1"/>
    </xf>
    <xf numFmtId="0" fontId="3" fillId="23" borderId="33" xfId="0" applyFont="1" applyFill="1" applyBorder="1" applyAlignment="1" applyProtection="1">
      <alignment horizontal="center" vertical="center"/>
      <protection hidden="1"/>
    </xf>
    <xf numFmtId="0" fontId="3" fillId="23" borderId="32" xfId="0" applyFont="1" applyFill="1" applyBorder="1" applyAlignment="1" applyProtection="1">
      <alignment horizontal="center" vertical="center"/>
      <protection hidden="1"/>
    </xf>
    <xf numFmtId="0" fontId="3" fillId="23" borderId="31" xfId="0" applyFont="1" applyFill="1" applyBorder="1" applyAlignment="1" applyProtection="1">
      <alignment horizontal="left" vertical="center"/>
      <protection hidden="1"/>
    </xf>
    <xf numFmtId="0" fontId="10" fillId="7" borderId="0" xfId="0" applyFont="1" applyFill="1" applyBorder="1" applyAlignment="1" applyProtection="1">
      <alignment vertical="center"/>
      <protection hidden="1"/>
    </xf>
    <xf numFmtId="0" fontId="10" fillId="7" borderId="39" xfId="0" applyFont="1" applyFill="1" applyBorder="1" applyAlignment="1" applyProtection="1">
      <alignment vertical="center"/>
      <protection hidden="1"/>
    </xf>
    <xf numFmtId="0" fontId="72" fillId="0" borderId="0" xfId="0" applyFont="1" applyAlignment="1" applyProtection="1">
      <alignment vertical="center"/>
      <protection hidden="1"/>
    </xf>
    <xf numFmtId="177" fontId="72" fillId="0" borderId="0" xfId="0" applyNumberFormat="1" applyFont="1" applyBorder="1" applyAlignment="1" applyProtection="1">
      <alignment horizontal="center" vertical="center"/>
      <protection hidden="1"/>
    </xf>
    <xf numFmtId="175" fontId="72" fillId="0" borderId="0" xfId="0" applyNumberFormat="1" applyFont="1" applyBorder="1" applyAlignment="1" applyProtection="1">
      <alignment horizontal="center" vertical="center"/>
      <protection hidden="1"/>
    </xf>
    <xf numFmtId="176" fontId="72" fillId="0" borderId="0" xfId="0" applyNumberFormat="1" applyFont="1" applyBorder="1" applyAlignment="1" applyProtection="1">
      <alignment horizontal="center" vertical="center"/>
      <protection hidden="1"/>
    </xf>
    <xf numFmtId="0" fontId="72" fillId="0" borderId="43" xfId="0" applyFont="1" applyBorder="1" applyAlignment="1" applyProtection="1">
      <alignment vertical="center"/>
      <protection hidden="1"/>
    </xf>
    <xf numFmtId="0" fontId="72" fillId="0" borderId="44" xfId="0" applyFont="1" applyBorder="1" applyAlignment="1" applyProtection="1">
      <alignment vertical="center"/>
      <protection hidden="1"/>
    </xf>
    <xf numFmtId="177" fontId="72" fillId="0" borderId="44" xfId="0" applyNumberFormat="1" applyFont="1" applyBorder="1" applyAlignment="1" applyProtection="1">
      <alignment horizontal="center" vertical="center"/>
      <protection hidden="1"/>
    </xf>
    <xf numFmtId="175" fontId="72" fillId="0" borderId="44" xfId="0" applyNumberFormat="1" applyFont="1" applyBorder="1" applyAlignment="1" applyProtection="1">
      <alignment horizontal="center" vertical="center"/>
      <protection hidden="1"/>
    </xf>
    <xf numFmtId="176" fontId="72" fillId="0" borderId="44" xfId="0" applyNumberFormat="1" applyFont="1" applyBorder="1" applyAlignment="1" applyProtection="1">
      <alignment horizontal="center" vertical="center"/>
      <protection hidden="1"/>
    </xf>
    <xf numFmtId="0" fontId="7" fillId="7" borderId="0" xfId="0" applyFont="1" applyFill="1" applyBorder="1" applyAlignment="1" applyProtection="1">
      <alignment horizontal="right" vertical="center"/>
      <protection hidden="1"/>
    </xf>
    <xf numFmtId="0" fontId="15" fillId="7" borderId="39" xfId="0" applyFont="1" applyFill="1" applyBorder="1" applyAlignment="1" applyProtection="1">
      <alignment horizontal="right" vertical="center"/>
      <protection hidden="1"/>
    </xf>
    <xf numFmtId="0" fontId="84" fillId="21" borderId="40" xfId="0" applyFont="1" applyFill="1" applyBorder="1" applyAlignment="1" applyProtection="1">
      <alignment horizontal="right"/>
      <protection hidden="1"/>
    </xf>
    <xf numFmtId="0" fontId="38" fillId="0" borderId="0" xfId="0" applyFont="1" applyBorder="1" applyAlignment="1" applyProtection="1">
      <alignment horizontal="right" vertical="center"/>
      <protection locked="0"/>
    </xf>
    <xf numFmtId="0" fontId="38" fillId="0" borderId="11" xfId="0" applyFont="1" applyBorder="1" applyAlignment="1" applyProtection="1">
      <alignment horizontal="right" vertical="center"/>
      <protection locked="0"/>
    </xf>
    <xf numFmtId="0" fontId="38" fillId="0" borderId="13" xfId="0" applyFont="1" applyBorder="1" applyAlignment="1" applyProtection="1">
      <alignment horizontal="right" vertical="center"/>
      <protection locked="0"/>
    </xf>
    <xf numFmtId="0" fontId="38" fillId="0" borderId="0" xfId="0" applyFont="1" applyBorder="1" applyAlignment="1" applyProtection="1">
      <alignment horizontal="right" vertical="center"/>
      <protection hidden="1"/>
    </xf>
    <xf numFmtId="0" fontId="7" fillId="7" borderId="0" xfId="0" applyFont="1" applyFill="1" applyBorder="1" applyAlignment="1" applyProtection="1">
      <alignment horizontal="left" vertical="center"/>
      <protection hidden="1"/>
    </xf>
    <xf numFmtId="0" fontId="15" fillId="7" borderId="39" xfId="0" applyFont="1" applyFill="1" applyBorder="1" applyAlignment="1" applyProtection="1">
      <alignment horizontal="left" vertical="center"/>
      <protection hidden="1"/>
    </xf>
    <xf numFmtId="0" fontId="35" fillId="0" borderId="0" xfId="0" applyFont="1" applyFill="1" applyAlignment="1" applyProtection="1">
      <alignment horizontal="left" vertical="center"/>
      <protection hidden="1"/>
    </xf>
    <xf numFmtId="0" fontId="35" fillId="0" borderId="45" xfId="0" applyFont="1" applyBorder="1" applyAlignment="1" applyProtection="1">
      <alignment horizontal="left" vertical="center"/>
      <protection locked="0"/>
    </xf>
    <xf numFmtId="0" fontId="35" fillId="0" borderId="0" xfId="0" applyFont="1" applyBorder="1" applyAlignment="1" applyProtection="1">
      <alignment horizontal="left" vertical="center"/>
      <protection hidden="1"/>
    </xf>
    <xf numFmtId="0" fontId="4" fillId="0" borderId="0" xfId="0" applyFont="1" applyBorder="1" applyAlignment="1" applyProtection="1">
      <alignment horizontal="left" vertical="center"/>
      <protection hidden="1"/>
    </xf>
    <xf numFmtId="0" fontId="35" fillId="0" borderId="0" xfId="0" applyFont="1" applyAlignment="1" applyProtection="1">
      <alignment horizontal="left"/>
      <protection hidden="1"/>
    </xf>
    <xf numFmtId="0" fontId="35" fillId="0" borderId="45" xfId="0" applyFont="1" applyBorder="1" applyAlignment="1" applyProtection="1">
      <alignment horizontal="left" vertical="center"/>
      <protection hidden="1"/>
    </xf>
    <xf numFmtId="0" fontId="87" fillId="0" borderId="0" xfId="0" applyFont="1" applyFill="1" applyAlignment="1" applyProtection="1">
      <alignment horizontal="right" vertical="center"/>
      <protection hidden="1"/>
    </xf>
    <xf numFmtId="0" fontId="43" fillId="7" borderId="27" xfId="0" applyNumberFormat="1" applyFont="1" applyFill="1" applyBorder="1" applyAlignment="1" applyProtection="1">
      <alignment horizontal="center" vertical="center"/>
      <protection hidden="1"/>
    </xf>
    <xf numFmtId="0" fontId="7" fillId="7" borderId="46" xfId="0" applyFont="1" applyFill="1" applyBorder="1" applyProtection="1">
      <protection hidden="1"/>
    </xf>
    <xf numFmtId="0" fontId="7" fillId="7" borderId="46" xfId="0" applyFont="1" applyFill="1" applyBorder="1" applyAlignment="1" applyProtection="1">
      <alignment horizontal="center"/>
      <protection hidden="1"/>
    </xf>
    <xf numFmtId="0" fontId="10" fillId="7" borderId="46" xfId="0" applyFont="1" applyFill="1" applyBorder="1" applyAlignment="1" applyProtection="1">
      <alignment vertical="center"/>
      <protection hidden="1"/>
    </xf>
    <xf numFmtId="0" fontId="7" fillId="10" borderId="47" xfId="0" applyFont="1" applyFill="1" applyBorder="1" applyAlignment="1" applyProtection="1">
      <alignment horizontal="center" vertical="center"/>
      <protection hidden="1"/>
    </xf>
    <xf numFmtId="0" fontId="7" fillId="10" borderId="48" xfId="0" applyFont="1" applyFill="1" applyBorder="1" applyAlignment="1" applyProtection="1">
      <alignment horizontal="center" vertical="center"/>
      <protection hidden="1"/>
    </xf>
    <xf numFmtId="187" fontId="11" fillId="0" borderId="5" xfId="0" applyNumberFormat="1" applyFont="1" applyFill="1" applyBorder="1" applyAlignment="1" applyProtection="1">
      <alignment horizontal="left" vertical="center"/>
      <protection hidden="1"/>
    </xf>
    <xf numFmtId="187" fontId="11" fillId="0" borderId="0" xfId="0" applyNumberFormat="1" applyFont="1" applyFill="1" applyBorder="1" applyAlignment="1" applyProtection="1">
      <alignment horizontal="left" vertical="center"/>
      <protection hidden="1"/>
    </xf>
    <xf numFmtId="0" fontId="11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right" vertical="center"/>
      <protection hidden="1"/>
    </xf>
    <xf numFmtId="0" fontId="15" fillId="0" borderId="0" xfId="0" applyFont="1" applyFill="1" applyBorder="1" applyAlignment="1" applyProtection="1">
      <alignment horizontal="center" vertical="center" wrapText="1"/>
      <protection hidden="1"/>
    </xf>
    <xf numFmtId="187" fontId="20" fillId="0" borderId="5" xfId="0" applyNumberFormat="1" applyFont="1" applyFill="1" applyBorder="1" applyAlignment="1" applyProtection="1">
      <alignment horizontal="left" vertical="center"/>
      <protection hidden="1"/>
    </xf>
    <xf numFmtId="187" fontId="11" fillId="0" borderId="5" xfId="0" applyNumberFormat="1" applyFont="1" applyFill="1" applyBorder="1" applyAlignment="1" applyProtection="1">
      <alignment horizontal="right" vertical="center"/>
      <protection hidden="1"/>
    </xf>
    <xf numFmtId="0" fontId="7" fillId="0" borderId="5" xfId="0" applyFont="1" applyFill="1" applyBorder="1" applyProtection="1">
      <protection hidden="1"/>
    </xf>
    <xf numFmtId="0" fontId="7" fillId="0" borderId="5" xfId="0" applyFont="1" applyFill="1" applyBorder="1" applyAlignment="1" applyProtection="1">
      <alignment horizontal="center"/>
      <protection hidden="1"/>
    </xf>
    <xf numFmtId="0" fontId="88" fillId="7" borderId="49" xfId="0" applyFont="1" applyFill="1" applyBorder="1" applyAlignment="1" applyProtection="1">
      <alignment vertical="center"/>
      <protection hidden="1"/>
    </xf>
    <xf numFmtId="0" fontId="88" fillId="7" borderId="50" xfId="0" applyFont="1" applyFill="1" applyBorder="1" applyAlignment="1" applyProtection="1">
      <alignment vertical="center"/>
      <protection hidden="1"/>
    </xf>
    <xf numFmtId="0" fontId="18" fillId="7" borderId="50" xfId="0" applyFont="1" applyFill="1" applyBorder="1" applyAlignment="1" applyProtection="1">
      <alignment horizontal="center" vertical="center" wrapText="1"/>
      <protection hidden="1"/>
    </xf>
    <xf numFmtId="0" fontId="14" fillId="10" borderId="17" xfId="0" applyFont="1" applyFill="1" applyBorder="1" applyAlignment="1" applyProtection="1">
      <alignment horizontal="center" vertical="center"/>
      <protection locked="0"/>
    </xf>
    <xf numFmtId="0" fontId="14" fillId="10" borderId="23" xfId="0" applyFont="1" applyFill="1" applyBorder="1" applyAlignment="1" applyProtection="1">
      <alignment horizontal="center" vertical="center"/>
      <protection locked="0"/>
    </xf>
    <xf numFmtId="0" fontId="14" fillId="10" borderId="51" xfId="0" applyFont="1" applyFill="1" applyBorder="1" applyAlignment="1" applyProtection="1">
      <alignment horizontal="center" vertical="center"/>
      <protection locked="0"/>
    </xf>
    <xf numFmtId="0" fontId="14" fillId="19" borderId="52" xfId="0" applyFont="1" applyFill="1" applyBorder="1" applyAlignment="1" applyProtection="1">
      <alignment horizontal="center" vertical="center"/>
      <protection locked="0"/>
    </xf>
    <xf numFmtId="0" fontId="14" fillId="19" borderId="53" xfId="0" applyFont="1" applyFill="1" applyBorder="1" applyAlignment="1" applyProtection="1">
      <alignment horizontal="center" vertical="center"/>
      <protection locked="0"/>
    </xf>
    <xf numFmtId="0" fontId="14" fillId="19" borderId="54" xfId="0" applyFont="1" applyFill="1" applyBorder="1" applyAlignment="1" applyProtection="1">
      <alignment horizontal="center" vertical="center"/>
      <protection locked="0"/>
    </xf>
    <xf numFmtId="0" fontId="89" fillId="0" borderId="0" xfId="0" applyFont="1" applyBorder="1" applyAlignment="1" applyProtection="1">
      <alignment horizontal="center" vertical="center"/>
      <protection hidden="1"/>
    </xf>
    <xf numFmtId="0" fontId="89" fillId="0" borderId="55" xfId="0" applyFont="1" applyBorder="1" applyAlignment="1" applyProtection="1">
      <alignment horizontal="center" vertical="center"/>
      <protection hidden="1"/>
    </xf>
    <xf numFmtId="0" fontId="89" fillId="0" borderId="56" xfId="0" applyFont="1" applyBorder="1" applyAlignment="1" applyProtection="1">
      <alignment horizontal="center" vertical="center"/>
      <protection hidden="1"/>
    </xf>
    <xf numFmtId="0" fontId="89" fillId="0" borderId="11" xfId="0" applyFont="1" applyBorder="1" applyAlignment="1" applyProtection="1">
      <alignment horizontal="center" vertical="center"/>
      <protection hidden="1"/>
    </xf>
    <xf numFmtId="0" fontId="89" fillId="0" borderId="27" xfId="0" applyFont="1" applyBorder="1" applyAlignment="1" applyProtection="1">
      <alignment horizontal="center" vertical="center"/>
      <protection hidden="1"/>
    </xf>
    <xf numFmtId="0" fontId="89" fillId="0" borderId="10" xfId="0" applyFont="1" applyBorder="1" applyAlignment="1" applyProtection="1">
      <alignment horizontal="center" vertical="center"/>
      <protection hidden="1"/>
    </xf>
    <xf numFmtId="0" fontId="89" fillId="0" borderId="13" xfId="0" applyFont="1" applyBorder="1" applyAlignment="1" applyProtection="1">
      <alignment horizontal="center" vertical="center"/>
      <protection hidden="1"/>
    </xf>
    <xf numFmtId="0" fontId="89" fillId="0" borderId="57" xfId="0" applyFont="1" applyBorder="1" applyAlignment="1" applyProtection="1">
      <alignment horizontal="center" vertical="center"/>
      <protection hidden="1"/>
    </xf>
    <xf numFmtId="0" fontId="89" fillId="0" borderId="58" xfId="0" applyFont="1" applyBorder="1" applyAlignment="1" applyProtection="1">
      <alignment horizontal="center" vertical="center"/>
      <protection hidden="1"/>
    </xf>
    <xf numFmtId="0" fontId="43" fillId="7" borderId="59" xfId="0" applyFont="1" applyFill="1" applyBorder="1" applyAlignment="1" applyProtection="1">
      <alignment horizontal="center" vertical="center" wrapText="1"/>
      <protection hidden="1"/>
    </xf>
    <xf numFmtId="0" fontId="43" fillId="7" borderId="60" xfId="0" applyFont="1" applyFill="1" applyBorder="1" applyAlignment="1" applyProtection="1">
      <alignment horizontal="center" vertical="center" wrapText="1"/>
      <protection hidden="1"/>
    </xf>
    <xf numFmtId="0" fontId="43" fillId="7" borderId="61" xfId="0" applyFont="1" applyFill="1" applyBorder="1" applyAlignment="1" applyProtection="1">
      <alignment horizontal="center" vertical="center" wrapText="1"/>
      <protection hidden="1"/>
    </xf>
    <xf numFmtId="0" fontId="90" fillId="7" borderId="0" xfId="0" applyFont="1" applyFill="1" applyBorder="1" applyAlignment="1" applyProtection="1">
      <alignment vertical="center"/>
      <protection hidden="1"/>
    </xf>
    <xf numFmtId="0" fontId="91" fillId="7" borderId="0" xfId="0" applyFont="1" applyFill="1" applyBorder="1" applyAlignment="1" applyProtection="1">
      <alignment horizontal="left" indent="1"/>
      <protection hidden="1"/>
    </xf>
    <xf numFmtId="0" fontId="92" fillId="7" borderId="39" xfId="0" applyFont="1" applyFill="1" applyBorder="1" applyAlignment="1" applyProtection="1">
      <alignment vertical="center"/>
      <protection hidden="1"/>
    </xf>
    <xf numFmtId="0" fontId="90" fillId="0" borderId="0" xfId="0" applyFont="1" applyFill="1" applyBorder="1" applyProtection="1">
      <protection hidden="1"/>
    </xf>
    <xf numFmtId="0" fontId="79" fillId="0" borderId="0" xfId="0" applyFont="1" applyFill="1" applyBorder="1" applyProtection="1">
      <protection hidden="1"/>
    </xf>
    <xf numFmtId="0" fontId="87" fillId="0" borderId="0" xfId="0" applyFont="1" applyFill="1" applyBorder="1" applyProtection="1">
      <protection hidden="1"/>
    </xf>
    <xf numFmtId="0" fontId="87" fillId="0" borderId="0" xfId="0" applyFont="1" applyFill="1" applyBorder="1" applyAlignment="1" applyProtection="1">
      <alignment horizontal="right" vertical="top"/>
      <protection hidden="1"/>
    </xf>
    <xf numFmtId="0" fontId="87" fillId="0" borderId="0" xfId="0" applyFont="1" applyFill="1" applyBorder="1" applyAlignment="1" applyProtection="1">
      <alignment horizontal="right" vertical="top" wrapText="1"/>
      <protection hidden="1"/>
    </xf>
    <xf numFmtId="0" fontId="87" fillId="0" borderId="0" xfId="0" quotePrefix="1" applyFont="1" applyFill="1" applyBorder="1" applyAlignment="1" applyProtection="1">
      <alignment horizontal="right" vertical="center" wrapText="1"/>
      <protection hidden="1"/>
    </xf>
    <xf numFmtId="0" fontId="87" fillId="0" borderId="0" xfId="0" applyFont="1" applyFill="1" applyBorder="1" applyAlignment="1" applyProtection="1">
      <alignment vertical="top" wrapText="1"/>
      <protection hidden="1"/>
    </xf>
    <xf numFmtId="0" fontId="93" fillId="0" borderId="0" xfId="0" applyFont="1" applyAlignment="1" applyProtection="1">
      <alignment horizontal="right" vertical="top" wrapText="1"/>
      <protection hidden="1"/>
    </xf>
    <xf numFmtId="0" fontId="87" fillId="0" borderId="0" xfId="0" applyFont="1" applyAlignment="1" applyProtection="1">
      <alignment horizontal="right" vertical="top" wrapText="1"/>
      <protection hidden="1"/>
    </xf>
    <xf numFmtId="167" fontId="78" fillId="0" borderId="0" xfId="1" applyNumberFormat="1" applyFont="1" applyFill="1" applyBorder="1" applyAlignment="1" applyProtection="1">
      <alignment horizontal="left" wrapText="1" indent="2"/>
      <protection hidden="1"/>
    </xf>
    <xf numFmtId="0" fontId="88" fillId="12" borderId="38" xfId="0" applyFont="1" applyFill="1" applyBorder="1" applyAlignment="1" applyProtection="1">
      <alignment vertical="center"/>
      <protection hidden="1"/>
    </xf>
    <xf numFmtId="0" fontId="88" fillId="12" borderId="5" xfId="0" applyFont="1" applyFill="1" applyBorder="1" applyAlignment="1" applyProtection="1">
      <alignment vertical="center"/>
      <protection hidden="1"/>
    </xf>
    <xf numFmtId="0" fontId="18" fillId="12" borderId="5" xfId="0" applyFont="1" applyFill="1" applyBorder="1" applyAlignment="1" applyProtection="1">
      <alignment horizontal="center" vertical="center" wrapText="1"/>
      <protection hidden="1"/>
    </xf>
    <xf numFmtId="0" fontId="18" fillId="7" borderId="0" xfId="0" applyFont="1" applyFill="1" applyBorder="1" applyAlignment="1" applyProtection="1">
      <alignment horizontal="left" vertical="top"/>
      <protection hidden="1"/>
    </xf>
    <xf numFmtId="0" fontId="10" fillId="14" borderId="5" xfId="0" applyFont="1" applyFill="1" applyBorder="1" applyAlignment="1" applyProtection="1">
      <alignment horizontal="center" vertical="center"/>
      <protection hidden="1"/>
    </xf>
    <xf numFmtId="0" fontId="16" fillId="7" borderId="3" xfId="0" applyFont="1" applyFill="1" applyBorder="1" applyAlignment="1" applyProtection="1">
      <alignment vertical="center"/>
      <protection hidden="1"/>
    </xf>
    <xf numFmtId="0" fontId="77" fillId="0" borderId="0" xfId="0" applyFont="1" applyFill="1" applyBorder="1" applyAlignment="1" applyProtection="1">
      <alignment horizontal="left" vertical="center"/>
      <protection hidden="1"/>
    </xf>
    <xf numFmtId="0" fontId="77" fillId="0" borderId="5" xfId="0" applyFont="1" applyFill="1" applyBorder="1" applyAlignment="1" applyProtection="1">
      <alignment horizontal="center" vertical="center"/>
      <protection hidden="1"/>
    </xf>
    <xf numFmtId="0" fontId="77" fillId="0" borderId="5" xfId="0" applyFont="1" applyFill="1" applyBorder="1" applyAlignment="1" applyProtection="1">
      <alignment horizontal="left" vertical="center"/>
      <protection hidden="1"/>
    </xf>
    <xf numFmtId="0" fontId="48" fillId="0" borderId="62" xfId="0" applyFont="1" applyFill="1" applyBorder="1" applyAlignment="1" applyProtection="1">
      <alignment horizontal="left" vertical="center"/>
      <protection hidden="1"/>
    </xf>
    <xf numFmtId="0" fontId="40" fillId="0" borderId="5" xfId="0" applyFont="1" applyFill="1" applyBorder="1" applyAlignment="1" applyProtection="1">
      <alignment horizontal="center" vertical="center"/>
      <protection hidden="1"/>
    </xf>
    <xf numFmtId="0" fontId="94" fillId="8" borderId="0" xfId="0" applyFont="1" applyFill="1" applyBorder="1" applyAlignment="1" applyProtection="1">
      <alignment horizontal="center" vertical="center"/>
      <protection hidden="1"/>
    </xf>
    <xf numFmtId="0" fontId="94" fillId="14" borderId="0" xfId="0" applyFont="1" applyFill="1" applyBorder="1" applyAlignment="1" applyProtection="1">
      <alignment horizontal="center" vertical="center"/>
      <protection hidden="1"/>
    </xf>
    <xf numFmtId="0" fontId="48" fillId="0" borderId="5" xfId="0" applyFont="1" applyFill="1" applyBorder="1" applyAlignment="1" applyProtection="1">
      <alignment horizontal="center" vertical="center"/>
      <protection hidden="1"/>
    </xf>
    <xf numFmtId="0" fontId="16" fillId="0" borderId="5" xfId="0" applyFont="1" applyFill="1" applyBorder="1" applyAlignment="1" applyProtection="1">
      <alignment horizontal="center" vertical="center"/>
      <protection hidden="1"/>
    </xf>
    <xf numFmtId="0" fontId="48" fillId="0" borderId="5" xfId="0" applyNumberFormat="1" applyFont="1" applyFill="1" applyBorder="1" applyAlignment="1" applyProtection="1">
      <alignment horizontal="center" vertical="center"/>
      <protection hidden="1"/>
    </xf>
    <xf numFmtId="0" fontId="16" fillId="0" borderId="5" xfId="0" applyFont="1" applyFill="1" applyBorder="1" applyAlignment="1" applyProtection="1">
      <alignment vertical="center"/>
      <protection hidden="1"/>
    </xf>
    <xf numFmtId="0" fontId="40" fillId="0" borderId="0" xfId="0" applyFont="1" applyFill="1" applyBorder="1" applyAlignment="1" applyProtection="1">
      <alignment vertical="center"/>
      <protection hidden="1"/>
    </xf>
    <xf numFmtId="3" fontId="16" fillId="14" borderId="4" xfId="0" applyNumberFormat="1" applyFont="1" applyFill="1" applyBorder="1" applyAlignment="1" applyProtection="1">
      <alignment horizontal="center" vertical="center"/>
      <protection hidden="1"/>
    </xf>
    <xf numFmtId="20" fontId="72" fillId="10" borderId="63" xfId="0" applyNumberFormat="1" applyFont="1" applyFill="1" applyBorder="1" applyAlignment="1" applyProtection="1">
      <alignment horizontal="right" vertical="center"/>
      <protection hidden="1"/>
    </xf>
    <xf numFmtId="20" fontId="72" fillId="10" borderId="63" xfId="0" applyNumberFormat="1" applyFont="1" applyFill="1" applyBorder="1" applyAlignment="1" applyProtection="1">
      <alignment horizontal="left" vertical="center"/>
      <protection hidden="1"/>
    </xf>
    <xf numFmtId="166" fontId="20" fillId="10" borderId="63" xfId="0" applyNumberFormat="1" applyFont="1" applyFill="1" applyBorder="1" applyAlignment="1" applyProtection="1">
      <alignment horizontal="center" vertical="center"/>
      <protection hidden="1"/>
    </xf>
    <xf numFmtId="182" fontId="20" fillId="10" borderId="63" xfId="0" applyNumberFormat="1" applyFont="1" applyFill="1" applyBorder="1" applyAlignment="1" applyProtection="1">
      <alignment horizontal="center" vertical="center"/>
      <protection hidden="1"/>
    </xf>
    <xf numFmtId="20" fontId="72" fillId="0" borderId="6" xfId="0" applyNumberFormat="1" applyFont="1" applyFill="1" applyBorder="1" applyAlignment="1" applyProtection="1">
      <alignment horizontal="right" vertical="center"/>
      <protection hidden="1"/>
    </xf>
    <xf numFmtId="180" fontId="95" fillId="0" borderId="6" xfId="0" applyNumberFormat="1" applyFont="1" applyFill="1" applyBorder="1" applyAlignment="1" applyProtection="1">
      <alignment horizontal="right" vertical="center"/>
      <protection hidden="1"/>
    </xf>
    <xf numFmtId="186" fontId="95" fillId="0" borderId="6" xfId="0" applyNumberFormat="1" applyFont="1" applyFill="1" applyBorder="1" applyAlignment="1" applyProtection="1">
      <alignment horizontal="left" vertical="center"/>
      <protection hidden="1"/>
    </xf>
    <xf numFmtId="20" fontId="72" fillId="0" borderId="6" xfId="0" applyNumberFormat="1" applyFont="1" applyFill="1" applyBorder="1" applyAlignment="1" applyProtection="1">
      <alignment horizontal="left" vertical="center"/>
      <protection hidden="1"/>
    </xf>
    <xf numFmtId="185" fontId="62" fillId="0" borderId="0" xfId="0" applyNumberFormat="1" applyFont="1" applyFill="1" applyBorder="1" applyAlignment="1" applyProtection="1">
      <alignment horizontal="left"/>
      <protection hidden="1"/>
    </xf>
    <xf numFmtId="0" fontId="14" fillId="0" borderId="5" xfId="0" applyFont="1" applyBorder="1" applyProtection="1">
      <protection hidden="1"/>
    </xf>
    <xf numFmtId="0" fontId="10" fillId="10" borderId="64" xfId="0" applyFont="1" applyFill="1" applyBorder="1" applyAlignment="1" applyProtection="1">
      <alignment horizontal="center" vertical="center"/>
      <protection hidden="1"/>
    </xf>
    <xf numFmtId="0" fontId="10" fillId="10" borderId="23" xfId="0" applyFont="1" applyFill="1" applyBorder="1" applyAlignment="1" applyProtection="1">
      <alignment horizontal="center" vertical="center"/>
      <protection hidden="1"/>
    </xf>
    <xf numFmtId="0" fontId="10" fillId="10" borderId="65" xfId="0" applyFont="1" applyFill="1" applyBorder="1" applyAlignment="1" applyProtection="1">
      <alignment horizontal="center" vertical="center"/>
      <protection hidden="1"/>
    </xf>
    <xf numFmtId="165" fontId="96" fillId="0" borderId="0" xfId="0" applyNumberFormat="1" applyFont="1" applyBorder="1" applyAlignment="1" applyProtection="1">
      <alignment vertical="center"/>
      <protection hidden="1"/>
    </xf>
    <xf numFmtId="165" fontId="96" fillId="0" borderId="51" xfId="0" applyNumberFormat="1" applyFont="1" applyBorder="1" applyAlignment="1" applyProtection="1">
      <alignment vertical="center"/>
      <protection hidden="1"/>
    </xf>
    <xf numFmtId="0" fontId="10" fillId="22" borderId="37" xfId="0" applyFont="1" applyFill="1" applyBorder="1" applyAlignment="1" applyProtection="1">
      <alignment vertical="center"/>
      <protection hidden="1"/>
    </xf>
    <xf numFmtId="0" fontId="7" fillId="22" borderId="28" xfId="0" applyFont="1" applyFill="1" applyBorder="1" applyAlignment="1" applyProtection="1">
      <alignment vertical="center"/>
      <protection hidden="1"/>
    </xf>
    <xf numFmtId="0" fontId="7" fillId="22" borderId="28" xfId="0" applyFont="1" applyFill="1" applyBorder="1" applyAlignment="1" applyProtection="1">
      <alignment horizontal="center" vertical="center"/>
      <protection hidden="1"/>
    </xf>
    <xf numFmtId="0" fontId="9" fillId="7" borderId="8" xfId="0" applyFont="1" applyFill="1" applyBorder="1" applyAlignment="1" applyProtection="1">
      <alignment vertical="center"/>
      <protection hidden="1"/>
    </xf>
    <xf numFmtId="0" fontId="88" fillId="7" borderId="0" xfId="0" applyFont="1" applyFill="1" applyBorder="1" applyAlignment="1" applyProtection="1">
      <alignment vertical="center"/>
      <protection hidden="1"/>
    </xf>
    <xf numFmtId="0" fontId="88" fillId="7" borderId="0" xfId="0" applyFont="1" applyFill="1" applyBorder="1" applyAlignment="1" applyProtection="1">
      <alignment horizontal="center" vertical="center"/>
      <protection hidden="1"/>
    </xf>
    <xf numFmtId="0" fontId="9" fillId="21" borderId="38" xfId="0" applyFont="1" applyFill="1" applyBorder="1" applyAlignment="1" applyProtection="1">
      <alignment vertical="center"/>
      <protection hidden="1"/>
    </xf>
    <xf numFmtId="0" fontId="88" fillId="21" borderId="5" xfId="0" applyFont="1" applyFill="1" applyBorder="1" applyAlignment="1" applyProtection="1">
      <alignment vertical="center"/>
      <protection hidden="1"/>
    </xf>
    <xf numFmtId="0" fontId="88" fillId="21" borderId="5" xfId="0" applyFont="1" applyFill="1" applyBorder="1" applyAlignment="1" applyProtection="1">
      <alignment horizontal="center" vertical="center"/>
      <protection hidden="1"/>
    </xf>
    <xf numFmtId="0" fontId="10" fillId="10" borderId="66" xfId="0" applyFont="1" applyFill="1" applyBorder="1" applyAlignment="1" applyProtection="1">
      <alignment vertical="center"/>
      <protection hidden="1"/>
    </xf>
    <xf numFmtId="0" fontId="7" fillId="10" borderId="6" xfId="0" applyFont="1" applyFill="1" applyBorder="1" applyAlignment="1" applyProtection="1">
      <alignment vertical="center"/>
      <protection hidden="1"/>
    </xf>
    <xf numFmtId="0" fontId="7" fillId="10" borderId="6" xfId="0" applyFont="1" applyFill="1" applyBorder="1" applyAlignment="1" applyProtection="1">
      <alignment horizontal="center" vertical="center"/>
      <protection hidden="1"/>
    </xf>
    <xf numFmtId="0" fontId="10" fillId="10" borderId="67" xfId="0" applyFont="1" applyFill="1" applyBorder="1" applyAlignment="1" applyProtection="1">
      <alignment vertical="center"/>
      <protection hidden="1"/>
    </xf>
    <xf numFmtId="0" fontId="10" fillId="10" borderId="68" xfId="0" applyFont="1" applyFill="1" applyBorder="1" applyAlignment="1" applyProtection="1">
      <alignment vertical="center"/>
      <protection hidden="1"/>
    </xf>
    <xf numFmtId="0" fontId="7" fillId="10" borderId="48" xfId="0" applyFont="1" applyFill="1" applyBorder="1" applyAlignment="1" applyProtection="1">
      <alignment vertical="center"/>
      <protection hidden="1"/>
    </xf>
    <xf numFmtId="0" fontId="10" fillId="0" borderId="0" xfId="0" applyFont="1" applyBorder="1" applyAlignment="1" applyProtection="1">
      <alignment vertical="center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31" fillId="14" borderId="0" xfId="0" applyFont="1" applyFill="1" applyBorder="1" applyAlignment="1" applyProtection="1">
      <alignment vertical="center"/>
      <protection hidden="1"/>
    </xf>
    <xf numFmtId="0" fontId="7" fillId="8" borderId="0" xfId="0" applyFont="1" applyFill="1" applyBorder="1" applyAlignment="1" applyProtection="1">
      <alignment vertical="center"/>
      <protection hidden="1"/>
    </xf>
    <xf numFmtId="0" fontId="97" fillId="24" borderId="4" xfId="0" applyFont="1" applyFill="1" applyBorder="1" applyAlignment="1">
      <alignment horizontal="center" vertical="center"/>
    </xf>
    <xf numFmtId="0" fontId="48" fillId="0" borderId="0" xfId="0" applyFont="1" applyFill="1" applyBorder="1" applyAlignment="1" applyProtection="1">
      <alignment vertical="center"/>
      <protection hidden="1"/>
    </xf>
    <xf numFmtId="0" fontId="7" fillId="0" borderId="0" xfId="0" applyFont="1" applyAlignment="1" applyProtection="1">
      <alignment vertical="center" wrapText="1"/>
      <protection hidden="1"/>
    </xf>
    <xf numFmtId="0" fontId="107" fillId="0" borderId="0" xfId="0" applyFont="1" applyProtection="1">
      <protection hidden="1"/>
    </xf>
    <xf numFmtId="0" fontId="107" fillId="0" borderId="0" xfId="0" applyFont="1" applyAlignment="1" applyProtection="1">
      <alignment horizontal="left"/>
      <protection hidden="1"/>
    </xf>
    <xf numFmtId="0" fontId="107" fillId="0" borderId="0" xfId="0" applyFont="1" applyAlignment="1" applyProtection="1">
      <alignment horizontal="right"/>
      <protection hidden="1"/>
    </xf>
    <xf numFmtId="0" fontId="107" fillId="0" borderId="0" xfId="0" applyFont="1" applyAlignment="1" applyProtection="1">
      <protection hidden="1"/>
    </xf>
    <xf numFmtId="0" fontId="107" fillId="0" borderId="0" xfId="0" applyFont="1" applyFill="1" applyAlignment="1" applyProtection="1">
      <alignment horizontal="left"/>
      <protection hidden="1"/>
    </xf>
    <xf numFmtId="0" fontId="107" fillId="0" borderId="0" xfId="0" applyFont="1" applyFill="1" applyAlignment="1" applyProtection="1">
      <protection hidden="1"/>
    </xf>
    <xf numFmtId="0" fontId="107" fillId="0" borderId="0" xfId="0" applyFont="1" applyAlignment="1" applyProtection="1">
      <alignment horizontal="center"/>
      <protection hidden="1"/>
    </xf>
    <xf numFmtId="0" fontId="107" fillId="0" borderId="0" xfId="0" quotePrefix="1" applyFont="1" applyAlignment="1" applyProtection="1">
      <alignment horizontal="center"/>
      <protection hidden="1"/>
    </xf>
    <xf numFmtId="179" fontId="107" fillId="0" borderId="0" xfId="0" applyNumberFormat="1" applyFont="1" applyProtection="1">
      <protection hidden="1"/>
    </xf>
    <xf numFmtId="1" fontId="107" fillId="0" borderId="0" xfId="0" applyNumberFormat="1" applyFont="1" applyProtection="1">
      <protection hidden="1"/>
    </xf>
    <xf numFmtId="1" fontId="107" fillId="0" borderId="0" xfId="0" applyNumberFormat="1" applyFont="1" applyAlignment="1" applyProtection="1">
      <alignment horizontal="center"/>
      <protection hidden="1"/>
    </xf>
    <xf numFmtId="4" fontId="107" fillId="0" borderId="0" xfId="0" applyNumberFormat="1" applyFont="1" applyAlignment="1" applyProtection="1">
      <alignment horizontal="center"/>
      <protection hidden="1"/>
    </xf>
    <xf numFmtId="16" fontId="107" fillId="0" borderId="0" xfId="0" quotePrefix="1" applyNumberFormat="1" applyFont="1" applyAlignment="1" applyProtection="1">
      <alignment horizontal="center"/>
      <protection hidden="1"/>
    </xf>
    <xf numFmtId="0" fontId="107" fillId="0" borderId="0" xfId="0" applyFont="1" applyFill="1" applyProtection="1">
      <protection hidden="1"/>
    </xf>
    <xf numFmtId="0" fontId="10" fillId="7" borderId="3" xfId="0" applyFont="1" applyFill="1" applyBorder="1" applyAlignment="1" applyProtection="1">
      <alignment horizontal="center" vertical="center"/>
      <protection hidden="1"/>
    </xf>
    <xf numFmtId="20" fontId="78" fillId="0" borderId="0" xfId="0" applyNumberFormat="1" applyFont="1" applyFill="1" applyBorder="1" applyAlignment="1" applyProtection="1">
      <alignment horizontal="left" vertical="center" textRotation="90"/>
      <protection hidden="1"/>
    </xf>
    <xf numFmtId="0" fontId="35" fillId="0" borderId="2" xfId="0" applyFont="1" applyBorder="1" applyAlignment="1" applyProtection="1">
      <alignment horizontal="left" vertical="center"/>
      <protection locked="0"/>
    </xf>
    <xf numFmtId="0" fontId="35" fillId="0" borderId="21" xfId="0" applyFont="1" applyBorder="1" applyAlignment="1" applyProtection="1">
      <alignment horizontal="left" vertical="center"/>
      <protection locked="0"/>
    </xf>
    <xf numFmtId="0" fontId="37" fillId="0" borderId="0" xfId="0" applyFont="1" applyBorder="1" applyAlignment="1" applyProtection="1">
      <alignment horizontal="right" vertical="top" textRotation="90"/>
      <protection hidden="1"/>
    </xf>
    <xf numFmtId="0" fontId="105" fillId="0" borderId="0" xfId="0" applyFont="1" applyAlignment="1" applyProtection="1">
      <alignment horizontal="left" vertical="top" wrapText="1"/>
      <protection hidden="1"/>
    </xf>
    <xf numFmtId="0" fontId="106" fillId="0" borderId="0" xfId="0" applyFont="1" applyAlignment="1">
      <alignment horizontal="left" vertical="top" wrapText="1"/>
    </xf>
    <xf numFmtId="0" fontId="105" fillId="0" borderId="0" xfId="0" applyFont="1" applyAlignment="1" applyProtection="1">
      <alignment horizontal="left" vertical="top"/>
      <protection hidden="1"/>
    </xf>
    <xf numFmtId="49" fontId="10" fillId="0" borderId="76" xfId="0" applyNumberFormat="1" applyFont="1" applyFill="1" applyBorder="1" applyAlignment="1" applyProtection="1">
      <alignment horizontal="left" vertical="center"/>
      <protection locked="0"/>
    </xf>
    <xf numFmtId="0" fontId="14" fillId="10" borderId="72" xfId="0" applyFont="1" applyFill="1" applyBorder="1" applyAlignment="1" applyProtection="1">
      <alignment horizontal="left" vertical="center"/>
      <protection hidden="1"/>
    </xf>
    <xf numFmtId="0" fontId="14" fillId="10" borderId="47" xfId="0" applyFont="1" applyFill="1" applyBorder="1" applyAlignment="1" applyProtection="1">
      <alignment horizontal="left" vertical="center"/>
      <protection hidden="1"/>
    </xf>
    <xf numFmtId="0" fontId="10" fillId="10" borderId="47" xfId="0" applyFont="1" applyFill="1" applyBorder="1" applyAlignment="1" applyProtection="1">
      <alignment horizontal="left" vertical="center"/>
      <protection hidden="1"/>
    </xf>
    <xf numFmtId="49" fontId="10" fillId="0" borderId="76" xfId="0" applyNumberFormat="1" applyFont="1" applyFill="1" applyBorder="1" applyAlignment="1" applyProtection="1">
      <alignment vertical="center"/>
      <protection locked="0"/>
    </xf>
    <xf numFmtId="0" fontId="10" fillId="10" borderId="69" xfId="0" applyFont="1" applyFill="1" applyBorder="1" applyAlignment="1" applyProtection="1">
      <alignment horizontal="left" vertical="center"/>
      <protection hidden="1"/>
    </xf>
    <xf numFmtId="49" fontId="10" fillId="0" borderId="70" xfId="0" applyNumberFormat="1" applyFont="1" applyFill="1" applyBorder="1" applyAlignment="1" applyProtection="1">
      <alignment vertical="center"/>
      <protection locked="0"/>
    </xf>
    <xf numFmtId="49" fontId="10" fillId="0" borderId="70" xfId="0" applyNumberFormat="1" applyFont="1" applyFill="1" applyBorder="1" applyAlignment="1" applyProtection="1">
      <alignment horizontal="left" vertical="center"/>
      <protection locked="0"/>
    </xf>
    <xf numFmtId="0" fontId="35" fillId="0" borderId="0" xfId="0" applyFont="1" applyBorder="1" applyAlignment="1" applyProtection="1">
      <alignment horizontal="left" vertical="top" wrapText="1"/>
      <protection hidden="1"/>
    </xf>
    <xf numFmtId="0" fontId="10" fillId="10" borderId="25" xfId="0" applyFont="1" applyFill="1" applyBorder="1" applyAlignment="1" applyProtection="1">
      <alignment horizontal="left" vertical="center"/>
      <protection hidden="1"/>
    </xf>
    <xf numFmtId="0" fontId="35" fillId="0" borderId="71" xfId="0" applyFont="1" applyBorder="1" applyAlignment="1" applyProtection="1">
      <alignment horizontal="left" vertical="top" wrapText="1"/>
      <protection hidden="1"/>
    </xf>
    <xf numFmtId="0" fontId="10" fillId="22" borderId="28" xfId="0" applyFont="1" applyFill="1" applyBorder="1" applyAlignment="1" applyProtection="1">
      <alignment horizontal="left" vertical="center"/>
      <protection hidden="1"/>
    </xf>
    <xf numFmtId="0" fontId="10" fillId="22" borderId="35" xfId="0" applyFont="1" applyFill="1" applyBorder="1" applyAlignment="1" applyProtection="1">
      <alignment horizontal="left" vertical="center"/>
      <protection hidden="1"/>
    </xf>
    <xf numFmtId="0" fontId="10" fillId="10" borderId="73" xfId="0" applyFont="1" applyFill="1" applyBorder="1" applyAlignment="1" applyProtection="1">
      <alignment horizontal="left" vertical="center"/>
      <protection hidden="1"/>
    </xf>
    <xf numFmtId="0" fontId="18" fillId="7" borderId="0" xfId="0" applyFont="1" applyFill="1" applyBorder="1" applyAlignment="1" applyProtection="1">
      <alignment horizontal="left" vertical="center"/>
      <protection hidden="1"/>
    </xf>
    <xf numFmtId="0" fontId="14" fillId="10" borderId="25" xfId="0" applyFont="1" applyFill="1" applyBorder="1" applyAlignment="1" applyProtection="1">
      <alignment horizontal="left" vertical="center"/>
      <protection hidden="1"/>
    </xf>
    <xf numFmtId="0" fontId="35" fillId="0" borderId="71" xfId="0" applyFont="1" applyBorder="1" applyAlignment="1" applyProtection="1">
      <alignment horizontal="justify" vertical="top" wrapText="1"/>
      <protection hidden="1"/>
    </xf>
    <xf numFmtId="0" fontId="35" fillId="0" borderId="0" xfId="0" applyFont="1" applyBorder="1" applyAlignment="1" applyProtection="1">
      <alignment horizontal="justify" vertical="top" wrapText="1"/>
      <protection hidden="1"/>
    </xf>
    <xf numFmtId="0" fontId="14" fillId="22" borderId="28" xfId="0" applyFont="1" applyFill="1" applyBorder="1" applyAlignment="1" applyProtection="1">
      <alignment horizontal="left" vertical="center"/>
      <protection hidden="1"/>
    </xf>
    <xf numFmtId="0" fontId="10" fillId="10" borderId="6" xfId="0" applyFont="1" applyFill="1" applyBorder="1" applyAlignment="1" applyProtection="1">
      <alignment horizontal="left" vertical="center"/>
      <protection hidden="1"/>
    </xf>
    <xf numFmtId="0" fontId="14" fillId="10" borderId="67" xfId="0" applyFont="1" applyFill="1" applyBorder="1" applyAlignment="1" applyProtection="1">
      <alignment horizontal="left" vertical="center"/>
      <protection hidden="1"/>
    </xf>
    <xf numFmtId="0" fontId="10" fillId="10" borderId="48" xfId="0" applyFont="1" applyFill="1" applyBorder="1" applyAlignment="1" applyProtection="1">
      <alignment horizontal="left" vertical="center"/>
      <protection hidden="1"/>
    </xf>
    <xf numFmtId="0" fontId="10" fillId="10" borderId="74" xfId="0" applyFont="1" applyFill="1" applyBorder="1" applyAlignment="1" applyProtection="1">
      <alignment horizontal="left" vertical="center"/>
      <protection hidden="1"/>
    </xf>
    <xf numFmtId="0" fontId="18" fillId="21" borderId="5" xfId="0" applyFont="1" applyFill="1" applyBorder="1" applyAlignment="1" applyProtection="1">
      <alignment horizontal="left" vertical="center"/>
      <protection hidden="1"/>
    </xf>
    <xf numFmtId="0" fontId="14" fillId="10" borderId="6" xfId="0" applyFont="1" applyFill="1" applyBorder="1" applyAlignment="1" applyProtection="1">
      <alignment horizontal="left" vertical="center"/>
      <protection hidden="1"/>
    </xf>
    <xf numFmtId="0" fontId="14" fillId="10" borderId="68" xfId="0" applyFont="1" applyFill="1" applyBorder="1" applyAlignment="1" applyProtection="1">
      <alignment horizontal="left" vertical="center"/>
      <protection hidden="1"/>
    </xf>
    <xf numFmtId="0" fontId="14" fillId="10" borderId="48" xfId="0" applyFont="1" applyFill="1" applyBorder="1" applyAlignment="1" applyProtection="1">
      <alignment horizontal="left" vertical="center"/>
      <protection hidden="1"/>
    </xf>
    <xf numFmtId="0" fontId="9" fillId="21" borderId="5" xfId="0" applyFont="1" applyFill="1" applyBorder="1" applyAlignment="1" applyProtection="1">
      <alignment horizontal="left" vertical="center"/>
      <protection hidden="1"/>
    </xf>
    <xf numFmtId="0" fontId="9" fillId="21" borderId="29" xfId="0" applyFont="1" applyFill="1" applyBorder="1" applyAlignment="1" applyProtection="1">
      <alignment horizontal="left" vertical="center"/>
      <protection hidden="1"/>
    </xf>
    <xf numFmtId="0" fontId="9" fillId="7" borderId="0" xfId="0" applyFont="1" applyFill="1" applyBorder="1" applyAlignment="1" applyProtection="1">
      <alignment horizontal="left" vertical="center"/>
      <protection hidden="1"/>
    </xf>
    <xf numFmtId="0" fontId="9" fillId="7" borderId="7" xfId="0" applyFont="1" applyFill="1" applyBorder="1" applyAlignment="1" applyProtection="1">
      <alignment horizontal="left" vertical="center"/>
      <protection hidden="1"/>
    </xf>
    <xf numFmtId="0" fontId="10" fillId="10" borderId="75" xfId="0" applyFont="1" applyFill="1" applyBorder="1" applyAlignment="1" applyProtection="1">
      <alignment horizontal="left" vertical="center"/>
      <protection hidden="1"/>
    </xf>
  </cellXfs>
  <cellStyles count="20">
    <cellStyle name="1. jelölőszín" xfId="14" builtinId="29" hidden="1"/>
    <cellStyle name="2. jelölőszín" xfId="15" builtinId="33" hidden="1"/>
    <cellStyle name="3. jelölőszín" xfId="16" builtinId="37" hidden="1"/>
    <cellStyle name="4. jelölőszín" xfId="17" builtinId="41" hidden="1"/>
    <cellStyle name="5. jelölőszín" xfId="18" builtinId="45" hidden="1"/>
    <cellStyle name="6. jelölőszín" xfId="19" builtinId="49" hidden="1"/>
    <cellStyle name="Ellenőrzőcella" xfId="12" builtinId="23" hidden="1"/>
    <cellStyle name="Hivatkozás" xfId="1" builtinId="8"/>
    <cellStyle name="Jelölőszín (1)" xfId="2"/>
    <cellStyle name="Jelölőszín (2)" xfId="3"/>
    <cellStyle name="Jelölőszín (3)" xfId="4"/>
    <cellStyle name="Jelölőszín (4)" xfId="5"/>
    <cellStyle name="Jelölőszín (5)" xfId="6"/>
    <cellStyle name="Jelölőszín (6)" xfId="7"/>
    <cellStyle name="Jó" xfId="8" builtinId="26" hidden="1"/>
    <cellStyle name="Magyarázó szöveg" xfId="13" builtinId="53" hidden="1"/>
    <cellStyle name="Normál" xfId="0" builtinId="0"/>
    <cellStyle name="Rossz" xfId="9" builtinId="27" hidden="1"/>
    <cellStyle name="Semleges" xfId="10" builtinId="28" hidden="1"/>
    <cellStyle name="Számítás" xfId="11" builtinId="22" hidden="1"/>
  </cellStyles>
  <dxfs count="137">
    <dxf>
      <fill>
        <patternFill>
          <bgColor indexed="42"/>
        </patternFill>
      </fill>
    </dxf>
    <dxf>
      <fill>
        <patternFill>
          <bgColor indexed="42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3"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  <right/>
        <top/>
        <bottom/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  <dxf>
      <font>
        <condense val="0"/>
        <extend val="0"/>
        <color indexed="16"/>
      </font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16"/>
      </font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19"/>
        </patternFill>
      </fill>
    </dxf>
    <dxf>
      <font>
        <condense val="0"/>
        <extend val="0"/>
        <color indexed="9"/>
      </font>
      <fill>
        <patternFill>
          <bgColor indexed="21"/>
        </patternFill>
      </fill>
    </dxf>
    <dxf>
      <font>
        <condense val="0"/>
        <extend val="0"/>
        <color indexed="9"/>
      </font>
      <fill>
        <patternFill>
          <bgColor indexed="19"/>
        </patternFill>
      </fill>
    </dxf>
    <dxf>
      <font>
        <condense val="0"/>
        <extend val="0"/>
        <color indexed="9"/>
      </font>
      <fill>
        <patternFill>
          <bgColor indexed="21"/>
        </patternFill>
      </fill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7"/>
        </patternFill>
      </fill>
    </dxf>
    <dxf>
      <font>
        <condense val="0"/>
        <extend val="0"/>
        <color indexed="9"/>
      </font>
      <fill>
        <patternFill>
          <bgColor indexed="15"/>
        </patternFill>
      </fill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  <color indexed="16"/>
      </font>
    </dxf>
    <dxf>
      <font>
        <b/>
        <i val="0"/>
        <condense val="0"/>
        <extend val="0"/>
        <color indexed="16"/>
      </font>
    </dxf>
    <dxf>
      <fill>
        <patternFill>
          <bgColor indexed="54"/>
        </patternFill>
      </fill>
    </dxf>
    <dxf>
      <font>
        <condense val="0"/>
        <extend val="0"/>
        <color indexed="9"/>
      </font>
      <fill>
        <patternFill>
          <bgColor indexed="19"/>
        </patternFill>
      </fill>
    </dxf>
    <dxf>
      <font>
        <condense val="0"/>
        <extend val="0"/>
        <color indexed="9"/>
      </font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ont>
        <b/>
        <i val="0"/>
        <condense val="0"/>
        <extend val="0"/>
        <color indexed="16"/>
      </font>
    </dxf>
    <dxf>
      <fill>
        <patternFill>
          <bgColor indexed="42"/>
        </patternFill>
      </fill>
    </dxf>
    <dxf>
      <font>
        <condense val="0"/>
        <extend val="0"/>
        <color indexed="9"/>
      </font>
      <fill>
        <patternFill>
          <bgColor indexed="19"/>
        </patternFill>
      </fill>
    </dxf>
    <dxf>
      <font>
        <b/>
        <i val="0"/>
        <condense val="0"/>
        <extend val="0"/>
        <color indexed="16"/>
      </font>
    </dxf>
    <dxf>
      <fill>
        <patternFill>
          <bgColor indexed="42"/>
        </patternFill>
      </fill>
    </dxf>
    <dxf>
      <font>
        <condense val="0"/>
        <extend val="0"/>
        <color indexed="9"/>
      </font>
      <fill>
        <patternFill>
          <bgColor indexed="19"/>
        </patternFill>
      </fill>
    </dxf>
    <dxf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b/>
        <i val="0"/>
        <condense val="0"/>
        <extend val="0"/>
        <color indexed="50"/>
      </font>
    </dxf>
    <dxf>
      <fill>
        <patternFill>
          <bgColor indexed="42"/>
        </patternFill>
      </fill>
    </dxf>
    <dxf>
      <font>
        <condense val="0"/>
        <extend val="0"/>
        <color indexed="9"/>
      </font>
      <fill>
        <patternFill>
          <bgColor indexed="19"/>
        </patternFill>
      </fill>
    </dxf>
    <dxf>
      <font>
        <condense val="0"/>
        <extend val="0"/>
      </font>
      <fill>
        <patternFill>
          <bgColor indexed="42"/>
        </patternFill>
      </fill>
      <border>
        <bottom style="thin">
          <color indexed="22"/>
        </bottom>
      </border>
    </dxf>
    <dxf>
      <font>
        <condense val="0"/>
        <extend val="0"/>
        <color indexed="61"/>
      </font>
    </dxf>
    <dxf>
      <font>
        <condense val="0"/>
        <extend val="0"/>
        <color indexed="9"/>
      </font>
      <fill>
        <patternFill>
          <bgColor indexed="19"/>
        </patternFill>
      </fill>
    </dxf>
    <dxf>
      <fill>
        <patternFill>
          <bgColor indexed="11"/>
        </patternFill>
      </fill>
    </dxf>
    <dxf>
      <font>
        <condense val="0"/>
        <extend val="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fill>
        <patternFill>
          <bgColor indexed="5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</dxf>
    <dxf>
      <font>
        <condense val="0"/>
        <extend val="0"/>
        <color indexed="9"/>
      </font>
      <fill>
        <patternFill>
          <bgColor indexed="19"/>
        </patternFill>
      </fill>
    </dxf>
    <dxf>
      <font>
        <condense val="0"/>
        <extend val="0"/>
        <color indexed="61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6C0000"/>
      <rgbColor rgb="00001923"/>
      <rgbColor rgb="00ADCE35"/>
      <rgbColor rgb="00E81B23"/>
      <rgbColor rgb="00018D76"/>
      <rgbColor rgb="00EE2959"/>
      <rgbColor rgb="00D0171D"/>
      <rgbColor rgb="008C126F"/>
      <rgbColor rgb="00010F3E"/>
      <rgbColor rgb="009475E1"/>
      <rgbColor rgb="00FAB65C"/>
      <rgbColor rgb="00F99F27"/>
      <rgbColor rgb="00C0C0C0"/>
      <rgbColor rgb="00002A54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191919"/>
      <rgbColor rgb="008C081D"/>
      <rgbColor rgb="00EAEAEA"/>
      <rgbColor rgb="0094DEE8"/>
      <rgbColor rgb="00204D86"/>
      <rgbColor rgb="00005C68"/>
      <rgbColor rgb="00D3D3D3"/>
      <rgbColor rgb="00009CB3"/>
      <rgbColor rgb="00005000"/>
      <rgbColor rgb="009C3B0B"/>
      <rgbColor rgb="00523973"/>
      <rgbColor rgb="00008192"/>
      <rgbColor rgb="00001642"/>
      <rgbColor rgb="002B9DD6"/>
      <rgbColor rgb="00008000"/>
      <rgbColor rgb="00808080"/>
      <rgbColor rgb="00000099"/>
      <rgbColor rgb="003A082E"/>
      <rgbColor rgb="00003300"/>
      <rgbColor rgb="00003300"/>
      <rgbColor rgb="00B84B08"/>
      <rgbColor rgb="00808080"/>
      <rgbColor rgb="004D4D4D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checked="Checked" fmlaLink="$AS$30" lockText="1"/>
</file>

<file path=xl/ctrlProps/ctrlProp10.xml><?xml version="1.0" encoding="utf-8"?>
<formControlPr xmlns="http://schemas.microsoft.com/office/spreadsheetml/2009/9/main" objectType="CheckBox" checked="Checked" fmlaLink="$AW$23" lockText="1"/>
</file>

<file path=xl/ctrlProps/ctrlProp11.xml><?xml version="1.0" encoding="utf-8"?>
<formControlPr xmlns="http://schemas.microsoft.com/office/spreadsheetml/2009/9/main" objectType="CheckBox" checked="Checked" fmlaLink="$AW$24" lockText="1"/>
</file>

<file path=xl/ctrlProps/ctrlProp12.xml><?xml version="1.0" encoding="utf-8"?>
<formControlPr xmlns="http://schemas.microsoft.com/office/spreadsheetml/2009/9/main" objectType="CheckBox" checked="Checked" fmlaLink="$AW$25" lockText="1"/>
</file>

<file path=xl/ctrlProps/ctrlProp13.xml><?xml version="1.0" encoding="utf-8"?>
<formControlPr xmlns="http://schemas.microsoft.com/office/spreadsheetml/2009/9/main" objectType="CheckBox" checked="Checked" fmlaLink="$AW$26" lockText="1"/>
</file>

<file path=xl/ctrlProps/ctrlProp14.xml><?xml version="1.0" encoding="utf-8"?>
<formControlPr xmlns="http://schemas.microsoft.com/office/spreadsheetml/2009/9/main" objectType="CheckBox" checked="Checked" fmlaLink="$AW$27" lockText="1"/>
</file>

<file path=xl/ctrlProps/ctrlProp15.xml><?xml version="1.0" encoding="utf-8"?>
<formControlPr xmlns="http://schemas.microsoft.com/office/spreadsheetml/2009/9/main" objectType="CheckBox" checked="Checked" fmlaLink="$AW$28" lockText="1"/>
</file>

<file path=xl/ctrlProps/ctrlProp16.xml><?xml version="1.0" encoding="utf-8"?>
<formControlPr xmlns="http://schemas.microsoft.com/office/spreadsheetml/2009/9/main" objectType="CheckBox" checked="Checked" fmlaLink="$AW$29" lockText="1"/>
</file>

<file path=xl/ctrlProps/ctrlProp17.xml><?xml version="1.0" encoding="utf-8"?>
<formControlPr xmlns="http://schemas.microsoft.com/office/spreadsheetml/2009/9/main" objectType="CheckBox" checked="Checked" fmlaLink="$AW$30" lockText="1"/>
</file>

<file path=xl/ctrlProps/ctrlProp18.xml><?xml version="1.0" encoding="utf-8"?>
<formControlPr xmlns="http://schemas.microsoft.com/office/spreadsheetml/2009/9/main" objectType="CheckBox" checked="Checked" fmlaLink="$AW$31" lockText="1"/>
</file>

<file path=xl/ctrlProps/ctrlProp19.xml><?xml version="1.0" encoding="utf-8"?>
<formControlPr xmlns="http://schemas.microsoft.com/office/spreadsheetml/2009/9/main" objectType="CheckBox" checked="Checked" fmlaLink="$AW$32" lockText="1"/>
</file>

<file path=xl/ctrlProps/ctrlProp2.xml><?xml version="1.0" encoding="utf-8"?>
<formControlPr xmlns="http://schemas.microsoft.com/office/spreadsheetml/2009/9/main" objectType="CheckBox" checked="Checked" fmlaLink="$AS$32" lockText="1"/>
</file>

<file path=xl/ctrlProps/ctrlProp20.xml><?xml version="1.0" encoding="utf-8"?>
<formControlPr xmlns="http://schemas.microsoft.com/office/spreadsheetml/2009/9/main" objectType="CheckBox" checked="Checked" fmlaLink="$AW$33" lockText="1"/>
</file>

<file path=xl/ctrlProps/ctrlProp21.xml><?xml version="1.0" encoding="utf-8"?>
<formControlPr xmlns="http://schemas.microsoft.com/office/spreadsheetml/2009/9/main" objectType="CheckBox" checked="Checked" fmlaLink="$AW$34" lockText="1"/>
</file>

<file path=xl/ctrlProps/ctrlProp22.xml><?xml version="1.0" encoding="utf-8"?>
<formControlPr xmlns="http://schemas.microsoft.com/office/spreadsheetml/2009/9/main" objectType="CheckBox" checked="Checked" fmlaLink="$AW$35" lockText="1"/>
</file>

<file path=xl/ctrlProps/ctrlProp23.xml><?xml version="1.0" encoding="utf-8"?>
<formControlPr xmlns="http://schemas.microsoft.com/office/spreadsheetml/2009/9/main" objectType="CheckBox" checked="Checked" fmlaLink="$AX$21" lockText="1"/>
</file>

<file path=xl/ctrlProps/ctrlProp24.xml><?xml version="1.0" encoding="utf-8"?>
<formControlPr xmlns="http://schemas.microsoft.com/office/spreadsheetml/2009/9/main" objectType="CheckBox" checked="Checked" fmlaLink="$AX$22" lockText="1"/>
</file>

<file path=xl/ctrlProps/ctrlProp25.xml><?xml version="1.0" encoding="utf-8"?>
<formControlPr xmlns="http://schemas.microsoft.com/office/spreadsheetml/2009/9/main" objectType="CheckBox" checked="Checked" fmlaLink="$AX$23" lockText="1"/>
</file>

<file path=xl/ctrlProps/ctrlProp26.xml><?xml version="1.0" encoding="utf-8"?>
<formControlPr xmlns="http://schemas.microsoft.com/office/spreadsheetml/2009/9/main" objectType="CheckBox" checked="Checked" fmlaLink="$AX$24" lockText="1"/>
</file>

<file path=xl/ctrlProps/ctrlProp27.xml><?xml version="1.0" encoding="utf-8"?>
<formControlPr xmlns="http://schemas.microsoft.com/office/spreadsheetml/2009/9/main" objectType="CheckBox" checked="Checked" fmlaLink="$AX$25" lockText="1"/>
</file>

<file path=xl/ctrlProps/ctrlProp28.xml><?xml version="1.0" encoding="utf-8"?>
<formControlPr xmlns="http://schemas.microsoft.com/office/spreadsheetml/2009/9/main" objectType="CheckBox" checked="Checked" fmlaLink="$AX$26" lockText="1"/>
</file>

<file path=xl/ctrlProps/ctrlProp29.xml><?xml version="1.0" encoding="utf-8"?>
<formControlPr xmlns="http://schemas.microsoft.com/office/spreadsheetml/2009/9/main" objectType="CheckBox" checked="Checked" fmlaLink="$AX$27" lockText="1"/>
</file>

<file path=xl/ctrlProps/ctrlProp3.xml><?xml version="1.0" encoding="utf-8"?>
<formControlPr xmlns="http://schemas.microsoft.com/office/spreadsheetml/2009/9/main" objectType="CheckBox" checked="Checked" fmlaLink="$AS$22" lockText="1"/>
</file>

<file path=xl/ctrlProps/ctrlProp30.xml><?xml version="1.0" encoding="utf-8"?>
<formControlPr xmlns="http://schemas.microsoft.com/office/spreadsheetml/2009/9/main" objectType="CheckBox" checked="Checked" fmlaLink="$AX$28" lockText="1"/>
</file>

<file path=xl/ctrlProps/ctrlProp31.xml><?xml version="1.0" encoding="utf-8"?>
<formControlPr xmlns="http://schemas.microsoft.com/office/spreadsheetml/2009/9/main" objectType="CheckBox" fmlaLink="$AX$29" lockText="1"/>
</file>

<file path=xl/ctrlProps/ctrlProp32.xml><?xml version="1.0" encoding="utf-8"?>
<formControlPr xmlns="http://schemas.microsoft.com/office/spreadsheetml/2009/9/main" objectType="CheckBox" fmlaLink="$AX$30" lockText="1"/>
</file>

<file path=xl/ctrlProps/ctrlProp33.xml><?xml version="1.0" encoding="utf-8"?>
<formControlPr xmlns="http://schemas.microsoft.com/office/spreadsheetml/2009/9/main" objectType="CheckBox" fmlaLink="$AX$31" lockText="1"/>
</file>

<file path=xl/ctrlProps/ctrlProp34.xml><?xml version="1.0" encoding="utf-8"?>
<formControlPr xmlns="http://schemas.microsoft.com/office/spreadsheetml/2009/9/main" objectType="CheckBox" fmlaLink="$AX$32" lockText="1"/>
</file>

<file path=xl/ctrlProps/ctrlProp35.xml><?xml version="1.0" encoding="utf-8"?>
<formControlPr xmlns="http://schemas.microsoft.com/office/spreadsheetml/2009/9/main" objectType="CheckBox" fmlaLink="$AX$33" lockText="1"/>
</file>

<file path=xl/ctrlProps/ctrlProp36.xml><?xml version="1.0" encoding="utf-8"?>
<formControlPr xmlns="http://schemas.microsoft.com/office/spreadsheetml/2009/9/main" objectType="CheckBox" fmlaLink="$AX$34" lockText="1"/>
</file>

<file path=xl/ctrlProps/ctrlProp37.xml><?xml version="1.0" encoding="utf-8"?>
<formControlPr xmlns="http://schemas.microsoft.com/office/spreadsheetml/2009/9/main" objectType="CheckBox" fmlaLink="$AX$35" lockText="1"/>
</file>

<file path=xl/ctrlProps/ctrlProp4.xml><?xml version="1.0" encoding="utf-8"?>
<formControlPr xmlns="http://schemas.microsoft.com/office/spreadsheetml/2009/9/main" objectType="CheckBox" checked="Checked" fmlaLink="$AS$28" lockText="1"/>
</file>

<file path=xl/ctrlProps/ctrlProp5.xml><?xml version="1.0" encoding="utf-8"?>
<formControlPr xmlns="http://schemas.microsoft.com/office/spreadsheetml/2009/9/main" objectType="CheckBox" checked="Checked" fmlaLink="$AS$24" lockText="1"/>
</file>

<file path=xl/ctrlProps/ctrlProp6.xml><?xml version="1.0" encoding="utf-8"?>
<formControlPr xmlns="http://schemas.microsoft.com/office/spreadsheetml/2009/9/main" objectType="CheckBox" checked="Checked" fmlaLink="$AS$20" lockText="1"/>
</file>

<file path=xl/ctrlProps/ctrlProp7.xml><?xml version="1.0" encoding="utf-8"?>
<formControlPr xmlns="http://schemas.microsoft.com/office/spreadsheetml/2009/9/main" objectType="CheckBox" checked="Checked" fmlaLink="$AS$26" lockText="1"/>
</file>

<file path=xl/ctrlProps/ctrlProp8.xml><?xml version="1.0" encoding="utf-8"?>
<formControlPr xmlns="http://schemas.microsoft.com/office/spreadsheetml/2009/9/main" objectType="CheckBox" checked="Checked" fmlaLink="$AW$21" lockText="1"/>
</file>

<file path=xl/ctrlProps/ctrlProp9.xml><?xml version="1.0" encoding="utf-8"?>
<formControlPr xmlns="http://schemas.microsoft.com/office/spreadsheetml/2009/9/main" objectType="CheckBox" checked="Checked" fmlaLink="$AW$22" lockText="1"/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G&#243;lszerz!A165"/><Relationship Id="rId18" Type="http://schemas.openxmlformats.org/officeDocument/2006/relationships/hyperlink" Target="#G&#243;lszerz!A333"/><Relationship Id="rId26" Type="http://schemas.openxmlformats.org/officeDocument/2006/relationships/hyperlink" Target="#G&#243;lszerz!A605"/><Relationship Id="rId39" Type="http://schemas.openxmlformats.org/officeDocument/2006/relationships/hyperlink" Target="#G&#243;llista!A1"/><Relationship Id="rId21" Type="http://schemas.openxmlformats.org/officeDocument/2006/relationships/hyperlink" Target="#G&#243;lszerz!A435"/><Relationship Id="rId34" Type="http://schemas.openxmlformats.org/officeDocument/2006/relationships/hyperlink" Target="#Tabell&#225;k!A1"/><Relationship Id="rId42" Type="http://schemas.openxmlformats.org/officeDocument/2006/relationships/hyperlink" Target="#Helysz&#237;nek!A1"/><Relationship Id="rId7" Type="http://schemas.openxmlformats.org/officeDocument/2006/relationships/hyperlink" Target="#G&#243;lszerz!A5"/><Relationship Id="rId2" Type="http://schemas.openxmlformats.org/officeDocument/2006/relationships/hyperlink" Target="#Eredm&#233;nyek!A51"/><Relationship Id="rId16" Type="http://schemas.openxmlformats.org/officeDocument/2006/relationships/hyperlink" Target="#G&#243;lszerz!A231"/><Relationship Id="rId20" Type="http://schemas.openxmlformats.org/officeDocument/2006/relationships/hyperlink" Target="#G&#243;lszerz!A401"/><Relationship Id="rId29" Type="http://schemas.openxmlformats.org/officeDocument/2006/relationships/hyperlink" Target="#Tipp!A1"/><Relationship Id="rId41" Type="http://schemas.openxmlformats.org/officeDocument/2006/relationships/hyperlink" Target="#Csapatok!A1"/><Relationship Id="rId1" Type="http://schemas.openxmlformats.org/officeDocument/2006/relationships/hyperlink" Target="#Eredm&#233;nyek!A5"/><Relationship Id="rId6" Type="http://schemas.openxmlformats.org/officeDocument/2006/relationships/hyperlink" Target="#Eredm&#233;nyek!A95"/><Relationship Id="rId11" Type="http://schemas.openxmlformats.org/officeDocument/2006/relationships/hyperlink" Target="#G&#243;lszerz!A101"/><Relationship Id="rId24" Type="http://schemas.openxmlformats.org/officeDocument/2006/relationships/hyperlink" Target="#G&#243;lszerz!A469"/><Relationship Id="rId32" Type="http://schemas.openxmlformats.org/officeDocument/2006/relationships/image" Target="../media/image4.jpeg"/><Relationship Id="rId37" Type="http://schemas.openxmlformats.org/officeDocument/2006/relationships/hyperlink" Target="#Rangsor!A1"/><Relationship Id="rId40" Type="http://schemas.openxmlformats.org/officeDocument/2006/relationships/hyperlink" Target="#Csoportok!A1"/><Relationship Id="rId5" Type="http://schemas.openxmlformats.org/officeDocument/2006/relationships/hyperlink" Target="#Eredm&#233;nyek!A136"/><Relationship Id="rId15" Type="http://schemas.openxmlformats.org/officeDocument/2006/relationships/hyperlink" Target="#G&#243;lszerz!A299"/><Relationship Id="rId23" Type="http://schemas.openxmlformats.org/officeDocument/2006/relationships/hyperlink" Target="#G&#243;lszerz!A537"/><Relationship Id="rId28" Type="http://schemas.openxmlformats.org/officeDocument/2006/relationships/image" Target="../media/image3.png"/><Relationship Id="rId36" Type="http://schemas.openxmlformats.org/officeDocument/2006/relationships/hyperlink" Target="#&#193;grajz!A1"/><Relationship Id="rId10" Type="http://schemas.openxmlformats.org/officeDocument/2006/relationships/hyperlink" Target="#G&#243;lszerz!A69"/><Relationship Id="rId19" Type="http://schemas.openxmlformats.org/officeDocument/2006/relationships/hyperlink" Target="#G&#243;lszerz!A367"/><Relationship Id="rId31" Type="http://schemas.openxmlformats.org/officeDocument/2006/relationships/hyperlink" Target="http://www.nemzetisport.hu/minden_mas_foci/szurkoloi-szoftverek-104676" TargetMode="External"/><Relationship Id="rId44" Type="http://schemas.openxmlformats.org/officeDocument/2006/relationships/image" Target="../media/image6.png"/><Relationship Id="rId4" Type="http://schemas.openxmlformats.org/officeDocument/2006/relationships/hyperlink" Target="#Eredm&#233;nyek!A121"/><Relationship Id="rId9" Type="http://schemas.openxmlformats.org/officeDocument/2006/relationships/hyperlink" Target="#G&#243;lszerz!A37"/><Relationship Id="rId14" Type="http://schemas.openxmlformats.org/officeDocument/2006/relationships/hyperlink" Target="#G&#243;lszerz!A197"/><Relationship Id="rId22" Type="http://schemas.openxmlformats.org/officeDocument/2006/relationships/hyperlink" Target="#G&#243;lszerz!A503"/><Relationship Id="rId27" Type="http://schemas.openxmlformats.org/officeDocument/2006/relationships/hyperlink" Target="#G&#243;lszerz!A639"/><Relationship Id="rId30" Type="http://schemas.openxmlformats.org/officeDocument/2006/relationships/hyperlink" Target="#S&#250;g&#243;!A1"/><Relationship Id="rId35" Type="http://schemas.openxmlformats.org/officeDocument/2006/relationships/hyperlink" Target="#Eredm&#233;nyek!A1"/><Relationship Id="rId43" Type="http://schemas.openxmlformats.org/officeDocument/2006/relationships/hyperlink" Target="mailto:gyworks.mailbox@gmail.com?subject=Szurkol&#243;i%20f&#252;zet" TargetMode="External"/><Relationship Id="rId8" Type="http://schemas.openxmlformats.org/officeDocument/2006/relationships/image" Target="../media/image2.png"/><Relationship Id="rId3" Type="http://schemas.openxmlformats.org/officeDocument/2006/relationships/hyperlink" Target="#Eredm&#233;nyek!A71"/><Relationship Id="rId12" Type="http://schemas.openxmlformats.org/officeDocument/2006/relationships/hyperlink" Target="#G&#243;lszerz!A133"/><Relationship Id="rId17" Type="http://schemas.openxmlformats.org/officeDocument/2006/relationships/hyperlink" Target="#G&#243;lszerz!A265"/><Relationship Id="rId25" Type="http://schemas.openxmlformats.org/officeDocument/2006/relationships/hyperlink" Target="#G&#243;lszerz!A571"/><Relationship Id="rId33" Type="http://schemas.openxmlformats.org/officeDocument/2006/relationships/image" Target="../media/image5.png"/><Relationship Id="rId38" Type="http://schemas.openxmlformats.org/officeDocument/2006/relationships/hyperlink" Target="#G&#243;lszerz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Tipp!A17"/><Relationship Id="rId13" Type="http://schemas.openxmlformats.org/officeDocument/2006/relationships/image" Target="../media/image4.jpeg"/><Relationship Id="rId18" Type="http://schemas.openxmlformats.org/officeDocument/2006/relationships/hyperlink" Target="#Rangsor!A1"/><Relationship Id="rId3" Type="http://schemas.openxmlformats.org/officeDocument/2006/relationships/hyperlink" Target="#Tipp!A373"/><Relationship Id="rId21" Type="http://schemas.openxmlformats.org/officeDocument/2006/relationships/hyperlink" Target="#Csoportok!A1"/><Relationship Id="rId7" Type="http://schemas.openxmlformats.org/officeDocument/2006/relationships/hyperlink" Target="#Tipp!A50"/><Relationship Id="rId12" Type="http://schemas.openxmlformats.org/officeDocument/2006/relationships/hyperlink" Target="http://www.nemzetisport.hu/minden_mas_foci/szurkoloi-szoftverek-104676" TargetMode="External"/><Relationship Id="rId17" Type="http://schemas.openxmlformats.org/officeDocument/2006/relationships/hyperlink" Target="#&#193;grajz!A1"/><Relationship Id="rId25" Type="http://schemas.openxmlformats.org/officeDocument/2006/relationships/image" Target="../media/image6.png"/><Relationship Id="rId2" Type="http://schemas.openxmlformats.org/officeDocument/2006/relationships/hyperlink" Target="#Tipp!A229"/><Relationship Id="rId16" Type="http://schemas.openxmlformats.org/officeDocument/2006/relationships/hyperlink" Target="#Eredm&#233;nyek!A1"/><Relationship Id="rId20" Type="http://schemas.openxmlformats.org/officeDocument/2006/relationships/hyperlink" Target="#G&#243;llista!A1"/><Relationship Id="rId1" Type="http://schemas.openxmlformats.org/officeDocument/2006/relationships/hyperlink" Target="#Tipp!A85"/><Relationship Id="rId6" Type="http://schemas.openxmlformats.org/officeDocument/2006/relationships/hyperlink" Target="#Tipp!A517"/><Relationship Id="rId11" Type="http://schemas.openxmlformats.org/officeDocument/2006/relationships/hyperlink" Target="#S&#250;g&#243;!A1"/><Relationship Id="rId24" Type="http://schemas.openxmlformats.org/officeDocument/2006/relationships/hyperlink" Target="mailto:gyworks.mailbox@gmail.com?subject=Szurkol&#243;i%20f&#252;zet" TargetMode="External"/><Relationship Id="rId5" Type="http://schemas.openxmlformats.org/officeDocument/2006/relationships/hyperlink" Target="#Tipp!A677"/><Relationship Id="rId15" Type="http://schemas.openxmlformats.org/officeDocument/2006/relationships/hyperlink" Target="#Tabell&#225;k!A1"/><Relationship Id="rId23" Type="http://schemas.openxmlformats.org/officeDocument/2006/relationships/hyperlink" Target="#Helysz&#237;nek!A1"/><Relationship Id="rId10" Type="http://schemas.openxmlformats.org/officeDocument/2006/relationships/hyperlink" Target="#Tipp!A1"/><Relationship Id="rId19" Type="http://schemas.openxmlformats.org/officeDocument/2006/relationships/hyperlink" Target="#G&#243;lszerz!A1"/><Relationship Id="rId4" Type="http://schemas.openxmlformats.org/officeDocument/2006/relationships/hyperlink" Target="#Tipp!A619"/><Relationship Id="rId9" Type="http://schemas.openxmlformats.org/officeDocument/2006/relationships/image" Target="../media/image3.png"/><Relationship Id="rId14" Type="http://schemas.openxmlformats.org/officeDocument/2006/relationships/image" Target="../media/image5.png"/><Relationship Id="rId22" Type="http://schemas.openxmlformats.org/officeDocument/2006/relationships/hyperlink" Target="#Csapatok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G&#243;lszerz!A1"/><Relationship Id="rId18" Type="http://schemas.openxmlformats.org/officeDocument/2006/relationships/hyperlink" Target="mailto:gyworks.mailbox@gmail.com?subject=Szurkol&#243;i%20f&#252;zet" TargetMode="External"/><Relationship Id="rId3" Type="http://schemas.openxmlformats.org/officeDocument/2006/relationships/image" Target="../media/image3.png"/><Relationship Id="rId7" Type="http://schemas.openxmlformats.org/officeDocument/2006/relationships/image" Target="../media/image4.jpeg"/><Relationship Id="rId12" Type="http://schemas.openxmlformats.org/officeDocument/2006/relationships/hyperlink" Target="#Rangsor!A1"/><Relationship Id="rId17" Type="http://schemas.openxmlformats.org/officeDocument/2006/relationships/hyperlink" Target="#Helysz&#237;nek!A1"/><Relationship Id="rId2" Type="http://schemas.openxmlformats.org/officeDocument/2006/relationships/image" Target="../media/image133.png"/><Relationship Id="rId16" Type="http://schemas.openxmlformats.org/officeDocument/2006/relationships/hyperlink" Target="#Csapatok!A1"/><Relationship Id="rId1" Type="http://schemas.openxmlformats.org/officeDocument/2006/relationships/image" Target="../media/image132.png"/><Relationship Id="rId6" Type="http://schemas.openxmlformats.org/officeDocument/2006/relationships/hyperlink" Target="http://www.nemzetisport.hu/minden_mas_foci/szurkoloi-szoftverek-104676" TargetMode="External"/><Relationship Id="rId11" Type="http://schemas.openxmlformats.org/officeDocument/2006/relationships/hyperlink" Target="#&#193;grajz!A1"/><Relationship Id="rId5" Type="http://schemas.openxmlformats.org/officeDocument/2006/relationships/hyperlink" Target="#S&#250;g&#243;!A1"/><Relationship Id="rId15" Type="http://schemas.openxmlformats.org/officeDocument/2006/relationships/hyperlink" Target="#Csoportok!A1"/><Relationship Id="rId10" Type="http://schemas.openxmlformats.org/officeDocument/2006/relationships/hyperlink" Target="#Eredm&#233;nyek!A1"/><Relationship Id="rId19" Type="http://schemas.openxmlformats.org/officeDocument/2006/relationships/image" Target="../media/image6.png"/><Relationship Id="rId4" Type="http://schemas.openxmlformats.org/officeDocument/2006/relationships/hyperlink" Target="#Tipp!A1"/><Relationship Id="rId9" Type="http://schemas.openxmlformats.org/officeDocument/2006/relationships/hyperlink" Target="#Tabell&#225;k!A1"/><Relationship Id="rId14" Type="http://schemas.openxmlformats.org/officeDocument/2006/relationships/hyperlink" Target="#G&#243;llista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Eredm&#233;nyek!A1"/><Relationship Id="rId13" Type="http://schemas.openxmlformats.org/officeDocument/2006/relationships/hyperlink" Target="#Csoportok!A1"/><Relationship Id="rId3" Type="http://schemas.openxmlformats.org/officeDocument/2006/relationships/hyperlink" Target="#S&#250;g&#243;!A1"/><Relationship Id="rId7" Type="http://schemas.openxmlformats.org/officeDocument/2006/relationships/hyperlink" Target="#Tabell&#225;k!A1"/><Relationship Id="rId12" Type="http://schemas.openxmlformats.org/officeDocument/2006/relationships/hyperlink" Target="#G&#243;llista!A1"/><Relationship Id="rId17" Type="http://schemas.openxmlformats.org/officeDocument/2006/relationships/image" Target="../media/image6.png"/><Relationship Id="rId2" Type="http://schemas.openxmlformats.org/officeDocument/2006/relationships/hyperlink" Target="#Tipp!A1"/><Relationship Id="rId16" Type="http://schemas.openxmlformats.org/officeDocument/2006/relationships/hyperlink" Target="mailto:gyworks.mailbox@gmail.com?subject=Szurkol&#243;i%20f&#252;zet" TargetMode="External"/><Relationship Id="rId1" Type="http://schemas.openxmlformats.org/officeDocument/2006/relationships/image" Target="../media/image3.png"/><Relationship Id="rId6" Type="http://schemas.openxmlformats.org/officeDocument/2006/relationships/image" Target="../media/image5.png"/><Relationship Id="rId11" Type="http://schemas.openxmlformats.org/officeDocument/2006/relationships/hyperlink" Target="#G&#243;lszerz!A1"/><Relationship Id="rId5" Type="http://schemas.openxmlformats.org/officeDocument/2006/relationships/image" Target="../media/image4.jpeg"/><Relationship Id="rId15" Type="http://schemas.openxmlformats.org/officeDocument/2006/relationships/hyperlink" Target="#Helysz&#237;nek!A1"/><Relationship Id="rId10" Type="http://schemas.openxmlformats.org/officeDocument/2006/relationships/hyperlink" Target="#Rangsor!A1"/><Relationship Id="rId4" Type="http://schemas.openxmlformats.org/officeDocument/2006/relationships/hyperlink" Target="http://www.nemzetisport.hu/minden_mas_foci/szurkoloi-szoftverek-104676" TargetMode="External"/><Relationship Id="rId9" Type="http://schemas.openxmlformats.org/officeDocument/2006/relationships/hyperlink" Target="#&#193;grajz!A1"/><Relationship Id="rId14" Type="http://schemas.openxmlformats.org/officeDocument/2006/relationships/hyperlink" Target="#Csapatok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Eredm&#233;nyek!A1"/><Relationship Id="rId13" Type="http://schemas.openxmlformats.org/officeDocument/2006/relationships/hyperlink" Target="#Csoportok!A1"/><Relationship Id="rId3" Type="http://schemas.openxmlformats.org/officeDocument/2006/relationships/hyperlink" Target="#S&#250;g&#243;!A1"/><Relationship Id="rId7" Type="http://schemas.openxmlformats.org/officeDocument/2006/relationships/hyperlink" Target="#Tabell&#225;k!A1"/><Relationship Id="rId12" Type="http://schemas.openxmlformats.org/officeDocument/2006/relationships/hyperlink" Target="#G&#243;llista!A1"/><Relationship Id="rId17" Type="http://schemas.openxmlformats.org/officeDocument/2006/relationships/image" Target="../media/image6.png"/><Relationship Id="rId2" Type="http://schemas.openxmlformats.org/officeDocument/2006/relationships/hyperlink" Target="#Tipp!A1"/><Relationship Id="rId16" Type="http://schemas.openxmlformats.org/officeDocument/2006/relationships/hyperlink" Target="mailto:gyworks.mailbox@gmail.com?subject=Szurkol&#243;i%20f&#252;zet" TargetMode="External"/><Relationship Id="rId1" Type="http://schemas.openxmlformats.org/officeDocument/2006/relationships/image" Target="../media/image3.png"/><Relationship Id="rId6" Type="http://schemas.openxmlformats.org/officeDocument/2006/relationships/image" Target="../media/image5.png"/><Relationship Id="rId11" Type="http://schemas.openxmlformats.org/officeDocument/2006/relationships/hyperlink" Target="#G&#243;lszerz!A1"/><Relationship Id="rId5" Type="http://schemas.openxmlformats.org/officeDocument/2006/relationships/image" Target="../media/image4.jpeg"/><Relationship Id="rId15" Type="http://schemas.openxmlformats.org/officeDocument/2006/relationships/hyperlink" Target="#Helysz&#237;nek!A1"/><Relationship Id="rId10" Type="http://schemas.openxmlformats.org/officeDocument/2006/relationships/hyperlink" Target="#Rangsor!A1"/><Relationship Id="rId4" Type="http://schemas.openxmlformats.org/officeDocument/2006/relationships/hyperlink" Target="http://www.nemzetisport.hu/minden_mas_foci/szurkoloi-szoftverek-104676" TargetMode="External"/><Relationship Id="rId9" Type="http://schemas.openxmlformats.org/officeDocument/2006/relationships/hyperlink" Target="#&#193;grajz!A1"/><Relationship Id="rId14" Type="http://schemas.openxmlformats.org/officeDocument/2006/relationships/hyperlink" Target="#Csapatok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Eredm&#233;nyek!A1"/><Relationship Id="rId13" Type="http://schemas.openxmlformats.org/officeDocument/2006/relationships/hyperlink" Target="#Csoportok!A1"/><Relationship Id="rId3" Type="http://schemas.openxmlformats.org/officeDocument/2006/relationships/hyperlink" Target="#S&#250;g&#243;!A1"/><Relationship Id="rId7" Type="http://schemas.openxmlformats.org/officeDocument/2006/relationships/hyperlink" Target="#Tabell&#225;k!A1"/><Relationship Id="rId12" Type="http://schemas.openxmlformats.org/officeDocument/2006/relationships/hyperlink" Target="#G&#243;llista!A1"/><Relationship Id="rId17" Type="http://schemas.openxmlformats.org/officeDocument/2006/relationships/image" Target="../media/image6.png"/><Relationship Id="rId2" Type="http://schemas.openxmlformats.org/officeDocument/2006/relationships/hyperlink" Target="#Tipp!A1"/><Relationship Id="rId16" Type="http://schemas.openxmlformats.org/officeDocument/2006/relationships/hyperlink" Target="mailto:gyworks.mailbox@gmail.com?subject=Szurkol&#243;i%20f&#252;zet" TargetMode="External"/><Relationship Id="rId1" Type="http://schemas.openxmlformats.org/officeDocument/2006/relationships/image" Target="../media/image3.png"/><Relationship Id="rId6" Type="http://schemas.openxmlformats.org/officeDocument/2006/relationships/image" Target="../media/image5.png"/><Relationship Id="rId11" Type="http://schemas.openxmlformats.org/officeDocument/2006/relationships/hyperlink" Target="#G&#243;lszerz!A1"/><Relationship Id="rId5" Type="http://schemas.openxmlformats.org/officeDocument/2006/relationships/image" Target="../media/image4.jpeg"/><Relationship Id="rId15" Type="http://schemas.openxmlformats.org/officeDocument/2006/relationships/hyperlink" Target="#Helysz&#237;nek!A1"/><Relationship Id="rId10" Type="http://schemas.openxmlformats.org/officeDocument/2006/relationships/hyperlink" Target="#Rangsor!A1"/><Relationship Id="rId4" Type="http://schemas.openxmlformats.org/officeDocument/2006/relationships/hyperlink" Target="http://www.nemzetisport.hu/minden_mas_foci/szurkoloi-szoftverek-104676" TargetMode="External"/><Relationship Id="rId9" Type="http://schemas.openxmlformats.org/officeDocument/2006/relationships/hyperlink" Target="#&#193;grajz!A1"/><Relationship Id="rId14" Type="http://schemas.openxmlformats.org/officeDocument/2006/relationships/hyperlink" Target="#Csapatok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Eredm&#233;nyek!A1"/><Relationship Id="rId13" Type="http://schemas.openxmlformats.org/officeDocument/2006/relationships/hyperlink" Target="#Csoportok!A1"/><Relationship Id="rId3" Type="http://schemas.openxmlformats.org/officeDocument/2006/relationships/hyperlink" Target="#S&#250;g&#243;!A1"/><Relationship Id="rId7" Type="http://schemas.openxmlformats.org/officeDocument/2006/relationships/hyperlink" Target="#Tabell&#225;k!A1"/><Relationship Id="rId12" Type="http://schemas.openxmlformats.org/officeDocument/2006/relationships/hyperlink" Target="#G&#243;llista!A1"/><Relationship Id="rId17" Type="http://schemas.openxmlformats.org/officeDocument/2006/relationships/image" Target="../media/image6.png"/><Relationship Id="rId2" Type="http://schemas.openxmlformats.org/officeDocument/2006/relationships/hyperlink" Target="#Tipp!A1"/><Relationship Id="rId16" Type="http://schemas.openxmlformats.org/officeDocument/2006/relationships/hyperlink" Target="mailto:gyworks.mailbox@gmail.com?subject=Szurkol&#243;i%20f&#252;zet" TargetMode="External"/><Relationship Id="rId1" Type="http://schemas.openxmlformats.org/officeDocument/2006/relationships/image" Target="../media/image3.png"/><Relationship Id="rId6" Type="http://schemas.openxmlformats.org/officeDocument/2006/relationships/image" Target="../media/image5.png"/><Relationship Id="rId11" Type="http://schemas.openxmlformats.org/officeDocument/2006/relationships/hyperlink" Target="#G&#243;lszerz!A1"/><Relationship Id="rId5" Type="http://schemas.openxmlformats.org/officeDocument/2006/relationships/image" Target="../media/image4.jpeg"/><Relationship Id="rId15" Type="http://schemas.openxmlformats.org/officeDocument/2006/relationships/hyperlink" Target="#Helysz&#237;nek!A1"/><Relationship Id="rId10" Type="http://schemas.openxmlformats.org/officeDocument/2006/relationships/hyperlink" Target="#Rangsor!A1"/><Relationship Id="rId4" Type="http://schemas.openxmlformats.org/officeDocument/2006/relationships/hyperlink" Target="http://www.nemzetisport.hu/minden_mas_foci/szurkoloi-szoftverek-104676" TargetMode="External"/><Relationship Id="rId9" Type="http://schemas.openxmlformats.org/officeDocument/2006/relationships/hyperlink" Target="#&#193;grajz!A1"/><Relationship Id="rId14" Type="http://schemas.openxmlformats.org/officeDocument/2006/relationships/hyperlink" Target="#Csapatok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Eredm&#233;nyek!A1"/><Relationship Id="rId13" Type="http://schemas.openxmlformats.org/officeDocument/2006/relationships/hyperlink" Target="#Csoportok!A1"/><Relationship Id="rId3" Type="http://schemas.openxmlformats.org/officeDocument/2006/relationships/hyperlink" Target="#S&#250;g&#243;!A1"/><Relationship Id="rId7" Type="http://schemas.openxmlformats.org/officeDocument/2006/relationships/hyperlink" Target="#Tabell&#225;k!A1"/><Relationship Id="rId12" Type="http://schemas.openxmlformats.org/officeDocument/2006/relationships/hyperlink" Target="#G&#243;llista!A1"/><Relationship Id="rId17" Type="http://schemas.openxmlformats.org/officeDocument/2006/relationships/image" Target="../media/image6.png"/><Relationship Id="rId2" Type="http://schemas.openxmlformats.org/officeDocument/2006/relationships/hyperlink" Target="#Tipp!A1"/><Relationship Id="rId16" Type="http://schemas.openxmlformats.org/officeDocument/2006/relationships/hyperlink" Target="mailto:gyworks.mailbox@gmail.com?subject=Szurkol&#243;i%20f&#252;zet" TargetMode="External"/><Relationship Id="rId1" Type="http://schemas.openxmlformats.org/officeDocument/2006/relationships/image" Target="../media/image3.png"/><Relationship Id="rId6" Type="http://schemas.openxmlformats.org/officeDocument/2006/relationships/image" Target="../media/image5.png"/><Relationship Id="rId11" Type="http://schemas.openxmlformats.org/officeDocument/2006/relationships/hyperlink" Target="#G&#243;lszerz!A1"/><Relationship Id="rId5" Type="http://schemas.openxmlformats.org/officeDocument/2006/relationships/image" Target="../media/image4.jpeg"/><Relationship Id="rId15" Type="http://schemas.openxmlformats.org/officeDocument/2006/relationships/hyperlink" Target="#Helysz&#237;nek!A1"/><Relationship Id="rId10" Type="http://schemas.openxmlformats.org/officeDocument/2006/relationships/hyperlink" Target="#Rangsor!A1"/><Relationship Id="rId4" Type="http://schemas.openxmlformats.org/officeDocument/2006/relationships/hyperlink" Target="http://www.nemzetisport.hu/minden_mas_foci/szurkoloi-szoftverek-104676" TargetMode="External"/><Relationship Id="rId9" Type="http://schemas.openxmlformats.org/officeDocument/2006/relationships/hyperlink" Target="#&#193;grajz!A1"/><Relationship Id="rId14" Type="http://schemas.openxmlformats.org/officeDocument/2006/relationships/hyperlink" Target="#Csapatok!A1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2.png"/><Relationship Id="rId21" Type="http://schemas.openxmlformats.org/officeDocument/2006/relationships/image" Target="../media/image27.png"/><Relationship Id="rId42" Type="http://schemas.openxmlformats.org/officeDocument/2006/relationships/image" Target="../media/image48.png"/><Relationship Id="rId47" Type="http://schemas.openxmlformats.org/officeDocument/2006/relationships/image" Target="../media/image53.jpeg"/><Relationship Id="rId63" Type="http://schemas.openxmlformats.org/officeDocument/2006/relationships/hyperlink" Target="#Csoportok!A55"/><Relationship Id="rId68" Type="http://schemas.openxmlformats.org/officeDocument/2006/relationships/image" Target="../media/image60.png"/><Relationship Id="rId84" Type="http://schemas.openxmlformats.org/officeDocument/2006/relationships/hyperlink" Target="#Helysz&#237;nek!A1"/><Relationship Id="rId16" Type="http://schemas.openxmlformats.org/officeDocument/2006/relationships/image" Target="../media/image22.png"/><Relationship Id="rId11" Type="http://schemas.openxmlformats.org/officeDocument/2006/relationships/image" Target="../media/image17.jpeg"/><Relationship Id="rId32" Type="http://schemas.openxmlformats.org/officeDocument/2006/relationships/image" Target="../media/image38.png"/><Relationship Id="rId37" Type="http://schemas.openxmlformats.org/officeDocument/2006/relationships/image" Target="../media/image43.png"/><Relationship Id="rId53" Type="http://schemas.openxmlformats.org/officeDocument/2006/relationships/hyperlink" Target="#Csoportbeoszt&#225;s!A4"/><Relationship Id="rId58" Type="http://schemas.openxmlformats.org/officeDocument/2006/relationships/hyperlink" Target="#Csoportbeoszt&#225;s!A120"/><Relationship Id="rId74" Type="http://schemas.openxmlformats.org/officeDocument/2006/relationships/image" Target="../media/image4.jpeg"/><Relationship Id="rId79" Type="http://schemas.openxmlformats.org/officeDocument/2006/relationships/hyperlink" Target="#Rangsor!A1"/><Relationship Id="rId5" Type="http://schemas.openxmlformats.org/officeDocument/2006/relationships/image" Target="../media/image11.jpeg"/><Relationship Id="rId19" Type="http://schemas.openxmlformats.org/officeDocument/2006/relationships/image" Target="../media/image25.png"/><Relationship Id="rId14" Type="http://schemas.openxmlformats.org/officeDocument/2006/relationships/image" Target="../media/image20.png"/><Relationship Id="rId22" Type="http://schemas.openxmlformats.org/officeDocument/2006/relationships/image" Target="../media/image28.png"/><Relationship Id="rId27" Type="http://schemas.openxmlformats.org/officeDocument/2006/relationships/image" Target="../media/image33.png"/><Relationship Id="rId30" Type="http://schemas.openxmlformats.org/officeDocument/2006/relationships/image" Target="../media/image36.jpeg"/><Relationship Id="rId35" Type="http://schemas.openxmlformats.org/officeDocument/2006/relationships/image" Target="../media/image41.png"/><Relationship Id="rId43" Type="http://schemas.openxmlformats.org/officeDocument/2006/relationships/image" Target="../media/image49.jpeg"/><Relationship Id="rId48" Type="http://schemas.openxmlformats.org/officeDocument/2006/relationships/image" Target="../media/image54.png"/><Relationship Id="rId56" Type="http://schemas.openxmlformats.org/officeDocument/2006/relationships/hyperlink" Target="#Csoportbeoszt&#225;s!A90"/><Relationship Id="rId64" Type="http://schemas.openxmlformats.org/officeDocument/2006/relationships/hyperlink" Target="#Csoportok!A80"/><Relationship Id="rId69" Type="http://schemas.openxmlformats.org/officeDocument/2006/relationships/image" Target="../media/image61.png"/><Relationship Id="rId77" Type="http://schemas.openxmlformats.org/officeDocument/2006/relationships/hyperlink" Target="#Eredm&#233;nyek!A1"/><Relationship Id="rId8" Type="http://schemas.openxmlformats.org/officeDocument/2006/relationships/image" Target="../media/image14.png"/><Relationship Id="rId51" Type="http://schemas.openxmlformats.org/officeDocument/2006/relationships/image" Target="../media/image57.png"/><Relationship Id="rId72" Type="http://schemas.openxmlformats.org/officeDocument/2006/relationships/hyperlink" Target="#S&#250;g&#243;!A1"/><Relationship Id="rId80" Type="http://schemas.openxmlformats.org/officeDocument/2006/relationships/hyperlink" Target="#G&#243;lszerz!A1"/><Relationship Id="rId85" Type="http://schemas.openxmlformats.org/officeDocument/2006/relationships/hyperlink" Target="mailto:gyworks.mailbox@gmail.com?subject=Szurkol&#243;i%20f&#252;zet" TargetMode="External"/><Relationship Id="rId3" Type="http://schemas.openxmlformats.org/officeDocument/2006/relationships/image" Target="../media/image9.jpeg"/><Relationship Id="rId12" Type="http://schemas.openxmlformats.org/officeDocument/2006/relationships/image" Target="../media/image18.png"/><Relationship Id="rId17" Type="http://schemas.openxmlformats.org/officeDocument/2006/relationships/image" Target="../media/image23.png"/><Relationship Id="rId25" Type="http://schemas.openxmlformats.org/officeDocument/2006/relationships/image" Target="../media/image31.png"/><Relationship Id="rId33" Type="http://schemas.openxmlformats.org/officeDocument/2006/relationships/image" Target="../media/image39.png"/><Relationship Id="rId38" Type="http://schemas.openxmlformats.org/officeDocument/2006/relationships/image" Target="../media/image44.png"/><Relationship Id="rId46" Type="http://schemas.openxmlformats.org/officeDocument/2006/relationships/image" Target="../media/image52.png"/><Relationship Id="rId59" Type="http://schemas.openxmlformats.org/officeDocument/2006/relationships/hyperlink" Target="#Csoportbeoszt&#225;s!A150"/><Relationship Id="rId67" Type="http://schemas.openxmlformats.org/officeDocument/2006/relationships/image" Target="../media/image59.png"/><Relationship Id="rId20" Type="http://schemas.openxmlformats.org/officeDocument/2006/relationships/image" Target="../media/image26.png"/><Relationship Id="rId41" Type="http://schemas.openxmlformats.org/officeDocument/2006/relationships/image" Target="../media/image47.png"/><Relationship Id="rId54" Type="http://schemas.openxmlformats.org/officeDocument/2006/relationships/hyperlink" Target="#Csoportbeoszt&#225;s!A30"/><Relationship Id="rId62" Type="http://schemas.openxmlformats.org/officeDocument/2006/relationships/hyperlink" Target="#Csoportok!A30"/><Relationship Id="rId70" Type="http://schemas.openxmlformats.org/officeDocument/2006/relationships/image" Target="../media/image3.png"/><Relationship Id="rId75" Type="http://schemas.openxmlformats.org/officeDocument/2006/relationships/image" Target="../media/image5.png"/><Relationship Id="rId83" Type="http://schemas.openxmlformats.org/officeDocument/2006/relationships/hyperlink" Target="#Csapatok!A1"/><Relationship Id="rId1" Type="http://schemas.openxmlformats.org/officeDocument/2006/relationships/image" Target="../media/image7.jpeg"/><Relationship Id="rId6" Type="http://schemas.openxmlformats.org/officeDocument/2006/relationships/image" Target="../media/image12.jpeg"/><Relationship Id="rId15" Type="http://schemas.openxmlformats.org/officeDocument/2006/relationships/image" Target="../media/image21.png"/><Relationship Id="rId23" Type="http://schemas.openxmlformats.org/officeDocument/2006/relationships/image" Target="../media/image29.png"/><Relationship Id="rId28" Type="http://schemas.openxmlformats.org/officeDocument/2006/relationships/image" Target="../media/image34.png"/><Relationship Id="rId36" Type="http://schemas.openxmlformats.org/officeDocument/2006/relationships/image" Target="../media/image42.png"/><Relationship Id="rId49" Type="http://schemas.openxmlformats.org/officeDocument/2006/relationships/image" Target="../media/image55.jpeg"/><Relationship Id="rId57" Type="http://schemas.openxmlformats.org/officeDocument/2006/relationships/hyperlink" Target="#Csoportbeoszt&#225;s!A210"/><Relationship Id="rId10" Type="http://schemas.openxmlformats.org/officeDocument/2006/relationships/image" Target="../media/image16.png"/><Relationship Id="rId31" Type="http://schemas.openxmlformats.org/officeDocument/2006/relationships/image" Target="../media/image37.png"/><Relationship Id="rId44" Type="http://schemas.openxmlformats.org/officeDocument/2006/relationships/image" Target="../media/image50.png"/><Relationship Id="rId52" Type="http://schemas.openxmlformats.org/officeDocument/2006/relationships/image" Target="../media/image58.png"/><Relationship Id="rId60" Type="http://schemas.openxmlformats.org/officeDocument/2006/relationships/hyperlink" Target="#Csoportbeoszt&#225;s!A180"/><Relationship Id="rId65" Type="http://schemas.openxmlformats.org/officeDocument/2006/relationships/hyperlink" Target="#Csoportok!A130"/><Relationship Id="rId73" Type="http://schemas.openxmlformats.org/officeDocument/2006/relationships/hyperlink" Target="http://www.nemzetisport.hu/minden_mas_foci/szurkoloi-szoftverek-104676" TargetMode="External"/><Relationship Id="rId78" Type="http://schemas.openxmlformats.org/officeDocument/2006/relationships/hyperlink" Target="#&#193;grajz!A1"/><Relationship Id="rId81" Type="http://schemas.openxmlformats.org/officeDocument/2006/relationships/hyperlink" Target="#G&#243;llista!A1"/><Relationship Id="rId86" Type="http://schemas.openxmlformats.org/officeDocument/2006/relationships/image" Target="../media/image6.png"/><Relationship Id="rId4" Type="http://schemas.openxmlformats.org/officeDocument/2006/relationships/image" Target="../media/image10.jpeg"/><Relationship Id="rId9" Type="http://schemas.openxmlformats.org/officeDocument/2006/relationships/image" Target="../media/image15.jpeg"/><Relationship Id="rId13" Type="http://schemas.openxmlformats.org/officeDocument/2006/relationships/image" Target="../media/image19.jpeg"/><Relationship Id="rId18" Type="http://schemas.openxmlformats.org/officeDocument/2006/relationships/image" Target="../media/image24.png"/><Relationship Id="rId39" Type="http://schemas.openxmlformats.org/officeDocument/2006/relationships/image" Target="../media/image45.png"/><Relationship Id="rId34" Type="http://schemas.openxmlformats.org/officeDocument/2006/relationships/image" Target="../media/image40.png"/><Relationship Id="rId50" Type="http://schemas.openxmlformats.org/officeDocument/2006/relationships/image" Target="../media/image56.png"/><Relationship Id="rId55" Type="http://schemas.openxmlformats.org/officeDocument/2006/relationships/hyperlink" Target="#Csoportbeoszt&#225;s!A60"/><Relationship Id="rId76" Type="http://schemas.openxmlformats.org/officeDocument/2006/relationships/hyperlink" Target="#Tabell&#225;k!A1"/><Relationship Id="rId7" Type="http://schemas.openxmlformats.org/officeDocument/2006/relationships/image" Target="../media/image13.png"/><Relationship Id="rId71" Type="http://schemas.openxmlformats.org/officeDocument/2006/relationships/hyperlink" Target="#Tipp!A1"/><Relationship Id="rId2" Type="http://schemas.openxmlformats.org/officeDocument/2006/relationships/image" Target="../media/image8.jpeg"/><Relationship Id="rId29" Type="http://schemas.openxmlformats.org/officeDocument/2006/relationships/image" Target="../media/image35.png"/><Relationship Id="rId24" Type="http://schemas.openxmlformats.org/officeDocument/2006/relationships/image" Target="../media/image30.png"/><Relationship Id="rId40" Type="http://schemas.openxmlformats.org/officeDocument/2006/relationships/image" Target="../media/image46.png"/><Relationship Id="rId45" Type="http://schemas.openxmlformats.org/officeDocument/2006/relationships/image" Target="../media/image51.jpeg"/><Relationship Id="rId66" Type="http://schemas.openxmlformats.org/officeDocument/2006/relationships/hyperlink" Target="#Csoportok!A105"/><Relationship Id="rId61" Type="http://schemas.openxmlformats.org/officeDocument/2006/relationships/hyperlink" Target="#Csoportok!A5"/><Relationship Id="rId82" Type="http://schemas.openxmlformats.org/officeDocument/2006/relationships/hyperlink" Target="#Csoportok!A1"/></Relationships>
</file>

<file path=xl/drawings/_rels/drawing8.xml.rels><?xml version="1.0" encoding="UTF-8" standalone="yes"?>
<Relationships xmlns="http://schemas.openxmlformats.org/package/2006/relationships"><Relationship Id="rId26" Type="http://schemas.openxmlformats.org/officeDocument/2006/relationships/hyperlink" Target="#Csapatok!A766"/><Relationship Id="rId21" Type="http://schemas.openxmlformats.org/officeDocument/2006/relationships/image" Target="../media/image34.png"/><Relationship Id="rId34" Type="http://schemas.openxmlformats.org/officeDocument/2006/relationships/hyperlink" Target="#Csapatok!A166"/><Relationship Id="rId42" Type="http://schemas.openxmlformats.org/officeDocument/2006/relationships/image" Target="../media/image62.png"/><Relationship Id="rId47" Type="http://schemas.openxmlformats.org/officeDocument/2006/relationships/hyperlink" Target="#Csapatok!A926"/><Relationship Id="rId50" Type="http://schemas.openxmlformats.org/officeDocument/2006/relationships/image" Target="../media/image3.png"/><Relationship Id="rId55" Type="http://schemas.openxmlformats.org/officeDocument/2006/relationships/image" Target="../media/image5.png"/><Relationship Id="rId63" Type="http://schemas.openxmlformats.org/officeDocument/2006/relationships/hyperlink" Target="#Csapatok!A1"/><Relationship Id="rId7" Type="http://schemas.openxmlformats.org/officeDocument/2006/relationships/image" Target="../media/image54.png"/><Relationship Id="rId2" Type="http://schemas.openxmlformats.org/officeDocument/2006/relationships/image" Target="../media/image16.png"/><Relationship Id="rId16" Type="http://schemas.openxmlformats.org/officeDocument/2006/relationships/image" Target="../media/image35.png"/><Relationship Id="rId29" Type="http://schemas.openxmlformats.org/officeDocument/2006/relationships/hyperlink" Target="#Csapatok!A6"/><Relationship Id="rId11" Type="http://schemas.openxmlformats.org/officeDocument/2006/relationships/image" Target="../media/image52.png"/><Relationship Id="rId24" Type="http://schemas.openxmlformats.org/officeDocument/2006/relationships/image" Target="../media/image58.png"/><Relationship Id="rId32" Type="http://schemas.openxmlformats.org/officeDocument/2006/relationships/hyperlink" Target="#Csapatok!A246"/><Relationship Id="rId37" Type="http://schemas.openxmlformats.org/officeDocument/2006/relationships/hyperlink" Target="#Csapatok!A406"/><Relationship Id="rId40" Type="http://schemas.openxmlformats.org/officeDocument/2006/relationships/hyperlink" Target="#Csapatok!A606"/><Relationship Id="rId45" Type="http://schemas.openxmlformats.org/officeDocument/2006/relationships/hyperlink" Target="#Csapatok!A846"/><Relationship Id="rId53" Type="http://schemas.openxmlformats.org/officeDocument/2006/relationships/hyperlink" Target="http://www.nemzetisport.hu/minden_mas_foci/szurkoloi-szoftverek-104676" TargetMode="External"/><Relationship Id="rId58" Type="http://schemas.openxmlformats.org/officeDocument/2006/relationships/hyperlink" Target="#&#193;grajz!A1"/><Relationship Id="rId66" Type="http://schemas.openxmlformats.org/officeDocument/2006/relationships/image" Target="../media/image6.png"/><Relationship Id="rId5" Type="http://schemas.openxmlformats.org/officeDocument/2006/relationships/image" Target="../media/image24.png"/><Relationship Id="rId61" Type="http://schemas.openxmlformats.org/officeDocument/2006/relationships/hyperlink" Target="#G&#243;llista!A1"/><Relationship Id="rId19" Type="http://schemas.openxmlformats.org/officeDocument/2006/relationships/image" Target="../media/image30.png"/><Relationship Id="rId14" Type="http://schemas.openxmlformats.org/officeDocument/2006/relationships/image" Target="../media/image44.png"/><Relationship Id="rId22" Type="http://schemas.openxmlformats.org/officeDocument/2006/relationships/image" Target="../media/image22.png"/><Relationship Id="rId27" Type="http://schemas.openxmlformats.org/officeDocument/2006/relationships/hyperlink" Target="#Csapatok!A566"/><Relationship Id="rId30" Type="http://schemas.openxmlformats.org/officeDocument/2006/relationships/hyperlink" Target="#Csapatok!A46"/><Relationship Id="rId35" Type="http://schemas.openxmlformats.org/officeDocument/2006/relationships/hyperlink" Target="#Csapatok!A206"/><Relationship Id="rId43" Type="http://schemas.openxmlformats.org/officeDocument/2006/relationships/hyperlink" Target="#Csapatok!A686"/><Relationship Id="rId48" Type="http://schemas.openxmlformats.org/officeDocument/2006/relationships/hyperlink" Target="#Csapatok!A366"/><Relationship Id="rId56" Type="http://schemas.openxmlformats.org/officeDocument/2006/relationships/hyperlink" Target="#Tabell&#225;k!A1"/><Relationship Id="rId64" Type="http://schemas.openxmlformats.org/officeDocument/2006/relationships/hyperlink" Target="#Helysz&#237;nek!A1"/><Relationship Id="rId8" Type="http://schemas.openxmlformats.org/officeDocument/2006/relationships/image" Target="../media/image50.png"/><Relationship Id="rId51" Type="http://schemas.openxmlformats.org/officeDocument/2006/relationships/hyperlink" Target="#Tipp!A1"/><Relationship Id="rId3" Type="http://schemas.openxmlformats.org/officeDocument/2006/relationships/image" Target="../media/image18.png"/><Relationship Id="rId12" Type="http://schemas.openxmlformats.org/officeDocument/2006/relationships/image" Target="../media/image41.png"/><Relationship Id="rId17" Type="http://schemas.openxmlformats.org/officeDocument/2006/relationships/image" Target="../media/image26.png"/><Relationship Id="rId25" Type="http://schemas.openxmlformats.org/officeDocument/2006/relationships/hyperlink" Target="#Csapatok!A806"/><Relationship Id="rId33" Type="http://schemas.openxmlformats.org/officeDocument/2006/relationships/hyperlink" Target="#Csapatok!A286"/><Relationship Id="rId38" Type="http://schemas.openxmlformats.org/officeDocument/2006/relationships/hyperlink" Target="#Csapatok!A486"/><Relationship Id="rId46" Type="http://schemas.openxmlformats.org/officeDocument/2006/relationships/hyperlink" Target="#Csapatok!A886"/><Relationship Id="rId59" Type="http://schemas.openxmlformats.org/officeDocument/2006/relationships/hyperlink" Target="#Rangsor!A1"/><Relationship Id="rId20" Type="http://schemas.openxmlformats.org/officeDocument/2006/relationships/image" Target="../media/image29.png"/><Relationship Id="rId41" Type="http://schemas.openxmlformats.org/officeDocument/2006/relationships/hyperlink" Target="#Csapatok!A646"/><Relationship Id="rId54" Type="http://schemas.openxmlformats.org/officeDocument/2006/relationships/image" Target="../media/image4.jpeg"/><Relationship Id="rId62" Type="http://schemas.openxmlformats.org/officeDocument/2006/relationships/hyperlink" Target="#Csoportok!A1"/><Relationship Id="rId1" Type="http://schemas.openxmlformats.org/officeDocument/2006/relationships/image" Target="../media/image14.png"/><Relationship Id="rId6" Type="http://schemas.openxmlformats.org/officeDocument/2006/relationships/image" Target="../media/image56.png"/><Relationship Id="rId15" Type="http://schemas.openxmlformats.org/officeDocument/2006/relationships/image" Target="../media/image38.png"/><Relationship Id="rId23" Type="http://schemas.openxmlformats.org/officeDocument/2006/relationships/image" Target="../media/image59.png"/><Relationship Id="rId28" Type="http://schemas.openxmlformats.org/officeDocument/2006/relationships/hyperlink" Target="#Csapatok!A446"/><Relationship Id="rId36" Type="http://schemas.openxmlformats.org/officeDocument/2006/relationships/hyperlink" Target="#Csapatok!A326"/><Relationship Id="rId49" Type="http://schemas.openxmlformats.org/officeDocument/2006/relationships/hyperlink" Target="#Csapatok!A126"/><Relationship Id="rId57" Type="http://schemas.openxmlformats.org/officeDocument/2006/relationships/hyperlink" Target="#Eredm&#233;nyek!A1"/><Relationship Id="rId10" Type="http://schemas.openxmlformats.org/officeDocument/2006/relationships/image" Target="../media/image47.png"/><Relationship Id="rId31" Type="http://schemas.openxmlformats.org/officeDocument/2006/relationships/hyperlink" Target="#Csapatok!A86"/><Relationship Id="rId44" Type="http://schemas.openxmlformats.org/officeDocument/2006/relationships/hyperlink" Target="#Csapatok!A726"/><Relationship Id="rId52" Type="http://schemas.openxmlformats.org/officeDocument/2006/relationships/hyperlink" Target="#S&#250;g&#243;!A1"/><Relationship Id="rId60" Type="http://schemas.openxmlformats.org/officeDocument/2006/relationships/hyperlink" Target="#G&#243;lszerz!A1"/><Relationship Id="rId65" Type="http://schemas.openxmlformats.org/officeDocument/2006/relationships/hyperlink" Target="mailto:gyworks.mailbox@gmail.com?subject=Szurkol&#243;i%20f&#252;zet" TargetMode="External"/><Relationship Id="rId4" Type="http://schemas.openxmlformats.org/officeDocument/2006/relationships/image" Target="../media/image20.png"/><Relationship Id="rId9" Type="http://schemas.openxmlformats.org/officeDocument/2006/relationships/image" Target="../media/image45.png"/><Relationship Id="rId13" Type="http://schemas.openxmlformats.org/officeDocument/2006/relationships/image" Target="../media/image40.png"/><Relationship Id="rId18" Type="http://schemas.openxmlformats.org/officeDocument/2006/relationships/image" Target="../media/image27.png"/><Relationship Id="rId39" Type="http://schemas.openxmlformats.org/officeDocument/2006/relationships/hyperlink" Target="#Csapatok!A526"/></Relationships>
</file>

<file path=xl/drawings/_rels/drawing9.xml.rels><?xml version="1.0" encoding="UTF-8" standalone="yes"?>
<Relationships xmlns="http://schemas.openxmlformats.org/package/2006/relationships"><Relationship Id="rId26" Type="http://schemas.openxmlformats.org/officeDocument/2006/relationships/image" Target="../media/image88.jpeg"/><Relationship Id="rId21" Type="http://schemas.openxmlformats.org/officeDocument/2006/relationships/image" Target="../media/image83.jpeg"/><Relationship Id="rId42" Type="http://schemas.openxmlformats.org/officeDocument/2006/relationships/image" Target="../media/image104.jpeg"/><Relationship Id="rId47" Type="http://schemas.openxmlformats.org/officeDocument/2006/relationships/image" Target="../media/image109.jpeg"/><Relationship Id="rId63" Type="http://schemas.openxmlformats.org/officeDocument/2006/relationships/hyperlink" Target="#Helysz&#237;nek!A405"/><Relationship Id="rId68" Type="http://schemas.openxmlformats.org/officeDocument/2006/relationships/hyperlink" Target="#Helysz&#237;nek!A555"/><Relationship Id="rId84" Type="http://schemas.openxmlformats.org/officeDocument/2006/relationships/hyperlink" Target="#Csapatok!A1"/><Relationship Id="rId89" Type="http://schemas.openxmlformats.org/officeDocument/2006/relationships/image" Target="../media/image122.jpeg"/><Relationship Id="rId16" Type="http://schemas.openxmlformats.org/officeDocument/2006/relationships/image" Target="../media/image78.jpeg"/><Relationship Id="rId11" Type="http://schemas.openxmlformats.org/officeDocument/2006/relationships/image" Target="../media/image73.jpeg"/><Relationship Id="rId32" Type="http://schemas.openxmlformats.org/officeDocument/2006/relationships/image" Target="../media/image94.jpeg"/><Relationship Id="rId37" Type="http://schemas.openxmlformats.org/officeDocument/2006/relationships/image" Target="../media/image99.jpeg"/><Relationship Id="rId53" Type="http://schemas.openxmlformats.org/officeDocument/2006/relationships/image" Target="../media/image115.jpeg"/><Relationship Id="rId58" Type="http://schemas.openxmlformats.org/officeDocument/2006/relationships/image" Target="../media/image120.jpeg"/><Relationship Id="rId74" Type="http://schemas.openxmlformats.org/officeDocument/2006/relationships/hyperlink" Target="http://www.nemzetisport.hu/minden_mas_foci/szurkoloi-szoftverek-104676" TargetMode="External"/><Relationship Id="rId79" Type="http://schemas.openxmlformats.org/officeDocument/2006/relationships/hyperlink" Target="#&#193;grajz!A1"/><Relationship Id="rId5" Type="http://schemas.openxmlformats.org/officeDocument/2006/relationships/image" Target="../media/image67.jpeg"/><Relationship Id="rId90" Type="http://schemas.openxmlformats.org/officeDocument/2006/relationships/image" Target="../media/image123.jpeg"/><Relationship Id="rId95" Type="http://schemas.openxmlformats.org/officeDocument/2006/relationships/image" Target="../media/image128.jpeg"/><Relationship Id="rId22" Type="http://schemas.openxmlformats.org/officeDocument/2006/relationships/image" Target="../media/image84.jpeg"/><Relationship Id="rId27" Type="http://schemas.openxmlformats.org/officeDocument/2006/relationships/image" Target="../media/image89.jpeg"/><Relationship Id="rId43" Type="http://schemas.openxmlformats.org/officeDocument/2006/relationships/image" Target="../media/image105.jpeg"/><Relationship Id="rId48" Type="http://schemas.openxmlformats.org/officeDocument/2006/relationships/image" Target="../media/image110.jpeg"/><Relationship Id="rId64" Type="http://schemas.openxmlformats.org/officeDocument/2006/relationships/hyperlink" Target="#Helysz&#237;nek!A5"/><Relationship Id="rId69" Type="http://schemas.openxmlformats.org/officeDocument/2006/relationships/hyperlink" Target="#Helysz&#237;nek!A255"/><Relationship Id="rId80" Type="http://schemas.openxmlformats.org/officeDocument/2006/relationships/hyperlink" Target="#Rangsor!A1"/><Relationship Id="rId85" Type="http://schemas.openxmlformats.org/officeDocument/2006/relationships/hyperlink" Target="#Helysz&#237;nek!A1"/><Relationship Id="rId3" Type="http://schemas.openxmlformats.org/officeDocument/2006/relationships/image" Target="../media/image65.jpeg"/><Relationship Id="rId12" Type="http://schemas.openxmlformats.org/officeDocument/2006/relationships/image" Target="../media/image74.jpeg"/><Relationship Id="rId17" Type="http://schemas.openxmlformats.org/officeDocument/2006/relationships/image" Target="../media/image79.jpeg"/><Relationship Id="rId25" Type="http://schemas.openxmlformats.org/officeDocument/2006/relationships/image" Target="../media/image87.jpeg"/><Relationship Id="rId33" Type="http://schemas.openxmlformats.org/officeDocument/2006/relationships/image" Target="../media/image95.jpeg"/><Relationship Id="rId38" Type="http://schemas.openxmlformats.org/officeDocument/2006/relationships/image" Target="../media/image100.jpeg"/><Relationship Id="rId46" Type="http://schemas.openxmlformats.org/officeDocument/2006/relationships/image" Target="../media/image108.jpeg"/><Relationship Id="rId59" Type="http://schemas.openxmlformats.org/officeDocument/2006/relationships/hyperlink" Target="#Helysz&#237;nek!A355"/><Relationship Id="rId67" Type="http://schemas.openxmlformats.org/officeDocument/2006/relationships/hyperlink" Target="#Helysz&#237;nek!A505"/><Relationship Id="rId20" Type="http://schemas.openxmlformats.org/officeDocument/2006/relationships/image" Target="../media/image82.jpeg"/><Relationship Id="rId41" Type="http://schemas.openxmlformats.org/officeDocument/2006/relationships/image" Target="../media/image103.jpeg"/><Relationship Id="rId54" Type="http://schemas.openxmlformats.org/officeDocument/2006/relationships/image" Target="../media/image116.jpeg"/><Relationship Id="rId62" Type="http://schemas.openxmlformats.org/officeDocument/2006/relationships/hyperlink" Target="#Helysz&#237;nek!A205"/><Relationship Id="rId70" Type="http://schemas.openxmlformats.org/officeDocument/2006/relationships/hyperlink" Target="#Helysz&#237;nek!A55"/><Relationship Id="rId75" Type="http://schemas.openxmlformats.org/officeDocument/2006/relationships/image" Target="../media/image4.jpeg"/><Relationship Id="rId83" Type="http://schemas.openxmlformats.org/officeDocument/2006/relationships/hyperlink" Target="#Csoportok!A1"/><Relationship Id="rId88" Type="http://schemas.openxmlformats.org/officeDocument/2006/relationships/image" Target="../media/image121.jpeg"/><Relationship Id="rId91" Type="http://schemas.openxmlformats.org/officeDocument/2006/relationships/image" Target="../media/image124.jpeg"/><Relationship Id="rId96" Type="http://schemas.openxmlformats.org/officeDocument/2006/relationships/image" Target="../media/image129.jpeg"/><Relationship Id="rId1" Type="http://schemas.openxmlformats.org/officeDocument/2006/relationships/image" Target="../media/image63.jpeg"/><Relationship Id="rId6" Type="http://schemas.openxmlformats.org/officeDocument/2006/relationships/image" Target="../media/image68.jpeg"/><Relationship Id="rId15" Type="http://schemas.openxmlformats.org/officeDocument/2006/relationships/image" Target="../media/image77.jpeg"/><Relationship Id="rId23" Type="http://schemas.openxmlformats.org/officeDocument/2006/relationships/image" Target="../media/image85.jpeg"/><Relationship Id="rId28" Type="http://schemas.openxmlformats.org/officeDocument/2006/relationships/image" Target="../media/image90.jpeg"/><Relationship Id="rId36" Type="http://schemas.openxmlformats.org/officeDocument/2006/relationships/image" Target="../media/image98.jpeg"/><Relationship Id="rId49" Type="http://schemas.openxmlformats.org/officeDocument/2006/relationships/image" Target="../media/image111.jpeg"/><Relationship Id="rId57" Type="http://schemas.openxmlformats.org/officeDocument/2006/relationships/image" Target="../media/image119.jpeg"/><Relationship Id="rId10" Type="http://schemas.openxmlformats.org/officeDocument/2006/relationships/image" Target="../media/image72.jpeg"/><Relationship Id="rId31" Type="http://schemas.openxmlformats.org/officeDocument/2006/relationships/image" Target="../media/image93.jpeg"/><Relationship Id="rId44" Type="http://schemas.openxmlformats.org/officeDocument/2006/relationships/image" Target="../media/image106.jpeg"/><Relationship Id="rId52" Type="http://schemas.openxmlformats.org/officeDocument/2006/relationships/image" Target="../media/image114.jpeg"/><Relationship Id="rId60" Type="http://schemas.openxmlformats.org/officeDocument/2006/relationships/hyperlink" Target="#Helysz&#237;nek!A455"/><Relationship Id="rId65" Type="http://schemas.openxmlformats.org/officeDocument/2006/relationships/hyperlink" Target="#Helysz&#237;nek!A105"/><Relationship Id="rId73" Type="http://schemas.openxmlformats.org/officeDocument/2006/relationships/hyperlink" Target="#S&#250;g&#243;!A1"/><Relationship Id="rId78" Type="http://schemas.openxmlformats.org/officeDocument/2006/relationships/hyperlink" Target="#Eredm&#233;nyek!A1"/><Relationship Id="rId81" Type="http://schemas.openxmlformats.org/officeDocument/2006/relationships/hyperlink" Target="#G&#243;lszerz!A1"/><Relationship Id="rId86" Type="http://schemas.openxmlformats.org/officeDocument/2006/relationships/hyperlink" Target="mailto:gyworks.mailbox@gmail.com?subject=Szurkol&#243;i%20f&#252;zet" TargetMode="External"/><Relationship Id="rId94" Type="http://schemas.openxmlformats.org/officeDocument/2006/relationships/image" Target="../media/image127.jpeg"/><Relationship Id="rId4" Type="http://schemas.openxmlformats.org/officeDocument/2006/relationships/image" Target="../media/image66.jpeg"/><Relationship Id="rId9" Type="http://schemas.openxmlformats.org/officeDocument/2006/relationships/image" Target="../media/image71.jpeg"/><Relationship Id="rId13" Type="http://schemas.openxmlformats.org/officeDocument/2006/relationships/image" Target="../media/image75.jpeg"/><Relationship Id="rId18" Type="http://schemas.openxmlformats.org/officeDocument/2006/relationships/image" Target="../media/image80.jpeg"/><Relationship Id="rId39" Type="http://schemas.openxmlformats.org/officeDocument/2006/relationships/image" Target="../media/image101.jpeg"/><Relationship Id="rId34" Type="http://schemas.openxmlformats.org/officeDocument/2006/relationships/image" Target="../media/image96.jpeg"/><Relationship Id="rId50" Type="http://schemas.openxmlformats.org/officeDocument/2006/relationships/image" Target="../media/image112.jpeg"/><Relationship Id="rId55" Type="http://schemas.openxmlformats.org/officeDocument/2006/relationships/image" Target="../media/image117.jpeg"/><Relationship Id="rId76" Type="http://schemas.openxmlformats.org/officeDocument/2006/relationships/image" Target="../media/image5.png"/><Relationship Id="rId97" Type="http://schemas.openxmlformats.org/officeDocument/2006/relationships/image" Target="../media/image130.jpeg"/><Relationship Id="rId7" Type="http://schemas.openxmlformats.org/officeDocument/2006/relationships/image" Target="../media/image69.jpeg"/><Relationship Id="rId71" Type="http://schemas.openxmlformats.org/officeDocument/2006/relationships/image" Target="../media/image3.png"/><Relationship Id="rId92" Type="http://schemas.openxmlformats.org/officeDocument/2006/relationships/image" Target="../media/image125.jpeg"/><Relationship Id="rId2" Type="http://schemas.openxmlformats.org/officeDocument/2006/relationships/image" Target="../media/image64.jpeg"/><Relationship Id="rId29" Type="http://schemas.openxmlformats.org/officeDocument/2006/relationships/image" Target="../media/image91.jpeg"/><Relationship Id="rId24" Type="http://schemas.openxmlformats.org/officeDocument/2006/relationships/image" Target="../media/image86.jpeg"/><Relationship Id="rId40" Type="http://schemas.openxmlformats.org/officeDocument/2006/relationships/image" Target="../media/image102.jpeg"/><Relationship Id="rId45" Type="http://schemas.openxmlformats.org/officeDocument/2006/relationships/image" Target="../media/image107.jpeg"/><Relationship Id="rId66" Type="http://schemas.openxmlformats.org/officeDocument/2006/relationships/hyperlink" Target="#Helysz&#237;nek!A155"/><Relationship Id="rId87" Type="http://schemas.openxmlformats.org/officeDocument/2006/relationships/image" Target="../media/image6.png"/><Relationship Id="rId61" Type="http://schemas.openxmlformats.org/officeDocument/2006/relationships/hyperlink" Target="#Helysz&#237;nek!A305"/><Relationship Id="rId82" Type="http://schemas.openxmlformats.org/officeDocument/2006/relationships/hyperlink" Target="#G&#243;llista!A1"/><Relationship Id="rId19" Type="http://schemas.openxmlformats.org/officeDocument/2006/relationships/image" Target="../media/image81.jpeg"/><Relationship Id="rId14" Type="http://schemas.openxmlformats.org/officeDocument/2006/relationships/image" Target="../media/image76.jpeg"/><Relationship Id="rId30" Type="http://schemas.openxmlformats.org/officeDocument/2006/relationships/image" Target="../media/image92.jpeg"/><Relationship Id="rId35" Type="http://schemas.openxmlformats.org/officeDocument/2006/relationships/image" Target="../media/image97.jpeg"/><Relationship Id="rId56" Type="http://schemas.openxmlformats.org/officeDocument/2006/relationships/image" Target="../media/image118.jpeg"/><Relationship Id="rId77" Type="http://schemas.openxmlformats.org/officeDocument/2006/relationships/hyperlink" Target="#Tabell&#225;k!A1"/><Relationship Id="rId8" Type="http://schemas.openxmlformats.org/officeDocument/2006/relationships/image" Target="../media/image70.jpeg"/><Relationship Id="rId51" Type="http://schemas.openxmlformats.org/officeDocument/2006/relationships/image" Target="../media/image113.jpeg"/><Relationship Id="rId72" Type="http://schemas.openxmlformats.org/officeDocument/2006/relationships/hyperlink" Target="#Tipp!A1"/><Relationship Id="rId93" Type="http://schemas.openxmlformats.org/officeDocument/2006/relationships/image" Target="../media/image126.jpeg"/><Relationship Id="rId98" Type="http://schemas.openxmlformats.org/officeDocument/2006/relationships/image" Target="../media/image13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895350</xdr:colOff>
      <xdr:row>3</xdr:row>
      <xdr:rowOff>0</xdr:rowOff>
    </xdr:from>
    <xdr:to>
      <xdr:col>18</xdr:col>
      <xdr:colOff>133350</xdr:colOff>
      <xdr:row>90</xdr:row>
      <xdr:rowOff>171450</xdr:rowOff>
    </xdr:to>
    <xdr:grpSp>
      <xdr:nvGrpSpPr>
        <xdr:cNvPr id="1025" name="Csoportba foglalás 1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GrpSpPr>
          <a:grpSpLocks/>
        </xdr:cNvGrpSpPr>
      </xdr:nvGrpSpPr>
      <xdr:grpSpPr bwMode="auto">
        <a:xfrm>
          <a:off x="4657725" y="361950"/>
          <a:ext cx="7286625" cy="14392275"/>
          <a:chOff x="4686300" y="361950"/>
          <a:chExt cx="7286625" cy="14392275"/>
        </a:xfrm>
      </xdr:grpSpPr>
      <xdr:sp macro="" textlink="">
        <xdr:nvSpPr>
          <xdr:cNvPr id="1420" name="Text Box 396">
            <a:hlinkClick xmlns:r="http://schemas.openxmlformats.org/officeDocument/2006/relationships" r:id="rId1" tooltip="1. csoportkör eredményei"/>
            <a:extLst>
              <a:ext uri="{FF2B5EF4-FFF2-40B4-BE49-F238E27FC236}">
                <a16:creationId xmlns:a16="http://schemas.microsoft.com/office/drawing/2014/main" xmlns="" id="{00000000-0008-0000-0000-00008C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895975" y="361950"/>
            <a:ext cx="1009650" cy="14287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0" tIns="18000" rIns="0" bIns="0" anchor="ctr" upright="1"/>
          <a:lstStyle/>
          <a:p>
            <a:pPr algn="ctr" rtl="0">
              <a:defRPr sz="1000"/>
            </a:pPr>
            <a:r>
              <a:rPr lang="hu-HU" sz="700" b="0" i="0" u="none" strike="noStrike" baseline="0">
                <a:solidFill>
                  <a:srgbClr val="FFFFFF"/>
                </a:solidFill>
                <a:latin typeface="Arial Unicode MS"/>
              </a:rPr>
              <a:t>1. CSOPORTKÖR</a:t>
            </a:r>
          </a:p>
        </xdr:txBody>
      </xdr:sp>
      <xdr:sp macro="" textlink="">
        <xdr:nvSpPr>
          <xdr:cNvPr id="1424" name="Text Box 400">
            <a:extLst>
              <a:ext uri="{FF2B5EF4-FFF2-40B4-BE49-F238E27FC236}">
                <a16:creationId xmlns:a16="http://schemas.microsoft.com/office/drawing/2014/main" xmlns="" id="{00000000-0008-0000-0000-00009005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4686300" y="390525"/>
            <a:ext cx="1162050" cy="114300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r" rtl="0">
              <a:defRPr sz="1000"/>
            </a:pPr>
            <a:r>
              <a:rPr lang="hu-HU" sz="600" b="0" i="0" u="none" strike="noStrike" baseline="0">
                <a:solidFill>
                  <a:srgbClr val="FFFFFF"/>
                </a:solidFill>
                <a:latin typeface="Arial Unicode MS"/>
              </a:rPr>
              <a:t>LAPOZÁS KATTINTÁSSAL:</a:t>
            </a:r>
          </a:p>
        </xdr:txBody>
      </xdr:sp>
      <xdr:sp macro="" textlink="">
        <xdr:nvSpPr>
          <xdr:cNvPr id="1783" name="Text Box 759">
            <a:hlinkClick xmlns:r="http://schemas.openxmlformats.org/officeDocument/2006/relationships" r:id="rId2" tooltip="2. csoportkör eredményei"/>
            <a:extLst>
              <a:ext uri="{FF2B5EF4-FFF2-40B4-BE49-F238E27FC236}">
                <a16:creationId xmlns:a16="http://schemas.microsoft.com/office/drawing/2014/main" xmlns="" id="{00000000-0008-0000-0000-0000F7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953250" y="361950"/>
            <a:ext cx="1009650" cy="14287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0" tIns="18000" rIns="0" bIns="0" anchor="ctr" upright="1"/>
          <a:lstStyle/>
          <a:p>
            <a:pPr algn="ctr" rtl="0">
              <a:defRPr sz="1000"/>
            </a:pPr>
            <a:r>
              <a:rPr lang="hu-HU" sz="700" b="0" i="0" u="none" strike="noStrike" baseline="0">
                <a:solidFill>
                  <a:srgbClr val="FFFFFF"/>
                </a:solidFill>
                <a:latin typeface="Arial Unicode MS"/>
              </a:rPr>
              <a:t>2. CSOPORTKÖR</a:t>
            </a:r>
          </a:p>
        </xdr:txBody>
      </xdr:sp>
      <xdr:sp macro="" textlink="">
        <xdr:nvSpPr>
          <xdr:cNvPr id="1784" name="Text Box 760">
            <a:hlinkClick xmlns:r="http://schemas.openxmlformats.org/officeDocument/2006/relationships" r:id="rId3" tooltip="3. csoportkör eredményei"/>
            <a:extLst>
              <a:ext uri="{FF2B5EF4-FFF2-40B4-BE49-F238E27FC236}">
                <a16:creationId xmlns:a16="http://schemas.microsoft.com/office/drawing/2014/main" xmlns="" id="{00000000-0008-0000-0000-0000F8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010525" y="361950"/>
            <a:ext cx="1009650" cy="14287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0" tIns="18000" rIns="0" bIns="0" anchor="ctr" upright="1"/>
          <a:lstStyle/>
          <a:p>
            <a:pPr algn="ctr" rtl="0">
              <a:defRPr sz="1000"/>
            </a:pPr>
            <a:r>
              <a:rPr lang="hu-HU" sz="700" b="0" i="0" u="none" strike="noStrike" baseline="0">
                <a:solidFill>
                  <a:srgbClr val="FFFFFF"/>
                </a:solidFill>
                <a:latin typeface="Arial Unicode MS"/>
              </a:rPr>
              <a:t>3. CSOPORTKÖR</a:t>
            </a:r>
          </a:p>
        </xdr:txBody>
      </xdr:sp>
      <xdr:sp macro="" textlink="">
        <xdr:nvSpPr>
          <xdr:cNvPr id="1786" name="Text Box 762">
            <a:hlinkClick xmlns:r="http://schemas.openxmlformats.org/officeDocument/2006/relationships" r:id="rId4" tooltip="Negyeddöntők eredményei"/>
            <a:extLst>
              <a:ext uri="{FF2B5EF4-FFF2-40B4-BE49-F238E27FC236}">
                <a16:creationId xmlns:a16="http://schemas.microsoft.com/office/drawing/2014/main" xmlns="" id="{00000000-0008-0000-0000-0000FA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944100" y="361950"/>
            <a:ext cx="809625" cy="14287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0" tIns="18000" rIns="0" bIns="0" anchor="ctr" upright="1"/>
          <a:lstStyle/>
          <a:p>
            <a:pPr algn="ctr" rtl="0">
              <a:defRPr sz="1000"/>
            </a:pPr>
            <a:r>
              <a:rPr lang="hu-HU" sz="700" b="0" i="0" u="none" strike="noStrike" baseline="0">
                <a:solidFill>
                  <a:srgbClr val="FFFFFF"/>
                </a:solidFill>
                <a:latin typeface="Arial Unicode MS"/>
              </a:rPr>
              <a:t>2/4 DÖNTŐK</a:t>
            </a:r>
          </a:p>
        </xdr:txBody>
      </xdr:sp>
      <xdr:sp macro="" textlink="">
        <xdr:nvSpPr>
          <xdr:cNvPr id="1787" name="Text Box 763">
            <a:hlinkClick xmlns:r="http://schemas.openxmlformats.org/officeDocument/2006/relationships" r:id="rId5" tooltip="Elődöntők és a döntő eredményei"/>
            <a:extLst>
              <a:ext uri="{FF2B5EF4-FFF2-40B4-BE49-F238E27FC236}">
                <a16:creationId xmlns:a16="http://schemas.microsoft.com/office/drawing/2014/main" xmlns="" id="{00000000-0008-0000-0000-0000FB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801350" y="361950"/>
            <a:ext cx="1171575" cy="14287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0" tIns="18000" rIns="0" bIns="0" anchor="ctr" upright="1"/>
          <a:lstStyle/>
          <a:p>
            <a:pPr algn="ctr" rtl="0">
              <a:defRPr sz="1000"/>
            </a:pPr>
            <a:r>
              <a:rPr lang="hu-HU" sz="700" b="0" i="0" u="none" strike="noStrike" baseline="0">
                <a:solidFill>
                  <a:srgbClr val="FFFFFF"/>
                </a:solidFill>
                <a:latin typeface="Arial Unicode MS"/>
              </a:rPr>
              <a:t>1/2 DÖNTŐK – DÖNTŐ</a:t>
            </a:r>
          </a:p>
        </xdr:txBody>
      </xdr:sp>
      <xdr:sp macro="" textlink="">
        <xdr:nvSpPr>
          <xdr:cNvPr id="1788" name="Text Box 764">
            <a:hlinkClick xmlns:r="http://schemas.openxmlformats.org/officeDocument/2006/relationships" r:id="rId6" tooltip="Nyolcaddöntők eredményei"/>
            <a:extLst>
              <a:ext uri="{FF2B5EF4-FFF2-40B4-BE49-F238E27FC236}">
                <a16:creationId xmlns:a16="http://schemas.microsoft.com/office/drawing/2014/main" xmlns="" id="{00000000-0008-0000-0000-0000FC06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067800" y="361950"/>
            <a:ext cx="828675" cy="14287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0" tIns="18000" rIns="0" bIns="0" anchor="ctr" upright="1"/>
          <a:lstStyle/>
          <a:p>
            <a:pPr algn="ctr" rtl="0">
              <a:defRPr sz="1000"/>
            </a:pPr>
            <a:r>
              <a:rPr lang="hu-HU" sz="700" b="0" i="0" u="none" strike="noStrike" baseline="0">
                <a:solidFill>
                  <a:srgbClr val="FFFFFF"/>
                </a:solidFill>
                <a:latin typeface="Arial Unicode MS"/>
              </a:rPr>
              <a:t>4/8 DÖNTŐK</a:t>
            </a:r>
          </a:p>
        </xdr:txBody>
      </xdr:sp>
      <xdr:sp macro="" textlink="">
        <xdr:nvSpPr>
          <xdr:cNvPr id="21061" name="AutoShape 1605">
            <a:extLst>
              <a:ext uri="{FF2B5EF4-FFF2-40B4-BE49-F238E27FC236}">
                <a16:creationId xmlns:a16="http://schemas.microsoft.com/office/drawing/2014/main" xmlns="" id="{00000000-0008-0000-0000-000045520000}"/>
              </a:ext>
            </a:extLst>
          </xdr:cNvPr>
          <xdr:cNvSpPr>
            <a:spLocks noChangeArrowheads="1"/>
          </xdr:cNvSpPr>
        </xdr:nvSpPr>
        <xdr:spPr bwMode="auto">
          <a:xfrm>
            <a:off x="5191125" y="981075"/>
            <a:ext cx="361950" cy="142875"/>
          </a:xfrm>
          <a:prstGeom prst="homePlate">
            <a:avLst>
              <a:gd name="adj" fmla="val 0"/>
            </a:avLst>
          </a:prstGeom>
          <a:gradFill rotWithShape="0">
            <a:gsLst>
              <a:gs pos="0">
                <a:srgbClr val="009CB3"/>
              </a:gs>
              <a:gs pos="100000">
                <a:srgbClr val="008192"/>
              </a:gs>
            </a:gsLst>
            <a:lin ang="0" scaled="1"/>
          </a:gradFill>
          <a:ln w="0" algn="ctr">
            <a:solidFill>
              <a:srgbClr val="D3D3D3"/>
            </a:solidFill>
            <a:miter lim="800000"/>
            <a:headEnd/>
            <a:tailEnd/>
          </a:ln>
          <a:effectLst>
            <a:outerShdw dist="35921" dir="2700000" algn="ctr" rotWithShape="0">
              <a:srgbClr val="333333">
                <a:alpha val="50000"/>
              </a:srgbClr>
            </a:outerShdw>
          </a:effectLst>
        </xdr:spPr>
        <xdr:txBody>
          <a:bodyPr vertOverflow="clip" wrap="square" lIns="0" tIns="0" rIns="0" bIns="0" anchor="ctr" upright="1"/>
          <a:lstStyle/>
          <a:p>
            <a:pPr algn="l" rtl="0">
              <a:defRPr sz="1000"/>
            </a:pPr>
            <a:r>
              <a:rPr lang="hu-HU" sz="800" b="1" i="0" u="none" strike="noStrike" baseline="0">
                <a:solidFill>
                  <a:srgbClr val="FFFFFF"/>
                </a:solidFill>
                <a:latin typeface="Arial Unicode MS"/>
              </a:rPr>
              <a:t>  A</a:t>
            </a:r>
          </a:p>
        </xdr:txBody>
      </xdr:sp>
      <xdr:sp macro="" textlink="">
        <xdr:nvSpPr>
          <xdr:cNvPr id="20986" name="AutoShape 1530">
            <a:extLst>
              <a:ext uri="{FF2B5EF4-FFF2-40B4-BE49-F238E27FC236}">
                <a16:creationId xmlns:a16="http://schemas.microsoft.com/office/drawing/2014/main" xmlns="" id="{00000000-0008-0000-0000-0000FA510000}"/>
              </a:ext>
            </a:extLst>
          </xdr:cNvPr>
          <xdr:cNvSpPr>
            <a:spLocks noChangeArrowheads="1"/>
          </xdr:cNvSpPr>
        </xdr:nvSpPr>
        <xdr:spPr bwMode="auto">
          <a:xfrm>
            <a:off x="5191125" y="1733550"/>
            <a:ext cx="361950" cy="142875"/>
          </a:xfrm>
          <a:prstGeom prst="homePlate">
            <a:avLst>
              <a:gd name="adj" fmla="val 0"/>
            </a:avLst>
          </a:prstGeom>
          <a:gradFill rotWithShape="0">
            <a:gsLst>
              <a:gs pos="0">
                <a:srgbClr val="009CB3"/>
              </a:gs>
              <a:gs pos="100000">
                <a:srgbClr val="008192"/>
              </a:gs>
            </a:gsLst>
            <a:lin ang="0" scaled="1"/>
          </a:gradFill>
          <a:ln w="0" algn="ctr">
            <a:solidFill>
              <a:srgbClr val="D3D3D3"/>
            </a:solidFill>
            <a:miter lim="800000"/>
            <a:headEnd/>
            <a:tailEnd/>
          </a:ln>
          <a:effectLst>
            <a:outerShdw dist="35921" dir="2700000" algn="ctr" rotWithShape="0">
              <a:srgbClr val="333333">
                <a:alpha val="50000"/>
              </a:srgbClr>
            </a:outerShdw>
          </a:effectLst>
        </xdr:spPr>
        <xdr:txBody>
          <a:bodyPr vertOverflow="clip" wrap="square" lIns="0" tIns="0" rIns="0" bIns="0" anchor="ctr" upright="1"/>
          <a:lstStyle/>
          <a:p>
            <a:pPr algn="l" rtl="0">
              <a:defRPr sz="1000"/>
            </a:pPr>
            <a:r>
              <a:rPr lang="hu-HU" sz="800" b="1" i="0" u="none" strike="noStrike" baseline="0">
                <a:solidFill>
                  <a:srgbClr val="FFFFFF"/>
                </a:solidFill>
                <a:latin typeface="Arial Unicode MS"/>
              </a:rPr>
              <a:t>  A</a:t>
            </a:r>
          </a:p>
        </xdr:txBody>
      </xdr:sp>
      <xdr:sp macro="" textlink="">
        <xdr:nvSpPr>
          <xdr:cNvPr id="20987" name="AutoShape 1531">
            <a:extLst>
              <a:ext uri="{FF2B5EF4-FFF2-40B4-BE49-F238E27FC236}">
                <a16:creationId xmlns:a16="http://schemas.microsoft.com/office/drawing/2014/main" xmlns="" id="{00000000-0008-0000-0000-0000FB510000}"/>
              </a:ext>
            </a:extLst>
          </xdr:cNvPr>
          <xdr:cNvSpPr>
            <a:spLocks noChangeArrowheads="1"/>
          </xdr:cNvSpPr>
        </xdr:nvSpPr>
        <xdr:spPr bwMode="auto">
          <a:xfrm>
            <a:off x="5191125" y="1933575"/>
            <a:ext cx="361950" cy="142875"/>
          </a:xfrm>
          <a:prstGeom prst="homePlate">
            <a:avLst>
              <a:gd name="adj" fmla="val 0"/>
            </a:avLst>
          </a:prstGeom>
          <a:gradFill rotWithShape="0">
            <a:gsLst>
              <a:gs pos="0">
                <a:srgbClr val="9475E1"/>
              </a:gs>
              <a:gs pos="100000">
                <a:srgbClr val="523973"/>
              </a:gs>
            </a:gsLst>
            <a:lin ang="0" scaled="1"/>
          </a:gradFill>
          <a:ln w="0" algn="ctr">
            <a:solidFill>
              <a:srgbClr val="D3D3D3"/>
            </a:solidFill>
            <a:miter lim="800000"/>
            <a:headEnd/>
            <a:tailEnd/>
          </a:ln>
          <a:effectLst>
            <a:outerShdw dist="35921" dir="2700000" algn="ctr" rotWithShape="0">
              <a:srgbClr val="333333">
                <a:alpha val="50000"/>
              </a:srgbClr>
            </a:outerShdw>
          </a:effectLst>
        </xdr:spPr>
        <xdr:txBody>
          <a:bodyPr vertOverflow="clip" wrap="square" lIns="0" tIns="0" rIns="0" bIns="0" anchor="ctr" upright="1"/>
          <a:lstStyle/>
          <a:p>
            <a:pPr algn="l" rtl="0">
              <a:defRPr sz="1000"/>
            </a:pPr>
            <a:r>
              <a:rPr lang="hu-HU" sz="800" b="1" i="0" u="none" strike="noStrike" baseline="0">
                <a:solidFill>
                  <a:srgbClr val="FFFFFF"/>
                </a:solidFill>
                <a:latin typeface="Arial Unicode MS"/>
              </a:rPr>
              <a:t>  B</a:t>
            </a:r>
          </a:p>
        </xdr:txBody>
      </xdr:sp>
      <xdr:sp macro="" textlink="">
        <xdr:nvSpPr>
          <xdr:cNvPr id="20988" name="AutoShape 1532">
            <a:extLst>
              <a:ext uri="{FF2B5EF4-FFF2-40B4-BE49-F238E27FC236}">
                <a16:creationId xmlns:a16="http://schemas.microsoft.com/office/drawing/2014/main" xmlns="" id="{00000000-0008-0000-0000-0000FC510000}"/>
              </a:ext>
            </a:extLst>
          </xdr:cNvPr>
          <xdr:cNvSpPr>
            <a:spLocks noChangeArrowheads="1"/>
          </xdr:cNvSpPr>
        </xdr:nvSpPr>
        <xdr:spPr bwMode="auto">
          <a:xfrm>
            <a:off x="5191125" y="2133600"/>
            <a:ext cx="361950" cy="142875"/>
          </a:xfrm>
          <a:prstGeom prst="homePlate">
            <a:avLst>
              <a:gd name="adj" fmla="val 0"/>
            </a:avLst>
          </a:prstGeom>
          <a:gradFill rotWithShape="0">
            <a:gsLst>
              <a:gs pos="0">
                <a:srgbClr val="9475E1"/>
              </a:gs>
              <a:gs pos="100000">
                <a:srgbClr val="523973"/>
              </a:gs>
            </a:gsLst>
            <a:lin ang="0" scaled="1"/>
          </a:gradFill>
          <a:ln w="0" algn="ctr">
            <a:solidFill>
              <a:srgbClr val="D3D3D3"/>
            </a:solidFill>
            <a:miter lim="800000"/>
            <a:headEnd/>
            <a:tailEnd/>
          </a:ln>
          <a:effectLst>
            <a:outerShdw dist="35921" dir="2700000" algn="ctr" rotWithShape="0">
              <a:srgbClr val="333333">
                <a:alpha val="50000"/>
              </a:srgbClr>
            </a:outerShdw>
          </a:effectLst>
        </xdr:spPr>
        <xdr:txBody>
          <a:bodyPr vertOverflow="clip" wrap="square" lIns="0" tIns="0" rIns="0" bIns="0" anchor="ctr" upright="1"/>
          <a:lstStyle/>
          <a:p>
            <a:pPr algn="l" rtl="0">
              <a:defRPr sz="1000"/>
            </a:pPr>
            <a:r>
              <a:rPr lang="hu-HU" sz="800" b="1" i="0" u="none" strike="noStrike" baseline="0">
                <a:solidFill>
                  <a:srgbClr val="FFFFFF"/>
                </a:solidFill>
                <a:latin typeface="Arial Unicode MS"/>
              </a:rPr>
              <a:t>  B</a:t>
            </a:r>
          </a:p>
        </xdr:txBody>
      </xdr:sp>
      <xdr:sp macro="" textlink="">
        <xdr:nvSpPr>
          <xdr:cNvPr id="20990" name="AutoShape 1534">
            <a:extLst>
              <a:ext uri="{FF2B5EF4-FFF2-40B4-BE49-F238E27FC236}">
                <a16:creationId xmlns:a16="http://schemas.microsoft.com/office/drawing/2014/main" xmlns="" id="{00000000-0008-0000-0000-0000FE510000}"/>
              </a:ext>
            </a:extLst>
          </xdr:cNvPr>
          <xdr:cNvSpPr>
            <a:spLocks noChangeArrowheads="1"/>
          </xdr:cNvSpPr>
        </xdr:nvSpPr>
        <xdr:spPr bwMode="auto">
          <a:xfrm>
            <a:off x="5191125" y="2886075"/>
            <a:ext cx="361950" cy="142875"/>
          </a:xfrm>
          <a:prstGeom prst="homePlate">
            <a:avLst>
              <a:gd name="adj" fmla="val 0"/>
            </a:avLst>
          </a:prstGeom>
          <a:gradFill rotWithShape="0">
            <a:gsLst>
              <a:gs pos="0">
                <a:srgbClr val="ADCE35"/>
              </a:gs>
              <a:gs pos="100000">
                <a:srgbClr val="005000"/>
              </a:gs>
            </a:gsLst>
            <a:lin ang="0" scaled="1"/>
          </a:gradFill>
          <a:ln w="0" algn="ctr">
            <a:solidFill>
              <a:srgbClr val="D3D3D3"/>
            </a:solidFill>
            <a:miter lim="800000"/>
            <a:headEnd/>
            <a:tailEnd/>
          </a:ln>
          <a:effectLst>
            <a:outerShdw dist="35921" dir="2700000" algn="ctr" rotWithShape="0">
              <a:srgbClr val="333333">
                <a:alpha val="50000"/>
              </a:srgbClr>
            </a:outerShdw>
          </a:effectLst>
        </xdr:spPr>
        <xdr:txBody>
          <a:bodyPr vertOverflow="clip" wrap="square" lIns="0" tIns="0" rIns="0" bIns="0" anchor="ctr" upright="1"/>
          <a:lstStyle/>
          <a:p>
            <a:pPr algn="l" rtl="0">
              <a:defRPr sz="1000"/>
            </a:pPr>
            <a:r>
              <a:rPr lang="hu-HU" sz="800" b="1" i="0" u="none" strike="noStrike" baseline="0">
                <a:solidFill>
                  <a:srgbClr val="FFFFFF"/>
                </a:solidFill>
                <a:latin typeface="Arial Unicode MS"/>
              </a:rPr>
              <a:t>  D</a:t>
            </a:r>
          </a:p>
        </xdr:txBody>
      </xdr:sp>
      <xdr:sp macro="" textlink="">
        <xdr:nvSpPr>
          <xdr:cNvPr id="20991" name="AutoShape 1535">
            <a:extLst>
              <a:ext uri="{FF2B5EF4-FFF2-40B4-BE49-F238E27FC236}">
                <a16:creationId xmlns:a16="http://schemas.microsoft.com/office/drawing/2014/main" xmlns="" id="{00000000-0008-0000-0000-0000FF510000}"/>
              </a:ext>
            </a:extLst>
          </xdr:cNvPr>
          <xdr:cNvSpPr>
            <a:spLocks noChangeArrowheads="1"/>
          </xdr:cNvSpPr>
        </xdr:nvSpPr>
        <xdr:spPr bwMode="auto">
          <a:xfrm>
            <a:off x="5191125" y="3086100"/>
            <a:ext cx="361950" cy="142875"/>
          </a:xfrm>
          <a:prstGeom prst="homePlate">
            <a:avLst>
              <a:gd name="adj" fmla="val 0"/>
            </a:avLst>
          </a:prstGeom>
          <a:gradFill rotWithShape="0">
            <a:gsLst>
              <a:gs pos="0">
                <a:srgbClr val="F99F27"/>
              </a:gs>
              <a:gs pos="100000">
                <a:srgbClr val="9C3B0B"/>
              </a:gs>
            </a:gsLst>
            <a:lin ang="0" scaled="1"/>
          </a:gradFill>
          <a:ln w="0" algn="ctr">
            <a:solidFill>
              <a:srgbClr val="D3D3D3"/>
            </a:solidFill>
            <a:miter lim="800000"/>
            <a:headEnd/>
            <a:tailEnd/>
          </a:ln>
          <a:effectLst>
            <a:outerShdw dist="35921" dir="2700000" algn="ctr" rotWithShape="0">
              <a:srgbClr val="333333">
                <a:alpha val="50000"/>
              </a:srgbClr>
            </a:outerShdw>
          </a:effectLst>
        </xdr:spPr>
        <xdr:txBody>
          <a:bodyPr vertOverflow="clip" wrap="square" lIns="0" tIns="0" rIns="0" bIns="0" anchor="ctr" upright="1"/>
          <a:lstStyle/>
          <a:p>
            <a:pPr algn="l" rtl="0">
              <a:defRPr sz="1000"/>
            </a:pPr>
            <a:r>
              <a:rPr lang="hu-HU" sz="800" b="1" i="0" u="none" strike="noStrike" baseline="0">
                <a:solidFill>
                  <a:srgbClr val="FFFFFF"/>
                </a:solidFill>
                <a:latin typeface="Arial Unicode MS"/>
              </a:rPr>
              <a:t>  C</a:t>
            </a:r>
          </a:p>
        </xdr:txBody>
      </xdr:sp>
      <xdr:sp macro="" textlink="">
        <xdr:nvSpPr>
          <xdr:cNvPr id="20992" name="AutoShape 1536">
            <a:extLst>
              <a:ext uri="{FF2B5EF4-FFF2-40B4-BE49-F238E27FC236}">
                <a16:creationId xmlns:a16="http://schemas.microsoft.com/office/drawing/2014/main" xmlns="" id="{00000000-0008-0000-0000-000000520000}"/>
              </a:ext>
            </a:extLst>
          </xdr:cNvPr>
          <xdr:cNvSpPr>
            <a:spLocks noChangeArrowheads="1"/>
          </xdr:cNvSpPr>
        </xdr:nvSpPr>
        <xdr:spPr bwMode="auto">
          <a:xfrm>
            <a:off x="5191125" y="3286125"/>
            <a:ext cx="361950" cy="142875"/>
          </a:xfrm>
          <a:prstGeom prst="homePlate">
            <a:avLst>
              <a:gd name="adj" fmla="val 0"/>
            </a:avLst>
          </a:prstGeom>
          <a:gradFill rotWithShape="0">
            <a:gsLst>
              <a:gs pos="0">
                <a:srgbClr val="F99F27"/>
              </a:gs>
              <a:gs pos="100000">
                <a:srgbClr val="9C3B0B"/>
              </a:gs>
            </a:gsLst>
            <a:lin ang="0" scaled="1"/>
          </a:gradFill>
          <a:ln w="0" algn="ctr">
            <a:solidFill>
              <a:srgbClr val="D3D3D3"/>
            </a:solidFill>
            <a:miter lim="800000"/>
            <a:headEnd/>
            <a:tailEnd/>
          </a:ln>
          <a:effectLst>
            <a:outerShdw dist="35921" dir="2700000" algn="ctr" rotWithShape="0">
              <a:srgbClr val="333333">
                <a:alpha val="50000"/>
              </a:srgbClr>
            </a:outerShdw>
          </a:effectLst>
        </xdr:spPr>
        <xdr:txBody>
          <a:bodyPr vertOverflow="clip" wrap="square" lIns="0" tIns="0" rIns="0" bIns="0" anchor="ctr" upright="1"/>
          <a:lstStyle/>
          <a:p>
            <a:pPr algn="l" rtl="0">
              <a:defRPr sz="1000"/>
            </a:pPr>
            <a:r>
              <a:rPr lang="hu-HU" sz="800" b="1" i="0" u="none" strike="noStrike" baseline="0">
                <a:solidFill>
                  <a:srgbClr val="FFFFFF"/>
                </a:solidFill>
                <a:latin typeface="Arial Unicode MS"/>
              </a:rPr>
              <a:t>  C</a:t>
            </a:r>
          </a:p>
        </xdr:txBody>
      </xdr:sp>
      <xdr:sp macro="" textlink="">
        <xdr:nvSpPr>
          <xdr:cNvPr id="20993" name="AutoShape 1537">
            <a:extLst>
              <a:ext uri="{FF2B5EF4-FFF2-40B4-BE49-F238E27FC236}">
                <a16:creationId xmlns:a16="http://schemas.microsoft.com/office/drawing/2014/main" xmlns="" id="{00000000-0008-0000-0000-000001520000}"/>
              </a:ext>
            </a:extLst>
          </xdr:cNvPr>
          <xdr:cNvSpPr>
            <a:spLocks noChangeArrowheads="1"/>
          </xdr:cNvSpPr>
        </xdr:nvSpPr>
        <xdr:spPr bwMode="auto">
          <a:xfrm>
            <a:off x="5191125" y="4038600"/>
            <a:ext cx="361950" cy="142875"/>
          </a:xfrm>
          <a:prstGeom prst="homePlate">
            <a:avLst>
              <a:gd name="adj" fmla="val 0"/>
            </a:avLst>
          </a:prstGeom>
          <a:gradFill rotWithShape="0">
            <a:gsLst>
              <a:gs pos="0">
                <a:srgbClr val="ADCE35"/>
              </a:gs>
              <a:gs pos="100000">
                <a:srgbClr val="005000"/>
              </a:gs>
            </a:gsLst>
            <a:lin ang="0" scaled="1"/>
          </a:gradFill>
          <a:ln w="0" algn="ctr">
            <a:solidFill>
              <a:srgbClr val="D3D3D3"/>
            </a:solidFill>
            <a:miter lim="800000"/>
            <a:headEnd/>
            <a:tailEnd/>
          </a:ln>
          <a:effectLst>
            <a:outerShdw dist="35921" dir="2700000" algn="ctr" rotWithShape="0">
              <a:srgbClr val="333333">
                <a:alpha val="50000"/>
              </a:srgbClr>
            </a:outerShdw>
          </a:effectLst>
        </xdr:spPr>
        <xdr:txBody>
          <a:bodyPr vertOverflow="clip" wrap="square" lIns="0" tIns="0" rIns="0" bIns="0" anchor="ctr" upright="1"/>
          <a:lstStyle/>
          <a:p>
            <a:pPr algn="l" rtl="0">
              <a:defRPr sz="1000"/>
            </a:pPr>
            <a:r>
              <a:rPr lang="hu-HU" sz="800" b="1" i="0" u="none" strike="noStrike" baseline="0">
                <a:solidFill>
                  <a:srgbClr val="FFFFFF"/>
                </a:solidFill>
                <a:latin typeface="Arial Unicode MS"/>
              </a:rPr>
              <a:t>  D</a:t>
            </a:r>
          </a:p>
        </xdr:txBody>
      </xdr:sp>
      <xdr:sp macro="" textlink="">
        <xdr:nvSpPr>
          <xdr:cNvPr id="20994" name="AutoShape 1538">
            <a:extLst>
              <a:ext uri="{FF2B5EF4-FFF2-40B4-BE49-F238E27FC236}">
                <a16:creationId xmlns:a16="http://schemas.microsoft.com/office/drawing/2014/main" xmlns="" id="{00000000-0008-0000-0000-000002520000}"/>
              </a:ext>
            </a:extLst>
          </xdr:cNvPr>
          <xdr:cNvSpPr>
            <a:spLocks noChangeArrowheads="1"/>
          </xdr:cNvSpPr>
        </xdr:nvSpPr>
        <xdr:spPr bwMode="auto">
          <a:xfrm>
            <a:off x="5191125" y="4238625"/>
            <a:ext cx="361950" cy="142875"/>
          </a:xfrm>
          <a:prstGeom prst="homePlate">
            <a:avLst>
              <a:gd name="adj" fmla="val 0"/>
            </a:avLst>
          </a:prstGeom>
          <a:gradFill rotWithShape="0">
            <a:gsLst>
              <a:gs pos="0">
                <a:srgbClr val="EE2959"/>
              </a:gs>
              <a:gs pos="100000">
                <a:srgbClr val="8C081D"/>
              </a:gs>
            </a:gsLst>
            <a:lin ang="0" scaled="1"/>
          </a:gradFill>
          <a:ln w="0" algn="ctr">
            <a:solidFill>
              <a:srgbClr val="D3D3D3"/>
            </a:solidFill>
            <a:miter lim="800000"/>
            <a:headEnd/>
            <a:tailEnd/>
          </a:ln>
          <a:effectLst>
            <a:outerShdw dist="35921" dir="2700000" algn="ctr" rotWithShape="0">
              <a:srgbClr val="333333">
                <a:alpha val="50000"/>
              </a:srgbClr>
            </a:outerShdw>
          </a:effectLst>
        </xdr:spPr>
        <xdr:txBody>
          <a:bodyPr vertOverflow="clip" wrap="square" lIns="0" tIns="0" rIns="0" bIns="0" anchor="ctr" upright="1"/>
          <a:lstStyle/>
          <a:p>
            <a:pPr algn="l" rtl="0">
              <a:defRPr sz="1000"/>
            </a:pPr>
            <a:r>
              <a:rPr lang="hu-HU" sz="800" b="1" i="0" u="none" strike="noStrike" baseline="0">
                <a:solidFill>
                  <a:srgbClr val="FFFFFF"/>
                </a:solidFill>
                <a:latin typeface="Arial Unicode MS"/>
              </a:rPr>
              <a:t>  E</a:t>
            </a:r>
          </a:p>
        </xdr:txBody>
      </xdr:sp>
      <xdr:sp macro="" textlink="">
        <xdr:nvSpPr>
          <xdr:cNvPr id="20995" name="AutoShape 1539">
            <a:extLst>
              <a:ext uri="{FF2B5EF4-FFF2-40B4-BE49-F238E27FC236}">
                <a16:creationId xmlns:a16="http://schemas.microsoft.com/office/drawing/2014/main" xmlns="" id="{00000000-0008-0000-0000-000003520000}"/>
              </a:ext>
            </a:extLst>
          </xdr:cNvPr>
          <xdr:cNvSpPr>
            <a:spLocks noChangeArrowheads="1"/>
          </xdr:cNvSpPr>
        </xdr:nvSpPr>
        <xdr:spPr bwMode="auto">
          <a:xfrm>
            <a:off x="5191125" y="4438650"/>
            <a:ext cx="361950" cy="142875"/>
          </a:xfrm>
          <a:prstGeom prst="homePlate">
            <a:avLst>
              <a:gd name="adj" fmla="val 0"/>
            </a:avLst>
          </a:prstGeom>
          <a:gradFill rotWithShape="0">
            <a:gsLst>
              <a:gs pos="0">
                <a:srgbClr val="EE2959"/>
              </a:gs>
              <a:gs pos="100000">
                <a:srgbClr val="8C081D"/>
              </a:gs>
            </a:gsLst>
            <a:lin ang="0" scaled="1"/>
          </a:gradFill>
          <a:ln w="0" algn="ctr">
            <a:solidFill>
              <a:srgbClr val="D3D3D3"/>
            </a:solidFill>
            <a:miter lim="800000"/>
            <a:headEnd/>
            <a:tailEnd/>
          </a:ln>
          <a:effectLst>
            <a:outerShdw dist="35921" dir="2700000" algn="ctr" rotWithShape="0">
              <a:srgbClr val="333333">
                <a:alpha val="50000"/>
              </a:srgbClr>
            </a:outerShdw>
          </a:effectLst>
        </xdr:spPr>
        <xdr:txBody>
          <a:bodyPr vertOverflow="clip" wrap="square" lIns="0" tIns="0" rIns="0" bIns="0" anchor="ctr" upright="1"/>
          <a:lstStyle/>
          <a:p>
            <a:pPr algn="l" rtl="0">
              <a:defRPr sz="1000"/>
            </a:pPr>
            <a:r>
              <a:rPr lang="hu-HU" sz="800" b="1" i="0" u="none" strike="noStrike" baseline="0">
                <a:solidFill>
                  <a:srgbClr val="FFFFFF"/>
                </a:solidFill>
                <a:latin typeface="Arial Unicode MS"/>
              </a:rPr>
              <a:t>  E</a:t>
            </a:r>
          </a:p>
        </xdr:txBody>
      </xdr:sp>
      <xdr:sp macro="" textlink="">
        <xdr:nvSpPr>
          <xdr:cNvPr id="20996" name="AutoShape 1540">
            <a:extLst>
              <a:ext uri="{FF2B5EF4-FFF2-40B4-BE49-F238E27FC236}">
                <a16:creationId xmlns:a16="http://schemas.microsoft.com/office/drawing/2014/main" xmlns="" id="{00000000-0008-0000-0000-000004520000}"/>
              </a:ext>
            </a:extLst>
          </xdr:cNvPr>
          <xdr:cNvSpPr>
            <a:spLocks noChangeArrowheads="1"/>
          </xdr:cNvSpPr>
        </xdr:nvSpPr>
        <xdr:spPr bwMode="auto">
          <a:xfrm>
            <a:off x="5191125" y="5191125"/>
            <a:ext cx="361950" cy="142875"/>
          </a:xfrm>
          <a:prstGeom prst="homePlate">
            <a:avLst>
              <a:gd name="adj" fmla="val 0"/>
            </a:avLst>
          </a:prstGeom>
          <a:gradFill rotWithShape="0">
            <a:gsLst>
              <a:gs pos="0">
                <a:srgbClr val="8C126F"/>
              </a:gs>
              <a:gs pos="100000">
                <a:srgbClr val="3A082E"/>
              </a:gs>
            </a:gsLst>
            <a:lin ang="0" scaled="1"/>
          </a:gradFill>
          <a:ln w="0" algn="ctr">
            <a:solidFill>
              <a:srgbClr val="D3D3D3"/>
            </a:solidFill>
            <a:miter lim="800000"/>
            <a:headEnd/>
            <a:tailEnd/>
          </a:ln>
          <a:effectLst>
            <a:outerShdw dist="35921" dir="2700000" algn="ctr" rotWithShape="0">
              <a:srgbClr val="333333">
                <a:alpha val="50000"/>
              </a:srgbClr>
            </a:outerShdw>
          </a:effectLst>
        </xdr:spPr>
        <xdr:txBody>
          <a:bodyPr vertOverflow="clip" wrap="square" lIns="0" tIns="0" rIns="0" bIns="0" anchor="ctr" upright="1"/>
          <a:lstStyle/>
          <a:p>
            <a:pPr algn="l" rtl="0">
              <a:defRPr sz="1000"/>
            </a:pPr>
            <a:r>
              <a:rPr lang="hu-HU" sz="800" b="1" i="0" u="none" strike="noStrike" baseline="0">
                <a:solidFill>
                  <a:srgbClr val="FFFFFF"/>
                </a:solidFill>
                <a:latin typeface="Arial Unicode MS"/>
              </a:rPr>
              <a:t>  F</a:t>
            </a:r>
          </a:p>
        </xdr:txBody>
      </xdr:sp>
      <xdr:sp macro="" textlink="">
        <xdr:nvSpPr>
          <xdr:cNvPr id="20997" name="AutoShape 1541">
            <a:extLst>
              <a:ext uri="{FF2B5EF4-FFF2-40B4-BE49-F238E27FC236}">
                <a16:creationId xmlns:a16="http://schemas.microsoft.com/office/drawing/2014/main" xmlns="" id="{00000000-0008-0000-0000-000005520000}"/>
              </a:ext>
            </a:extLst>
          </xdr:cNvPr>
          <xdr:cNvSpPr>
            <a:spLocks noChangeArrowheads="1"/>
          </xdr:cNvSpPr>
        </xdr:nvSpPr>
        <xdr:spPr bwMode="auto">
          <a:xfrm>
            <a:off x="5191125" y="5391150"/>
            <a:ext cx="361950" cy="142875"/>
          </a:xfrm>
          <a:prstGeom prst="homePlate">
            <a:avLst>
              <a:gd name="adj" fmla="val 0"/>
            </a:avLst>
          </a:prstGeom>
          <a:gradFill rotWithShape="0">
            <a:gsLst>
              <a:gs pos="0">
                <a:srgbClr val="8C126F"/>
              </a:gs>
              <a:gs pos="100000">
                <a:srgbClr val="3A082E"/>
              </a:gs>
            </a:gsLst>
            <a:lin ang="0" scaled="1"/>
          </a:gradFill>
          <a:ln w="0" algn="ctr">
            <a:solidFill>
              <a:srgbClr val="D3D3D3"/>
            </a:solidFill>
            <a:miter lim="800000"/>
            <a:headEnd/>
            <a:tailEnd/>
          </a:ln>
          <a:effectLst>
            <a:outerShdw dist="35921" dir="2700000" algn="ctr" rotWithShape="0">
              <a:srgbClr val="333333">
                <a:alpha val="50000"/>
              </a:srgbClr>
            </a:outerShdw>
          </a:effectLst>
        </xdr:spPr>
        <xdr:txBody>
          <a:bodyPr vertOverflow="clip" wrap="square" lIns="0" tIns="0" rIns="0" bIns="0" anchor="ctr" upright="1"/>
          <a:lstStyle/>
          <a:p>
            <a:pPr algn="l" rtl="0">
              <a:defRPr sz="1000"/>
            </a:pPr>
            <a:r>
              <a:rPr lang="hu-HU" sz="800" b="1" i="0" u="none" strike="noStrike" baseline="0">
                <a:solidFill>
                  <a:srgbClr val="FFFFFF"/>
                </a:solidFill>
                <a:latin typeface="Arial Unicode MS"/>
              </a:rPr>
              <a:t>  F</a:t>
            </a:r>
          </a:p>
        </xdr:txBody>
      </xdr:sp>
      <xdr:sp macro="" textlink="">
        <xdr:nvSpPr>
          <xdr:cNvPr id="20998" name="AutoShape 1542">
            <a:extLst>
              <a:ext uri="{FF2B5EF4-FFF2-40B4-BE49-F238E27FC236}">
                <a16:creationId xmlns:a16="http://schemas.microsoft.com/office/drawing/2014/main" xmlns="" id="{00000000-0008-0000-0000-000006520000}"/>
              </a:ext>
            </a:extLst>
          </xdr:cNvPr>
          <xdr:cNvSpPr>
            <a:spLocks noChangeArrowheads="1"/>
          </xdr:cNvSpPr>
        </xdr:nvSpPr>
        <xdr:spPr bwMode="auto">
          <a:xfrm>
            <a:off x="5191125" y="6143625"/>
            <a:ext cx="361950" cy="142875"/>
          </a:xfrm>
          <a:prstGeom prst="homePlate">
            <a:avLst>
              <a:gd name="adj" fmla="val 0"/>
            </a:avLst>
          </a:prstGeom>
          <a:gradFill rotWithShape="0">
            <a:gsLst>
              <a:gs pos="0">
                <a:srgbClr val="9475E1"/>
              </a:gs>
              <a:gs pos="100000">
                <a:srgbClr val="523973"/>
              </a:gs>
            </a:gsLst>
            <a:lin ang="0" scaled="1"/>
          </a:gradFill>
          <a:ln w="0" algn="ctr">
            <a:solidFill>
              <a:srgbClr val="D3D3D3"/>
            </a:solidFill>
            <a:miter lim="800000"/>
            <a:headEnd/>
            <a:tailEnd/>
          </a:ln>
          <a:effectLst>
            <a:outerShdw dist="35921" dir="2700000" algn="ctr" rotWithShape="0">
              <a:srgbClr val="333333">
                <a:alpha val="50000"/>
              </a:srgbClr>
            </a:outerShdw>
          </a:effectLst>
        </xdr:spPr>
        <xdr:txBody>
          <a:bodyPr vertOverflow="clip" wrap="square" lIns="0" tIns="0" rIns="0" bIns="0" anchor="ctr" upright="1"/>
          <a:lstStyle/>
          <a:p>
            <a:pPr algn="l" rtl="0">
              <a:defRPr sz="1000"/>
            </a:pPr>
            <a:r>
              <a:rPr lang="hu-HU" sz="800" b="1" i="0" u="none" strike="noStrike" baseline="0">
                <a:solidFill>
                  <a:srgbClr val="FFFFFF"/>
                </a:solidFill>
                <a:latin typeface="Arial Unicode MS"/>
              </a:rPr>
              <a:t>  B</a:t>
            </a:r>
          </a:p>
        </xdr:txBody>
      </xdr:sp>
      <xdr:sp macro="" textlink="">
        <xdr:nvSpPr>
          <xdr:cNvPr id="20999" name="AutoShape 1543">
            <a:extLst>
              <a:ext uri="{FF2B5EF4-FFF2-40B4-BE49-F238E27FC236}">
                <a16:creationId xmlns:a16="http://schemas.microsoft.com/office/drawing/2014/main" xmlns="" id="{00000000-0008-0000-0000-000007520000}"/>
              </a:ext>
            </a:extLst>
          </xdr:cNvPr>
          <xdr:cNvSpPr>
            <a:spLocks noChangeArrowheads="1"/>
          </xdr:cNvSpPr>
        </xdr:nvSpPr>
        <xdr:spPr bwMode="auto">
          <a:xfrm>
            <a:off x="5191125" y="6343650"/>
            <a:ext cx="361950" cy="142875"/>
          </a:xfrm>
          <a:prstGeom prst="homePlate">
            <a:avLst>
              <a:gd name="adj" fmla="val 0"/>
            </a:avLst>
          </a:prstGeom>
          <a:gradFill rotWithShape="0">
            <a:gsLst>
              <a:gs pos="0">
                <a:srgbClr val="009CB3"/>
              </a:gs>
              <a:gs pos="100000">
                <a:srgbClr val="008192"/>
              </a:gs>
            </a:gsLst>
            <a:lin ang="0" scaled="1"/>
          </a:gradFill>
          <a:ln w="0" algn="ctr">
            <a:solidFill>
              <a:srgbClr val="D3D3D3"/>
            </a:solidFill>
            <a:miter lim="800000"/>
            <a:headEnd/>
            <a:tailEnd/>
          </a:ln>
          <a:effectLst>
            <a:outerShdw dist="35921" dir="2700000" algn="ctr" rotWithShape="0">
              <a:srgbClr val="333333">
                <a:alpha val="50000"/>
              </a:srgbClr>
            </a:outerShdw>
          </a:effectLst>
        </xdr:spPr>
        <xdr:txBody>
          <a:bodyPr vertOverflow="clip" wrap="square" lIns="0" tIns="0" rIns="0" bIns="0" anchor="ctr" upright="1"/>
          <a:lstStyle/>
          <a:p>
            <a:pPr algn="l" rtl="0">
              <a:defRPr sz="1000"/>
            </a:pPr>
            <a:r>
              <a:rPr lang="hu-HU" sz="800" b="1" i="0" u="none" strike="noStrike" baseline="0">
                <a:solidFill>
                  <a:srgbClr val="FFFFFF"/>
                </a:solidFill>
                <a:latin typeface="Arial Unicode MS"/>
              </a:rPr>
              <a:t>  A</a:t>
            </a:r>
          </a:p>
        </xdr:txBody>
      </xdr:sp>
      <xdr:sp macro="" textlink="">
        <xdr:nvSpPr>
          <xdr:cNvPr id="21000" name="AutoShape 1544">
            <a:extLst>
              <a:ext uri="{FF2B5EF4-FFF2-40B4-BE49-F238E27FC236}">
                <a16:creationId xmlns:a16="http://schemas.microsoft.com/office/drawing/2014/main" xmlns="" id="{00000000-0008-0000-0000-000008520000}"/>
              </a:ext>
            </a:extLst>
          </xdr:cNvPr>
          <xdr:cNvSpPr>
            <a:spLocks noChangeArrowheads="1"/>
          </xdr:cNvSpPr>
        </xdr:nvSpPr>
        <xdr:spPr bwMode="auto">
          <a:xfrm>
            <a:off x="5191125" y="6543675"/>
            <a:ext cx="361950" cy="142875"/>
          </a:xfrm>
          <a:prstGeom prst="homePlate">
            <a:avLst>
              <a:gd name="adj" fmla="val 0"/>
            </a:avLst>
          </a:prstGeom>
          <a:gradFill rotWithShape="0">
            <a:gsLst>
              <a:gs pos="0">
                <a:srgbClr val="009CB3"/>
              </a:gs>
              <a:gs pos="100000">
                <a:srgbClr val="008192"/>
              </a:gs>
            </a:gsLst>
            <a:lin ang="0" scaled="1"/>
          </a:gradFill>
          <a:ln w="0" algn="ctr">
            <a:solidFill>
              <a:srgbClr val="D3D3D3"/>
            </a:solidFill>
            <a:miter lim="800000"/>
            <a:headEnd/>
            <a:tailEnd/>
          </a:ln>
          <a:effectLst>
            <a:outerShdw dist="35921" dir="2700000" algn="ctr" rotWithShape="0">
              <a:srgbClr val="333333">
                <a:alpha val="50000"/>
              </a:srgbClr>
            </a:outerShdw>
          </a:effectLst>
        </xdr:spPr>
        <xdr:txBody>
          <a:bodyPr vertOverflow="clip" wrap="square" lIns="0" tIns="0" rIns="0" bIns="0" anchor="ctr" upright="1"/>
          <a:lstStyle/>
          <a:p>
            <a:pPr algn="l" rtl="0">
              <a:defRPr sz="1000"/>
            </a:pPr>
            <a:r>
              <a:rPr lang="hu-HU" sz="800" b="1" i="0" u="none" strike="noStrike" baseline="0">
                <a:solidFill>
                  <a:srgbClr val="FFFFFF"/>
                </a:solidFill>
                <a:latin typeface="Arial Unicode MS"/>
              </a:rPr>
              <a:t>  A</a:t>
            </a:r>
          </a:p>
        </xdr:txBody>
      </xdr:sp>
      <xdr:sp macro="" textlink="">
        <xdr:nvSpPr>
          <xdr:cNvPr id="21001" name="AutoShape 1545">
            <a:extLst>
              <a:ext uri="{FF2B5EF4-FFF2-40B4-BE49-F238E27FC236}">
                <a16:creationId xmlns:a16="http://schemas.microsoft.com/office/drawing/2014/main" xmlns="" id="{00000000-0008-0000-0000-000009520000}"/>
              </a:ext>
            </a:extLst>
          </xdr:cNvPr>
          <xdr:cNvSpPr>
            <a:spLocks noChangeArrowheads="1"/>
          </xdr:cNvSpPr>
        </xdr:nvSpPr>
        <xdr:spPr bwMode="auto">
          <a:xfrm>
            <a:off x="5191125" y="7296150"/>
            <a:ext cx="361950" cy="142875"/>
          </a:xfrm>
          <a:prstGeom prst="homePlate">
            <a:avLst>
              <a:gd name="adj" fmla="val 0"/>
            </a:avLst>
          </a:prstGeom>
          <a:gradFill rotWithShape="0">
            <a:gsLst>
              <a:gs pos="0">
                <a:srgbClr val="F99F27"/>
              </a:gs>
              <a:gs pos="100000">
                <a:srgbClr val="9C3B0B"/>
              </a:gs>
            </a:gsLst>
            <a:lin ang="0" scaled="1"/>
          </a:gradFill>
          <a:ln w="0" algn="ctr">
            <a:solidFill>
              <a:srgbClr val="D3D3D3"/>
            </a:solidFill>
            <a:miter lim="800000"/>
            <a:headEnd/>
            <a:tailEnd/>
          </a:ln>
          <a:effectLst>
            <a:outerShdw dist="35921" dir="2700000" algn="ctr" rotWithShape="0">
              <a:srgbClr val="333333">
                <a:alpha val="50000"/>
              </a:srgbClr>
            </a:outerShdw>
          </a:effectLst>
        </xdr:spPr>
        <xdr:txBody>
          <a:bodyPr vertOverflow="clip" wrap="square" lIns="0" tIns="0" rIns="0" bIns="0" anchor="ctr" upright="1"/>
          <a:lstStyle/>
          <a:p>
            <a:pPr algn="l" rtl="0">
              <a:defRPr sz="1000"/>
            </a:pPr>
            <a:r>
              <a:rPr lang="hu-HU" sz="800" b="1" i="0" u="none" strike="noStrike" baseline="0">
                <a:solidFill>
                  <a:srgbClr val="FFFFFF"/>
                </a:solidFill>
                <a:latin typeface="Arial Unicode MS"/>
              </a:rPr>
              <a:t>  C</a:t>
            </a:r>
          </a:p>
        </xdr:txBody>
      </xdr:sp>
      <xdr:sp macro="" textlink="">
        <xdr:nvSpPr>
          <xdr:cNvPr id="21002" name="AutoShape 1546">
            <a:extLst>
              <a:ext uri="{FF2B5EF4-FFF2-40B4-BE49-F238E27FC236}">
                <a16:creationId xmlns:a16="http://schemas.microsoft.com/office/drawing/2014/main" xmlns="" id="{00000000-0008-0000-0000-00000A520000}"/>
              </a:ext>
            </a:extLst>
          </xdr:cNvPr>
          <xdr:cNvSpPr>
            <a:spLocks noChangeArrowheads="1"/>
          </xdr:cNvSpPr>
        </xdr:nvSpPr>
        <xdr:spPr bwMode="auto">
          <a:xfrm>
            <a:off x="5191125" y="7496175"/>
            <a:ext cx="361950" cy="142875"/>
          </a:xfrm>
          <a:prstGeom prst="homePlate">
            <a:avLst>
              <a:gd name="adj" fmla="val 0"/>
            </a:avLst>
          </a:prstGeom>
          <a:gradFill rotWithShape="0">
            <a:gsLst>
              <a:gs pos="0">
                <a:srgbClr val="9475E1"/>
              </a:gs>
              <a:gs pos="100000">
                <a:srgbClr val="523973"/>
              </a:gs>
            </a:gsLst>
            <a:lin ang="0" scaled="1"/>
          </a:gradFill>
          <a:ln w="0" algn="ctr">
            <a:solidFill>
              <a:srgbClr val="D3D3D3"/>
            </a:solidFill>
            <a:miter lim="800000"/>
            <a:headEnd/>
            <a:tailEnd/>
          </a:ln>
          <a:effectLst>
            <a:outerShdw dist="35921" dir="2700000" algn="ctr" rotWithShape="0">
              <a:srgbClr val="333333">
                <a:alpha val="50000"/>
              </a:srgbClr>
            </a:outerShdw>
          </a:effectLst>
        </xdr:spPr>
        <xdr:txBody>
          <a:bodyPr vertOverflow="clip" wrap="square" lIns="0" tIns="0" rIns="0" bIns="0" anchor="ctr" upright="1"/>
          <a:lstStyle/>
          <a:p>
            <a:pPr algn="l" rtl="0">
              <a:defRPr sz="1000"/>
            </a:pPr>
            <a:r>
              <a:rPr lang="hu-HU" sz="800" b="1" i="0" u="none" strike="noStrike" baseline="0">
                <a:solidFill>
                  <a:srgbClr val="FFFFFF"/>
                </a:solidFill>
                <a:latin typeface="Arial Unicode MS"/>
              </a:rPr>
              <a:t>  B</a:t>
            </a:r>
          </a:p>
        </xdr:txBody>
      </xdr:sp>
      <xdr:sp macro="" textlink="">
        <xdr:nvSpPr>
          <xdr:cNvPr id="21003" name="AutoShape 1547">
            <a:extLst>
              <a:ext uri="{FF2B5EF4-FFF2-40B4-BE49-F238E27FC236}">
                <a16:creationId xmlns:a16="http://schemas.microsoft.com/office/drawing/2014/main" xmlns="" id="{00000000-0008-0000-0000-00000B520000}"/>
              </a:ext>
            </a:extLst>
          </xdr:cNvPr>
          <xdr:cNvSpPr>
            <a:spLocks noChangeArrowheads="1"/>
          </xdr:cNvSpPr>
        </xdr:nvSpPr>
        <xdr:spPr bwMode="auto">
          <a:xfrm>
            <a:off x="5191125" y="7696200"/>
            <a:ext cx="361950" cy="142875"/>
          </a:xfrm>
          <a:prstGeom prst="homePlate">
            <a:avLst>
              <a:gd name="adj" fmla="val 0"/>
            </a:avLst>
          </a:prstGeom>
          <a:gradFill rotWithShape="0">
            <a:gsLst>
              <a:gs pos="0">
                <a:srgbClr val="F99F27"/>
              </a:gs>
              <a:gs pos="100000">
                <a:srgbClr val="9C3B0B"/>
              </a:gs>
            </a:gsLst>
            <a:lin ang="0" scaled="1"/>
          </a:gradFill>
          <a:ln w="0" algn="ctr">
            <a:solidFill>
              <a:srgbClr val="D3D3D3"/>
            </a:solidFill>
            <a:miter lim="800000"/>
            <a:headEnd/>
            <a:tailEnd/>
          </a:ln>
          <a:effectLst>
            <a:outerShdw dist="35921" dir="2700000" algn="ctr" rotWithShape="0">
              <a:srgbClr val="333333">
                <a:alpha val="50000"/>
              </a:srgbClr>
            </a:outerShdw>
          </a:effectLst>
        </xdr:spPr>
        <xdr:txBody>
          <a:bodyPr vertOverflow="clip" wrap="square" lIns="0" tIns="0" rIns="0" bIns="0" anchor="ctr" upright="1"/>
          <a:lstStyle/>
          <a:p>
            <a:pPr algn="l" rtl="0">
              <a:defRPr sz="1000"/>
            </a:pPr>
            <a:r>
              <a:rPr lang="hu-HU" sz="800" b="1" i="0" u="none" strike="noStrike" baseline="0">
                <a:solidFill>
                  <a:srgbClr val="FFFFFF"/>
                </a:solidFill>
                <a:latin typeface="Arial Unicode MS"/>
              </a:rPr>
              <a:t>  C</a:t>
            </a:r>
          </a:p>
        </xdr:txBody>
      </xdr:sp>
      <xdr:sp macro="" textlink="">
        <xdr:nvSpPr>
          <xdr:cNvPr id="21004" name="AutoShape 1548">
            <a:extLst>
              <a:ext uri="{FF2B5EF4-FFF2-40B4-BE49-F238E27FC236}">
                <a16:creationId xmlns:a16="http://schemas.microsoft.com/office/drawing/2014/main" xmlns="" id="{00000000-0008-0000-0000-00000C520000}"/>
              </a:ext>
            </a:extLst>
          </xdr:cNvPr>
          <xdr:cNvSpPr>
            <a:spLocks noChangeArrowheads="1"/>
          </xdr:cNvSpPr>
        </xdr:nvSpPr>
        <xdr:spPr bwMode="auto">
          <a:xfrm>
            <a:off x="5191125" y="8448675"/>
            <a:ext cx="361950" cy="142875"/>
          </a:xfrm>
          <a:prstGeom prst="homePlate">
            <a:avLst>
              <a:gd name="adj" fmla="val 0"/>
            </a:avLst>
          </a:prstGeom>
          <a:gradFill rotWithShape="0">
            <a:gsLst>
              <a:gs pos="0">
                <a:srgbClr val="EE2959"/>
              </a:gs>
              <a:gs pos="100000">
                <a:srgbClr val="8C081D"/>
              </a:gs>
            </a:gsLst>
            <a:lin ang="0" scaled="1"/>
          </a:gradFill>
          <a:ln w="0" algn="ctr">
            <a:solidFill>
              <a:srgbClr val="D3D3D3"/>
            </a:solidFill>
            <a:miter lim="800000"/>
            <a:headEnd/>
            <a:tailEnd/>
          </a:ln>
          <a:effectLst>
            <a:outerShdw dist="35921" dir="2700000" algn="ctr" rotWithShape="0">
              <a:srgbClr val="333333">
                <a:alpha val="50000"/>
              </a:srgbClr>
            </a:outerShdw>
          </a:effectLst>
        </xdr:spPr>
        <xdr:txBody>
          <a:bodyPr vertOverflow="clip" wrap="square" lIns="0" tIns="0" rIns="0" bIns="0" anchor="ctr" upright="1"/>
          <a:lstStyle/>
          <a:p>
            <a:pPr algn="l" rtl="0">
              <a:defRPr sz="1000"/>
            </a:pPr>
            <a:r>
              <a:rPr lang="hu-HU" sz="800" b="1" i="0" u="none" strike="noStrike" baseline="0">
                <a:solidFill>
                  <a:srgbClr val="FFFFFF"/>
                </a:solidFill>
                <a:latin typeface="Arial Unicode MS"/>
              </a:rPr>
              <a:t>  E</a:t>
            </a:r>
          </a:p>
        </xdr:txBody>
      </xdr:sp>
      <xdr:sp macro="" textlink="">
        <xdr:nvSpPr>
          <xdr:cNvPr id="21005" name="AutoShape 1549">
            <a:extLst>
              <a:ext uri="{FF2B5EF4-FFF2-40B4-BE49-F238E27FC236}">
                <a16:creationId xmlns:a16="http://schemas.microsoft.com/office/drawing/2014/main" xmlns="" id="{00000000-0008-0000-0000-00000D520000}"/>
              </a:ext>
            </a:extLst>
          </xdr:cNvPr>
          <xdr:cNvSpPr>
            <a:spLocks noChangeArrowheads="1"/>
          </xdr:cNvSpPr>
        </xdr:nvSpPr>
        <xdr:spPr bwMode="auto">
          <a:xfrm>
            <a:off x="5191125" y="8648700"/>
            <a:ext cx="361950" cy="142875"/>
          </a:xfrm>
          <a:prstGeom prst="homePlate">
            <a:avLst>
              <a:gd name="adj" fmla="val 0"/>
            </a:avLst>
          </a:prstGeom>
          <a:gradFill rotWithShape="0">
            <a:gsLst>
              <a:gs pos="0">
                <a:srgbClr val="ADCE35"/>
              </a:gs>
              <a:gs pos="100000">
                <a:srgbClr val="005000"/>
              </a:gs>
            </a:gsLst>
            <a:lin ang="0" scaled="1"/>
          </a:gradFill>
          <a:ln w="0" algn="ctr">
            <a:solidFill>
              <a:srgbClr val="D3D3D3"/>
            </a:solidFill>
            <a:miter lim="800000"/>
            <a:headEnd/>
            <a:tailEnd/>
          </a:ln>
          <a:effectLst>
            <a:outerShdw dist="35921" dir="2700000" algn="ctr" rotWithShape="0">
              <a:srgbClr val="333333">
                <a:alpha val="50000"/>
              </a:srgbClr>
            </a:outerShdw>
          </a:effectLst>
        </xdr:spPr>
        <xdr:txBody>
          <a:bodyPr vertOverflow="clip" wrap="square" lIns="0" tIns="0" rIns="0" bIns="0" anchor="ctr" upright="1"/>
          <a:lstStyle/>
          <a:p>
            <a:pPr algn="l" rtl="0">
              <a:defRPr sz="1000"/>
            </a:pPr>
            <a:r>
              <a:rPr lang="hu-HU" sz="800" b="1" i="0" u="none" strike="noStrike" baseline="0">
                <a:solidFill>
                  <a:srgbClr val="FFFFFF"/>
                </a:solidFill>
                <a:latin typeface="Arial Unicode MS"/>
              </a:rPr>
              <a:t>  D</a:t>
            </a:r>
          </a:p>
        </xdr:txBody>
      </xdr:sp>
      <xdr:sp macro="" textlink="">
        <xdr:nvSpPr>
          <xdr:cNvPr id="21006" name="AutoShape 1550">
            <a:extLst>
              <a:ext uri="{FF2B5EF4-FFF2-40B4-BE49-F238E27FC236}">
                <a16:creationId xmlns:a16="http://schemas.microsoft.com/office/drawing/2014/main" xmlns="" id="{00000000-0008-0000-0000-00000E520000}"/>
              </a:ext>
            </a:extLst>
          </xdr:cNvPr>
          <xdr:cNvSpPr>
            <a:spLocks noChangeArrowheads="1"/>
          </xdr:cNvSpPr>
        </xdr:nvSpPr>
        <xdr:spPr bwMode="auto">
          <a:xfrm>
            <a:off x="5191125" y="8848725"/>
            <a:ext cx="361950" cy="142875"/>
          </a:xfrm>
          <a:prstGeom prst="homePlate">
            <a:avLst>
              <a:gd name="adj" fmla="val 0"/>
            </a:avLst>
          </a:prstGeom>
          <a:gradFill rotWithShape="0">
            <a:gsLst>
              <a:gs pos="0">
                <a:srgbClr val="ADCE35"/>
              </a:gs>
              <a:gs pos="100000">
                <a:srgbClr val="005000"/>
              </a:gs>
            </a:gsLst>
            <a:lin ang="0" scaled="1"/>
          </a:gradFill>
          <a:ln w="0" algn="ctr">
            <a:solidFill>
              <a:srgbClr val="D3D3D3"/>
            </a:solidFill>
            <a:miter lim="800000"/>
            <a:headEnd/>
            <a:tailEnd/>
          </a:ln>
          <a:effectLst>
            <a:outerShdw dist="35921" dir="2700000" algn="ctr" rotWithShape="0">
              <a:srgbClr val="333333">
                <a:alpha val="50000"/>
              </a:srgbClr>
            </a:outerShdw>
          </a:effectLst>
        </xdr:spPr>
        <xdr:txBody>
          <a:bodyPr vertOverflow="clip" wrap="square" lIns="0" tIns="0" rIns="0" bIns="0" anchor="ctr" upright="1"/>
          <a:lstStyle/>
          <a:p>
            <a:pPr algn="l" rtl="0">
              <a:defRPr sz="1000"/>
            </a:pPr>
            <a:r>
              <a:rPr lang="hu-HU" sz="800" b="1" i="0" u="none" strike="noStrike" baseline="0">
                <a:solidFill>
                  <a:srgbClr val="FFFFFF"/>
                </a:solidFill>
                <a:latin typeface="Arial Unicode MS"/>
              </a:rPr>
              <a:t>  D</a:t>
            </a:r>
          </a:p>
        </xdr:txBody>
      </xdr:sp>
      <xdr:sp macro="" textlink="">
        <xdr:nvSpPr>
          <xdr:cNvPr id="21007" name="AutoShape 1551">
            <a:extLst>
              <a:ext uri="{FF2B5EF4-FFF2-40B4-BE49-F238E27FC236}">
                <a16:creationId xmlns:a16="http://schemas.microsoft.com/office/drawing/2014/main" xmlns="" id="{00000000-0008-0000-0000-00000F520000}"/>
              </a:ext>
            </a:extLst>
          </xdr:cNvPr>
          <xdr:cNvSpPr>
            <a:spLocks noChangeArrowheads="1"/>
          </xdr:cNvSpPr>
        </xdr:nvSpPr>
        <xdr:spPr bwMode="auto">
          <a:xfrm>
            <a:off x="5191125" y="9601200"/>
            <a:ext cx="361950" cy="142875"/>
          </a:xfrm>
          <a:prstGeom prst="homePlate">
            <a:avLst>
              <a:gd name="adj" fmla="val 0"/>
            </a:avLst>
          </a:prstGeom>
          <a:gradFill rotWithShape="0">
            <a:gsLst>
              <a:gs pos="0">
                <a:srgbClr val="8C126F"/>
              </a:gs>
              <a:gs pos="100000">
                <a:srgbClr val="3A082E"/>
              </a:gs>
            </a:gsLst>
            <a:lin ang="0" scaled="1"/>
          </a:gradFill>
          <a:ln w="0" algn="ctr">
            <a:solidFill>
              <a:srgbClr val="D3D3D3"/>
            </a:solidFill>
            <a:miter lim="800000"/>
            <a:headEnd/>
            <a:tailEnd/>
          </a:ln>
          <a:effectLst>
            <a:outerShdw dist="35921" dir="2700000" algn="ctr" rotWithShape="0">
              <a:srgbClr val="333333">
                <a:alpha val="50000"/>
              </a:srgbClr>
            </a:outerShdw>
          </a:effectLst>
        </xdr:spPr>
        <xdr:txBody>
          <a:bodyPr vertOverflow="clip" wrap="square" lIns="0" tIns="0" rIns="0" bIns="0" anchor="ctr" upright="1"/>
          <a:lstStyle/>
          <a:p>
            <a:pPr algn="l" rtl="0">
              <a:defRPr sz="1000"/>
            </a:pPr>
            <a:r>
              <a:rPr lang="hu-HU" sz="800" b="1" i="0" u="none" strike="noStrike" baseline="0">
                <a:solidFill>
                  <a:srgbClr val="FFFFFF"/>
                </a:solidFill>
                <a:latin typeface="Arial Unicode MS"/>
              </a:rPr>
              <a:t>  F</a:t>
            </a:r>
          </a:p>
        </xdr:txBody>
      </xdr:sp>
      <xdr:sp macro="" textlink="">
        <xdr:nvSpPr>
          <xdr:cNvPr id="21008" name="AutoShape 1552">
            <a:extLst>
              <a:ext uri="{FF2B5EF4-FFF2-40B4-BE49-F238E27FC236}">
                <a16:creationId xmlns:a16="http://schemas.microsoft.com/office/drawing/2014/main" xmlns="" id="{00000000-0008-0000-0000-000010520000}"/>
              </a:ext>
            </a:extLst>
          </xdr:cNvPr>
          <xdr:cNvSpPr>
            <a:spLocks noChangeArrowheads="1"/>
          </xdr:cNvSpPr>
        </xdr:nvSpPr>
        <xdr:spPr bwMode="auto">
          <a:xfrm>
            <a:off x="5191125" y="9801225"/>
            <a:ext cx="361950" cy="142875"/>
          </a:xfrm>
          <a:prstGeom prst="homePlate">
            <a:avLst>
              <a:gd name="adj" fmla="val 0"/>
            </a:avLst>
          </a:prstGeom>
          <a:gradFill rotWithShape="0">
            <a:gsLst>
              <a:gs pos="0">
                <a:srgbClr val="8C126F"/>
              </a:gs>
              <a:gs pos="100000">
                <a:srgbClr val="3A082E"/>
              </a:gs>
            </a:gsLst>
            <a:lin ang="0" scaled="1"/>
          </a:gradFill>
          <a:ln w="0" algn="ctr">
            <a:solidFill>
              <a:srgbClr val="D3D3D3"/>
            </a:solidFill>
            <a:miter lim="800000"/>
            <a:headEnd/>
            <a:tailEnd/>
          </a:ln>
          <a:effectLst>
            <a:outerShdw dist="35921" dir="2700000" algn="ctr" rotWithShape="0">
              <a:srgbClr val="333333">
                <a:alpha val="50000"/>
              </a:srgbClr>
            </a:outerShdw>
          </a:effectLst>
        </xdr:spPr>
        <xdr:txBody>
          <a:bodyPr vertOverflow="clip" wrap="square" lIns="0" tIns="0" rIns="0" bIns="0" anchor="ctr" upright="1"/>
          <a:lstStyle/>
          <a:p>
            <a:pPr algn="l" rtl="0">
              <a:defRPr sz="1000"/>
            </a:pPr>
            <a:r>
              <a:rPr lang="hu-HU" sz="800" b="1" i="0" u="none" strike="noStrike" baseline="0">
                <a:solidFill>
                  <a:srgbClr val="FFFFFF"/>
                </a:solidFill>
                <a:latin typeface="Arial Unicode MS"/>
              </a:rPr>
              <a:t>  F</a:t>
            </a:r>
          </a:p>
        </xdr:txBody>
      </xdr:sp>
      <xdr:sp macro="" textlink="">
        <xdr:nvSpPr>
          <xdr:cNvPr id="21009" name="AutoShape 1553">
            <a:extLst>
              <a:ext uri="{FF2B5EF4-FFF2-40B4-BE49-F238E27FC236}">
                <a16:creationId xmlns:a16="http://schemas.microsoft.com/office/drawing/2014/main" xmlns="" id="{00000000-0008-0000-0000-000011520000}"/>
              </a:ext>
            </a:extLst>
          </xdr:cNvPr>
          <xdr:cNvSpPr>
            <a:spLocks noChangeArrowheads="1"/>
          </xdr:cNvSpPr>
        </xdr:nvSpPr>
        <xdr:spPr bwMode="auto">
          <a:xfrm>
            <a:off x="5191125" y="10001250"/>
            <a:ext cx="361950" cy="142875"/>
          </a:xfrm>
          <a:prstGeom prst="homePlate">
            <a:avLst>
              <a:gd name="adj" fmla="val 0"/>
            </a:avLst>
          </a:prstGeom>
          <a:gradFill rotWithShape="0">
            <a:gsLst>
              <a:gs pos="0">
                <a:srgbClr val="EE2959"/>
              </a:gs>
              <a:gs pos="100000">
                <a:srgbClr val="8C081D"/>
              </a:gs>
            </a:gsLst>
            <a:lin ang="0" scaled="1"/>
          </a:gradFill>
          <a:ln w="0" algn="ctr">
            <a:solidFill>
              <a:srgbClr val="D3D3D3"/>
            </a:solidFill>
            <a:miter lim="800000"/>
            <a:headEnd/>
            <a:tailEnd/>
          </a:ln>
          <a:effectLst>
            <a:outerShdw dist="35921" dir="2700000" algn="ctr" rotWithShape="0">
              <a:srgbClr val="333333">
                <a:alpha val="50000"/>
              </a:srgbClr>
            </a:outerShdw>
          </a:effectLst>
        </xdr:spPr>
        <xdr:txBody>
          <a:bodyPr vertOverflow="clip" wrap="square" lIns="0" tIns="0" rIns="0" bIns="0" anchor="ctr" upright="1"/>
          <a:lstStyle/>
          <a:p>
            <a:pPr algn="l" rtl="0">
              <a:defRPr sz="1000"/>
            </a:pPr>
            <a:r>
              <a:rPr lang="hu-HU" sz="800" b="1" i="0" u="none" strike="noStrike" baseline="0">
                <a:solidFill>
                  <a:srgbClr val="FFFFFF"/>
                </a:solidFill>
                <a:latin typeface="Arial Unicode MS"/>
              </a:rPr>
              <a:t>  E</a:t>
            </a:r>
          </a:p>
        </xdr:txBody>
      </xdr:sp>
      <xdr:sp macro="" textlink="">
        <xdr:nvSpPr>
          <xdr:cNvPr id="21010" name="AutoShape 1554">
            <a:extLst>
              <a:ext uri="{FF2B5EF4-FFF2-40B4-BE49-F238E27FC236}">
                <a16:creationId xmlns:a16="http://schemas.microsoft.com/office/drawing/2014/main" xmlns="" id="{00000000-0008-0000-0000-000012520000}"/>
              </a:ext>
            </a:extLst>
          </xdr:cNvPr>
          <xdr:cNvSpPr>
            <a:spLocks noChangeArrowheads="1"/>
          </xdr:cNvSpPr>
        </xdr:nvSpPr>
        <xdr:spPr bwMode="auto">
          <a:xfrm>
            <a:off x="5191125" y="10753725"/>
            <a:ext cx="361950" cy="142875"/>
          </a:xfrm>
          <a:prstGeom prst="homePlate">
            <a:avLst>
              <a:gd name="adj" fmla="val 0"/>
            </a:avLst>
          </a:prstGeom>
          <a:gradFill rotWithShape="0">
            <a:gsLst>
              <a:gs pos="0">
                <a:srgbClr val="009CB3"/>
              </a:gs>
              <a:gs pos="100000">
                <a:srgbClr val="008192"/>
              </a:gs>
            </a:gsLst>
            <a:lin ang="0" scaled="1"/>
          </a:gradFill>
          <a:ln w="0" algn="ctr">
            <a:solidFill>
              <a:srgbClr val="D3D3D3"/>
            </a:solidFill>
            <a:miter lim="800000"/>
            <a:headEnd/>
            <a:tailEnd/>
          </a:ln>
          <a:effectLst>
            <a:outerShdw dist="35921" dir="2700000" algn="ctr" rotWithShape="0">
              <a:srgbClr val="333333">
                <a:alpha val="50000"/>
              </a:srgbClr>
            </a:outerShdw>
          </a:effectLst>
        </xdr:spPr>
        <xdr:txBody>
          <a:bodyPr vertOverflow="clip" wrap="square" lIns="0" tIns="0" rIns="0" bIns="0" anchor="ctr" upright="1"/>
          <a:lstStyle/>
          <a:p>
            <a:pPr algn="l" rtl="0">
              <a:defRPr sz="1000"/>
            </a:pPr>
            <a:r>
              <a:rPr lang="hu-HU" sz="800" b="1" i="0" u="none" strike="noStrike" baseline="0">
                <a:solidFill>
                  <a:srgbClr val="FFFFFF"/>
                </a:solidFill>
                <a:latin typeface="Arial Unicode MS"/>
              </a:rPr>
              <a:t>  A</a:t>
            </a:r>
          </a:p>
        </xdr:txBody>
      </xdr:sp>
      <xdr:sp macro="" textlink="">
        <xdr:nvSpPr>
          <xdr:cNvPr id="21011" name="AutoShape 1555">
            <a:extLst>
              <a:ext uri="{FF2B5EF4-FFF2-40B4-BE49-F238E27FC236}">
                <a16:creationId xmlns:a16="http://schemas.microsoft.com/office/drawing/2014/main" xmlns="" id="{00000000-0008-0000-0000-000013520000}"/>
              </a:ext>
            </a:extLst>
          </xdr:cNvPr>
          <xdr:cNvSpPr>
            <a:spLocks noChangeArrowheads="1"/>
          </xdr:cNvSpPr>
        </xdr:nvSpPr>
        <xdr:spPr bwMode="auto">
          <a:xfrm>
            <a:off x="5191125" y="10953750"/>
            <a:ext cx="361950" cy="142875"/>
          </a:xfrm>
          <a:prstGeom prst="homePlate">
            <a:avLst>
              <a:gd name="adj" fmla="val 0"/>
            </a:avLst>
          </a:prstGeom>
          <a:gradFill rotWithShape="0">
            <a:gsLst>
              <a:gs pos="0">
                <a:srgbClr val="009CB3"/>
              </a:gs>
              <a:gs pos="100000">
                <a:srgbClr val="008192"/>
              </a:gs>
            </a:gsLst>
            <a:lin ang="0" scaled="1"/>
          </a:gradFill>
          <a:ln w="0" algn="ctr">
            <a:solidFill>
              <a:srgbClr val="D3D3D3"/>
            </a:solidFill>
            <a:miter lim="800000"/>
            <a:headEnd/>
            <a:tailEnd/>
          </a:ln>
          <a:effectLst>
            <a:outerShdw dist="35921" dir="2700000" algn="ctr" rotWithShape="0">
              <a:srgbClr val="333333">
                <a:alpha val="50000"/>
              </a:srgbClr>
            </a:outerShdw>
          </a:effectLst>
        </xdr:spPr>
        <xdr:txBody>
          <a:bodyPr vertOverflow="clip" wrap="square" lIns="0" tIns="0" rIns="0" bIns="0" anchor="ctr" upright="1"/>
          <a:lstStyle/>
          <a:p>
            <a:pPr algn="l" rtl="0">
              <a:defRPr sz="1000"/>
            </a:pPr>
            <a:r>
              <a:rPr lang="hu-HU" sz="800" b="1" i="0" u="none" strike="noStrike" baseline="0">
                <a:solidFill>
                  <a:srgbClr val="FFFFFF"/>
                </a:solidFill>
                <a:latin typeface="Arial Unicode MS"/>
              </a:rPr>
              <a:t>  A</a:t>
            </a:r>
          </a:p>
        </xdr:txBody>
      </xdr:sp>
      <xdr:sp macro="" textlink="">
        <xdr:nvSpPr>
          <xdr:cNvPr id="21012" name="AutoShape 1556">
            <a:extLst>
              <a:ext uri="{FF2B5EF4-FFF2-40B4-BE49-F238E27FC236}">
                <a16:creationId xmlns:a16="http://schemas.microsoft.com/office/drawing/2014/main" xmlns="" id="{00000000-0008-0000-0000-000014520000}"/>
              </a:ext>
            </a:extLst>
          </xdr:cNvPr>
          <xdr:cNvSpPr>
            <a:spLocks noChangeArrowheads="1"/>
          </xdr:cNvSpPr>
        </xdr:nvSpPr>
        <xdr:spPr bwMode="auto">
          <a:xfrm>
            <a:off x="5191125" y="13058775"/>
            <a:ext cx="361950" cy="142875"/>
          </a:xfrm>
          <a:prstGeom prst="homePlate">
            <a:avLst>
              <a:gd name="adj" fmla="val 0"/>
            </a:avLst>
          </a:prstGeom>
          <a:gradFill rotWithShape="0">
            <a:gsLst>
              <a:gs pos="0">
                <a:srgbClr val="ADCE35"/>
              </a:gs>
              <a:gs pos="100000">
                <a:srgbClr val="005000"/>
              </a:gs>
            </a:gsLst>
            <a:lin ang="0" scaled="1"/>
          </a:gradFill>
          <a:ln w="0" algn="ctr">
            <a:solidFill>
              <a:srgbClr val="D3D3D3"/>
            </a:solidFill>
            <a:miter lim="800000"/>
            <a:headEnd/>
            <a:tailEnd/>
          </a:ln>
          <a:effectLst>
            <a:outerShdw dist="35921" dir="2700000" algn="ctr" rotWithShape="0">
              <a:srgbClr val="333333">
                <a:alpha val="50000"/>
              </a:srgbClr>
            </a:outerShdw>
          </a:effectLst>
        </xdr:spPr>
        <xdr:txBody>
          <a:bodyPr vertOverflow="clip" wrap="square" lIns="0" tIns="0" rIns="0" bIns="0" anchor="ctr" upright="1"/>
          <a:lstStyle/>
          <a:p>
            <a:pPr algn="l" rtl="0">
              <a:defRPr sz="1000"/>
            </a:pPr>
            <a:r>
              <a:rPr lang="hu-HU" sz="800" b="1" i="0" u="none" strike="noStrike" baseline="0">
                <a:solidFill>
                  <a:srgbClr val="FFFFFF"/>
                </a:solidFill>
                <a:latin typeface="Arial Unicode MS"/>
              </a:rPr>
              <a:t>  D</a:t>
            </a:r>
          </a:p>
        </xdr:txBody>
      </xdr:sp>
      <xdr:sp macro="" textlink="">
        <xdr:nvSpPr>
          <xdr:cNvPr id="21013" name="AutoShape 1557">
            <a:extLst>
              <a:ext uri="{FF2B5EF4-FFF2-40B4-BE49-F238E27FC236}">
                <a16:creationId xmlns:a16="http://schemas.microsoft.com/office/drawing/2014/main" xmlns="" id="{00000000-0008-0000-0000-000015520000}"/>
              </a:ext>
            </a:extLst>
          </xdr:cNvPr>
          <xdr:cNvSpPr>
            <a:spLocks noChangeArrowheads="1"/>
          </xdr:cNvSpPr>
        </xdr:nvSpPr>
        <xdr:spPr bwMode="auto">
          <a:xfrm>
            <a:off x="5191125" y="13258800"/>
            <a:ext cx="361950" cy="142875"/>
          </a:xfrm>
          <a:prstGeom prst="homePlate">
            <a:avLst>
              <a:gd name="adj" fmla="val 0"/>
            </a:avLst>
          </a:prstGeom>
          <a:gradFill rotWithShape="0">
            <a:gsLst>
              <a:gs pos="0">
                <a:srgbClr val="ADCE35"/>
              </a:gs>
              <a:gs pos="100000">
                <a:srgbClr val="005000"/>
              </a:gs>
            </a:gsLst>
            <a:lin ang="0" scaled="1"/>
          </a:gradFill>
          <a:ln w="0" algn="ctr">
            <a:solidFill>
              <a:srgbClr val="D3D3D3"/>
            </a:solidFill>
            <a:miter lim="800000"/>
            <a:headEnd/>
            <a:tailEnd/>
          </a:ln>
          <a:effectLst>
            <a:outerShdw dist="35921" dir="2700000" algn="ctr" rotWithShape="0">
              <a:srgbClr val="333333">
                <a:alpha val="50000"/>
              </a:srgbClr>
            </a:outerShdw>
          </a:effectLst>
        </xdr:spPr>
        <xdr:txBody>
          <a:bodyPr vertOverflow="clip" wrap="square" lIns="0" tIns="0" rIns="0" bIns="0" anchor="ctr" upright="1"/>
          <a:lstStyle/>
          <a:p>
            <a:pPr algn="l" rtl="0">
              <a:defRPr sz="1000"/>
            </a:pPr>
            <a:r>
              <a:rPr lang="hu-HU" sz="800" b="1" i="0" u="none" strike="noStrike" baseline="0">
                <a:solidFill>
                  <a:srgbClr val="FFFFFF"/>
                </a:solidFill>
                <a:latin typeface="Arial Unicode MS"/>
              </a:rPr>
              <a:t>  D</a:t>
            </a:r>
          </a:p>
        </xdr:txBody>
      </xdr:sp>
      <xdr:sp macro="" textlink="">
        <xdr:nvSpPr>
          <xdr:cNvPr id="21014" name="AutoShape 1558">
            <a:extLst>
              <a:ext uri="{FF2B5EF4-FFF2-40B4-BE49-F238E27FC236}">
                <a16:creationId xmlns:a16="http://schemas.microsoft.com/office/drawing/2014/main" xmlns="" id="{00000000-0008-0000-0000-000016520000}"/>
              </a:ext>
            </a:extLst>
          </xdr:cNvPr>
          <xdr:cNvSpPr>
            <a:spLocks noChangeArrowheads="1"/>
          </xdr:cNvSpPr>
        </xdr:nvSpPr>
        <xdr:spPr bwMode="auto">
          <a:xfrm>
            <a:off x="5191125" y="11706225"/>
            <a:ext cx="361950" cy="142875"/>
          </a:xfrm>
          <a:prstGeom prst="homePlate">
            <a:avLst>
              <a:gd name="adj" fmla="val 0"/>
            </a:avLst>
          </a:prstGeom>
          <a:gradFill rotWithShape="0">
            <a:gsLst>
              <a:gs pos="0">
                <a:srgbClr val="F99F27"/>
              </a:gs>
              <a:gs pos="100000">
                <a:srgbClr val="9C3B0B"/>
              </a:gs>
            </a:gsLst>
            <a:lin ang="0" scaled="1"/>
          </a:gradFill>
          <a:ln w="0" algn="ctr">
            <a:solidFill>
              <a:srgbClr val="D3D3D3"/>
            </a:solidFill>
            <a:miter lim="800000"/>
            <a:headEnd/>
            <a:tailEnd/>
          </a:ln>
          <a:effectLst>
            <a:outerShdw dist="35921" dir="2700000" algn="ctr" rotWithShape="0">
              <a:srgbClr val="333333">
                <a:alpha val="50000"/>
              </a:srgbClr>
            </a:outerShdw>
          </a:effectLst>
        </xdr:spPr>
        <xdr:txBody>
          <a:bodyPr vertOverflow="clip" wrap="square" lIns="0" tIns="0" rIns="0" bIns="0" anchor="ctr" upright="1"/>
          <a:lstStyle/>
          <a:p>
            <a:pPr algn="l" rtl="0">
              <a:defRPr sz="1000"/>
            </a:pPr>
            <a:r>
              <a:rPr lang="hu-HU" sz="800" b="1" i="0" u="none" strike="noStrike" baseline="0">
                <a:solidFill>
                  <a:srgbClr val="FFFFFF"/>
                </a:solidFill>
                <a:latin typeface="Arial Unicode MS"/>
              </a:rPr>
              <a:t>  C</a:t>
            </a:r>
          </a:p>
        </xdr:txBody>
      </xdr:sp>
      <xdr:sp macro="" textlink="">
        <xdr:nvSpPr>
          <xdr:cNvPr id="21015" name="AutoShape 1559">
            <a:extLst>
              <a:ext uri="{FF2B5EF4-FFF2-40B4-BE49-F238E27FC236}">
                <a16:creationId xmlns:a16="http://schemas.microsoft.com/office/drawing/2014/main" xmlns="" id="{00000000-0008-0000-0000-000017520000}"/>
              </a:ext>
            </a:extLst>
          </xdr:cNvPr>
          <xdr:cNvSpPr>
            <a:spLocks noChangeArrowheads="1"/>
          </xdr:cNvSpPr>
        </xdr:nvSpPr>
        <xdr:spPr bwMode="auto">
          <a:xfrm>
            <a:off x="5191125" y="11906250"/>
            <a:ext cx="361950" cy="142875"/>
          </a:xfrm>
          <a:prstGeom prst="homePlate">
            <a:avLst>
              <a:gd name="adj" fmla="val 0"/>
            </a:avLst>
          </a:prstGeom>
          <a:gradFill rotWithShape="0">
            <a:gsLst>
              <a:gs pos="0">
                <a:srgbClr val="F99F27"/>
              </a:gs>
              <a:gs pos="100000">
                <a:srgbClr val="9C3B0B"/>
              </a:gs>
            </a:gsLst>
            <a:lin ang="0" scaled="1"/>
          </a:gradFill>
          <a:ln w="0" algn="ctr">
            <a:solidFill>
              <a:srgbClr val="D3D3D3"/>
            </a:solidFill>
            <a:miter lim="800000"/>
            <a:headEnd/>
            <a:tailEnd/>
          </a:ln>
          <a:effectLst>
            <a:outerShdw dist="35921" dir="2700000" algn="ctr" rotWithShape="0">
              <a:srgbClr val="333333">
                <a:alpha val="50000"/>
              </a:srgbClr>
            </a:outerShdw>
          </a:effectLst>
        </xdr:spPr>
        <xdr:txBody>
          <a:bodyPr vertOverflow="clip" wrap="square" lIns="0" tIns="0" rIns="0" bIns="0" anchor="ctr" upright="1"/>
          <a:lstStyle/>
          <a:p>
            <a:pPr algn="l" rtl="0">
              <a:defRPr sz="1000"/>
            </a:pPr>
            <a:r>
              <a:rPr lang="hu-HU" sz="800" b="1" i="0" u="none" strike="noStrike" baseline="0">
                <a:solidFill>
                  <a:srgbClr val="FFFFFF"/>
                </a:solidFill>
                <a:latin typeface="Arial Unicode MS"/>
              </a:rPr>
              <a:t>  C</a:t>
            </a:r>
          </a:p>
        </xdr:txBody>
      </xdr:sp>
      <xdr:sp macro="" textlink="">
        <xdr:nvSpPr>
          <xdr:cNvPr id="21016" name="AutoShape 1560">
            <a:extLst>
              <a:ext uri="{FF2B5EF4-FFF2-40B4-BE49-F238E27FC236}">
                <a16:creationId xmlns:a16="http://schemas.microsoft.com/office/drawing/2014/main" xmlns="" id="{00000000-0008-0000-0000-000018520000}"/>
              </a:ext>
            </a:extLst>
          </xdr:cNvPr>
          <xdr:cNvSpPr>
            <a:spLocks noChangeArrowheads="1"/>
          </xdr:cNvSpPr>
        </xdr:nvSpPr>
        <xdr:spPr bwMode="auto">
          <a:xfrm>
            <a:off x="5191125" y="12106275"/>
            <a:ext cx="361950" cy="142875"/>
          </a:xfrm>
          <a:prstGeom prst="homePlate">
            <a:avLst>
              <a:gd name="adj" fmla="val 0"/>
            </a:avLst>
          </a:prstGeom>
          <a:gradFill rotWithShape="0">
            <a:gsLst>
              <a:gs pos="0">
                <a:srgbClr val="9475E1"/>
              </a:gs>
              <a:gs pos="100000">
                <a:srgbClr val="523973"/>
              </a:gs>
            </a:gsLst>
            <a:lin ang="0" scaled="1"/>
          </a:gradFill>
          <a:ln w="0" algn="ctr">
            <a:solidFill>
              <a:srgbClr val="D3D3D3"/>
            </a:solidFill>
            <a:miter lim="800000"/>
            <a:headEnd/>
            <a:tailEnd/>
          </a:ln>
          <a:effectLst>
            <a:outerShdw dist="35921" dir="2700000" algn="ctr" rotWithShape="0">
              <a:srgbClr val="333333">
                <a:alpha val="50000"/>
              </a:srgbClr>
            </a:outerShdw>
          </a:effectLst>
        </xdr:spPr>
        <xdr:txBody>
          <a:bodyPr vertOverflow="clip" wrap="square" lIns="0" tIns="0" rIns="0" bIns="0" anchor="ctr" upright="1"/>
          <a:lstStyle/>
          <a:p>
            <a:pPr algn="l" rtl="0">
              <a:defRPr sz="1000"/>
            </a:pPr>
            <a:r>
              <a:rPr lang="hu-HU" sz="800" b="1" i="0" u="none" strike="noStrike" baseline="0">
                <a:solidFill>
                  <a:srgbClr val="FFFFFF"/>
                </a:solidFill>
                <a:latin typeface="Arial Unicode MS"/>
              </a:rPr>
              <a:t>  B</a:t>
            </a:r>
          </a:p>
        </xdr:txBody>
      </xdr:sp>
      <xdr:sp macro="" textlink="">
        <xdr:nvSpPr>
          <xdr:cNvPr id="21017" name="AutoShape 1561">
            <a:extLst>
              <a:ext uri="{FF2B5EF4-FFF2-40B4-BE49-F238E27FC236}">
                <a16:creationId xmlns:a16="http://schemas.microsoft.com/office/drawing/2014/main" xmlns="" id="{00000000-0008-0000-0000-000019520000}"/>
              </a:ext>
            </a:extLst>
          </xdr:cNvPr>
          <xdr:cNvSpPr>
            <a:spLocks noChangeArrowheads="1"/>
          </xdr:cNvSpPr>
        </xdr:nvSpPr>
        <xdr:spPr bwMode="auto">
          <a:xfrm>
            <a:off x="5191125" y="12306300"/>
            <a:ext cx="361950" cy="142875"/>
          </a:xfrm>
          <a:prstGeom prst="homePlate">
            <a:avLst>
              <a:gd name="adj" fmla="val 0"/>
            </a:avLst>
          </a:prstGeom>
          <a:gradFill rotWithShape="0">
            <a:gsLst>
              <a:gs pos="0">
                <a:srgbClr val="9475E1"/>
              </a:gs>
              <a:gs pos="100000">
                <a:srgbClr val="523973"/>
              </a:gs>
            </a:gsLst>
            <a:lin ang="0" scaled="1"/>
          </a:gradFill>
          <a:ln w="0" algn="ctr">
            <a:solidFill>
              <a:srgbClr val="D3D3D3"/>
            </a:solidFill>
            <a:miter lim="800000"/>
            <a:headEnd/>
            <a:tailEnd/>
          </a:ln>
          <a:effectLst>
            <a:outerShdw dist="35921" dir="2700000" algn="ctr" rotWithShape="0">
              <a:srgbClr val="333333">
                <a:alpha val="50000"/>
              </a:srgbClr>
            </a:outerShdw>
          </a:effectLst>
        </xdr:spPr>
        <xdr:txBody>
          <a:bodyPr vertOverflow="clip" wrap="square" lIns="0" tIns="0" rIns="0" bIns="0" anchor="ctr" upright="1"/>
          <a:lstStyle/>
          <a:p>
            <a:pPr algn="l" rtl="0">
              <a:defRPr sz="1000"/>
            </a:pPr>
            <a:r>
              <a:rPr lang="hu-HU" sz="800" b="1" i="0" u="none" strike="noStrike" baseline="0">
                <a:solidFill>
                  <a:srgbClr val="FFFFFF"/>
                </a:solidFill>
                <a:latin typeface="Arial Unicode MS"/>
              </a:rPr>
              <a:t>  B</a:t>
            </a:r>
          </a:p>
        </xdr:txBody>
      </xdr:sp>
      <xdr:sp macro="" textlink="">
        <xdr:nvSpPr>
          <xdr:cNvPr id="21018" name="AutoShape 1562">
            <a:extLst>
              <a:ext uri="{FF2B5EF4-FFF2-40B4-BE49-F238E27FC236}">
                <a16:creationId xmlns:a16="http://schemas.microsoft.com/office/drawing/2014/main" xmlns="" id="{00000000-0008-0000-0000-00001A520000}"/>
              </a:ext>
            </a:extLst>
          </xdr:cNvPr>
          <xdr:cNvSpPr>
            <a:spLocks noChangeArrowheads="1"/>
          </xdr:cNvSpPr>
        </xdr:nvSpPr>
        <xdr:spPr bwMode="auto">
          <a:xfrm>
            <a:off x="5191125" y="14011275"/>
            <a:ext cx="361950" cy="142875"/>
          </a:xfrm>
          <a:prstGeom prst="homePlate">
            <a:avLst>
              <a:gd name="adj" fmla="val 0"/>
            </a:avLst>
          </a:prstGeom>
          <a:gradFill rotWithShape="0">
            <a:gsLst>
              <a:gs pos="0">
                <a:srgbClr val="EE2959"/>
              </a:gs>
              <a:gs pos="100000">
                <a:srgbClr val="8C081D"/>
              </a:gs>
            </a:gsLst>
            <a:lin ang="0" scaled="1"/>
          </a:gradFill>
          <a:ln w="0" algn="ctr">
            <a:solidFill>
              <a:srgbClr val="D3D3D3"/>
            </a:solidFill>
            <a:miter lim="800000"/>
            <a:headEnd/>
            <a:tailEnd/>
          </a:ln>
          <a:effectLst>
            <a:outerShdw dist="35921" dir="2700000" algn="ctr" rotWithShape="0">
              <a:srgbClr val="333333">
                <a:alpha val="50000"/>
              </a:srgbClr>
            </a:outerShdw>
          </a:effectLst>
        </xdr:spPr>
        <xdr:txBody>
          <a:bodyPr vertOverflow="clip" wrap="square" lIns="0" tIns="0" rIns="0" bIns="0" anchor="ctr" upright="1"/>
          <a:lstStyle/>
          <a:p>
            <a:pPr algn="l" rtl="0">
              <a:defRPr sz="1000"/>
            </a:pPr>
            <a:r>
              <a:rPr lang="hu-HU" sz="800" b="1" i="0" u="none" strike="noStrike" baseline="0">
                <a:solidFill>
                  <a:srgbClr val="FFFFFF"/>
                </a:solidFill>
                <a:latin typeface="Arial Unicode MS"/>
              </a:rPr>
              <a:t>  E</a:t>
            </a:r>
          </a:p>
        </xdr:txBody>
      </xdr:sp>
      <xdr:sp macro="" textlink="">
        <xdr:nvSpPr>
          <xdr:cNvPr id="21019" name="AutoShape 1563">
            <a:extLst>
              <a:ext uri="{FF2B5EF4-FFF2-40B4-BE49-F238E27FC236}">
                <a16:creationId xmlns:a16="http://schemas.microsoft.com/office/drawing/2014/main" xmlns="" id="{00000000-0008-0000-0000-00001B520000}"/>
              </a:ext>
            </a:extLst>
          </xdr:cNvPr>
          <xdr:cNvSpPr>
            <a:spLocks noChangeArrowheads="1"/>
          </xdr:cNvSpPr>
        </xdr:nvSpPr>
        <xdr:spPr bwMode="auto">
          <a:xfrm>
            <a:off x="5191125" y="14211300"/>
            <a:ext cx="361950" cy="142875"/>
          </a:xfrm>
          <a:prstGeom prst="homePlate">
            <a:avLst>
              <a:gd name="adj" fmla="val 0"/>
            </a:avLst>
          </a:prstGeom>
          <a:gradFill rotWithShape="0">
            <a:gsLst>
              <a:gs pos="0">
                <a:srgbClr val="EE2959"/>
              </a:gs>
              <a:gs pos="100000">
                <a:srgbClr val="8C081D"/>
              </a:gs>
            </a:gsLst>
            <a:lin ang="0" scaled="1"/>
          </a:gradFill>
          <a:ln w="0" algn="ctr">
            <a:solidFill>
              <a:srgbClr val="D3D3D3"/>
            </a:solidFill>
            <a:miter lim="800000"/>
            <a:headEnd/>
            <a:tailEnd/>
          </a:ln>
          <a:effectLst>
            <a:outerShdw dist="35921" dir="2700000" algn="ctr" rotWithShape="0">
              <a:srgbClr val="333333">
                <a:alpha val="50000"/>
              </a:srgbClr>
            </a:outerShdw>
          </a:effectLst>
        </xdr:spPr>
        <xdr:txBody>
          <a:bodyPr vertOverflow="clip" wrap="square" lIns="0" tIns="0" rIns="0" bIns="0" anchor="ctr" upright="1"/>
          <a:lstStyle/>
          <a:p>
            <a:pPr algn="l" rtl="0">
              <a:defRPr sz="1000"/>
            </a:pPr>
            <a:r>
              <a:rPr lang="hu-HU" sz="800" b="1" i="0" u="none" strike="noStrike" baseline="0">
                <a:solidFill>
                  <a:srgbClr val="FFFFFF"/>
                </a:solidFill>
                <a:latin typeface="Arial Unicode MS"/>
              </a:rPr>
              <a:t>  E</a:t>
            </a:r>
          </a:p>
        </xdr:txBody>
      </xdr:sp>
      <xdr:sp macro="" textlink="">
        <xdr:nvSpPr>
          <xdr:cNvPr id="21020" name="AutoShape 1564">
            <a:extLst>
              <a:ext uri="{FF2B5EF4-FFF2-40B4-BE49-F238E27FC236}">
                <a16:creationId xmlns:a16="http://schemas.microsoft.com/office/drawing/2014/main" xmlns="" id="{00000000-0008-0000-0000-00001C520000}"/>
              </a:ext>
            </a:extLst>
          </xdr:cNvPr>
          <xdr:cNvSpPr>
            <a:spLocks noChangeArrowheads="1"/>
          </xdr:cNvSpPr>
        </xdr:nvSpPr>
        <xdr:spPr bwMode="auto">
          <a:xfrm>
            <a:off x="5191125" y="14411325"/>
            <a:ext cx="361950" cy="142875"/>
          </a:xfrm>
          <a:prstGeom prst="homePlate">
            <a:avLst>
              <a:gd name="adj" fmla="val 0"/>
            </a:avLst>
          </a:prstGeom>
          <a:gradFill rotWithShape="0">
            <a:gsLst>
              <a:gs pos="0">
                <a:srgbClr val="8C126F"/>
              </a:gs>
              <a:gs pos="100000">
                <a:srgbClr val="3A082E"/>
              </a:gs>
            </a:gsLst>
            <a:lin ang="0" scaled="1"/>
          </a:gradFill>
          <a:ln w="0" algn="ctr">
            <a:solidFill>
              <a:srgbClr val="D3D3D3"/>
            </a:solidFill>
            <a:miter lim="800000"/>
            <a:headEnd/>
            <a:tailEnd/>
          </a:ln>
          <a:effectLst>
            <a:outerShdw dist="35921" dir="2700000" algn="ctr" rotWithShape="0">
              <a:srgbClr val="333333">
                <a:alpha val="50000"/>
              </a:srgbClr>
            </a:outerShdw>
          </a:effectLst>
        </xdr:spPr>
        <xdr:txBody>
          <a:bodyPr vertOverflow="clip" wrap="square" lIns="0" tIns="0" rIns="0" bIns="0" anchor="ctr" upright="1"/>
          <a:lstStyle/>
          <a:p>
            <a:pPr algn="l" rtl="0">
              <a:defRPr sz="1000"/>
            </a:pPr>
            <a:r>
              <a:rPr lang="hu-HU" sz="800" b="1" i="0" u="none" strike="noStrike" baseline="0">
                <a:solidFill>
                  <a:srgbClr val="FFFFFF"/>
                </a:solidFill>
                <a:latin typeface="Arial Unicode MS"/>
              </a:rPr>
              <a:t>  F</a:t>
            </a:r>
          </a:p>
        </xdr:txBody>
      </xdr:sp>
      <xdr:sp macro="" textlink="">
        <xdr:nvSpPr>
          <xdr:cNvPr id="21021" name="AutoShape 1565">
            <a:extLst>
              <a:ext uri="{FF2B5EF4-FFF2-40B4-BE49-F238E27FC236}">
                <a16:creationId xmlns:a16="http://schemas.microsoft.com/office/drawing/2014/main" xmlns="" id="{00000000-0008-0000-0000-00001D520000}"/>
              </a:ext>
            </a:extLst>
          </xdr:cNvPr>
          <xdr:cNvSpPr>
            <a:spLocks noChangeArrowheads="1"/>
          </xdr:cNvSpPr>
        </xdr:nvSpPr>
        <xdr:spPr bwMode="auto">
          <a:xfrm>
            <a:off x="5191125" y="14611350"/>
            <a:ext cx="361950" cy="142875"/>
          </a:xfrm>
          <a:prstGeom prst="homePlate">
            <a:avLst>
              <a:gd name="adj" fmla="val 0"/>
            </a:avLst>
          </a:prstGeom>
          <a:gradFill rotWithShape="0">
            <a:gsLst>
              <a:gs pos="0">
                <a:srgbClr val="8C126F"/>
              </a:gs>
              <a:gs pos="100000">
                <a:srgbClr val="3A082E"/>
              </a:gs>
            </a:gsLst>
            <a:lin ang="0" scaled="1"/>
          </a:gradFill>
          <a:ln w="0" algn="ctr">
            <a:solidFill>
              <a:srgbClr val="D3D3D3"/>
            </a:solidFill>
            <a:miter lim="800000"/>
            <a:headEnd/>
            <a:tailEnd/>
          </a:ln>
          <a:effectLst>
            <a:outerShdw dist="35921" dir="2700000" algn="ctr" rotWithShape="0">
              <a:srgbClr val="333333">
                <a:alpha val="50000"/>
              </a:srgbClr>
            </a:outerShdw>
          </a:effectLst>
        </xdr:spPr>
        <xdr:txBody>
          <a:bodyPr vertOverflow="clip" wrap="square" lIns="0" tIns="0" rIns="0" bIns="0" anchor="ctr" upright="1"/>
          <a:lstStyle/>
          <a:p>
            <a:pPr algn="l" rtl="0">
              <a:defRPr sz="1000"/>
            </a:pPr>
            <a:r>
              <a:rPr lang="hu-HU" sz="800" b="1" i="0" u="none" strike="noStrike" baseline="0">
                <a:solidFill>
                  <a:srgbClr val="FFFFFF"/>
                </a:solidFill>
                <a:latin typeface="Arial Unicode MS"/>
              </a:rPr>
              <a:t>  F</a:t>
            </a:r>
          </a:p>
        </xdr:txBody>
      </xdr:sp>
      <xdr:pic>
        <xdr:nvPicPr>
          <xdr:cNvPr id="1126" name="Picture 1589">
            <a:hlinkClick xmlns:r="http://schemas.openxmlformats.org/officeDocument/2006/relationships" r:id="rId7" tooltip="Gólszerzők rögzítése"/>
            <a:extLst>
              <a:ext uri="{FF2B5EF4-FFF2-40B4-BE49-F238E27FC236}">
                <a16:creationId xmlns:a16="http://schemas.microsoft.com/office/drawing/2014/main" xmlns="" id="{00000000-0008-0000-0000-000066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38800" y="1743075"/>
            <a:ext cx="133350" cy="133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27" name="Picture 1602">
            <a:hlinkClick xmlns:r="http://schemas.openxmlformats.org/officeDocument/2006/relationships" r:id="rId7" tooltip="Gólszerzők rögzítése"/>
            <a:extLst>
              <a:ext uri="{FF2B5EF4-FFF2-40B4-BE49-F238E27FC236}">
                <a16:creationId xmlns:a16="http://schemas.microsoft.com/office/drawing/2014/main" xmlns="" id="{00000000-0008-0000-0000-000067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38800" y="1943100"/>
            <a:ext cx="133350" cy="133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28" name="Picture 1604">
            <a:hlinkClick xmlns:r="http://schemas.openxmlformats.org/officeDocument/2006/relationships" r:id="rId7" tooltip="Gólszerzők rögzítése"/>
            <a:extLst>
              <a:ext uri="{FF2B5EF4-FFF2-40B4-BE49-F238E27FC236}">
                <a16:creationId xmlns:a16="http://schemas.microsoft.com/office/drawing/2014/main" xmlns="" id="{00000000-0008-0000-0000-000068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38800" y="2143125"/>
            <a:ext cx="133350" cy="133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29" name="Picture 1606">
            <a:hlinkClick xmlns:r="http://schemas.openxmlformats.org/officeDocument/2006/relationships" r:id="rId7" tooltip="Gólszerzők rögzítése"/>
            <a:extLst>
              <a:ext uri="{FF2B5EF4-FFF2-40B4-BE49-F238E27FC236}">
                <a16:creationId xmlns:a16="http://schemas.microsoft.com/office/drawing/2014/main" xmlns="" id="{00000000-0008-0000-0000-000069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38800" y="990600"/>
            <a:ext cx="133350" cy="133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30" name="Picture 1608">
            <a:hlinkClick xmlns:r="http://schemas.openxmlformats.org/officeDocument/2006/relationships" r:id="rId9" tooltip="Gólszerzők rögzítése"/>
            <a:extLst>
              <a:ext uri="{FF2B5EF4-FFF2-40B4-BE49-F238E27FC236}">
                <a16:creationId xmlns:a16="http://schemas.microsoft.com/office/drawing/2014/main" xmlns="" id="{00000000-0008-0000-0000-00006A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38800" y="2895600"/>
            <a:ext cx="133350" cy="133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31" name="Picture 1610">
            <a:hlinkClick xmlns:r="http://schemas.openxmlformats.org/officeDocument/2006/relationships" r:id="rId9" tooltip="Gólszerzők rögzítése"/>
            <a:extLst>
              <a:ext uri="{FF2B5EF4-FFF2-40B4-BE49-F238E27FC236}">
                <a16:creationId xmlns:a16="http://schemas.microsoft.com/office/drawing/2014/main" xmlns="" id="{00000000-0008-0000-0000-00006B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38800" y="3095625"/>
            <a:ext cx="133350" cy="133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32" name="Picture 1612">
            <a:hlinkClick xmlns:r="http://schemas.openxmlformats.org/officeDocument/2006/relationships" r:id="rId9" tooltip="Gólszerzők rögzítése"/>
            <a:extLst>
              <a:ext uri="{FF2B5EF4-FFF2-40B4-BE49-F238E27FC236}">
                <a16:creationId xmlns:a16="http://schemas.microsoft.com/office/drawing/2014/main" xmlns="" id="{00000000-0008-0000-0000-00006C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38800" y="3295650"/>
            <a:ext cx="133350" cy="133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33" name="Picture 1614">
            <a:hlinkClick xmlns:r="http://schemas.openxmlformats.org/officeDocument/2006/relationships" r:id="rId9" tooltip="Gólszerzők rögzítése"/>
            <a:extLst>
              <a:ext uri="{FF2B5EF4-FFF2-40B4-BE49-F238E27FC236}">
                <a16:creationId xmlns:a16="http://schemas.microsoft.com/office/drawing/2014/main" xmlns="" id="{00000000-0008-0000-0000-00006D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38800" y="4048125"/>
            <a:ext cx="133350" cy="133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34" name="Picture 1616">
            <a:hlinkClick xmlns:r="http://schemas.openxmlformats.org/officeDocument/2006/relationships" r:id="rId10" tooltip="Gólszerzők rögzítése"/>
            <a:extLst>
              <a:ext uri="{FF2B5EF4-FFF2-40B4-BE49-F238E27FC236}">
                <a16:creationId xmlns:a16="http://schemas.microsoft.com/office/drawing/2014/main" xmlns="" id="{00000000-0008-0000-0000-00006E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38800" y="4248150"/>
            <a:ext cx="133350" cy="133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35" name="Picture 1618">
            <a:hlinkClick xmlns:r="http://schemas.openxmlformats.org/officeDocument/2006/relationships" r:id="rId10" tooltip="Gólszerzők rögzítése"/>
            <a:extLst>
              <a:ext uri="{FF2B5EF4-FFF2-40B4-BE49-F238E27FC236}">
                <a16:creationId xmlns:a16="http://schemas.microsoft.com/office/drawing/2014/main" xmlns="" id="{00000000-0008-0000-0000-00006F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38800" y="4448175"/>
            <a:ext cx="133350" cy="133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36" name="Picture 1620">
            <a:hlinkClick xmlns:r="http://schemas.openxmlformats.org/officeDocument/2006/relationships" r:id="rId10" tooltip="Gólszerzők rögzítése"/>
            <a:extLst>
              <a:ext uri="{FF2B5EF4-FFF2-40B4-BE49-F238E27FC236}">
                <a16:creationId xmlns:a16="http://schemas.microsoft.com/office/drawing/2014/main" xmlns="" id="{00000000-0008-0000-0000-000070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38800" y="5200650"/>
            <a:ext cx="133350" cy="133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37" name="Picture 1622">
            <a:hlinkClick xmlns:r="http://schemas.openxmlformats.org/officeDocument/2006/relationships" r:id="rId10" tooltip="Gólszerzők rögzítése"/>
            <a:extLst>
              <a:ext uri="{FF2B5EF4-FFF2-40B4-BE49-F238E27FC236}">
                <a16:creationId xmlns:a16="http://schemas.microsoft.com/office/drawing/2014/main" xmlns="" id="{00000000-0008-0000-0000-000071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38800" y="5400675"/>
            <a:ext cx="133350" cy="133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38" name="Picture 1624">
            <a:hlinkClick xmlns:r="http://schemas.openxmlformats.org/officeDocument/2006/relationships" r:id="rId11" tooltip="Gólszerzők rögzítése"/>
            <a:extLst>
              <a:ext uri="{FF2B5EF4-FFF2-40B4-BE49-F238E27FC236}">
                <a16:creationId xmlns:a16="http://schemas.microsoft.com/office/drawing/2014/main" xmlns="" id="{00000000-0008-0000-0000-000072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38800" y="6153150"/>
            <a:ext cx="133350" cy="133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39" name="Picture 1626">
            <a:hlinkClick xmlns:r="http://schemas.openxmlformats.org/officeDocument/2006/relationships" r:id="rId11" tooltip="Gólszerzők rögzítése"/>
            <a:extLst>
              <a:ext uri="{FF2B5EF4-FFF2-40B4-BE49-F238E27FC236}">
                <a16:creationId xmlns:a16="http://schemas.microsoft.com/office/drawing/2014/main" xmlns="" id="{00000000-0008-0000-0000-000073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38800" y="6353175"/>
            <a:ext cx="133350" cy="133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40" name="Picture 1628">
            <a:hlinkClick xmlns:r="http://schemas.openxmlformats.org/officeDocument/2006/relationships" r:id="rId11" tooltip="Gólszerzők rögzítése"/>
            <a:extLst>
              <a:ext uri="{FF2B5EF4-FFF2-40B4-BE49-F238E27FC236}">
                <a16:creationId xmlns:a16="http://schemas.microsoft.com/office/drawing/2014/main" xmlns="" id="{00000000-0008-0000-0000-000074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38800" y="6553200"/>
            <a:ext cx="133350" cy="133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41" name="Picture 1630">
            <a:hlinkClick xmlns:r="http://schemas.openxmlformats.org/officeDocument/2006/relationships" r:id="rId11" tooltip="Gólszerzők rögzítése"/>
            <a:extLst>
              <a:ext uri="{FF2B5EF4-FFF2-40B4-BE49-F238E27FC236}">
                <a16:creationId xmlns:a16="http://schemas.microsoft.com/office/drawing/2014/main" xmlns="" id="{00000000-0008-0000-0000-000075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38800" y="7305675"/>
            <a:ext cx="133350" cy="133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42" name="Picture 1632">
            <a:hlinkClick xmlns:r="http://schemas.openxmlformats.org/officeDocument/2006/relationships" r:id="rId12" tooltip="Gólszerzők rögzítése"/>
            <a:extLst>
              <a:ext uri="{FF2B5EF4-FFF2-40B4-BE49-F238E27FC236}">
                <a16:creationId xmlns:a16="http://schemas.microsoft.com/office/drawing/2014/main" xmlns="" id="{00000000-0008-0000-0000-000076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38800" y="7505700"/>
            <a:ext cx="133350" cy="133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43" name="Picture 1634">
            <a:hlinkClick xmlns:r="http://schemas.openxmlformats.org/officeDocument/2006/relationships" r:id="rId12" tooltip="Gólszerzők rögzítése"/>
            <a:extLst>
              <a:ext uri="{FF2B5EF4-FFF2-40B4-BE49-F238E27FC236}">
                <a16:creationId xmlns:a16="http://schemas.microsoft.com/office/drawing/2014/main" xmlns="" id="{00000000-0008-0000-0000-000077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38800" y="7705725"/>
            <a:ext cx="133350" cy="133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44" name="Picture 1636">
            <a:hlinkClick xmlns:r="http://schemas.openxmlformats.org/officeDocument/2006/relationships" r:id="rId12" tooltip="Gólszerzők rögzítése"/>
            <a:extLst>
              <a:ext uri="{FF2B5EF4-FFF2-40B4-BE49-F238E27FC236}">
                <a16:creationId xmlns:a16="http://schemas.microsoft.com/office/drawing/2014/main" xmlns="" id="{00000000-0008-0000-0000-000078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38800" y="8458200"/>
            <a:ext cx="133350" cy="133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45" name="Picture 1638">
            <a:hlinkClick xmlns:r="http://schemas.openxmlformats.org/officeDocument/2006/relationships" r:id="rId12" tooltip="Gólszerzők rögzítése"/>
            <a:extLst>
              <a:ext uri="{FF2B5EF4-FFF2-40B4-BE49-F238E27FC236}">
                <a16:creationId xmlns:a16="http://schemas.microsoft.com/office/drawing/2014/main" xmlns="" id="{00000000-0008-0000-0000-000079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38800" y="8658225"/>
            <a:ext cx="133350" cy="133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46" name="Picture 1640">
            <a:hlinkClick xmlns:r="http://schemas.openxmlformats.org/officeDocument/2006/relationships" r:id="rId13" tooltip="Gólszerzők rögzítése"/>
            <a:extLst>
              <a:ext uri="{FF2B5EF4-FFF2-40B4-BE49-F238E27FC236}">
                <a16:creationId xmlns:a16="http://schemas.microsoft.com/office/drawing/2014/main" xmlns="" id="{00000000-0008-0000-0000-00007A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38800" y="8858250"/>
            <a:ext cx="133350" cy="133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47" name="Picture 1642">
            <a:hlinkClick xmlns:r="http://schemas.openxmlformats.org/officeDocument/2006/relationships" r:id="rId13" tooltip="Gólszerzők rögzítése"/>
            <a:extLst>
              <a:ext uri="{FF2B5EF4-FFF2-40B4-BE49-F238E27FC236}">
                <a16:creationId xmlns:a16="http://schemas.microsoft.com/office/drawing/2014/main" xmlns="" id="{00000000-0008-0000-0000-00007B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38800" y="9610725"/>
            <a:ext cx="133350" cy="133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48" name="Picture 1644">
            <a:hlinkClick xmlns:r="http://schemas.openxmlformats.org/officeDocument/2006/relationships" r:id="rId13" tooltip="Gólszerzők rögzítése"/>
            <a:extLst>
              <a:ext uri="{FF2B5EF4-FFF2-40B4-BE49-F238E27FC236}">
                <a16:creationId xmlns:a16="http://schemas.microsoft.com/office/drawing/2014/main" xmlns="" id="{00000000-0008-0000-0000-00007C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38800" y="9810750"/>
            <a:ext cx="133350" cy="133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49" name="Picture 1646">
            <a:hlinkClick xmlns:r="http://schemas.openxmlformats.org/officeDocument/2006/relationships" r:id="rId13" tooltip="Gólszerzők rögzítése"/>
            <a:extLst>
              <a:ext uri="{FF2B5EF4-FFF2-40B4-BE49-F238E27FC236}">
                <a16:creationId xmlns:a16="http://schemas.microsoft.com/office/drawing/2014/main" xmlns="" id="{00000000-0008-0000-0000-00007D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38800" y="10010775"/>
            <a:ext cx="133350" cy="133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50" name="Picture 1648">
            <a:hlinkClick xmlns:r="http://schemas.openxmlformats.org/officeDocument/2006/relationships" r:id="rId14" tooltip="Gólszerzők rögzítése"/>
            <a:extLst>
              <a:ext uri="{FF2B5EF4-FFF2-40B4-BE49-F238E27FC236}">
                <a16:creationId xmlns:a16="http://schemas.microsoft.com/office/drawing/2014/main" xmlns="" id="{00000000-0008-0000-0000-00007E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38800" y="10763250"/>
            <a:ext cx="133350" cy="133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51" name="Picture 1650">
            <a:hlinkClick xmlns:r="http://schemas.openxmlformats.org/officeDocument/2006/relationships" r:id="rId14" tooltip="Gólszerzők rögzítése"/>
            <a:extLst>
              <a:ext uri="{FF2B5EF4-FFF2-40B4-BE49-F238E27FC236}">
                <a16:creationId xmlns:a16="http://schemas.microsoft.com/office/drawing/2014/main" xmlns="" id="{00000000-0008-0000-0000-00007F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38800" y="10963275"/>
            <a:ext cx="133350" cy="133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52" name="Picture 1652">
            <a:hlinkClick xmlns:r="http://schemas.openxmlformats.org/officeDocument/2006/relationships" r:id="rId15" tooltip="Gólszerzők rögzítése"/>
            <a:extLst>
              <a:ext uri="{FF2B5EF4-FFF2-40B4-BE49-F238E27FC236}">
                <a16:creationId xmlns:a16="http://schemas.microsoft.com/office/drawing/2014/main" xmlns="" id="{00000000-0008-0000-0000-000080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38800" y="13068300"/>
            <a:ext cx="133350" cy="133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53" name="Picture 1654">
            <a:hlinkClick xmlns:r="http://schemas.openxmlformats.org/officeDocument/2006/relationships" r:id="rId15" tooltip="Gólszerzők rögzítése"/>
            <a:extLst>
              <a:ext uri="{FF2B5EF4-FFF2-40B4-BE49-F238E27FC236}">
                <a16:creationId xmlns:a16="http://schemas.microsoft.com/office/drawing/2014/main" xmlns="" id="{00000000-0008-0000-0000-000081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38800" y="13268325"/>
            <a:ext cx="133350" cy="133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54" name="Picture 1656">
            <a:hlinkClick xmlns:r="http://schemas.openxmlformats.org/officeDocument/2006/relationships" r:id="rId16" tooltip="Gólszerzők rögzítése"/>
            <a:extLst>
              <a:ext uri="{FF2B5EF4-FFF2-40B4-BE49-F238E27FC236}">
                <a16:creationId xmlns:a16="http://schemas.microsoft.com/office/drawing/2014/main" xmlns="" id="{00000000-0008-0000-0000-000082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38800" y="11715750"/>
            <a:ext cx="133350" cy="133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55" name="Picture 1658">
            <a:hlinkClick xmlns:r="http://schemas.openxmlformats.org/officeDocument/2006/relationships" r:id="rId16" tooltip="Gólszerzők rögzítése"/>
            <a:extLst>
              <a:ext uri="{FF2B5EF4-FFF2-40B4-BE49-F238E27FC236}">
                <a16:creationId xmlns:a16="http://schemas.microsoft.com/office/drawing/2014/main" xmlns="" id="{00000000-0008-0000-0000-000083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38800" y="11915775"/>
            <a:ext cx="133350" cy="133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56" name="Picture 1660">
            <a:hlinkClick xmlns:r="http://schemas.openxmlformats.org/officeDocument/2006/relationships" r:id="rId17" tooltip="Gólszerzők rögzítése"/>
            <a:extLst>
              <a:ext uri="{FF2B5EF4-FFF2-40B4-BE49-F238E27FC236}">
                <a16:creationId xmlns:a16="http://schemas.microsoft.com/office/drawing/2014/main" xmlns="" id="{00000000-0008-0000-0000-000084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38800" y="12115800"/>
            <a:ext cx="133350" cy="133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57" name="Picture 1662">
            <a:hlinkClick xmlns:r="http://schemas.openxmlformats.org/officeDocument/2006/relationships" r:id="rId17" tooltip="Gólszerzők rögzítése"/>
            <a:extLst>
              <a:ext uri="{FF2B5EF4-FFF2-40B4-BE49-F238E27FC236}">
                <a16:creationId xmlns:a16="http://schemas.microsoft.com/office/drawing/2014/main" xmlns="" id="{00000000-0008-0000-0000-000085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38800" y="12315825"/>
            <a:ext cx="133350" cy="133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58" name="Picture 1664">
            <a:hlinkClick xmlns:r="http://schemas.openxmlformats.org/officeDocument/2006/relationships" r:id="rId18" tooltip="Gólszerzők rögzítése"/>
            <a:extLst>
              <a:ext uri="{FF2B5EF4-FFF2-40B4-BE49-F238E27FC236}">
                <a16:creationId xmlns:a16="http://schemas.microsoft.com/office/drawing/2014/main" xmlns="" id="{00000000-0008-0000-0000-000086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38800" y="14020800"/>
            <a:ext cx="133350" cy="133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59" name="Picture 1666">
            <a:hlinkClick xmlns:r="http://schemas.openxmlformats.org/officeDocument/2006/relationships" r:id="rId18" tooltip="Gólszerzők rögzítése"/>
            <a:extLst>
              <a:ext uri="{FF2B5EF4-FFF2-40B4-BE49-F238E27FC236}">
                <a16:creationId xmlns:a16="http://schemas.microsoft.com/office/drawing/2014/main" xmlns="" id="{00000000-0008-0000-0000-000087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38800" y="14220825"/>
            <a:ext cx="133350" cy="133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60" name="Picture 1668">
            <a:hlinkClick xmlns:r="http://schemas.openxmlformats.org/officeDocument/2006/relationships" r:id="rId19" tooltip="Gólszerzők rögzítése"/>
            <a:extLst>
              <a:ext uri="{FF2B5EF4-FFF2-40B4-BE49-F238E27FC236}">
                <a16:creationId xmlns:a16="http://schemas.microsoft.com/office/drawing/2014/main" xmlns="" id="{00000000-0008-0000-0000-000088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38800" y="14420850"/>
            <a:ext cx="133350" cy="133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61" name="Picture 1670">
            <a:hlinkClick xmlns:r="http://schemas.openxmlformats.org/officeDocument/2006/relationships" r:id="rId19" tooltip="Gólszerzők rögzítése"/>
            <a:extLst>
              <a:ext uri="{FF2B5EF4-FFF2-40B4-BE49-F238E27FC236}">
                <a16:creationId xmlns:a16="http://schemas.microsoft.com/office/drawing/2014/main" xmlns="" id="{00000000-0008-0000-0000-000089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38800" y="14620875"/>
            <a:ext cx="133350" cy="1333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7</xdr:col>
      <xdr:colOff>66675</xdr:colOff>
      <xdr:row>97</xdr:row>
      <xdr:rowOff>28575</xdr:rowOff>
    </xdr:from>
    <xdr:to>
      <xdr:col>7</xdr:col>
      <xdr:colOff>428625</xdr:colOff>
      <xdr:row>97</xdr:row>
      <xdr:rowOff>171450</xdr:rowOff>
    </xdr:to>
    <xdr:sp macro="" textlink="">
      <xdr:nvSpPr>
        <xdr:cNvPr id="21132" name="AutoShape 1676">
          <a:extLst>
            <a:ext uri="{FF2B5EF4-FFF2-40B4-BE49-F238E27FC236}">
              <a16:creationId xmlns:a16="http://schemas.microsoft.com/office/drawing/2014/main" xmlns="" id="{00000000-0008-0000-0000-00008C520000}"/>
            </a:ext>
          </a:extLst>
        </xdr:cNvPr>
        <xdr:cNvSpPr>
          <a:spLocks noChangeArrowheads="1"/>
        </xdr:cNvSpPr>
      </xdr:nvSpPr>
      <xdr:spPr bwMode="auto">
        <a:xfrm>
          <a:off x="5191125" y="15763875"/>
          <a:ext cx="361950" cy="142875"/>
        </a:xfrm>
        <a:prstGeom prst="homePlate">
          <a:avLst>
            <a:gd name="adj" fmla="val 0"/>
          </a:avLst>
        </a:prstGeom>
        <a:gradFill rotWithShape="0">
          <a:gsLst>
            <a:gs pos="0">
              <a:srgbClr val="FFFFFF"/>
            </a:gs>
            <a:gs pos="100000">
              <a:srgbClr val="C0C0C0"/>
            </a:gs>
          </a:gsLst>
          <a:lin ang="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algn="l" rtl="0">
            <a:defRPr sz="1000"/>
          </a:pPr>
          <a:r>
            <a:rPr lang="hu-HU" sz="800" b="1" i="0" u="none" strike="noStrike" baseline="0">
              <a:solidFill>
                <a:srgbClr val="000000"/>
              </a:solidFill>
              <a:latin typeface="Arial Unicode MS"/>
            </a:rPr>
            <a:t>  8/8</a:t>
          </a:r>
        </a:p>
      </xdr:txBody>
    </xdr:sp>
    <xdr:clientData/>
  </xdr:twoCellAnchor>
  <xdr:twoCellAnchor editAs="oneCell">
    <xdr:from>
      <xdr:col>7</xdr:col>
      <xdr:colOff>514350</xdr:colOff>
      <xdr:row>97</xdr:row>
      <xdr:rowOff>38100</xdr:rowOff>
    </xdr:from>
    <xdr:to>
      <xdr:col>7</xdr:col>
      <xdr:colOff>647700</xdr:colOff>
      <xdr:row>97</xdr:row>
      <xdr:rowOff>171450</xdr:rowOff>
    </xdr:to>
    <xdr:pic>
      <xdr:nvPicPr>
        <xdr:cNvPr id="1027" name="Picture 1677">
          <a:hlinkClick xmlns:r="http://schemas.openxmlformats.org/officeDocument/2006/relationships" r:id="rId20" tooltip="Gólszerzők rögzítése"/>
          <a:extLst>
            <a:ext uri="{FF2B5EF4-FFF2-40B4-BE49-F238E27FC236}">
              <a16:creationId xmlns:a16="http://schemas.microsoft.com/office/drawing/2014/main" xmlns="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15773400"/>
          <a:ext cx="1333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66675</xdr:colOff>
      <xdr:row>98</xdr:row>
      <xdr:rowOff>28575</xdr:rowOff>
    </xdr:from>
    <xdr:to>
      <xdr:col>7</xdr:col>
      <xdr:colOff>428625</xdr:colOff>
      <xdr:row>98</xdr:row>
      <xdr:rowOff>171450</xdr:rowOff>
    </xdr:to>
    <xdr:sp macro="" textlink="">
      <xdr:nvSpPr>
        <xdr:cNvPr id="21134" name="AutoShape 1678">
          <a:extLst>
            <a:ext uri="{FF2B5EF4-FFF2-40B4-BE49-F238E27FC236}">
              <a16:creationId xmlns:a16="http://schemas.microsoft.com/office/drawing/2014/main" xmlns="" id="{00000000-0008-0000-0000-00008E520000}"/>
            </a:ext>
          </a:extLst>
        </xdr:cNvPr>
        <xdr:cNvSpPr>
          <a:spLocks noChangeArrowheads="1"/>
        </xdr:cNvSpPr>
      </xdr:nvSpPr>
      <xdr:spPr bwMode="auto">
        <a:xfrm>
          <a:off x="5191125" y="15963900"/>
          <a:ext cx="361950" cy="142875"/>
        </a:xfrm>
        <a:prstGeom prst="homePlate">
          <a:avLst>
            <a:gd name="adj" fmla="val 0"/>
          </a:avLst>
        </a:prstGeom>
        <a:gradFill rotWithShape="0">
          <a:gsLst>
            <a:gs pos="0">
              <a:srgbClr val="FFFFFF"/>
            </a:gs>
            <a:gs pos="100000">
              <a:srgbClr val="C0C0C0"/>
            </a:gs>
          </a:gsLst>
          <a:lin ang="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algn="l" rtl="0">
            <a:defRPr sz="1000"/>
          </a:pPr>
          <a:r>
            <a:rPr lang="hu-HU" sz="800" b="1" i="0" u="none" strike="noStrike" baseline="0">
              <a:solidFill>
                <a:srgbClr val="000000"/>
              </a:solidFill>
              <a:latin typeface="Arial Unicode MS"/>
            </a:rPr>
            <a:t>  2/8</a:t>
          </a:r>
        </a:p>
      </xdr:txBody>
    </xdr:sp>
    <xdr:clientData/>
  </xdr:twoCellAnchor>
  <xdr:twoCellAnchor editAs="oneCell">
    <xdr:from>
      <xdr:col>7</xdr:col>
      <xdr:colOff>514350</xdr:colOff>
      <xdr:row>98</xdr:row>
      <xdr:rowOff>38100</xdr:rowOff>
    </xdr:from>
    <xdr:to>
      <xdr:col>7</xdr:col>
      <xdr:colOff>647700</xdr:colOff>
      <xdr:row>98</xdr:row>
      <xdr:rowOff>171450</xdr:rowOff>
    </xdr:to>
    <xdr:pic>
      <xdr:nvPicPr>
        <xdr:cNvPr id="1029" name="Picture 1679">
          <a:hlinkClick xmlns:r="http://schemas.openxmlformats.org/officeDocument/2006/relationships" r:id="rId20" tooltip="Gólszerzők rögzítése"/>
          <a:extLst>
            <a:ext uri="{FF2B5EF4-FFF2-40B4-BE49-F238E27FC236}">
              <a16:creationId xmlns:a16="http://schemas.microsoft.com/office/drawing/2014/main" xmlns="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15973425"/>
          <a:ext cx="1333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66675</xdr:colOff>
      <xdr:row>103</xdr:row>
      <xdr:rowOff>28575</xdr:rowOff>
    </xdr:from>
    <xdr:to>
      <xdr:col>7</xdr:col>
      <xdr:colOff>428625</xdr:colOff>
      <xdr:row>103</xdr:row>
      <xdr:rowOff>171450</xdr:rowOff>
    </xdr:to>
    <xdr:sp macro="" textlink="">
      <xdr:nvSpPr>
        <xdr:cNvPr id="21138" name="AutoShape 1682">
          <a:extLst>
            <a:ext uri="{FF2B5EF4-FFF2-40B4-BE49-F238E27FC236}">
              <a16:creationId xmlns:a16="http://schemas.microsoft.com/office/drawing/2014/main" xmlns="" id="{00000000-0008-0000-0000-000092520000}"/>
            </a:ext>
          </a:extLst>
        </xdr:cNvPr>
        <xdr:cNvSpPr>
          <a:spLocks noChangeArrowheads="1"/>
        </xdr:cNvSpPr>
      </xdr:nvSpPr>
      <xdr:spPr bwMode="auto">
        <a:xfrm>
          <a:off x="5191125" y="16716375"/>
          <a:ext cx="361950" cy="142875"/>
        </a:xfrm>
        <a:prstGeom prst="homePlate">
          <a:avLst>
            <a:gd name="adj" fmla="val 0"/>
          </a:avLst>
        </a:prstGeom>
        <a:gradFill rotWithShape="0">
          <a:gsLst>
            <a:gs pos="0">
              <a:srgbClr val="FFFFFF"/>
            </a:gs>
            <a:gs pos="100000">
              <a:srgbClr val="C0C0C0"/>
            </a:gs>
          </a:gsLst>
          <a:lin ang="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algn="l" rtl="0">
            <a:defRPr sz="1000"/>
          </a:pPr>
          <a:r>
            <a:rPr lang="hu-HU" sz="800" b="1" i="0" u="none" strike="noStrike" baseline="0">
              <a:solidFill>
                <a:srgbClr val="000000"/>
              </a:solidFill>
              <a:latin typeface="Arial Unicode MS"/>
            </a:rPr>
            <a:t>  7/8</a:t>
          </a:r>
        </a:p>
      </xdr:txBody>
    </xdr:sp>
    <xdr:clientData/>
  </xdr:twoCellAnchor>
  <xdr:twoCellAnchor editAs="oneCell">
    <xdr:from>
      <xdr:col>7</xdr:col>
      <xdr:colOff>514350</xdr:colOff>
      <xdr:row>103</xdr:row>
      <xdr:rowOff>38100</xdr:rowOff>
    </xdr:from>
    <xdr:to>
      <xdr:col>7</xdr:col>
      <xdr:colOff>647700</xdr:colOff>
      <xdr:row>103</xdr:row>
      <xdr:rowOff>171450</xdr:rowOff>
    </xdr:to>
    <xdr:pic>
      <xdr:nvPicPr>
        <xdr:cNvPr id="1031" name="Picture 1683">
          <a:hlinkClick xmlns:r="http://schemas.openxmlformats.org/officeDocument/2006/relationships" r:id="rId21" tooltip="Gólszerzők rögzítése"/>
          <a:extLst>
            <a:ext uri="{FF2B5EF4-FFF2-40B4-BE49-F238E27FC236}">
              <a16:creationId xmlns:a16="http://schemas.microsoft.com/office/drawing/2014/main" xmlns="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16725900"/>
          <a:ext cx="1333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66675</xdr:colOff>
      <xdr:row>104</xdr:row>
      <xdr:rowOff>28575</xdr:rowOff>
    </xdr:from>
    <xdr:to>
      <xdr:col>7</xdr:col>
      <xdr:colOff>428625</xdr:colOff>
      <xdr:row>104</xdr:row>
      <xdr:rowOff>171450</xdr:rowOff>
    </xdr:to>
    <xdr:sp macro="" textlink="">
      <xdr:nvSpPr>
        <xdr:cNvPr id="21140" name="AutoShape 1684">
          <a:extLst>
            <a:ext uri="{FF2B5EF4-FFF2-40B4-BE49-F238E27FC236}">
              <a16:creationId xmlns:a16="http://schemas.microsoft.com/office/drawing/2014/main" xmlns="" id="{00000000-0008-0000-0000-000094520000}"/>
            </a:ext>
          </a:extLst>
        </xdr:cNvPr>
        <xdr:cNvSpPr>
          <a:spLocks noChangeArrowheads="1"/>
        </xdr:cNvSpPr>
      </xdr:nvSpPr>
      <xdr:spPr bwMode="auto">
        <a:xfrm>
          <a:off x="5191125" y="16916400"/>
          <a:ext cx="361950" cy="142875"/>
        </a:xfrm>
        <a:prstGeom prst="homePlate">
          <a:avLst>
            <a:gd name="adj" fmla="val 0"/>
          </a:avLst>
        </a:prstGeom>
        <a:gradFill rotWithShape="0">
          <a:gsLst>
            <a:gs pos="0">
              <a:srgbClr val="FFFFFF"/>
            </a:gs>
            <a:gs pos="100000">
              <a:srgbClr val="C0C0C0"/>
            </a:gs>
          </a:gsLst>
          <a:lin ang="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algn="l" rtl="0">
            <a:defRPr sz="1000"/>
          </a:pPr>
          <a:r>
            <a:rPr lang="hu-HU" sz="800" b="1" i="0" u="none" strike="noStrike" baseline="0">
              <a:solidFill>
                <a:srgbClr val="000000"/>
              </a:solidFill>
              <a:latin typeface="Arial Unicode MS"/>
            </a:rPr>
            <a:t>  1/8</a:t>
          </a:r>
        </a:p>
      </xdr:txBody>
    </xdr:sp>
    <xdr:clientData/>
  </xdr:twoCellAnchor>
  <xdr:twoCellAnchor editAs="oneCell">
    <xdr:from>
      <xdr:col>7</xdr:col>
      <xdr:colOff>514350</xdr:colOff>
      <xdr:row>104</xdr:row>
      <xdr:rowOff>38100</xdr:rowOff>
    </xdr:from>
    <xdr:to>
      <xdr:col>7</xdr:col>
      <xdr:colOff>647700</xdr:colOff>
      <xdr:row>104</xdr:row>
      <xdr:rowOff>171450</xdr:rowOff>
    </xdr:to>
    <xdr:pic>
      <xdr:nvPicPr>
        <xdr:cNvPr id="1033" name="Picture 1685">
          <a:hlinkClick xmlns:r="http://schemas.openxmlformats.org/officeDocument/2006/relationships" r:id="rId21" tooltip="Gólszerzők rögzítése"/>
          <a:extLst>
            <a:ext uri="{FF2B5EF4-FFF2-40B4-BE49-F238E27FC236}">
              <a16:creationId xmlns:a16="http://schemas.microsoft.com/office/drawing/2014/main" xmlns="" id="{00000000-0008-0000-0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16925925"/>
          <a:ext cx="1333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66675</xdr:colOff>
      <xdr:row>115</xdr:row>
      <xdr:rowOff>28575</xdr:rowOff>
    </xdr:from>
    <xdr:to>
      <xdr:col>7</xdr:col>
      <xdr:colOff>428625</xdr:colOff>
      <xdr:row>115</xdr:row>
      <xdr:rowOff>171450</xdr:rowOff>
    </xdr:to>
    <xdr:sp macro="" textlink="">
      <xdr:nvSpPr>
        <xdr:cNvPr id="21144" name="AutoShape 1688">
          <a:extLst>
            <a:ext uri="{FF2B5EF4-FFF2-40B4-BE49-F238E27FC236}">
              <a16:creationId xmlns:a16="http://schemas.microsoft.com/office/drawing/2014/main" xmlns="" id="{00000000-0008-0000-0000-000098520000}"/>
            </a:ext>
          </a:extLst>
        </xdr:cNvPr>
        <xdr:cNvSpPr>
          <a:spLocks noChangeArrowheads="1"/>
        </xdr:cNvSpPr>
      </xdr:nvSpPr>
      <xdr:spPr bwMode="auto">
        <a:xfrm>
          <a:off x="5191125" y="18621375"/>
          <a:ext cx="361950" cy="142875"/>
        </a:xfrm>
        <a:prstGeom prst="homePlate">
          <a:avLst>
            <a:gd name="adj" fmla="val 0"/>
          </a:avLst>
        </a:prstGeom>
        <a:gradFill rotWithShape="0">
          <a:gsLst>
            <a:gs pos="0">
              <a:srgbClr val="FFFFFF"/>
            </a:gs>
            <a:gs pos="100000">
              <a:srgbClr val="C0C0C0"/>
            </a:gs>
          </a:gsLst>
          <a:lin ang="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algn="l" rtl="0">
            <a:defRPr sz="1000"/>
          </a:pPr>
          <a:r>
            <a:rPr lang="hu-HU" sz="800" b="1" i="0" u="none" strike="noStrike" baseline="0">
              <a:solidFill>
                <a:srgbClr val="000000"/>
              </a:solidFill>
              <a:latin typeface="Arial Unicode MS"/>
            </a:rPr>
            <a:t>  6/8</a:t>
          </a:r>
        </a:p>
      </xdr:txBody>
    </xdr:sp>
    <xdr:clientData/>
  </xdr:twoCellAnchor>
  <xdr:twoCellAnchor editAs="oneCell">
    <xdr:from>
      <xdr:col>7</xdr:col>
      <xdr:colOff>514350</xdr:colOff>
      <xdr:row>115</xdr:row>
      <xdr:rowOff>38100</xdr:rowOff>
    </xdr:from>
    <xdr:to>
      <xdr:col>7</xdr:col>
      <xdr:colOff>647700</xdr:colOff>
      <xdr:row>115</xdr:row>
      <xdr:rowOff>171450</xdr:rowOff>
    </xdr:to>
    <xdr:pic>
      <xdr:nvPicPr>
        <xdr:cNvPr id="1035" name="Picture 1689">
          <a:hlinkClick xmlns:r="http://schemas.openxmlformats.org/officeDocument/2006/relationships" r:id="rId22" tooltip="Gólszerzők rögzítése"/>
          <a:extLst>
            <a:ext uri="{FF2B5EF4-FFF2-40B4-BE49-F238E27FC236}">
              <a16:creationId xmlns:a16="http://schemas.microsoft.com/office/drawing/2014/main" xmlns="" id="{00000000-0008-0000-0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18630900"/>
          <a:ext cx="1333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66675</xdr:colOff>
      <xdr:row>116</xdr:row>
      <xdr:rowOff>28575</xdr:rowOff>
    </xdr:from>
    <xdr:to>
      <xdr:col>7</xdr:col>
      <xdr:colOff>428625</xdr:colOff>
      <xdr:row>116</xdr:row>
      <xdr:rowOff>171450</xdr:rowOff>
    </xdr:to>
    <xdr:sp macro="" textlink="">
      <xdr:nvSpPr>
        <xdr:cNvPr id="21146" name="AutoShape 1690">
          <a:extLst>
            <a:ext uri="{FF2B5EF4-FFF2-40B4-BE49-F238E27FC236}">
              <a16:creationId xmlns:a16="http://schemas.microsoft.com/office/drawing/2014/main" xmlns="" id="{00000000-0008-0000-0000-00009A520000}"/>
            </a:ext>
          </a:extLst>
        </xdr:cNvPr>
        <xdr:cNvSpPr>
          <a:spLocks noChangeArrowheads="1"/>
        </xdr:cNvSpPr>
      </xdr:nvSpPr>
      <xdr:spPr bwMode="auto">
        <a:xfrm>
          <a:off x="5191125" y="18821400"/>
          <a:ext cx="361950" cy="142875"/>
        </a:xfrm>
        <a:prstGeom prst="homePlate">
          <a:avLst>
            <a:gd name="adj" fmla="val 0"/>
          </a:avLst>
        </a:prstGeom>
        <a:gradFill rotWithShape="0">
          <a:gsLst>
            <a:gs pos="0">
              <a:srgbClr val="FFFFFF"/>
            </a:gs>
            <a:gs pos="100000">
              <a:srgbClr val="C0C0C0"/>
            </a:gs>
          </a:gsLst>
          <a:lin ang="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algn="l" rtl="0">
            <a:defRPr sz="1000"/>
          </a:pPr>
          <a:r>
            <a:rPr lang="hu-HU" sz="800" b="1" i="0" u="none" strike="noStrike" baseline="0">
              <a:solidFill>
                <a:srgbClr val="000000"/>
              </a:solidFill>
              <a:latin typeface="Arial Unicode MS"/>
            </a:rPr>
            <a:t>  5/8</a:t>
          </a:r>
        </a:p>
      </xdr:txBody>
    </xdr:sp>
    <xdr:clientData/>
  </xdr:twoCellAnchor>
  <xdr:twoCellAnchor editAs="oneCell">
    <xdr:from>
      <xdr:col>7</xdr:col>
      <xdr:colOff>514350</xdr:colOff>
      <xdr:row>116</xdr:row>
      <xdr:rowOff>38100</xdr:rowOff>
    </xdr:from>
    <xdr:to>
      <xdr:col>7</xdr:col>
      <xdr:colOff>647700</xdr:colOff>
      <xdr:row>116</xdr:row>
      <xdr:rowOff>171450</xdr:rowOff>
    </xdr:to>
    <xdr:pic>
      <xdr:nvPicPr>
        <xdr:cNvPr id="1037" name="Picture 1691">
          <a:hlinkClick xmlns:r="http://schemas.openxmlformats.org/officeDocument/2006/relationships" r:id="rId22" tooltip="Gólszerzők rögzítése"/>
          <a:extLst>
            <a:ext uri="{FF2B5EF4-FFF2-40B4-BE49-F238E27FC236}">
              <a16:creationId xmlns:a16="http://schemas.microsoft.com/office/drawing/2014/main" xmlns="" id="{00000000-0008-0000-00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18830925"/>
          <a:ext cx="1333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66675</xdr:colOff>
      <xdr:row>123</xdr:row>
      <xdr:rowOff>28575</xdr:rowOff>
    </xdr:from>
    <xdr:to>
      <xdr:col>7</xdr:col>
      <xdr:colOff>428625</xdr:colOff>
      <xdr:row>123</xdr:row>
      <xdr:rowOff>171450</xdr:rowOff>
    </xdr:to>
    <xdr:sp macro="" textlink="">
      <xdr:nvSpPr>
        <xdr:cNvPr id="21148" name="AutoShape 1692">
          <a:extLst>
            <a:ext uri="{FF2B5EF4-FFF2-40B4-BE49-F238E27FC236}">
              <a16:creationId xmlns:a16="http://schemas.microsoft.com/office/drawing/2014/main" xmlns="" id="{00000000-0008-0000-0000-00009C520000}"/>
            </a:ext>
          </a:extLst>
        </xdr:cNvPr>
        <xdr:cNvSpPr>
          <a:spLocks noChangeArrowheads="1"/>
        </xdr:cNvSpPr>
      </xdr:nvSpPr>
      <xdr:spPr bwMode="auto">
        <a:xfrm>
          <a:off x="5191125" y="19973925"/>
          <a:ext cx="361950" cy="142875"/>
        </a:xfrm>
        <a:prstGeom prst="homePlate">
          <a:avLst>
            <a:gd name="adj" fmla="val 0"/>
          </a:avLst>
        </a:prstGeom>
        <a:gradFill rotWithShape="0">
          <a:gsLst>
            <a:gs pos="0">
              <a:srgbClr val="FFFFFF"/>
            </a:gs>
            <a:gs pos="100000">
              <a:srgbClr val="C0C0C0"/>
            </a:gs>
          </a:gsLst>
          <a:lin ang="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algn="l" rtl="0">
            <a:defRPr sz="1000"/>
          </a:pPr>
          <a:r>
            <a:rPr lang="hu-HU" sz="800" b="1" i="0" u="none" strike="noStrike" baseline="0">
              <a:solidFill>
                <a:srgbClr val="000000"/>
              </a:solidFill>
              <a:latin typeface="Arial Unicode MS"/>
            </a:rPr>
            <a:t>  2/4</a:t>
          </a:r>
        </a:p>
      </xdr:txBody>
    </xdr:sp>
    <xdr:clientData/>
  </xdr:twoCellAnchor>
  <xdr:twoCellAnchor editAs="oneCell">
    <xdr:from>
      <xdr:col>7</xdr:col>
      <xdr:colOff>514350</xdr:colOff>
      <xdr:row>123</xdr:row>
      <xdr:rowOff>38100</xdr:rowOff>
    </xdr:from>
    <xdr:to>
      <xdr:col>7</xdr:col>
      <xdr:colOff>647700</xdr:colOff>
      <xdr:row>123</xdr:row>
      <xdr:rowOff>171450</xdr:rowOff>
    </xdr:to>
    <xdr:pic>
      <xdr:nvPicPr>
        <xdr:cNvPr id="1039" name="Picture 1693">
          <a:hlinkClick xmlns:r="http://schemas.openxmlformats.org/officeDocument/2006/relationships" r:id="rId23" tooltip="Gólszerzők rögzítése"/>
          <a:extLst>
            <a:ext uri="{FF2B5EF4-FFF2-40B4-BE49-F238E27FC236}">
              <a16:creationId xmlns:a16="http://schemas.microsoft.com/office/drawing/2014/main" xmlns="" id="{00000000-0008-0000-00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19983450"/>
          <a:ext cx="1333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66675</xdr:colOff>
      <xdr:row>109</xdr:row>
      <xdr:rowOff>28575</xdr:rowOff>
    </xdr:from>
    <xdr:to>
      <xdr:col>7</xdr:col>
      <xdr:colOff>428625</xdr:colOff>
      <xdr:row>109</xdr:row>
      <xdr:rowOff>171450</xdr:rowOff>
    </xdr:to>
    <xdr:sp macro="" textlink="">
      <xdr:nvSpPr>
        <xdr:cNvPr id="21203" name="AutoShape 1747">
          <a:extLst>
            <a:ext uri="{FF2B5EF4-FFF2-40B4-BE49-F238E27FC236}">
              <a16:creationId xmlns:a16="http://schemas.microsoft.com/office/drawing/2014/main" xmlns="" id="{00000000-0008-0000-0000-0000D3520000}"/>
            </a:ext>
          </a:extLst>
        </xdr:cNvPr>
        <xdr:cNvSpPr>
          <a:spLocks noChangeArrowheads="1"/>
        </xdr:cNvSpPr>
      </xdr:nvSpPr>
      <xdr:spPr bwMode="auto">
        <a:xfrm>
          <a:off x="5191125" y="17668875"/>
          <a:ext cx="361950" cy="142875"/>
        </a:xfrm>
        <a:prstGeom prst="homePlate">
          <a:avLst>
            <a:gd name="adj" fmla="val 0"/>
          </a:avLst>
        </a:prstGeom>
        <a:gradFill rotWithShape="0">
          <a:gsLst>
            <a:gs pos="0">
              <a:srgbClr val="FFFFFF"/>
            </a:gs>
            <a:gs pos="100000">
              <a:srgbClr val="C0C0C0"/>
            </a:gs>
          </a:gsLst>
          <a:lin ang="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algn="l" rtl="0">
            <a:defRPr sz="1000"/>
          </a:pPr>
          <a:r>
            <a:rPr lang="hu-HU" sz="800" b="1" i="0" u="none" strike="noStrike" baseline="0">
              <a:solidFill>
                <a:srgbClr val="000000"/>
              </a:solidFill>
              <a:latin typeface="Arial Unicode MS"/>
            </a:rPr>
            <a:t>  4/8</a:t>
          </a:r>
        </a:p>
      </xdr:txBody>
    </xdr:sp>
    <xdr:clientData/>
  </xdr:twoCellAnchor>
  <xdr:twoCellAnchor editAs="oneCell">
    <xdr:from>
      <xdr:col>7</xdr:col>
      <xdr:colOff>514350</xdr:colOff>
      <xdr:row>109</xdr:row>
      <xdr:rowOff>38100</xdr:rowOff>
    </xdr:from>
    <xdr:to>
      <xdr:col>7</xdr:col>
      <xdr:colOff>647700</xdr:colOff>
      <xdr:row>109</xdr:row>
      <xdr:rowOff>171450</xdr:rowOff>
    </xdr:to>
    <xdr:pic>
      <xdr:nvPicPr>
        <xdr:cNvPr id="1041" name="Picture 1748">
          <a:hlinkClick xmlns:r="http://schemas.openxmlformats.org/officeDocument/2006/relationships" r:id="rId24" tooltip="Gólszerzők rögzítése"/>
          <a:extLst>
            <a:ext uri="{FF2B5EF4-FFF2-40B4-BE49-F238E27FC236}">
              <a16:creationId xmlns:a16="http://schemas.microsoft.com/office/drawing/2014/main" xmlns="" id="{00000000-0008-0000-00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17678400"/>
          <a:ext cx="1333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66675</xdr:colOff>
      <xdr:row>110</xdr:row>
      <xdr:rowOff>28575</xdr:rowOff>
    </xdr:from>
    <xdr:to>
      <xdr:col>7</xdr:col>
      <xdr:colOff>428625</xdr:colOff>
      <xdr:row>110</xdr:row>
      <xdr:rowOff>171450</xdr:rowOff>
    </xdr:to>
    <xdr:sp macro="" textlink="">
      <xdr:nvSpPr>
        <xdr:cNvPr id="21205" name="AutoShape 1749">
          <a:extLst>
            <a:ext uri="{FF2B5EF4-FFF2-40B4-BE49-F238E27FC236}">
              <a16:creationId xmlns:a16="http://schemas.microsoft.com/office/drawing/2014/main" xmlns="" id="{00000000-0008-0000-0000-0000D5520000}"/>
            </a:ext>
          </a:extLst>
        </xdr:cNvPr>
        <xdr:cNvSpPr>
          <a:spLocks noChangeArrowheads="1"/>
        </xdr:cNvSpPr>
      </xdr:nvSpPr>
      <xdr:spPr bwMode="auto">
        <a:xfrm>
          <a:off x="5191125" y="17868900"/>
          <a:ext cx="361950" cy="142875"/>
        </a:xfrm>
        <a:prstGeom prst="homePlate">
          <a:avLst>
            <a:gd name="adj" fmla="val 0"/>
          </a:avLst>
        </a:prstGeom>
        <a:gradFill rotWithShape="0">
          <a:gsLst>
            <a:gs pos="0">
              <a:srgbClr val="FFFFFF"/>
            </a:gs>
            <a:gs pos="100000">
              <a:srgbClr val="C0C0C0"/>
            </a:gs>
          </a:gsLst>
          <a:lin ang="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algn="l" rtl="0">
            <a:defRPr sz="1000"/>
          </a:pPr>
          <a:r>
            <a:rPr lang="hu-HU" sz="800" b="1" i="0" u="none" strike="noStrike" baseline="0">
              <a:solidFill>
                <a:srgbClr val="000000"/>
              </a:solidFill>
              <a:latin typeface="Arial Unicode MS"/>
            </a:rPr>
            <a:t>  3/8</a:t>
          </a:r>
        </a:p>
      </xdr:txBody>
    </xdr:sp>
    <xdr:clientData/>
  </xdr:twoCellAnchor>
  <xdr:twoCellAnchor editAs="oneCell">
    <xdr:from>
      <xdr:col>7</xdr:col>
      <xdr:colOff>514350</xdr:colOff>
      <xdr:row>110</xdr:row>
      <xdr:rowOff>38100</xdr:rowOff>
    </xdr:from>
    <xdr:to>
      <xdr:col>7</xdr:col>
      <xdr:colOff>647700</xdr:colOff>
      <xdr:row>110</xdr:row>
      <xdr:rowOff>171450</xdr:rowOff>
    </xdr:to>
    <xdr:pic>
      <xdr:nvPicPr>
        <xdr:cNvPr id="1043" name="Picture 1750">
          <a:hlinkClick xmlns:r="http://schemas.openxmlformats.org/officeDocument/2006/relationships" r:id="rId24" tooltip="Gólszerzők rögzítése"/>
          <a:extLst>
            <a:ext uri="{FF2B5EF4-FFF2-40B4-BE49-F238E27FC236}">
              <a16:creationId xmlns:a16="http://schemas.microsoft.com/office/drawing/2014/main" xmlns="" id="{00000000-0008-0000-00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17878425"/>
          <a:ext cx="1333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66675</xdr:colOff>
      <xdr:row>124</xdr:row>
      <xdr:rowOff>28575</xdr:rowOff>
    </xdr:from>
    <xdr:to>
      <xdr:col>7</xdr:col>
      <xdr:colOff>428625</xdr:colOff>
      <xdr:row>124</xdr:row>
      <xdr:rowOff>171450</xdr:rowOff>
    </xdr:to>
    <xdr:sp macro="" textlink="">
      <xdr:nvSpPr>
        <xdr:cNvPr id="21207" name="AutoShape 1751">
          <a:extLst>
            <a:ext uri="{FF2B5EF4-FFF2-40B4-BE49-F238E27FC236}">
              <a16:creationId xmlns:a16="http://schemas.microsoft.com/office/drawing/2014/main" xmlns="" id="{00000000-0008-0000-0000-0000D7520000}"/>
            </a:ext>
          </a:extLst>
        </xdr:cNvPr>
        <xdr:cNvSpPr>
          <a:spLocks noChangeArrowheads="1"/>
        </xdr:cNvSpPr>
      </xdr:nvSpPr>
      <xdr:spPr bwMode="auto">
        <a:xfrm>
          <a:off x="5191125" y="20173950"/>
          <a:ext cx="361950" cy="142875"/>
        </a:xfrm>
        <a:prstGeom prst="homePlate">
          <a:avLst>
            <a:gd name="adj" fmla="val 0"/>
          </a:avLst>
        </a:prstGeom>
        <a:gradFill rotWithShape="0">
          <a:gsLst>
            <a:gs pos="0">
              <a:srgbClr val="FFFFFF"/>
            </a:gs>
            <a:gs pos="100000">
              <a:srgbClr val="C0C0C0"/>
            </a:gs>
          </a:gsLst>
          <a:lin ang="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algn="l" rtl="0">
            <a:defRPr sz="1000"/>
          </a:pPr>
          <a:r>
            <a:rPr lang="hu-HU" sz="800" b="1" i="0" u="none" strike="noStrike" baseline="0">
              <a:solidFill>
                <a:srgbClr val="000000"/>
              </a:solidFill>
              <a:latin typeface="Arial Unicode MS"/>
            </a:rPr>
            <a:t>  1/4</a:t>
          </a:r>
        </a:p>
      </xdr:txBody>
    </xdr:sp>
    <xdr:clientData/>
  </xdr:twoCellAnchor>
  <xdr:twoCellAnchor editAs="oneCell">
    <xdr:from>
      <xdr:col>7</xdr:col>
      <xdr:colOff>514350</xdr:colOff>
      <xdr:row>124</xdr:row>
      <xdr:rowOff>38100</xdr:rowOff>
    </xdr:from>
    <xdr:to>
      <xdr:col>7</xdr:col>
      <xdr:colOff>647700</xdr:colOff>
      <xdr:row>124</xdr:row>
      <xdr:rowOff>171450</xdr:rowOff>
    </xdr:to>
    <xdr:pic>
      <xdr:nvPicPr>
        <xdr:cNvPr id="1045" name="Picture 1752">
          <a:hlinkClick xmlns:r="http://schemas.openxmlformats.org/officeDocument/2006/relationships" r:id="rId23" tooltip="Gólszerzők rögzítése"/>
          <a:extLst>
            <a:ext uri="{FF2B5EF4-FFF2-40B4-BE49-F238E27FC236}">
              <a16:creationId xmlns:a16="http://schemas.microsoft.com/office/drawing/2014/main" xmlns="" id="{00000000-0008-0000-00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20183475"/>
          <a:ext cx="1333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66675</xdr:colOff>
      <xdr:row>129</xdr:row>
      <xdr:rowOff>28575</xdr:rowOff>
    </xdr:from>
    <xdr:to>
      <xdr:col>7</xdr:col>
      <xdr:colOff>428625</xdr:colOff>
      <xdr:row>129</xdr:row>
      <xdr:rowOff>171450</xdr:rowOff>
    </xdr:to>
    <xdr:sp macro="" textlink="">
      <xdr:nvSpPr>
        <xdr:cNvPr id="21209" name="AutoShape 1753">
          <a:extLst>
            <a:ext uri="{FF2B5EF4-FFF2-40B4-BE49-F238E27FC236}">
              <a16:creationId xmlns:a16="http://schemas.microsoft.com/office/drawing/2014/main" xmlns="" id="{00000000-0008-0000-0000-0000D9520000}"/>
            </a:ext>
          </a:extLst>
        </xdr:cNvPr>
        <xdr:cNvSpPr>
          <a:spLocks noChangeArrowheads="1"/>
        </xdr:cNvSpPr>
      </xdr:nvSpPr>
      <xdr:spPr bwMode="auto">
        <a:xfrm>
          <a:off x="5191125" y="20926425"/>
          <a:ext cx="361950" cy="142875"/>
        </a:xfrm>
        <a:prstGeom prst="homePlate">
          <a:avLst>
            <a:gd name="adj" fmla="val 0"/>
          </a:avLst>
        </a:prstGeom>
        <a:gradFill rotWithShape="0">
          <a:gsLst>
            <a:gs pos="0">
              <a:srgbClr val="FFFFFF"/>
            </a:gs>
            <a:gs pos="100000">
              <a:srgbClr val="C0C0C0"/>
            </a:gs>
          </a:gsLst>
          <a:lin ang="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algn="l" rtl="0">
            <a:defRPr sz="1000"/>
          </a:pPr>
          <a:r>
            <a:rPr lang="hu-HU" sz="800" b="1" i="0" u="none" strike="noStrike" baseline="0">
              <a:solidFill>
                <a:srgbClr val="000000"/>
              </a:solidFill>
              <a:latin typeface="Arial Unicode MS"/>
            </a:rPr>
            <a:t>  4/4</a:t>
          </a:r>
        </a:p>
      </xdr:txBody>
    </xdr:sp>
    <xdr:clientData/>
  </xdr:twoCellAnchor>
  <xdr:twoCellAnchor editAs="oneCell">
    <xdr:from>
      <xdr:col>7</xdr:col>
      <xdr:colOff>514350</xdr:colOff>
      <xdr:row>129</xdr:row>
      <xdr:rowOff>38100</xdr:rowOff>
    </xdr:from>
    <xdr:to>
      <xdr:col>7</xdr:col>
      <xdr:colOff>647700</xdr:colOff>
      <xdr:row>129</xdr:row>
      <xdr:rowOff>171450</xdr:rowOff>
    </xdr:to>
    <xdr:pic>
      <xdr:nvPicPr>
        <xdr:cNvPr id="1047" name="Picture 1754">
          <a:hlinkClick xmlns:r="http://schemas.openxmlformats.org/officeDocument/2006/relationships" r:id="rId25" tooltip="Gólszerzők rögzítése"/>
          <a:extLst>
            <a:ext uri="{FF2B5EF4-FFF2-40B4-BE49-F238E27FC236}">
              <a16:creationId xmlns:a16="http://schemas.microsoft.com/office/drawing/2014/main" xmlns="" id="{00000000-0008-0000-00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20935950"/>
          <a:ext cx="1333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66675</xdr:colOff>
      <xdr:row>130</xdr:row>
      <xdr:rowOff>28575</xdr:rowOff>
    </xdr:from>
    <xdr:to>
      <xdr:col>7</xdr:col>
      <xdr:colOff>428625</xdr:colOff>
      <xdr:row>130</xdr:row>
      <xdr:rowOff>171450</xdr:rowOff>
    </xdr:to>
    <xdr:sp macro="" textlink="">
      <xdr:nvSpPr>
        <xdr:cNvPr id="21211" name="AutoShape 1755">
          <a:extLst>
            <a:ext uri="{FF2B5EF4-FFF2-40B4-BE49-F238E27FC236}">
              <a16:creationId xmlns:a16="http://schemas.microsoft.com/office/drawing/2014/main" xmlns="" id="{00000000-0008-0000-0000-0000DB520000}"/>
            </a:ext>
          </a:extLst>
        </xdr:cNvPr>
        <xdr:cNvSpPr>
          <a:spLocks noChangeArrowheads="1"/>
        </xdr:cNvSpPr>
      </xdr:nvSpPr>
      <xdr:spPr bwMode="auto">
        <a:xfrm>
          <a:off x="5191125" y="21126450"/>
          <a:ext cx="361950" cy="142875"/>
        </a:xfrm>
        <a:prstGeom prst="homePlate">
          <a:avLst>
            <a:gd name="adj" fmla="val 0"/>
          </a:avLst>
        </a:prstGeom>
        <a:gradFill rotWithShape="0">
          <a:gsLst>
            <a:gs pos="0">
              <a:srgbClr val="FFFFFF"/>
            </a:gs>
            <a:gs pos="100000">
              <a:srgbClr val="C0C0C0"/>
            </a:gs>
          </a:gsLst>
          <a:lin ang="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algn="l" rtl="0">
            <a:defRPr sz="1000"/>
          </a:pPr>
          <a:r>
            <a:rPr lang="hu-HU" sz="800" b="1" i="0" u="none" strike="noStrike" baseline="0">
              <a:solidFill>
                <a:srgbClr val="000000"/>
              </a:solidFill>
              <a:latin typeface="Arial Unicode MS"/>
            </a:rPr>
            <a:t>  3/4</a:t>
          </a:r>
        </a:p>
      </xdr:txBody>
    </xdr:sp>
    <xdr:clientData/>
  </xdr:twoCellAnchor>
  <xdr:twoCellAnchor editAs="oneCell">
    <xdr:from>
      <xdr:col>7</xdr:col>
      <xdr:colOff>514350</xdr:colOff>
      <xdr:row>130</xdr:row>
      <xdr:rowOff>38100</xdr:rowOff>
    </xdr:from>
    <xdr:to>
      <xdr:col>7</xdr:col>
      <xdr:colOff>647700</xdr:colOff>
      <xdr:row>130</xdr:row>
      <xdr:rowOff>171450</xdr:rowOff>
    </xdr:to>
    <xdr:pic>
      <xdr:nvPicPr>
        <xdr:cNvPr id="1049" name="Picture 1756">
          <a:hlinkClick xmlns:r="http://schemas.openxmlformats.org/officeDocument/2006/relationships" r:id="rId25" tooltip="Gólszerzők rögzítése"/>
          <a:extLst>
            <a:ext uri="{FF2B5EF4-FFF2-40B4-BE49-F238E27FC236}">
              <a16:creationId xmlns:a16="http://schemas.microsoft.com/office/drawing/2014/main" xmlns="" id="{00000000-0008-0000-00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21135975"/>
          <a:ext cx="1333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66675</xdr:colOff>
      <xdr:row>138</xdr:row>
      <xdr:rowOff>28575</xdr:rowOff>
    </xdr:from>
    <xdr:to>
      <xdr:col>7</xdr:col>
      <xdr:colOff>428625</xdr:colOff>
      <xdr:row>138</xdr:row>
      <xdr:rowOff>171450</xdr:rowOff>
    </xdr:to>
    <xdr:sp macro="" textlink="">
      <xdr:nvSpPr>
        <xdr:cNvPr id="21213" name="AutoShape 1757">
          <a:extLst>
            <a:ext uri="{FF2B5EF4-FFF2-40B4-BE49-F238E27FC236}">
              <a16:creationId xmlns:a16="http://schemas.microsoft.com/office/drawing/2014/main" xmlns="" id="{00000000-0008-0000-0000-0000DD520000}"/>
            </a:ext>
          </a:extLst>
        </xdr:cNvPr>
        <xdr:cNvSpPr>
          <a:spLocks noChangeArrowheads="1"/>
        </xdr:cNvSpPr>
      </xdr:nvSpPr>
      <xdr:spPr bwMode="auto">
        <a:xfrm>
          <a:off x="5191125" y="22479000"/>
          <a:ext cx="361950" cy="142875"/>
        </a:xfrm>
        <a:prstGeom prst="homePlate">
          <a:avLst>
            <a:gd name="adj" fmla="val 0"/>
          </a:avLst>
        </a:prstGeom>
        <a:gradFill rotWithShape="0">
          <a:gsLst>
            <a:gs pos="0">
              <a:srgbClr val="FFFFFF"/>
            </a:gs>
            <a:gs pos="100000">
              <a:srgbClr val="C0C0C0"/>
            </a:gs>
          </a:gsLst>
          <a:lin ang="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algn="l" rtl="0">
            <a:defRPr sz="1000"/>
          </a:pPr>
          <a:r>
            <a:rPr lang="hu-HU" sz="800" b="1" i="0" u="none" strike="noStrike" baseline="0">
              <a:solidFill>
                <a:srgbClr val="000000"/>
              </a:solidFill>
              <a:latin typeface="Arial Unicode MS"/>
            </a:rPr>
            <a:t>  1/2</a:t>
          </a:r>
        </a:p>
      </xdr:txBody>
    </xdr:sp>
    <xdr:clientData/>
  </xdr:twoCellAnchor>
  <xdr:twoCellAnchor editAs="oneCell">
    <xdr:from>
      <xdr:col>7</xdr:col>
      <xdr:colOff>514350</xdr:colOff>
      <xdr:row>138</xdr:row>
      <xdr:rowOff>38100</xdr:rowOff>
    </xdr:from>
    <xdr:to>
      <xdr:col>7</xdr:col>
      <xdr:colOff>647700</xdr:colOff>
      <xdr:row>138</xdr:row>
      <xdr:rowOff>171450</xdr:rowOff>
    </xdr:to>
    <xdr:pic>
      <xdr:nvPicPr>
        <xdr:cNvPr id="1051" name="Picture 1758">
          <a:hlinkClick xmlns:r="http://schemas.openxmlformats.org/officeDocument/2006/relationships" r:id="rId26" tooltip="Gólszerzők rögzítése"/>
          <a:extLst>
            <a:ext uri="{FF2B5EF4-FFF2-40B4-BE49-F238E27FC236}">
              <a16:creationId xmlns:a16="http://schemas.microsoft.com/office/drawing/2014/main" xmlns="" id="{00000000-0008-0000-00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22488525"/>
          <a:ext cx="1333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66675</xdr:colOff>
      <xdr:row>143</xdr:row>
      <xdr:rowOff>28575</xdr:rowOff>
    </xdr:from>
    <xdr:to>
      <xdr:col>7</xdr:col>
      <xdr:colOff>428625</xdr:colOff>
      <xdr:row>143</xdr:row>
      <xdr:rowOff>171450</xdr:rowOff>
    </xdr:to>
    <xdr:sp macro="" textlink="">
      <xdr:nvSpPr>
        <xdr:cNvPr id="21215" name="AutoShape 1759">
          <a:extLst>
            <a:ext uri="{FF2B5EF4-FFF2-40B4-BE49-F238E27FC236}">
              <a16:creationId xmlns:a16="http://schemas.microsoft.com/office/drawing/2014/main" xmlns="" id="{00000000-0008-0000-0000-0000DF520000}"/>
            </a:ext>
          </a:extLst>
        </xdr:cNvPr>
        <xdr:cNvSpPr>
          <a:spLocks noChangeArrowheads="1"/>
        </xdr:cNvSpPr>
      </xdr:nvSpPr>
      <xdr:spPr bwMode="auto">
        <a:xfrm>
          <a:off x="5191125" y="23231475"/>
          <a:ext cx="361950" cy="142875"/>
        </a:xfrm>
        <a:prstGeom prst="homePlate">
          <a:avLst>
            <a:gd name="adj" fmla="val 0"/>
          </a:avLst>
        </a:prstGeom>
        <a:gradFill rotWithShape="0">
          <a:gsLst>
            <a:gs pos="0">
              <a:srgbClr val="FFFFFF"/>
            </a:gs>
            <a:gs pos="100000">
              <a:srgbClr val="C0C0C0"/>
            </a:gs>
          </a:gsLst>
          <a:lin ang="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algn="l" rtl="0">
            <a:defRPr sz="1000"/>
          </a:pPr>
          <a:r>
            <a:rPr lang="hu-HU" sz="800" b="1" i="0" u="none" strike="noStrike" baseline="0">
              <a:solidFill>
                <a:srgbClr val="000000"/>
              </a:solidFill>
              <a:latin typeface="Arial Unicode MS"/>
            </a:rPr>
            <a:t>  2/2</a:t>
          </a:r>
        </a:p>
      </xdr:txBody>
    </xdr:sp>
    <xdr:clientData/>
  </xdr:twoCellAnchor>
  <xdr:twoCellAnchor editAs="oneCell">
    <xdr:from>
      <xdr:col>7</xdr:col>
      <xdr:colOff>514350</xdr:colOff>
      <xdr:row>143</xdr:row>
      <xdr:rowOff>38100</xdr:rowOff>
    </xdr:from>
    <xdr:to>
      <xdr:col>7</xdr:col>
      <xdr:colOff>647700</xdr:colOff>
      <xdr:row>143</xdr:row>
      <xdr:rowOff>171450</xdr:rowOff>
    </xdr:to>
    <xdr:pic>
      <xdr:nvPicPr>
        <xdr:cNvPr id="1053" name="Picture 1760">
          <a:hlinkClick xmlns:r="http://schemas.openxmlformats.org/officeDocument/2006/relationships" r:id="rId26" tooltip="Gólszerzők rögzítése"/>
          <a:extLst>
            <a:ext uri="{FF2B5EF4-FFF2-40B4-BE49-F238E27FC236}">
              <a16:creationId xmlns:a16="http://schemas.microsoft.com/office/drawing/2014/main" xmlns="" id="{00000000-0008-0000-00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23241000"/>
          <a:ext cx="1333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66675</xdr:colOff>
      <xdr:row>151</xdr:row>
      <xdr:rowOff>28575</xdr:rowOff>
    </xdr:from>
    <xdr:to>
      <xdr:col>7</xdr:col>
      <xdr:colOff>428625</xdr:colOff>
      <xdr:row>151</xdr:row>
      <xdr:rowOff>171450</xdr:rowOff>
    </xdr:to>
    <xdr:sp macro="" textlink="">
      <xdr:nvSpPr>
        <xdr:cNvPr id="21217" name="AutoShape 1761">
          <a:extLst>
            <a:ext uri="{FF2B5EF4-FFF2-40B4-BE49-F238E27FC236}">
              <a16:creationId xmlns:a16="http://schemas.microsoft.com/office/drawing/2014/main" xmlns="" id="{00000000-0008-0000-0000-0000E1520000}"/>
            </a:ext>
          </a:extLst>
        </xdr:cNvPr>
        <xdr:cNvSpPr>
          <a:spLocks noChangeArrowheads="1"/>
        </xdr:cNvSpPr>
      </xdr:nvSpPr>
      <xdr:spPr bwMode="auto">
        <a:xfrm>
          <a:off x="5191125" y="24584025"/>
          <a:ext cx="361950" cy="142875"/>
        </a:xfrm>
        <a:prstGeom prst="homePlate">
          <a:avLst>
            <a:gd name="adj" fmla="val 0"/>
          </a:avLst>
        </a:prstGeom>
        <a:gradFill rotWithShape="0">
          <a:gsLst>
            <a:gs pos="0">
              <a:srgbClr val="FFFFFF"/>
            </a:gs>
            <a:gs pos="100000">
              <a:srgbClr val="C0C0C0"/>
            </a:gs>
          </a:gsLst>
          <a:lin ang="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algn="l" rtl="0">
            <a:defRPr sz="1000"/>
          </a:pPr>
          <a:r>
            <a:rPr lang="hu-HU" sz="800" b="1" i="0" u="none" strike="noStrike" baseline="0">
              <a:solidFill>
                <a:srgbClr val="000000"/>
              </a:solidFill>
              <a:latin typeface="Arial Unicode MS"/>
            </a:rPr>
            <a:t>  51.</a:t>
          </a:r>
        </a:p>
      </xdr:txBody>
    </xdr:sp>
    <xdr:clientData/>
  </xdr:twoCellAnchor>
  <xdr:twoCellAnchor editAs="oneCell">
    <xdr:from>
      <xdr:col>7</xdr:col>
      <xdr:colOff>514350</xdr:colOff>
      <xdr:row>151</xdr:row>
      <xdr:rowOff>38100</xdr:rowOff>
    </xdr:from>
    <xdr:to>
      <xdr:col>7</xdr:col>
      <xdr:colOff>647700</xdr:colOff>
      <xdr:row>151</xdr:row>
      <xdr:rowOff>171450</xdr:rowOff>
    </xdr:to>
    <xdr:pic>
      <xdr:nvPicPr>
        <xdr:cNvPr id="1055" name="Picture 1762">
          <a:hlinkClick xmlns:r="http://schemas.openxmlformats.org/officeDocument/2006/relationships" r:id="rId27" tooltip="Gólszerzők rögzítése"/>
          <a:extLst>
            <a:ext uri="{FF2B5EF4-FFF2-40B4-BE49-F238E27FC236}">
              <a16:creationId xmlns:a16="http://schemas.microsoft.com/office/drawing/2014/main" xmlns="" id="{00000000-0008-0000-00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24593550"/>
          <a:ext cx="1333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28575</xdr:colOff>
      <xdr:row>3</xdr:row>
      <xdr:rowOff>0</xdr:rowOff>
    </xdr:to>
    <xdr:grpSp>
      <xdr:nvGrpSpPr>
        <xdr:cNvPr id="1056" name="Csoportba foglalás 2">
          <a:extLst>
            <a:ext uri="{FF2B5EF4-FFF2-40B4-BE49-F238E27FC236}">
              <a16:creationId xmlns:a16="http://schemas.microsoft.com/office/drawing/2014/main" xmlns="" id="{00000000-0008-0000-0000-000020040000}"/>
            </a:ext>
          </a:extLst>
        </xdr:cNvPr>
        <xdr:cNvGrpSpPr>
          <a:grpSpLocks/>
        </xdr:cNvGrpSpPr>
      </xdr:nvGrpSpPr>
      <xdr:grpSpPr bwMode="auto">
        <a:xfrm>
          <a:off x="0" y="0"/>
          <a:ext cx="12001500" cy="361950"/>
          <a:chOff x="0" y="0"/>
          <a:chExt cx="11991975" cy="364644"/>
        </a:xfrm>
      </xdr:grpSpPr>
      <xdr:pic>
        <xdr:nvPicPr>
          <xdr:cNvPr id="1057" name="Picture 1711">
            <a:extLst>
              <a:ext uri="{FF2B5EF4-FFF2-40B4-BE49-F238E27FC236}">
                <a16:creationId xmlns:a16="http://schemas.microsoft.com/office/drawing/2014/main" xmlns="" id="{00000000-0008-0000-0000-000021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1991975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1168" name="AutoShape 1712">
            <a:hlinkClick xmlns:r="http://schemas.openxmlformats.org/officeDocument/2006/relationships" r:id="rId29" tooltip="Tippjáték"/>
            <a:extLst>
              <a:ext uri="{FF2B5EF4-FFF2-40B4-BE49-F238E27FC236}">
                <a16:creationId xmlns:a16="http://schemas.microsoft.com/office/drawing/2014/main" xmlns="" id="{00000000-0008-0000-0000-0000B0520000}"/>
              </a:ext>
            </a:extLst>
          </xdr:cNvPr>
          <xdr:cNvSpPr>
            <a:spLocks noChangeArrowheads="1"/>
          </xdr:cNvSpPr>
        </xdr:nvSpPr>
        <xdr:spPr bwMode="auto">
          <a:xfrm>
            <a:off x="10754708" y="19192"/>
            <a:ext cx="789948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TIPPJÁTÉK</a:t>
            </a:r>
          </a:p>
        </xdr:txBody>
      </xdr:sp>
      <xdr:sp macro="" textlink="">
        <xdr:nvSpPr>
          <xdr:cNvPr id="21169" name="AutoShape 1713">
            <a:hlinkClick xmlns:r="http://schemas.openxmlformats.org/officeDocument/2006/relationships" r:id="rId30" tooltip="Használati ismertető"/>
            <a:extLst>
              <a:ext uri="{FF2B5EF4-FFF2-40B4-BE49-F238E27FC236}">
                <a16:creationId xmlns:a16="http://schemas.microsoft.com/office/drawing/2014/main" xmlns="" id="{00000000-0008-0000-0000-0000B1520000}"/>
              </a:ext>
            </a:extLst>
          </xdr:cNvPr>
          <xdr:cNvSpPr>
            <a:spLocks noChangeArrowheads="1"/>
          </xdr:cNvSpPr>
        </xdr:nvSpPr>
        <xdr:spPr bwMode="auto">
          <a:xfrm>
            <a:off x="11554173" y="19192"/>
            <a:ext cx="437802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SÚGÓ</a:t>
            </a:r>
          </a:p>
        </xdr:txBody>
      </xdr:sp>
      <xdr:pic>
        <xdr:nvPicPr>
          <xdr:cNvPr id="1060" name="Picture 1725" descr="NS-logo_szurke">
            <a:hlinkClick xmlns:r="http://schemas.openxmlformats.org/officeDocument/2006/relationships" r:id="rId31" tooltip="További szurkolói füzetek a Nemzeti Sport honlapján"/>
            <a:extLst>
              <a:ext uri="{FF2B5EF4-FFF2-40B4-BE49-F238E27FC236}">
                <a16:creationId xmlns:a16="http://schemas.microsoft.com/office/drawing/2014/main" xmlns="" id="{00000000-0008-0000-0000-000024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1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7625" y="38384"/>
            <a:ext cx="704850" cy="287877"/>
          </a:xfrm>
          <a:prstGeom prst="rect">
            <a:avLst/>
          </a:prstGeom>
          <a:noFill/>
          <a:ln>
            <a:noFill/>
          </a:ln>
          <a:effectLst>
            <a:outerShdw dist="35921" dir="2700000" algn="ctr" rotWithShape="0">
              <a:srgbClr val="333333"/>
            </a:outerShdw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61" name="Picture 1726">
            <a:extLst>
              <a:ext uri="{FF2B5EF4-FFF2-40B4-BE49-F238E27FC236}">
                <a16:creationId xmlns:a16="http://schemas.microsoft.com/office/drawing/2014/main" xmlns="" id="{00000000-0008-0000-0000-000025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419350" y="38384"/>
            <a:ext cx="981075" cy="287877"/>
          </a:xfrm>
          <a:prstGeom prst="rect">
            <a:avLst/>
          </a:prstGeom>
          <a:noFill/>
          <a:ln>
            <a:noFill/>
          </a:ln>
          <a:effectLst>
            <a:outerShdw dist="35921" dir="2700000" algn="ctr" rotWithShape="0">
              <a:srgbClr val="333333"/>
            </a:outerShdw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1183" name="AutoShape 1727">
            <a:hlinkClick xmlns:r="http://schemas.openxmlformats.org/officeDocument/2006/relationships" r:id="rId34" tooltip="A csoportok állása"/>
            <a:extLst>
              <a:ext uri="{FF2B5EF4-FFF2-40B4-BE49-F238E27FC236}">
                <a16:creationId xmlns:a16="http://schemas.microsoft.com/office/drawing/2014/main" xmlns="" id="{00000000-0008-0000-0000-0000BF520000}"/>
              </a:ext>
            </a:extLst>
          </xdr:cNvPr>
          <xdr:cNvSpPr>
            <a:spLocks noChangeArrowheads="1"/>
          </xdr:cNvSpPr>
        </xdr:nvSpPr>
        <xdr:spPr bwMode="auto">
          <a:xfrm>
            <a:off x="4349470" y="19192"/>
            <a:ext cx="789948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TABELLÁK</a:t>
            </a:r>
          </a:p>
        </xdr:txBody>
      </xdr:sp>
      <xdr:sp macro="" textlink="">
        <xdr:nvSpPr>
          <xdr:cNvPr id="1063" name="AutoShape 1436">
            <a:extLst>
              <a:ext uri="{FF2B5EF4-FFF2-40B4-BE49-F238E27FC236}">
                <a16:creationId xmlns:a16="http://schemas.microsoft.com/office/drawing/2014/main" xmlns="" id="{00000000-0008-0000-0000-00002704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9815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185" name="AutoShape 1729">
            <a:hlinkClick xmlns:r="http://schemas.openxmlformats.org/officeDocument/2006/relationships" r:id="rId35" tooltip="Eredmények rögzítése"/>
            <a:extLst>
              <a:ext uri="{FF2B5EF4-FFF2-40B4-BE49-F238E27FC236}">
                <a16:creationId xmlns:a16="http://schemas.microsoft.com/office/drawing/2014/main" xmlns="" id="{00000000-0008-0000-0000-0000C1520000}"/>
              </a:ext>
            </a:extLst>
          </xdr:cNvPr>
          <xdr:cNvSpPr>
            <a:spLocks noChangeArrowheads="1"/>
          </xdr:cNvSpPr>
        </xdr:nvSpPr>
        <xdr:spPr bwMode="auto">
          <a:xfrm>
            <a:off x="3550005" y="19192"/>
            <a:ext cx="789948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10F3E">
                  <a:alpha val="56000"/>
                </a:srgbClr>
              </a:gs>
              <a:gs pos="100000">
                <a:srgbClr val="009CB3">
                  <a:alpha val="56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FAB65C"/>
                </a:solidFill>
                <a:latin typeface="Arial Unicode MS"/>
              </a:rPr>
              <a:t>EREDMÉNYEK</a:t>
            </a:r>
          </a:p>
        </xdr:txBody>
      </xdr:sp>
      <xdr:sp macro="" textlink="">
        <xdr:nvSpPr>
          <xdr:cNvPr id="1065" name="AutoShape 1436">
            <a:extLst>
              <a:ext uri="{FF2B5EF4-FFF2-40B4-BE49-F238E27FC236}">
                <a16:creationId xmlns:a16="http://schemas.microsoft.com/office/drawing/2014/main" xmlns="" id="{00000000-0008-0000-0000-00002904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1814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FAB65C"/>
              </a:gs>
              <a:gs pos="100000">
                <a:srgbClr val="333333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187" name="AutoShape 1731">
            <a:hlinkClick xmlns:r="http://schemas.openxmlformats.org/officeDocument/2006/relationships" r:id="rId36" tooltip="A legjobb 16 csapat párosításának megtekintése"/>
            <a:extLst>
              <a:ext uri="{FF2B5EF4-FFF2-40B4-BE49-F238E27FC236}">
                <a16:creationId xmlns:a16="http://schemas.microsoft.com/office/drawing/2014/main" xmlns="" id="{00000000-0008-0000-0000-0000C3520000}"/>
              </a:ext>
            </a:extLst>
          </xdr:cNvPr>
          <xdr:cNvSpPr>
            <a:spLocks noChangeArrowheads="1"/>
          </xdr:cNvSpPr>
        </xdr:nvSpPr>
        <xdr:spPr bwMode="auto">
          <a:xfrm>
            <a:off x="5148935" y="19192"/>
            <a:ext cx="789948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ÁGRAJZ</a:t>
            </a:r>
          </a:p>
        </xdr:txBody>
      </xdr:sp>
      <xdr:sp macro="" textlink="">
        <xdr:nvSpPr>
          <xdr:cNvPr id="21188" name="AutoShape 1732">
            <a:hlinkClick xmlns:r="http://schemas.openxmlformats.org/officeDocument/2006/relationships" r:id="rId37" tooltip="Az Európa-bajnokság végeredménye"/>
            <a:extLst>
              <a:ext uri="{FF2B5EF4-FFF2-40B4-BE49-F238E27FC236}">
                <a16:creationId xmlns:a16="http://schemas.microsoft.com/office/drawing/2014/main" xmlns="" id="{00000000-0008-0000-0000-0000C4520000}"/>
              </a:ext>
            </a:extLst>
          </xdr:cNvPr>
          <xdr:cNvSpPr>
            <a:spLocks noChangeArrowheads="1"/>
          </xdr:cNvSpPr>
        </xdr:nvSpPr>
        <xdr:spPr bwMode="auto">
          <a:xfrm>
            <a:off x="5948400" y="19192"/>
            <a:ext cx="79946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RANGSOR</a:t>
            </a:r>
          </a:p>
        </xdr:txBody>
      </xdr:sp>
      <xdr:sp macro="" textlink="">
        <xdr:nvSpPr>
          <xdr:cNvPr id="21189" name="AutoShape 1733">
            <a:hlinkClick xmlns:r="http://schemas.openxmlformats.org/officeDocument/2006/relationships" r:id="rId38" tooltip="Gólszerzők rögzítése"/>
            <a:extLst>
              <a:ext uri="{FF2B5EF4-FFF2-40B4-BE49-F238E27FC236}">
                <a16:creationId xmlns:a16="http://schemas.microsoft.com/office/drawing/2014/main" xmlns="" id="{00000000-0008-0000-0000-0000C5520000}"/>
              </a:ext>
            </a:extLst>
          </xdr:cNvPr>
          <xdr:cNvSpPr>
            <a:spLocks noChangeArrowheads="1"/>
          </xdr:cNvSpPr>
        </xdr:nvSpPr>
        <xdr:spPr bwMode="auto">
          <a:xfrm>
            <a:off x="6757383" y="19192"/>
            <a:ext cx="789948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GÓLSZERZŐK</a:t>
            </a:r>
          </a:p>
        </xdr:txBody>
      </xdr:sp>
      <xdr:sp macro="" textlink="">
        <xdr:nvSpPr>
          <xdr:cNvPr id="21190" name="AutoShape 1734">
            <a:hlinkClick xmlns:r="http://schemas.openxmlformats.org/officeDocument/2006/relationships" r:id="rId39" tooltip="Góllövőlista megtekintése"/>
            <a:extLst>
              <a:ext uri="{FF2B5EF4-FFF2-40B4-BE49-F238E27FC236}">
                <a16:creationId xmlns:a16="http://schemas.microsoft.com/office/drawing/2014/main" xmlns="" id="{00000000-0008-0000-0000-0000C6520000}"/>
              </a:ext>
            </a:extLst>
          </xdr:cNvPr>
          <xdr:cNvSpPr>
            <a:spLocks noChangeArrowheads="1"/>
          </xdr:cNvSpPr>
        </xdr:nvSpPr>
        <xdr:spPr bwMode="auto">
          <a:xfrm>
            <a:off x="7556848" y="19192"/>
            <a:ext cx="789948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GÓLLÖVŐ</a:t>
            </a:r>
          </a:p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LISTA</a:t>
            </a:r>
          </a:p>
        </xdr:txBody>
      </xdr:sp>
      <xdr:sp macro="" textlink="">
        <xdr:nvSpPr>
          <xdr:cNvPr id="21191" name="AutoShape 1735">
            <a:hlinkClick xmlns:r="http://schemas.openxmlformats.org/officeDocument/2006/relationships" r:id="rId40" tooltip="A csoportok beosztása"/>
            <a:extLst>
              <a:ext uri="{FF2B5EF4-FFF2-40B4-BE49-F238E27FC236}">
                <a16:creationId xmlns:a16="http://schemas.microsoft.com/office/drawing/2014/main" xmlns="" id="{00000000-0008-0000-0000-0000C7520000}"/>
              </a:ext>
            </a:extLst>
          </xdr:cNvPr>
          <xdr:cNvSpPr>
            <a:spLocks noChangeArrowheads="1"/>
          </xdr:cNvSpPr>
        </xdr:nvSpPr>
        <xdr:spPr bwMode="auto">
          <a:xfrm>
            <a:off x="8356313" y="19192"/>
            <a:ext cx="789948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CSOPORTOK</a:t>
            </a:r>
          </a:p>
        </xdr:txBody>
      </xdr:sp>
      <xdr:sp macro="" textlink="">
        <xdr:nvSpPr>
          <xdr:cNvPr id="21192" name="AutoShape 1736">
            <a:hlinkClick xmlns:r="http://schemas.openxmlformats.org/officeDocument/2006/relationships" r:id="rId41" tooltip="A csapatok összeállítása"/>
            <a:extLst>
              <a:ext uri="{FF2B5EF4-FFF2-40B4-BE49-F238E27FC236}">
                <a16:creationId xmlns:a16="http://schemas.microsoft.com/office/drawing/2014/main" xmlns="" id="{00000000-0008-0000-0000-0000C8520000}"/>
              </a:ext>
            </a:extLst>
          </xdr:cNvPr>
          <xdr:cNvSpPr>
            <a:spLocks noChangeArrowheads="1"/>
          </xdr:cNvSpPr>
        </xdr:nvSpPr>
        <xdr:spPr bwMode="auto">
          <a:xfrm>
            <a:off x="9155778" y="19192"/>
            <a:ext cx="789948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CSAPATOK</a:t>
            </a:r>
          </a:p>
        </xdr:txBody>
      </xdr:sp>
      <xdr:sp macro="" textlink="">
        <xdr:nvSpPr>
          <xdr:cNvPr id="21193" name="AutoShape 1737">
            <a:hlinkClick xmlns:r="http://schemas.openxmlformats.org/officeDocument/2006/relationships" r:id="rId42" tooltip="Helyszínek és stadionok"/>
            <a:extLst>
              <a:ext uri="{FF2B5EF4-FFF2-40B4-BE49-F238E27FC236}">
                <a16:creationId xmlns:a16="http://schemas.microsoft.com/office/drawing/2014/main" xmlns="" id="{00000000-0008-0000-0000-0000C9520000}"/>
              </a:ext>
            </a:extLst>
          </xdr:cNvPr>
          <xdr:cNvSpPr>
            <a:spLocks noChangeArrowheads="1"/>
          </xdr:cNvSpPr>
        </xdr:nvSpPr>
        <xdr:spPr bwMode="auto">
          <a:xfrm>
            <a:off x="9955243" y="19192"/>
            <a:ext cx="789948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HELYSZÍNEK</a:t>
            </a:r>
          </a:p>
        </xdr:txBody>
      </xdr:sp>
      <xdr:sp macro="" textlink="">
        <xdr:nvSpPr>
          <xdr:cNvPr id="1073" name="AutoShape 1436">
            <a:extLst>
              <a:ext uri="{FF2B5EF4-FFF2-40B4-BE49-F238E27FC236}">
                <a16:creationId xmlns:a16="http://schemas.microsoft.com/office/drawing/2014/main" xmlns="" id="{00000000-0008-0000-0000-00003104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97821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74" name="AutoShape 1436">
            <a:extLst>
              <a:ext uri="{FF2B5EF4-FFF2-40B4-BE49-F238E27FC236}">
                <a16:creationId xmlns:a16="http://schemas.microsoft.com/office/drawing/2014/main" xmlns="" id="{00000000-0008-0000-0000-00003204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13823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75" name="AutoShape 1436">
            <a:extLst>
              <a:ext uri="{FF2B5EF4-FFF2-40B4-BE49-F238E27FC236}">
                <a16:creationId xmlns:a16="http://schemas.microsoft.com/office/drawing/2014/main" xmlns="" id="{00000000-0008-0000-0000-00003304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5822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76" name="AutoShape 1436">
            <a:extLst>
              <a:ext uri="{FF2B5EF4-FFF2-40B4-BE49-F238E27FC236}">
                <a16:creationId xmlns:a16="http://schemas.microsoft.com/office/drawing/2014/main" xmlns="" id="{00000000-0008-0000-0000-00003404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73818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77" name="AutoShape 1436">
            <a:extLst>
              <a:ext uri="{FF2B5EF4-FFF2-40B4-BE49-F238E27FC236}">
                <a16:creationId xmlns:a16="http://schemas.microsoft.com/office/drawing/2014/main" xmlns="" id="{00000000-0008-0000-0000-00003504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89820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78" name="AutoShape 1436">
            <a:extLst>
              <a:ext uri="{FF2B5EF4-FFF2-40B4-BE49-F238E27FC236}">
                <a16:creationId xmlns:a16="http://schemas.microsoft.com/office/drawing/2014/main" xmlns="" id="{00000000-0008-0000-0000-00003604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5817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79" name="AutoShape 1436">
            <a:extLst>
              <a:ext uri="{FF2B5EF4-FFF2-40B4-BE49-F238E27FC236}">
                <a16:creationId xmlns:a16="http://schemas.microsoft.com/office/drawing/2014/main" xmlns="" id="{00000000-0008-0000-0000-00003704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7816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80" name="AutoShape 1436">
            <a:extLst>
              <a:ext uri="{FF2B5EF4-FFF2-40B4-BE49-F238E27FC236}">
                <a16:creationId xmlns:a16="http://schemas.microsoft.com/office/drawing/2014/main" xmlns="" id="{00000000-0008-0000-0000-00003804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1830050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81" name="AutoShape 1436">
            <a:extLst>
              <a:ext uri="{FF2B5EF4-FFF2-40B4-BE49-F238E27FC236}">
                <a16:creationId xmlns:a16="http://schemas.microsoft.com/office/drawing/2014/main" xmlns="" id="{00000000-0008-0000-0000-00003904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81819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pic>
        <xdr:nvPicPr>
          <xdr:cNvPr id="1082" name="Kép 1">
            <a:hlinkClick xmlns:r="http://schemas.openxmlformats.org/officeDocument/2006/relationships" r:id="rId43" tooltip="Mail to Gyworks"/>
            <a:extLst>
              <a:ext uri="{FF2B5EF4-FFF2-40B4-BE49-F238E27FC236}">
                <a16:creationId xmlns:a16="http://schemas.microsoft.com/office/drawing/2014/main" xmlns="" id="{00000000-0008-0000-0000-00003A04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6300" y="47625"/>
            <a:ext cx="1383912" cy="31701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5</xdr:row>
      <xdr:rowOff>47625</xdr:rowOff>
    </xdr:from>
    <xdr:to>
      <xdr:col>3</xdr:col>
      <xdr:colOff>1304925</xdr:colOff>
      <xdr:row>5</xdr:row>
      <xdr:rowOff>571500</xdr:rowOff>
    </xdr:to>
    <xdr:sp macro="" textlink="">
      <xdr:nvSpPr>
        <xdr:cNvPr id="19560" name="Text Box 104">
          <a:extLst>
            <a:ext uri="{FF2B5EF4-FFF2-40B4-BE49-F238E27FC236}">
              <a16:creationId xmlns:a16="http://schemas.microsoft.com/office/drawing/2014/main" xmlns="" id="{00000000-0008-0000-0900-0000684C0000}"/>
            </a:ext>
          </a:extLst>
        </xdr:cNvPr>
        <xdr:cNvSpPr txBox="1">
          <a:spLocks noChangeArrowheads="1"/>
        </xdr:cNvSpPr>
      </xdr:nvSpPr>
      <xdr:spPr bwMode="auto">
        <a:xfrm>
          <a:off x="447675" y="628650"/>
          <a:ext cx="1304925" cy="52387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hu-HU" sz="1400" b="1" i="0" u="none" strike="noStrike" baseline="0">
              <a:solidFill>
                <a:srgbClr val="000000"/>
              </a:solidFill>
              <a:latin typeface="Arial Unicode MS"/>
            </a:rPr>
            <a:t>A TIPPJÁTÉK</a:t>
          </a:r>
        </a:p>
        <a:p>
          <a:pPr algn="l" rtl="0">
            <a:defRPr sz="1000"/>
          </a:pPr>
          <a:r>
            <a:rPr lang="hu-HU" sz="1400" b="1" i="0" u="none" strike="noStrike" baseline="0">
              <a:solidFill>
                <a:srgbClr val="000000"/>
              </a:solidFill>
              <a:latin typeface="Arial Unicode MS"/>
            </a:rPr>
            <a:t>ÁLLÁSA:</a:t>
          </a:r>
        </a:p>
      </xdr:txBody>
    </xdr:sp>
    <xdr:clientData/>
  </xdr:twoCellAnchor>
  <xdr:twoCellAnchor editAs="oneCell">
    <xdr:from>
      <xdr:col>9</xdr:col>
      <xdr:colOff>38100</xdr:colOff>
      <xdr:row>3</xdr:row>
      <xdr:rowOff>9525</xdr:rowOff>
    </xdr:from>
    <xdr:to>
      <xdr:col>37</xdr:col>
      <xdr:colOff>209550</xdr:colOff>
      <xdr:row>4</xdr:row>
      <xdr:rowOff>19050</xdr:rowOff>
    </xdr:to>
    <xdr:grpSp>
      <xdr:nvGrpSpPr>
        <xdr:cNvPr id="19558" name="Group 178">
          <a:extLst>
            <a:ext uri="{FF2B5EF4-FFF2-40B4-BE49-F238E27FC236}">
              <a16:creationId xmlns:a16="http://schemas.microsoft.com/office/drawing/2014/main" xmlns="" id="{00000000-0008-0000-0900-0000664C0000}"/>
            </a:ext>
          </a:extLst>
        </xdr:cNvPr>
        <xdr:cNvGrpSpPr>
          <a:grpSpLocks/>
        </xdr:cNvGrpSpPr>
      </xdr:nvGrpSpPr>
      <xdr:grpSpPr bwMode="auto">
        <a:xfrm>
          <a:off x="3286125" y="371475"/>
          <a:ext cx="8705850" cy="161925"/>
          <a:chOff x="88" y="53"/>
          <a:chExt cx="914" cy="17"/>
        </a:xfrm>
      </xdr:grpSpPr>
      <xdr:sp macro="" textlink="">
        <xdr:nvSpPr>
          <xdr:cNvPr id="4" name="Text Box 107">
            <a:extLst>
              <a:ext uri="{FF2B5EF4-FFF2-40B4-BE49-F238E27FC236}">
                <a16:creationId xmlns:a16="http://schemas.microsoft.com/office/drawing/2014/main" xmlns="" id="{00000000-0008-0000-09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8" y="55"/>
            <a:ext cx="122" cy="1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r" rtl="0">
              <a:defRPr sz="1000"/>
            </a:pPr>
            <a:r>
              <a:rPr lang="hu-HU" sz="600" b="0" i="0" u="none" strike="noStrike" baseline="0">
                <a:solidFill>
                  <a:srgbClr val="FFFFFF"/>
                </a:solidFill>
                <a:latin typeface="Arial Unicode MS"/>
              </a:rPr>
              <a:t>LAPOZÁS KATTINTÁSSAL:</a:t>
            </a:r>
          </a:p>
        </xdr:txBody>
      </xdr:sp>
      <xdr:grpSp>
        <xdr:nvGrpSpPr>
          <xdr:cNvPr id="19587" name="Group 177">
            <a:extLst>
              <a:ext uri="{FF2B5EF4-FFF2-40B4-BE49-F238E27FC236}">
                <a16:creationId xmlns:a16="http://schemas.microsoft.com/office/drawing/2014/main" xmlns="" id="{00000000-0008-0000-0900-0000834C0000}"/>
              </a:ext>
            </a:extLst>
          </xdr:cNvPr>
          <xdr:cNvGrpSpPr>
            <a:grpSpLocks/>
          </xdr:cNvGrpSpPr>
        </xdr:nvGrpSpPr>
        <xdr:grpSpPr bwMode="auto">
          <a:xfrm>
            <a:off x="215" y="53"/>
            <a:ext cx="787" cy="15"/>
            <a:chOff x="215" y="53"/>
            <a:chExt cx="787" cy="15"/>
          </a:xfrm>
        </xdr:grpSpPr>
        <xdr:sp macro="" textlink="">
          <xdr:nvSpPr>
            <xdr:cNvPr id="19562" name="Text Box 106">
              <a:hlinkClick xmlns:r="http://schemas.openxmlformats.org/officeDocument/2006/relationships" r:id="rId1" tooltip="1. csoportkör tippjei"/>
              <a:extLst>
                <a:ext uri="{FF2B5EF4-FFF2-40B4-BE49-F238E27FC236}">
                  <a16:creationId xmlns:a16="http://schemas.microsoft.com/office/drawing/2014/main" xmlns="" id="{00000000-0008-0000-0900-00006A4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5" y="53"/>
              <a:ext cx="106" cy="15"/>
            </a:xfrm>
            <a:prstGeom prst="rect">
              <a:avLst/>
            </a:prstGeom>
            <a:noFill/>
            <a:ln>
              <a:noFill/>
            </a:ln>
            <a:effectLst/>
          </xdr:spPr>
          <xdr:txBody>
            <a:bodyPr vertOverflow="clip" wrap="square" lIns="0" tIns="1800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1. CSOPORTKÖR</a:t>
              </a:r>
            </a:p>
          </xdr:txBody>
        </xdr:sp>
        <xdr:sp macro="" textlink="">
          <xdr:nvSpPr>
            <xdr:cNvPr id="5" name="Text Box 108">
              <a:hlinkClick xmlns:r="http://schemas.openxmlformats.org/officeDocument/2006/relationships" r:id="rId2" tooltip="2. csoportkör tippjei"/>
              <a:extLst>
                <a:ext uri="{FF2B5EF4-FFF2-40B4-BE49-F238E27FC236}">
                  <a16:creationId xmlns:a16="http://schemas.microsoft.com/office/drawing/2014/main" xmlns="" id="{00000000-0008-0000-0900-000005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25" y="53"/>
              <a:ext cx="106" cy="15"/>
            </a:xfrm>
            <a:prstGeom prst="rect">
              <a:avLst/>
            </a:prstGeom>
            <a:noFill/>
            <a:ln>
              <a:noFill/>
            </a:ln>
            <a:effectLst/>
          </xdr:spPr>
          <xdr:txBody>
            <a:bodyPr vertOverflow="clip" wrap="square" lIns="0" tIns="1800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2. CSOPORTKÖR</a:t>
              </a:r>
            </a:p>
          </xdr:txBody>
        </xdr:sp>
        <xdr:sp macro="" textlink="">
          <xdr:nvSpPr>
            <xdr:cNvPr id="19565" name="Text Box 109">
              <a:hlinkClick xmlns:r="http://schemas.openxmlformats.org/officeDocument/2006/relationships" r:id="rId3" tooltip="3. csoportkör tippjei"/>
              <a:extLst>
                <a:ext uri="{FF2B5EF4-FFF2-40B4-BE49-F238E27FC236}">
                  <a16:creationId xmlns:a16="http://schemas.microsoft.com/office/drawing/2014/main" xmlns="" id="{00000000-0008-0000-0900-00006D4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35" y="53"/>
              <a:ext cx="106" cy="15"/>
            </a:xfrm>
            <a:prstGeom prst="rect">
              <a:avLst/>
            </a:prstGeom>
            <a:noFill/>
            <a:ln>
              <a:noFill/>
            </a:ln>
            <a:effectLst/>
          </xdr:spPr>
          <xdr:txBody>
            <a:bodyPr vertOverflow="clip" wrap="square" lIns="0" tIns="1800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3. CSOPORTKÖR</a:t>
              </a:r>
            </a:p>
          </xdr:txBody>
        </xdr:sp>
        <xdr:sp macro="" textlink="">
          <xdr:nvSpPr>
            <xdr:cNvPr id="6" name="Text Box 110">
              <a:hlinkClick xmlns:r="http://schemas.openxmlformats.org/officeDocument/2006/relationships" r:id="rId4" tooltip="Negyeddöntők tippjei"/>
              <a:extLst>
                <a:ext uri="{FF2B5EF4-FFF2-40B4-BE49-F238E27FC236}">
                  <a16:creationId xmlns:a16="http://schemas.microsoft.com/office/drawing/2014/main" xmlns="" id="{00000000-0008-0000-0900-000006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628" y="53"/>
              <a:ext cx="79" cy="15"/>
            </a:xfrm>
            <a:prstGeom prst="rect">
              <a:avLst/>
            </a:prstGeom>
            <a:noFill/>
            <a:ln>
              <a:noFill/>
            </a:ln>
            <a:effectLst/>
          </xdr:spPr>
          <xdr:txBody>
            <a:bodyPr vertOverflow="clip" wrap="square" lIns="0" tIns="1800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2/4 DÖNTŐK</a:t>
              </a:r>
            </a:p>
          </xdr:txBody>
        </xdr:sp>
        <xdr:sp macro="" textlink="">
          <xdr:nvSpPr>
            <xdr:cNvPr id="19567" name="Text Box 111">
              <a:hlinkClick xmlns:r="http://schemas.openxmlformats.org/officeDocument/2006/relationships" r:id="rId5" tooltip="Elődöntők és a döntő tippjei"/>
              <a:extLst>
                <a:ext uri="{FF2B5EF4-FFF2-40B4-BE49-F238E27FC236}">
                  <a16:creationId xmlns:a16="http://schemas.microsoft.com/office/drawing/2014/main" xmlns="" id="{00000000-0008-0000-0900-00006F4C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711" y="53"/>
              <a:ext cx="132" cy="15"/>
            </a:xfrm>
            <a:prstGeom prst="rect">
              <a:avLst/>
            </a:prstGeom>
            <a:noFill/>
            <a:ln>
              <a:noFill/>
            </a:ln>
            <a:effectLst/>
          </xdr:spPr>
          <xdr:txBody>
            <a:bodyPr vertOverflow="clip" wrap="square" lIns="0" tIns="1800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1/2 DÖNTŐK – DÖNTŐ</a:t>
              </a:r>
            </a:p>
          </xdr:txBody>
        </xdr:sp>
        <xdr:sp macro="" textlink="">
          <xdr:nvSpPr>
            <xdr:cNvPr id="7" name="Text Box 112">
              <a:hlinkClick xmlns:r="http://schemas.openxmlformats.org/officeDocument/2006/relationships" r:id="rId6" tooltip="Nyolcaddöntők tippjei"/>
              <a:extLst>
                <a:ext uri="{FF2B5EF4-FFF2-40B4-BE49-F238E27FC236}">
                  <a16:creationId xmlns:a16="http://schemas.microsoft.com/office/drawing/2014/main" xmlns="" id="{00000000-0008-0000-0900-00000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45" y="53"/>
              <a:ext cx="79" cy="15"/>
            </a:xfrm>
            <a:prstGeom prst="rect">
              <a:avLst/>
            </a:prstGeom>
            <a:noFill/>
            <a:ln>
              <a:noFill/>
            </a:ln>
            <a:effectLst/>
          </xdr:spPr>
          <xdr:txBody>
            <a:bodyPr vertOverflow="clip" wrap="square" lIns="0" tIns="1800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4/8 DÖNTŐK</a:t>
              </a:r>
            </a:p>
          </xdr:txBody>
        </xdr:sp>
        <xdr:sp macro="" textlink="">
          <xdr:nvSpPr>
            <xdr:cNvPr id="8" name="Text Box 113">
              <a:hlinkClick xmlns:r="http://schemas.openxmlformats.org/officeDocument/2006/relationships" r:id="rId7" tooltip="A tipjjáték állása, tabellája"/>
              <a:extLst>
                <a:ext uri="{FF2B5EF4-FFF2-40B4-BE49-F238E27FC236}">
                  <a16:creationId xmlns:a16="http://schemas.microsoft.com/office/drawing/2014/main" xmlns="" id="{00000000-0008-0000-0900-000008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847" y="53"/>
              <a:ext cx="64" cy="15"/>
            </a:xfrm>
            <a:prstGeom prst="rect">
              <a:avLst/>
            </a:prstGeom>
            <a:noFill/>
            <a:ln>
              <a:noFill/>
            </a:ln>
            <a:effectLst/>
          </xdr:spPr>
          <xdr:txBody>
            <a:bodyPr vertOverflow="clip" wrap="square" lIns="0" tIns="18000" rIns="0" bIns="0" anchor="ctr" upright="1"/>
            <a:lstStyle/>
            <a:p>
              <a:pPr algn="ctr" rtl="0">
                <a:defRPr sz="1000"/>
              </a:pPr>
              <a:r>
                <a:rPr lang="hu-HU" sz="700" b="1" i="0" u="none" strike="noStrike" baseline="0">
                  <a:solidFill>
                    <a:srgbClr val="FAB65C"/>
                  </a:solidFill>
                  <a:latin typeface="Arial Unicode MS"/>
                </a:rPr>
                <a:t>TABELLA</a:t>
              </a:r>
            </a:p>
          </xdr:txBody>
        </xdr:sp>
        <xdr:sp macro="" textlink="">
          <xdr:nvSpPr>
            <xdr:cNvPr id="9" name="Text Box 114">
              <a:hlinkClick xmlns:r="http://schemas.openxmlformats.org/officeDocument/2006/relationships" r:id="rId8" tooltip="Tippverseny pontozásának és résztvevőinek beállítása"/>
              <a:extLst>
                <a:ext uri="{FF2B5EF4-FFF2-40B4-BE49-F238E27FC236}">
                  <a16:creationId xmlns:a16="http://schemas.microsoft.com/office/drawing/2014/main" xmlns="" id="{00000000-0008-0000-0900-000009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915" y="53"/>
              <a:ext cx="87" cy="15"/>
            </a:xfrm>
            <a:prstGeom prst="rect">
              <a:avLst/>
            </a:prstGeom>
            <a:noFill/>
            <a:ln>
              <a:noFill/>
            </a:ln>
            <a:effectLst/>
          </xdr:spPr>
          <xdr:txBody>
            <a:bodyPr vertOverflow="clip" wrap="square" lIns="0" tIns="18000" rIns="0" bIns="0" anchor="ctr" upright="1"/>
            <a:lstStyle/>
            <a:p>
              <a:pPr algn="ctr" rtl="0">
                <a:defRPr sz="1000"/>
              </a:pPr>
              <a:r>
                <a:rPr lang="hu-HU" sz="700" b="1" i="0" u="none" strike="noStrike" baseline="0">
                  <a:solidFill>
                    <a:srgbClr val="FAB65C"/>
                  </a:solidFill>
                  <a:latin typeface="Arial Unicode MS"/>
                </a:rPr>
                <a:t>BEÁLLÍTÁSOK</a:t>
              </a:r>
            </a:p>
          </xdr:txBody>
        </xdr:sp>
      </xdr:grp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37</xdr:col>
      <xdr:colOff>209550</xdr:colOff>
      <xdr:row>3</xdr:row>
      <xdr:rowOff>0</xdr:rowOff>
    </xdr:to>
    <xdr:grpSp>
      <xdr:nvGrpSpPr>
        <xdr:cNvPr id="19559" name="Csoportba foglalás 2">
          <a:extLst>
            <a:ext uri="{FF2B5EF4-FFF2-40B4-BE49-F238E27FC236}">
              <a16:creationId xmlns:a16="http://schemas.microsoft.com/office/drawing/2014/main" xmlns="" id="{00000000-0008-0000-0900-0000674C0000}"/>
            </a:ext>
          </a:extLst>
        </xdr:cNvPr>
        <xdr:cNvGrpSpPr>
          <a:grpSpLocks/>
        </xdr:cNvGrpSpPr>
      </xdr:nvGrpSpPr>
      <xdr:grpSpPr bwMode="auto">
        <a:xfrm>
          <a:off x="0" y="0"/>
          <a:ext cx="11991975" cy="361950"/>
          <a:chOff x="0" y="0"/>
          <a:chExt cx="11991975" cy="364644"/>
        </a:xfrm>
      </xdr:grpSpPr>
      <xdr:pic>
        <xdr:nvPicPr>
          <xdr:cNvPr id="2" name="Picture 1711">
            <a:extLst>
              <a:ext uri="{FF2B5EF4-FFF2-40B4-BE49-F238E27FC236}">
                <a16:creationId xmlns:a16="http://schemas.microsoft.com/office/drawing/2014/main" xmlns="" id="{00000000-0008-0000-0900-00000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1991975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9571" name="AutoShape 1712">
            <a:hlinkClick xmlns:r="http://schemas.openxmlformats.org/officeDocument/2006/relationships" r:id="rId10" tooltip="Tippjáték"/>
            <a:extLst>
              <a:ext uri="{FF2B5EF4-FFF2-40B4-BE49-F238E27FC236}">
                <a16:creationId xmlns:a16="http://schemas.microsoft.com/office/drawing/2014/main" xmlns="" id="{00000000-0008-0000-0900-0000734C0000}"/>
              </a:ext>
            </a:extLst>
          </xdr:cNvPr>
          <xdr:cNvSpPr>
            <a:spLocks noChangeArrowheads="1"/>
          </xdr:cNvSpPr>
        </xdr:nvSpPr>
        <xdr:spPr bwMode="auto">
          <a:xfrm>
            <a:off x="107537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10F3E">
                  <a:alpha val="56000"/>
                </a:srgbClr>
              </a:gs>
              <a:gs pos="100000">
                <a:srgbClr val="009CB3">
                  <a:alpha val="56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FAB65C"/>
                </a:solidFill>
                <a:latin typeface="Arial Unicode MS"/>
              </a:rPr>
              <a:t>TIPPJÁTÉK</a:t>
            </a:r>
          </a:p>
        </xdr:txBody>
      </xdr:sp>
      <xdr:sp macro="" textlink="">
        <xdr:nvSpPr>
          <xdr:cNvPr id="21169" name="AutoShape 1713">
            <a:hlinkClick xmlns:r="http://schemas.openxmlformats.org/officeDocument/2006/relationships" r:id="rId11" tooltip="Használati ismertető"/>
            <a:extLst>
              <a:ext uri="{FF2B5EF4-FFF2-40B4-BE49-F238E27FC236}">
                <a16:creationId xmlns:a16="http://schemas.microsoft.com/office/drawing/2014/main" xmlns="" id="{00000000-0008-0000-0900-0000B1520000}"/>
              </a:ext>
            </a:extLst>
          </xdr:cNvPr>
          <xdr:cNvSpPr>
            <a:spLocks noChangeArrowheads="1"/>
          </xdr:cNvSpPr>
        </xdr:nvSpPr>
        <xdr:spPr bwMode="auto">
          <a:xfrm>
            <a:off x="11553825" y="19192"/>
            <a:ext cx="438150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SÚGÓ</a:t>
            </a:r>
          </a:p>
        </xdr:txBody>
      </xdr:sp>
      <xdr:pic>
        <xdr:nvPicPr>
          <xdr:cNvPr id="19563" name="Picture 1725" descr="NS-logo_szurke">
            <a:hlinkClick xmlns:r="http://schemas.openxmlformats.org/officeDocument/2006/relationships" r:id="rId12" tooltip="További szurkolói füzetek a Nemzeti Sport honlapján"/>
            <a:extLst>
              <a:ext uri="{FF2B5EF4-FFF2-40B4-BE49-F238E27FC236}">
                <a16:creationId xmlns:a16="http://schemas.microsoft.com/office/drawing/2014/main" xmlns="" id="{00000000-0008-0000-0900-00006B4C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1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7625" y="38384"/>
            <a:ext cx="704850" cy="287877"/>
          </a:xfrm>
          <a:prstGeom prst="rect">
            <a:avLst/>
          </a:prstGeom>
          <a:noFill/>
          <a:ln>
            <a:noFill/>
          </a:ln>
          <a:effectLst>
            <a:outerShdw dist="35921" dir="2700000" algn="ctr" rotWithShape="0">
              <a:srgbClr val="333333"/>
            </a:outerShdw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564" name="Picture 1726">
            <a:extLst>
              <a:ext uri="{FF2B5EF4-FFF2-40B4-BE49-F238E27FC236}">
                <a16:creationId xmlns:a16="http://schemas.microsoft.com/office/drawing/2014/main" xmlns="" id="{00000000-0008-0000-0900-00006C4C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419350" y="38384"/>
            <a:ext cx="981075" cy="287877"/>
          </a:xfrm>
          <a:prstGeom prst="rect">
            <a:avLst/>
          </a:prstGeom>
          <a:noFill/>
          <a:ln>
            <a:noFill/>
          </a:ln>
          <a:effectLst>
            <a:outerShdw dist="35921" dir="2700000" algn="ctr" rotWithShape="0">
              <a:srgbClr val="333333"/>
            </a:outerShdw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1183" name="AutoShape 1727">
            <a:hlinkClick xmlns:r="http://schemas.openxmlformats.org/officeDocument/2006/relationships" r:id="rId15" tooltip="A csoportok állása"/>
            <a:extLst>
              <a:ext uri="{FF2B5EF4-FFF2-40B4-BE49-F238E27FC236}">
                <a16:creationId xmlns:a16="http://schemas.microsoft.com/office/drawing/2014/main" xmlns="" id="{00000000-0008-0000-0900-0000BF520000}"/>
              </a:ext>
            </a:extLst>
          </xdr:cNvPr>
          <xdr:cNvSpPr>
            <a:spLocks noChangeArrowheads="1"/>
          </xdr:cNvSpPr>
        </xdr:nvSpPr>
        <xdr:spPr bwMode="auto">
          <a:xfrm>
            <a:off x="43529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TABELLÁK</a:t>
            </a:r>
          </a:p>
        </xdr:txBody>
      </xdr:sp>
      <xdr:sp macro="" textlink="">
        <xdr:nvSpPr>
          <xdr:cNvPr id="19566" name="AutoShape 1436">
            <a:extLst>
              <a:ext uri="{FF2B5EF4-FFF2-40B4-BE49-F238E27FC236}">
                <a16:creationId xmlns:a16="http://schemas.microsoft.com/office/drawing/2014/main" xmlns="" id="{00000000-0008-0000-0900-00006E4C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9815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577" name="AutoShape 1729">
            <a:hlinkClick xmlns:r="http://schemas.openxmlformats.org/officeDocument/2006/relationships" r:id="rId16" tooltip="Eredmények rögzítése"/>
            <a:extLst>
              <a:ext uri="{FF2B5EF4-FFF2-40B4-BE49-F238E27FC236}">
                <a16:creationId xmlns:a16="http://schemas.microsoft.com/office/drawing/2014/main" xmlns="" id="{00000000-0008-0000-0900-0000794C0000}"/>
              </a:ext>
            </a:extLst>
          </xdr:cNvPr>
          <xdr:cNvSpPr>
            <a:spLocks noChangeArrowheads="1"/>
          </xdr:cNvSpPr>
        </xdr:nvSpPr>
        <xdr:spPr bwMode="auto">
          <a:xfrm>
            <a:off x="35528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EREDMÉNYEK</a:t>
            </a:r>
          </a:p>
        </xdr:txBody>
      </xdr:sp>
      <xdr:sp macro="" textlink="">
        <xdr:nvSpPr>
          <xdr:cNvPr id="19568" name="AutoShape 1436">
            <a:extLst>
              <a:ext uri="{FF2B5EF4-FFF2-40B4-BE49-F238E27FC236}">
                <a16:creationId xmlns:a16="http://schemas.microsoft.com/office/drawing/2014/main" xmlns="" id="{00000000-0008-0000-0900-0000704C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1814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187" name="AutoShape 1731">
            <a:hlinkClick xmlns:r="http://schemas.openxmlformats.org/officeDocument/2006/relationships" r:id="rId17" tooltip="A legjobb 16 csapat párosításának megtekintése"/>
            <a:extLst>
              <a:ext uri="{FF2B5EF4-FFF2-40B4-BE49-F238E27FC236}">
                <a16:creationId xmlns:a16="http://schemas.microsoft.com/office/drawing/2014/main" xmlns="" id="{00000000-0008-0000-0900-0000C3520000}"/>
              </a:ext>
            </a:extLst>
          </xdr:cNvPr>
          <xdr:cNvSpPr>
            <a:spLocks noChangeArrowheads="1"/>
          </xdr:cNvSpPr>
        </xdr:nvSpPr>
        <xdr:spPr bwMode="auto">
          <a:xfrm>
            <a:off x="51530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ÁGRAJZ</a:t>
            </a:r>
          </a:p>
        </xdr:txBody>
      </xdr:sp>
      <xdr:sp macro="" textlink="">
        <xdr:nvSpPr>
          <xdr:cNvPr id="21188" name="AutoShape 1732">
            <a:hlinkClick xmlns:r="http://schemas.openxmlformats.org/officeDocument/2006/relationships" r:id="rId18" tooltip="Az Európa-bajnokság végeredménye"/>
            <a:extLst>
              <a:ext uri="{FF2B5EF4-FFF2-40B4-BE49-F238E27FC236}">
                <a16:creationId xmlns:a16="http://schemas.microsoft.com/office/drawing/2014/main" xmlns="" id="{00000000-0008-0000-0900-0000C4520000}"/>
              </a:ext>
            </a:extLst>
          </xdr:cNvPr>
          <xdr:cNvSpPr>
            <a:spLocks noChangeArrowheads="1"/>
          </xdr:cNvSpPr>
        </xdr:nvSpPr>
        <xdr:spPr bwMode="auto">
          <a:xfrm>
            <a:off x="59531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RANGSOR</a:t>
            </a:r>
          </a:p>
        </xdr:txBody>
      </xdr:sp>
      <xdr:sp macro="" textlink="">
        <xdr:nvSpPr>
          <xdr:cNvPr id="21189" name="AutoShape 1733">
            <a:hlinkClick xmlns:r="http://schemas.openxmlformats.org/officeDocument/2006/relationships" r:id="rId19" tooltip="Gólszerzők rögzítése"/>
            <a:extLst>
              <a:ext uri="{FF2B5EF4-FFF2-40B4-BE49-F238E27FC236}">
                <a16:creationId xmlns:a16="http://schemas.microsoft.com/office/drawing/2014/main" xmlns="" id="{00000000-0008-0000-0900-0000C5520000}"/>
              </a:ext>
            </a:extLst>
          </xdr:cNvPr>
          <xdr:cNvSpPr>
            <a:spLocks noChangeArrowheads="1"/>
          </xdr:cNvSpPr>
        </xdr:nvSpPr>
        <xdr:spPr bwMode="auto">
          <a:xfrm>
            <a:off x="67532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GÓLSZERZŐK</a:t>
            </a:r>
          </a:p>
        </xdr:txBody>
      </xdr:sp>
      <xdr:sp macro="" textlink="">
        <xdr:nvSpPr>
          <xdr:cNvPr id="21190" name="AutoShape 1734">
            <a:hlinkClick xmlns:r="http://schemas.openxmlformats.org/officeDocument/2006/relationships" r:id="rId20" tooltip="Góllövőlista megtekintése"/>
            <a:extLst>
              <a:ext uri="{FF2B5EF4-FFF2-40B4-BE49-F238E27FC236}">
                <a16:creationId xmlns:a16="http://schemas.microsoft.com/office/drawing/2014/main" xmlns="" id="{00000000-0008-0000-0900-0000C6520000}"/>
              </a:ext>
            </a:extLst>
          </xdr:cNvPr>
          <xdr:cNvSpPr>
            <a:spLocks noChangeArrowheads="1"/>
          </xdr:cNvSpPr>
        </xdr:nvSpPr>
        <xdr:spPr bwMode="auto">
          <a:xfrm>
            <a:off x="75533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GÓLLÖVŐ</a:t>
            </a:r>
          </a:p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LISTA</a:t>
            </a:r>
          </a:p>
        </xdr:txBody>
      </xdr:sp>
      <xdr:sp macro="" textlink="">
        <xdr:nvSpPr>
          <xdr:cNvPr id="21191" name="AutoShape 1735">
            <a:hlinkClick xmlns:r="http://schemas.openxmlformats.org/officeDocument/2006/relationships" r:id="rId21" tooltip="A csoportok beosztása"/>
            <a:extLst>
              <a:ext uri="{FF2B5EF4-FFF2-40B4-BE49-F238E27FC236}">
                <a16:creationId xmlns:a16="http://schemas.microsoft.com/office/drawing/2014/main" xmlns="" id="{00000000-0008-0000-0900-0000C7520000}"/>
              </a:ext>
            </a:extLst>
          </xdr:cNvPr>
          <xdr:cNvSpPr>
            <a:spLocks noChangeArrowheads="1"/>
          </xdr:cNvSpPr>
        </xdr:nvSpPr>
        <xdr:spPr bwMode="auto">
          <a:xfrm>
            <a:off x="83534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CSOPORTOK</a:t>
            </a:r>
          </a:p>
        </xdr:txBody>
      </xdr:sp>
      <xdr:sp macro="" textlink="">
        <xdr:nvSpPr>
          <xdr:cNvPr id="21192" name="AutoShape 1736">
            <a:hlinkClick xmlns:r="http://schemas.openxmlformats.org/officeDocument/2006/relationships" r:id="rId22" tooltip="A csapatok összeállítása"/>
            <a:extLst>
              <a:ext uri="{FF2B5EF4-FFF2-40B4-BE49-F238E27FC236}">
                <a16:creationId xmlns:a16="http://schemas.microsoft.com/office/drawing/2014/main" xmlns="" id="{00000000-0008-0000-0900-0000C8520000}"/>
              </a:ext>
            </a:extLst>
          </xdr:cNvPr>
          <xdr:cNvSpPr>
            <a:spLocks noChangeArrowheads="1"/>
          </xdr:cNvSpPr>
        </xdr:nvSpPr>
        <xdr:spPr bwMode="auto">
          <a:xfrm>
            <a:off x="91535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CSAPATOK</a:t>
            </a:r>
          </a:p>
        </xdr:txBody>
      </xdr:sp>
      <xdr:sp macro="" textlink="">
        <xdr:nvSpPr>
          <xdr:cNvPr id="21193" name="AutoShape 1737">
            <a:hlinkClick xmlns:r="http://schemas.openxmlformats.org/officeDocument/2006/relationships" r:id="rId23" tooltip="Helyszínek és stadionok"/>
            <a:extLst>
              <a:ext uri="{FF2B5EF4-FFF2-40B4-BE49-F238E27FC236}">
                <a16:creationId xmlns:a16="http://schemas.microsoft.com/office/drawing/2014/main" xmlns="" id="{00000000-0008-0000-0900-0000C9520000}"/>
              </a:ext>
            </a:extLst>
          </xdr:cNvPr>
          <xdr:cNvSpPr>
            <a:spLocks noChangeArrowheads="1"/>
          </xdr:cNvSpPr>
        </xdr:nvSpPr>
        <xdr:spPr bwMode="auto">
          <a:xfrm>
            <a:off x="99536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HELYSZÍNEK</a:t>
            </a:r>
          </a:p>
        </xdr:txBody>
      </xdr:sp>
      <xdr:sp macro="" textlink="">
        <xdr:nvSpPr>
          <xdr:cNvPr id="19576" name="AutoShape 1436">
            <a:extLst>
              <a:ext uri="{FF2B5EF4-FFF2-40B4-BE49-F238E27FC236}">
                <a16:creationId xmlns:a16="http://schemas.microsoft.com/office/drawing/2014/main" xmlns="" id="{00000000-0008-0000-0900-0000784C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97821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" name="AutoShape 1436">
            <a:extLst>
              <a:ext uri="{FF2B5EF4-FFF2-40B4-BE49-F238E27FC236}">
                <a16:creationId xmlns:a16="http://schemas.microsoft.com/office/drawing/2014/main" xmlns="" id="{00000000-0008-0000-0900-0000030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13823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FAB65C"/>
              </a:gs>
              <a:gs pos="100000">
                <a:srgbClr val="333333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578" name="AutoShape 1436">
            <a:extLst>
              <a:ext uri="{FF2B5EF4-FFF2-40B4-BE49-F238E27FC236}">
                <a16:creationId xmlns:a16="http://schemas.microsoft.com/office/drawing/2014/main" xmlns="" id="{00000000-0008-0000-0900-00007A4C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5822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579" name="AutoShape 1436">
            <a:extLst>
              <a:ext uri="{FF2B5EF4-FFF2-40B4-BE49-F238E27FC236}">
                <a16:creationId xmlns:a16="http://schemas.microsoft.com/office/drawing/2014/main" xmlns="" id="{00000000-0008-0000-0900-00007B4C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73818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580" name="AutoShape 1436">
            <a:extLst>
              <a:ext uri="{FF2B5EF4-FFF2-40B4-BE49-F238E27FC236}">
                <a16:creationId xmlns:a16="http://schemas.microsoft.com/office/drawing/2014/main" xmlns="" id="{00000000-0008-0000-0900-00007C4C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89820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581" name="AutoShape 1436">
            <a:extLst>
              <a:ext uri="{FF2B5EF4-FFF2-40B4-BE49-F238E27FC236}">
                <a16:creationId xmlns:a16="http://schemas.microsoft.com/office/drawing/2014/main" xmlns="" id="{00000000-0008-0000-0900-00007D4C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5817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582" name="AutoShape 1436">
            <a:extLst>
              <a:ext uri="{FF2B5EF4-FFF2-40B4-BE49-F238E27FC236}">
                <a16:creationId xmlns:a16="http://schemas.microsoft.com/office/drawing/2014/main" xmlns="" id="{00000000-0008-0000-0900-00007E4C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7816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583" name="AutoShape 1436">
            <a:extLst>
              <a:ext uri="{FF2B5EF4-FFF2-40B4-BE49-F238E27FC236}">
                <a16:creationId xmlns:a16="http://schemas.microsoft.com/office/drawing/2014/main" xmlns="" id="{00000000-0008-0000-0900-00007F4C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1830050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9584" name="AutoShape 1436">
            <a:extLst>
              <a:ext uri="{FF2B5EF4-FFF2-40B4-BE49-F238E27FC236}">
                <a16:creationId xmlns:a16="http://schemas.microsoft.com/office/drawing/2014/main" xmlns="" id="{00000000-0008-0000-0900-0000804C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81819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pic>
        <xdr:nvPicPr>
          <xdr:cNvPr id="19585" name="Kép 1">
            <a:hlinkClick xmlns:r="http://schemas.openxmlformats.org/officeDocument/2006/relationships" r:id="rId24" tooltip="Mail to Gyworks"/>
            <a:extLst>
              <a:ext uri="{FF2B5EF4-FFF2-40B4-BE49-F238E27FC236}">
                <a16:creationId xmlns:a16="http://schemas.microsoft.com/office/drawing/2014/main" xmlns="" id="{00000000-0008-0000-0900-0000814C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6300" y="47625"/>
            <a:ext cx="1383912" cy="31701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28</xdr:row>
          <xdr:rowOff>142875</xdr:rowOff>
        </xdr:from>
        <xdr:to>
          <xdr:col>15</xdr:col>
          <xdr:colOff>19050</xdr:colOff>
          <xdr:row>30</xdr:row>
          <xdr:rowOff>19050</xdr:rowOff>
        </xdr:to>
        <xdr:sp macro="" textlink="">
          <xdr:nvSpPr>
            <xdr:cNvPr id="19461" name="Check Box 5" hidden="1">
              <a:extLst>
                <a:ext uri="{63B3BB69-23CF-44E3-9099-C40C66FF867C}">
                  <a14:compatExt spid="_x0000_s19461"/>
                </a:ext>
                <a:ext uri="{FF2B5EF4-FFF2-40B4-BE49-F238E27FC236}">
                  <a16:creationId xmlns:a16="http://schemas.microsoft.com/office/drawing/2014/main" xmlns="" id="{00000000-0008-0000-0900-000005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8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30</xdr:row>
          <xdr:rowOff>142875</xdr:rowOff>
        </xdr:from>
        <xdr:to>
          <xdr:col>15</xdr:col>
          <xdr:colOff>19050</xdr:colOff>
          <xdr:row>32</xdr:row>
          <xdr:rowOff>19050</xdr:rowOff>
        </xdr:to>
        <xdr:sp macro="" textlink="">
          <xdr:nvSpPr>
            <xdr:cNvPr id="19462" name="Check Box 6" hidden="1">
              <a:extLst>
                <a:ext uri="{63B3BB69-23CF-44E3-9099-C40C66FF867C}">
                  <a14:compatExt spid="_x0000_s19462"/>
                </a:ext>
                <a:ext uri="{FF2B5EF4-FFF2-40B4-BE49-F238E27FC236}">
                  <a16:creationId xmlns:a16="http://schemas.microsoft.com/office/drawing/2014/main" xmlns="" id="{00000000-0008-0000-0900-000006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8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20</xdr:row>
          <xdr:rowOff>142875</xdr:rowOff>
        </xdr:from>
        <xdr:to>
          <xdr:col>15</xdr:col>
          <xdr:colOff>19050</xdr:colOff>
          <xdr:row>22</xdr:row>
          <xdr:rowOff>19050</xdr:rowOff>
        </xdr:to>
        <xdr:sp macro="" textlink="">
          <xdr:nvSpPr>
            <xdr:cNvPr id="19473" name="Check Box 17" hidden="1">
              <a:extLst>
                <a:ext uri="{63B3BB69-23CF-44E3-9099-C40C66FF867C}">
                  <a14:compatExt spid="_x0000_s19473"/>
                </a:ext>
                <a:ext uri="{FF2B5EF4-FFF2-40B4-BE49-F238E27FC236}">
                  <a16:creationId xmlns:a16="http://schemas.microsoft.com/office/drawing/2014/main" xmlns="" id="{00000000-0008-0000-0900-00001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8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26</xdr:row>
          <xdr:rowOff>142875</xdr:rowOff>
        </xdr:from>
        <xdr:to>
          <xdr:col>15</xdr:col>
          <xdr:colOff>19050</xdr:colOff>
          <xdr:row>28</xdr:row>
          <xdr:rowOff>28575</xdr:rowOff>
        </xdr:to>
        <xdr:sp macro="" textlink="">
          <xdr:nvSpPr>
            <xdr:cNvPr id="19474" name="Check Box 18" hidden="1">
              <a:extLst>
                <a:ext uri="{63B3BB69-23CF-44E3-9099-C40C66FF867C}">
                  <a14:compatExt spid="_x0000_s19474"/>
                </a:ext>
                <a:ext uri="{FF2B5EF4-FFF2-40B4-BE49-F238E27FC236}">
                  <a16:creationId xmlns:a16="http://schemas.microsoft.com/office/drawing/2014/main" xmlns="" id="{00000000-0008-0000-0900-000012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8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22</xdr:row>
          <xdr:rowOff>142875</xdr:rowOff>
        </xdr:from>
        <xdr:to>
          <xdr:col>15</xdr:col>
          <xdr:colOff>19050</xdr:colOff>
          <xdr:row>24</xdr:row>
          <xdr:rowOff>19050</xdr:rowOff>
        </xdr:to>
        <xdr:sp macro="" textlink="">
          <xdr:nvSpPr>
            <xdr:cNvPr id="19475" name="Check Box 19" hidden="1">
              <a:extLst>
                <a:ext uri="{63B3BB69-23CF-44E3-9099-C40C66FF867C}">
                  <a14:compatExt spid="_x0000_s19475"/>
                </a:ext>
                <a:ext uri="{FF2B5EF4-FFF2-40B4-BE49-F238E27FC236}">
                  <a16:creationId xmlns:a16="http://schemas.microsoft.com/office/drawing/2014/main" xmlns="" id="{00000000-0008-0000-0900-000013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8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18</xdr:row>
          <xdr:rowOff>38100</xdr:rowOff>
        </xdr:from>
        <xdr:to>
          <xdr:col>15</xdr:col>
          <xdr:colOff>19050</xdr:colOff>
          <xdr:row>20</xdr:row>
          <xdr:rowOff>19050</xdr:rowOff>
        </xdr:to>
        <xdr:sp macro="" textlink="">
          <xdr:nvSpPr>
            <xdr:cNvPr id="19476" name="Check Box 20" hidden="1">
              <a:extLst>
                <a:ext uri="{63B3BB69-23CF-44E3-9099-C40C66FF867C}">
                  <a14:compatExt spid="_x0000_s19476"/>
                </a:ext>
                <a:ext uri="{FF2B5EF4-FFF2-40B4-BE49-F238E27FC236}">
                  <a16:creationId xmlns:a16="http://schemas.microsoft.com/office/drawing/2014/main" xmlns="" id="{00000000-0008-0000-0900-000014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8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19050</xdr:colOff>
          <xdr:row>24</xdr:row>
          <xdr:rowOff>142875</xdr:rowOff>
        </xdr:from>
        <xdr:to>
          <xdr:col>15</xdr:col>
          <xdr:colOff>19050</xdr:colOff>
          <xdr:row>26</xdr:row>
          <xdr:rowOff>19050</xdr:rowOff>
        </xdr:to>
        <xdr:sp macro="" textlink="">
          <xdr:nvSpPr>
            <xdr:cNvPr id="19477" name="Check Box 21" hidden="1">
              <a:extLst>
                <a:ext uri="{63B3BB69-23CF-44E3-9099-C40C66FF867C}">
                  <a14:compatExt spid="_x0000_s19477"/>
                </a:ext>
                <a:ext uri="{FF2B5EF4-FFF2-40B4-BE49-F238E27FC236}">
                  <a16:creationId xmlns:a16="http://schemas.microsoft.com/office/drawing/2014/main" xmlns="" id="{00000000-0008-0000-0900-000015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8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47625</xdr:colOff>
          <xdr:row>19</xdr:row>
          <xdr:rowOff>142875</xdr:rowOff>
        </xdr:from>
        <xdr:to>
          <xdr:col>23</xdr:col>
          <xdr:colOff>47625</xdr:colOff>
          <xdr:row>21</xdr:row>
          <xdr:rowOff>19050</xdr:rowOff>
        </xdr:to>
        <xdr:sp macro="" textlink="">
          <xdr:nvSpPr>
            <xdr:cNvPr id="19463" name="Check Box 7" hidden="1">
              <a:extLst>
                <a:ext uri="{63B3BB69-23CF-44E3-9099-C40C66FF867C}">
                  <a14:compatExt spid="_x0000_s19463"/>
                </a:ext>
                <a:ext uri="{FF2B5EF4-FFF2-40B4-BE49-F238E27FC236}">
                  <a16:creationId xmlns:a16="http://schemas.microsoft.com/office/drawing/2014/main" xmlns="" id="{00000000-0008-0000-0900-000007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8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47625</xdr:colOff>
          <xdr:row>20</xdr:row>
          <xdr:rowOff>142875</xdr:rowOff>
        </xdr:from>
        <xdr:to>
          <xdr:col>23</xdr:col>
          <xdr:colOff>47625</xdr:colOff>
          <xdr:row>22</xdr:row>
          <xdr:rowOff>19050</xdr:rowOff>
        </xdr:to>
        <xdr:sp macro="" textlink="">
          <xdr:nvSpPr>
            <xdr:cNvPr id="19464" name="Check Box 8" hidden="1">
              <a:extLst>
                <a:ext uri="{63B3BB69-23CF-44E3-9099-C40C66FF867C}">
                  <a14:compatExt spid="_x0000_s19464"/>
                </a:ext>
                <a:ext uri="{FF2B5EF4-FFF2-40B4-BE49-F238E27FC236}">
                  <a16:creationId xmlns:a16="http://schemas.microsoft.com/office/drawing/2014/main" xmlns="" id="{00000000-0008-0000-0900-000008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8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47625</xdr:colOff>
          <xdr:row>21</xdr:row>
          <xdr:rowOff>142875</xdr:rowOff>
        </xdr:from>
        <xdr:to>
          <xdr:col>23</xdr:col>
          <xdr:colOff>47625</xdr:colOff>
          <xdr:row>23</xdr:row>
          <xdr:rowOff>19050</xdr:rowOff>
        </xdr:to>
        <xdr:sp macro="" textlink="">
          <xdr:nvSpPr>
            <xdr:cNvPr id="19529" name="Check Box 73" hidden="1">
              <a:extLst>
                <a:ext uri="{63B3BB69-23CF-44E3-9099-C40C66FF867C}">
                  <a14:compatExt spid="_x0000_s19529"/>
                </a:ext>
                <a:ext uri="{FF2B5EF4-FFF2-40B4-BE49-F238E27FC236}">
                  <a16:creationId xmlns:a16="http://schemas.microsoft.com/office/drawing/2014/main" xmlns="" id="{00000000-0008-0000-0900-000049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8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47625</xdr:colOff>
          <xdr:row>22</xdr:row>
          <xdr:rowOff>142875</xdr:rowOff>
        </xdr:from>
        <xdr:to>
          <xdr:col>23</xdr:col>
          <xdr:colOff>47625</xdr:colOff>
          <xdr:row>24</xdr:row>
          <xdr:rowOff>19050</xdr:rowOff>
        </xdr:to>
        <xdr:sp macro="" textlink="">
          <xdr:nvSpPr>
            <xdr:cNvPr id="19530" name="Check Box 74" hidden="1">
              <a:extLst>
                <a:ext uri="{63B3BB69-23CF-44E3-9099-C40C66FF867C}">
                  <a14:compatExt spid="_x0000_s19530"/>
                </a:ext>
                <a:ext uri="{FF2B5EF4-FFF2-40B4-BE49-F238E27FC236}">
                  <a16:creationId xmlns:a16="http://schemas.microsoft.com/office/drawing/2014/main" xmlns="" id="{00000000-0008-0000-0900-00004A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8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47625</xdr:colOff>
          <xdr:row>23</xdr:row>
          <xdr:rowOff>142875</xdr:rowOff>
        </xdr:from>
        <xdr:to>
          <xdr:col>23</xdr:col>
          <xdr:colOff>47625</xdr:colOff>
          <xdr:row>25</xdr:row>
          <xdr:rowOff>19050</xdr:rowOff>
        </xdr:to>
        <xdr:sp macro="" textlink="">
          <xdr:nvSpPr>
            <xdr:cNvPr id="19531" name="Check Box 75" hidden="1">
              <a:extLst>
                <a:ext uri="{63B3BB69-23CF-44E3-9099-C40C66FF867C}">
                  <a14:compatExt spid="_x0000_s19531"/>
                </a:ext>
                <a:ext uri="{FF2B5EF4-FFF2-40B4-BE49-F238E27FC236}">
                  <a16:creationId xmlns:a16="http://schemas.microsoft.com/office/drawing/2014/main" xmlns="" id="{00000000-0008-0000-0900-00004B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8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47625</xdr:colOff>
          <xdr:row>24</xdr:row>
          <xdr:rowOff>142875</xdr:rowOff>
        </xdr:from>
        <xdr:to>
          <xdr:col>23</xdr:col>
          <xdr:colOff>47625</xdr:colOff>
          <xdr:row>26</xdr:row>
          <xdr:rowOff>19050</xdr:rowOff>
        </xdr:to>
        <xdr:sp macro="" textlink="">
          <xdr:nvSpPr>
            <xdr:cNvPr id="19532" name="Check Box 76" hidden="1">
              <a:extLst>
                <a:ext uri="{63B3BB69-23CF-44E3-9099-C40C66FF867C}">
                  <a14:compatExt spid="_x0000_s19532"/>
                </a:ext>
                <a:ext uri="{FF2B5EF4-FFF2-40B4-BE49-F238E27FC236}">
                  <a16:creationId xmlns:a16="http://schemas.microsoft.com/office/drawing/2014/main" xmlns="" id="{00000000-0008-0000-0900-00004C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8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47625</xdr:colOff>
          <xdr:row>25</xdr:row>
          <xdr:rowOff>142875</xdr:rowOff>
        </xdr:from>
        <xdr:to>
          <xdr:col>23</xdr:col>
          <xdr:colOff>47625</xdr:colOff>
          <xdr:row>27</xdr:row>
          <xdr:rowOff>19050</xdr:rowOff>
        </xdr:to>
        <xdr:sp macro="" textlink="">
          <xdr:nvSpPr>
            <xdr:cNvPr id="19533" name="Check Box 77" hidden="1">
              <a:extLst>
                <a:ext uri="{63B3BB69-23CF-44E3-9099-C40C66FF867C}">
                  <a14:compatExt spid="_x0000_s19533"/>
                </a:ext>
                <a:ext uri="{FF2B5EF4-FFF2-40B4-BE49-F238E27FC236}">
                  <a16:creationId xmlns:a16="http://schemas.microsoft.com/office/drawing/2014/main" xmlns="" id="{00000000-0008-0000-0900-00004D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8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47625</xdr:colOff>
          <xdr:row>26</xdr:row>
          <xdr:rowOff>142875</xdr:rowOff>
        </xdr:from>
        <xdr:to>
          <xdr:col>23</xdr:col>
          <xdr:colOff>47625</xdr:colOff>
          <xdr:row>28</xdr:row>
          <xdr:rowOff>19050</xdr:rowOff>
        </xdr:to>
        <xdr:sp macro="" textlink="">
          <xdr:nvSpPr>
            <xdr:cNvPr id="19534" name="Check Box 78" hidden="1">
              <a:extLst>
                <a:ext uri="{63B3BB69-23CF-44E3-9099-C40C66FF867C}">
                  <a14:compatExt spid="_x0000_s19534"/>
                </a:ext>
                <a:ext uri="{FF2B5EF4-FFF2-40B4-BE49-F238E27FC236}">
                  <a16:creationId xmlns:a16="http://schemas.microsoft.com/office/drawing/2014/main" xmlns="" id="{00000000-0008-0000-0900-00004E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8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47625</xdr:colOff>
          <xdr:row>27</xdr:row>
          <xdr:rowOff>142875</xdr:rowOff>
        </xdr:from>
        <xdr:to>
          <xdr:col>23</xdr:col>
          <xdr:colOff>47625</xdr:colOff>
          <xdr:row>29</xdr:row>
          <xdr:rowOff>19050</xdr:rowOff>
        </xdr:to>
        <xdr:sp macro="" textlink="">
          <xdr:nvSpPr>
            <xdr:cNvPr id="19535" name="Check Box 79" hidden="1">
              <a:extLst>
                <a:ext uri="{63B3BB69-23CF-44E3-9099-C40C66FF867C}">
                  <a14:compatExt spid="_x0000_s19535"/>
                </a:ext>
                <a:ext uri="{FF2B5EF4-FFF2-40B4-BE49-F238E27FC236}">
                  <a16:creationId xmlns:a16="http://schemas.microsoft.com/office/drawing/2014/main" xmlns="" id="{00000000-0008-0000-0900-00004F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8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47625</xdr:colOff>
          <xdr:row>28</xdr:row>
          <xdr:rowOff>142875</xdr:rowOff>
        </xdr:from>
        <xdr:to>
          <xdr:col>23</xdr:col>
          <xdr:colOff>47625</xdr:colOff>
          <xdr:row>30</xdr:row>
          <xdr:rowOff>19050</xdr:rowOff>
        </xdr:to>
        <xdr:sp macro="" textlink="">
          <xdr:nvSpPr>
            <xdr:cNvPr id="19536" name="Check Box 80" hidden="1">
              <a:extLst>
                <a:ext uri="{63B3BB69-23CF-44E3-9099-C40C66FF867C}">
                  <a14:compatExt spid="_x0000_s19536"/>
                </a:ext>
                <a:ext uri="{FF2B5EF4-FFF2-40B4-BE49-F238E27FC236}">
                  <a16:creationId xmlns:a16="http://schemas.microsoft.com/office/drawing/2014/main" xmlns="" id="{00000000-0008-0000-0900-000050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8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47625</xdr:colOff>
          <xdr:row>29</xdr:row>
          <xdr:rowOff>142875</xdr:rowOff>
        </xdr:from>
        <xdr:to>
          <xdr:col>23</xdr:col>
          <xdr:colOff>47625</xdr:colOff>
          <xdr:row>31</xdr:row>
          <xdr:rowOff>19050</xdr:rowOff>
        </xdr:to>
        <xdr:sp macro="" textlink="">
          <xdr:nvSpPr>
            <xdr:cNvPr id="19537" name="Check Box 81" hidden="1">
              <a:extLst>
                <a:ext uri="{63B3BB69-23CF-44E3-9099-C40C66FF867C}">
                  <a14:compatExt spid="_x0000_s19537"/>
                </a:ext>
                <a:ext uri="{FF2B5EF4-FFF2-40B4-BE49-F238E27FC236}">
                  <a16:creationId xmlns:a16="http://schemas.microsoft.com/office/drawing/2014/main" xmlns="" id="{00000000-0008-0000-0900-00005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8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47625</xdr:colOff>
          <xdr:row>30</xdr:row>
          <xdr:rowOff>142875</xdr:rowOff>
        </xdr:from>
        <xdr:to>
          <xdr:col>23</xdr:col>
          <xdr:colOff>47625</xdr:colOff>
          <xdr:row>32</xdr:row>
          <xdr:rowOff>19050</xdr:rowOff>
        </xdr:to>
        <xdr:sp macro="" textlink="">
          <xdr:nvSpPr>
            <xdr:cNvPr id="19538" name="Check Box 82" hidden="1">
              <a:extLst>
                <a:ext uri="{63B3BB69-23CF-44E3-9099-C40C66FF867C}">
                  <a14:compatExt spid="_x0000_s19538"/>
                </a:ext>
                <a:ext uri="{FF2B5EF4-FFF2-40B4-BE49-F238E27FC236}">
                  <a16:creationId xmlns:a16="http://schemas.microsoft.com/office/drawing/2014/main" xmlns="" id="{00000000-0008-0000-0900-000052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8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47625</xdr:colOff>
          <xdr:row>31</xdr:row>
          <xdr:rowOff>142875</xdr:rowOff>
        </xdr:from>
        <xdr:to>
          <xdr:col>23</xdr:col>
          <xdr:colOff>47625</xdr:colOff>
          <xdr:row>33</xdr:row>
          <xdr:rowOff>19050</xdr:rowOff>
        </xdr:to>
        <xdr:sp macro="" textlink="">
          <xdr:nvSpPr>
            <xdr:cNvPr id="19539" name="Check Box 83" hidden="1">
              <a:extLst>
                <a:ext uri="{63B3BB69-23CF-44E3-9099-C40C66FF867C}">
                  <a14:compatExt spid="_x0000_s19539"/>
                </a:ext>
                <a:ext uri="{FF2B5EF4-FFF2-40B4-BE49-F238E27FC236}">
                  <a16:creationId xmlns:a16="http://schemas.microsoft.com/office/drawing/2014/main" xmlns="" id="{00000000-0008-0000-0900-000053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8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47625</xdr:colOff>
          <xdr:row>32</xdr:row>
          <xdr:rowOff>142875</xdr:rowOff>
        </xdr:from>
        <xdr:to>
          <xdr:col>23</xdr:col>
          <xdr:colOff>47625</xdr:colOff>
          <xdr:row>34</xdr:row>
          <xdr:rowOff>19050</xdr:rowOff>
        </xdr:to>
        <xdr:sp macro="" textlink="">
          <xdr:nvSpPr>
            <xdr:cNvPr id="19540" name="Check Box 84" hidden="1">
              <a:extLst>
                <a:ext uri="{63B3BB69-23CF-44E3-9099-C40C66FF867C}">
                  <a14:compatExt spid="_x0000_s19540"/>
                </a:ext>
                <a:ext uri="{FF2B5EF4-FFF2-40B4-BE49-F238E27FC236}">
                  <a16:creationId xmlns:a16="http://schemas.microsoft.com/office/drawing/2014/main" xmlns="" id="{00000000-0008-0000-0900-000054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8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47625</xdr:colOff>
          <xdr:row>33</xdr:row>
          <xdr:rowOff>142875</xdr:rowOff>
        </xdr:from>
        <xdr:to>
          <xdr:col>23</xdr:col>
          <xdr:colOff>47625</xdr:colOff>
          <xdr:row>35</xdr:row>
          <xdr:rowOff>19050</xdr:rowOff>
        </xdr:to>
        <xdr:sp macro="" textlink="">
          <xdr:nvSpPr>
            <xdr:cNvPr id="19541" name="Check Box 85" hidden="1">
              <a:extLst>
                <a:ext uri="{63B3BB69-23CF-44E3-9099-C40C66FF867C}">
                  <a14:compatExt spid="_x0000_s19541"/>
                </a:ext>
                <a:ext uri="{FF2B5EF4-FFF2-40B4-BE49-F238E27FC236}">
                  <a16:creationId xmlns:a16="http://schemas.microsoft.com/office/drawing/2014/main" xmlns="" id="{00000000-0008-0000-0900-000055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8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47625</xdr:colOff>
          <xdr:row>19</xdr:row>
          <xdr:rowOff>142875</xdr:rowOff>
        </xdr:from>
        <xdr:to>
          <xdr:col>31</xdr:col>
          <xdr:colOff>47625</xdr:colOff>
          <xdr:row>21</xdr:row>
          <xdr:rowOff>19050</xdr:rowOff>
        </xdr:to>
        <xdr:sp macro="" textlink="">
          <xdr:nvSpPr>
            <xdr:cNvPr id="19542" name="Check Box 86" hidden="1">
              <a:extLst>
                <a:ext uri="{63B3BB69-23CF-44E3-9099-C40C66FF867C}">
                  <a14:compatExt spid="_x0000_s19542"/>
                </a:ext>
                <a:ext uri="{FF2B5EF4-FFF2-40B4-BE49-F238E27FC236}">
                  <a16:creationId xmlns:a16="http://schemas.microsoft.com/office/drawing/2014/main" xmlns="" id="{00000000-0008-0000-0900-000056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8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47625</xdr:colOff>
          <xdr:row>20</xdr:row>
          <xdr:rowOff>142875</xdr:rowOff>
        </xdr:from>
        <xdr:to>
          <xdr:col>31</xdr:col>
          <xdr:colOff>47625</xdr:colOff>
          <xdr:row>22</xdr:row>
          <xdr:rowOff>19050</xdr:rowOff>
        </xdr:to>
        <xdr:sp macro="" textlink="">
          <xdr:nvSpPr>
            <xdr:cNvPr id="19543" name="Check Box 87" hidden="1">
              <a:extLst>
                <a:ext uri="{63B3BB69-23CF-44E3-9099-C40C66FF867C}">
                  <a14:compatExt spid="_x0000_s19543"/>
                </a:ext>
                <a:ext uri="{FF2B5EF4-FFF2-40B4-BE49-F238E27FC236}">
                  <a16:creationId xmlns:a16="http://schemas.microsoft.com/office/drawing/2014/main" xmlns="" id="{00000000-0008-0000-0900-000057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8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47625</xdr:colOff>
          <xdr:row>21</xdr:row>
          <xdr:rowOff>142875</xdr:rowOff>
        </xdr:from>
        <xdr:to>
          <xdr:col>31</xdr:col>
          <xdr:colOff>47625</xdr:colOff>
          <xdr:row>23</xdr:row>
          <xdr:rowOff>19050</xdr:rowOff>
        </xdr:to>
        <xdr:sp macro="" textlink="">
          <xdr:nvSpPr>
            <xdr:cNvPr id="19544" name="Check Box 88" hidden="1">
              <a:extLst>
                <a:ext uri="{63B3BB69-23CF-44E3-9099-C40C66FF867C}">
                  <a14:compatExt spid="_x0000_s19544"/>
                </a:ext>
                <a:ext uri="{FF2B5EF4-FFF2-40B4-BE49-F238E27FC236}">
                  <a16:creationId xmlns:a16="http://schemas.microsoft.com/office/drawing/2014/main" xmlns="" id="{00000000-0008-0000-0900-000058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8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47625</xdr:colOff>
          <xdr:row>22</xdr:row>
          <xdr:rowOff>142875</xdr:rowOff>
        </xdr:from>
        <xdr:to>
          <xdr:col>31</xdr:col>
          <xdr:colOff>47625</xdr:colOff>
          <xdr:row>24</xdr:row>
          <xdr:rowOff>19050</xdr:rowOff>
        </xdr:to>
        <xdr:sp macro="" textlink="">
          <xdr:nvSpPr>
            <xdr:cNvPr id="19545" name="Check Box 89" hidden="1">
              <a:extLst>
                <a:ext uri="{63B3BB69-23CF-44E3-9099-C40C66FF867C}">
                  <a14:compatExt spid="_x0000_s19545"/>
                </a:ext>
                <a:ext uri="{FF2B5EF4-FFF2-40B4-BE49-F238E27FC236}">
                  <a16:creationId xmlns:a16="http://schemas.microsoft.com/office/drawing/2014/main" xmlns="" id="{00000000-0008-0000-0900-000059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8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47625</xdr:colOff>
          <xdr:row>23</xdr:row>
          <xdr:rowOff>142875</xdr:rowOff>
        </xdr:from>
        <xdr:to>
          <xdr:col>31</xdr:col>
          <xdr:colOff>47625</xdr:colOff>
          <xdr:row>25</xdr:row>
          <xdr:rowOff>19050</xdr:rowOff>
        </xdr:to>
        <xdr:sp macro="" textlink="">
          <xdr:nvSpPr>
            <xdr:cNvPr id="19546" name="Check Box 90" hidden="1">
              <a:extLst>
                <a:ext uri="{63B3BB69-23CF-44E3-9099-C40C66FF867C}">
                  <a14:compatExt spid="_x0000_s19546"/>
                </a:ext>
                <a:ext uri="{FF2B5EF4-FFF2-40B4-BE49-F238E27FC236}">
                  <a16:creationId xmlns:a16="http://schemas.microsoft.com/office/drawing/2014/main" xmlns="" id="{00000000-0008-0000-0900-00005A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8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47625</xdr:colOff>
          <xdr:row>24</xdr:row>
          <xdr:rowOff>142875</xdr:rowOff>
        </xdr:from>
        <xdr:to>
          <xdr:col>31</xdr:col>
          <xdr:colOff>47625</xdr:colOff>
          <xdr:row>26</xdr:row>
          <xdr:rowOff>19050</xdr:rowOff>
        </xdr:to>
        <xdr:sp macro="" textlink="">
          <xdr:nvSpPr>
            <xdr:cNvPr id="19547" name="Check Box 91" hidden="1">
              <a:extLst>
                <a:ext uri="{63B3BB69-23CF-44E3-9099-C40C66FF867C}">
                  <a14:compatExt spid="_x0000_s19547"/>
                </a:ext>
                <a:ext uri="{FF2B5EF4-FFF2-40B4-BE49-F238E27FC236}">
                  <a16:creationId xmlns:a16="http://schemas.microsoft.com/office/drawing/2014/main" xmlns="" id="{00000000-0008-0000-0900-00005B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8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47625</xdr:colOff>
          <xdr:row>25</xdr:row>
          <xdr:rowOff>142875</xdr:rowOff>
        </xdr:from>
        <xdr:to>
          <xdr:col>31</xdr:col>
          <xdr:colOff>47625</xdr:colOff>
          <xdr:row>27</xdr:row>
          <xdr:rowOff>19050</xdr:rowOff>
        </xdr:to>
        <xdr:sp macro="" textlink="">
          <xdr:nvSpPr>
            <xdr:cNvPr id="19548" name="Check Box 92" hidden="1">
              <a:extLst>
                <a:ext uri="{63B3BB69-23CF-44E3-9099-C40C66FF867C}">
                  <a14:compatExt spid="_x0000_s19548"/>
                </a:ext>
                <a:ext uri="{FF2B5EF4-FFF2-40B4-BE49-F238E27FC236}">
                  <a16:creationId xmlns:a16="http://schemas.microsoft.com/office/drawing/2014/main" xmlns="" id="{00000000-0008-0000-0900-00005C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8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47625</xdr:colOff>
          <xdr:row>26</xdr:row>
          <xdr:rowOff>142875</xdr:rowOff>
        </xdr:from>
        <xdr:to>
          <xdr:col>31</xdr:col>
          <xdr:colOff>47625</xdr:colOff>
          <xdr:row>28</xdr:row>
          <xdr:rowOff>19050</xdr:rowOff>
        </xdr:to>
        <xdr:sp macro="" textlink="">
          <xdr:nvSpPr>
            <xdr:cNvPr id="19549" name="Check Box 93" hidden="1">
              <a:extLst>
                <a:ext uri="{63B3BB69-23CF-44E3-9099-C40C66FF867C}">
                  <a14:compatExt spid="_x0000_s19549"/>
                </a:ext>
                <a:ext uri="{FF2B5EF4-FFF2-40B4-BE49-F238E27FC236}">
                  <a16:creationId xmlns:a16="http://schemas.microsoft.com/office/drawing/2014/main" xmlns="" id="{00000000-0008-0000-0900-00005D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8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47625</xdr:colOff>
          <xdr:row>27</xdr:row>
          <xdr:rowOff>142875</xdr:rowOff>
        </xdr:from>
        <xdr:to>
          <xdr:col>31</xdr:col>
          <xdr:colOff>47625</xdr:colOff>
          <xdr:row>29</xdr:row>
          <xdr:rowOff>19050</xdr:rowOff>
        </xdr:to>
        <xdr:sp macro="" textlink="">
          <xdr:nvSpPr>
            <xdr:cNvPr id="19550" name="Check Box 94" hidden="1">
              <a:extLst>
                <a:ext uri="{63B3BB69-23CF-44E3-9099-C40C66FF867C}">
                  <a14:compatExt spid="_x0000_s19550"/>
                </a:ext>
                <a:ext uri="{FF2B5EF4-FFF2-40B4-BE49-F238E27FC236}">
                  <a16:creationId xmlns:a16="http://schemas.microsoft.com/office/drawing/2014/main" xmlns="" id="{00000000-0008-0000-0900-00005E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8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47625</xdr:colOff>
          <xdr:row>28</xdr:row>
          <xdr:rowOff>142875</xdr:rowOff>
        </xdr:from>
        <xdr:to>
          <xdr:col>31</xdr:col>
          <xdr:colOff>47625</xdr:colOff>
          <xdr:row>30</xdr:row>
          <xdr:rowOff>19050</xdr:rowOff>
        </xdr:to>
        <xdr:sp macro="" textlink="">
          <xdr:nvSpPr>
            <xdr:cNvPr id="19551" name="Check Box 95" hidden="1">
              <a:extLst>
                <a:ext uri="{63B3BB69-23CF-44E3-9099-C40C66FF867C}">
                  <a14:compatExt spid="_x0000_s19551"/>
                </a:ext>
                <a:ext uri="{FF2B5EF4-FFF2-40B4-BE49-F238E27FC236}">
                  <a16:creationId xmlns:a16="http://schemas.microsoft.com/office/drawing/2014/main" xmlns="" id="{00000000-0008-0000-0900-00005F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8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47625</xdr:colOff>
          <xdr:row>29</xdr:row>
          <xdr:rowOff>142875</xdr:rowOff>
        </xdr:from>
        <xdr:to>
          <xdr:col>31</xdr:col>
          <xdr:colOff>47625</xdr:colOff>
          <xdr:row>31</xdr:row>
          <xdr:rowOff>19050</xdr:rowOff>
        </xdr:to>
        <xdr:sp macro="" textlink="">
          <xdr:nvSpPr>
            <xdr:cNvPr id="19552" name="Check Box 96" hidden="1">
              <a:extLst>
                <a:ext uri="{63B3BB69-23CF-44E3-9099-C40C66FF867C}">
                  <a14:compatExt spid="_x0000_s19552"/>
                </a:ext>
                <a:ext uri="{FF2B5EF4-FFF2-40B4-BE49-F238E27FC236}">
                  <a16:creationId xmlns:a16="http://schemas.microsoft.com/office/drawing/2014/main" xmlns="" id="{00000000-0008-0000-0900-000060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8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47625</xdr:colOff>
          <xdr:row>30</xdr:row>
          <xdr:rowOff>142875</xdr:rowOff>
        </xdr:from>
        <xdr:to>
          <xdr:col>31</xdr:col>
          <xdr:colOff>47625</xdr:colOff>
          <xdr:row>32</xdr:row>
          <xdr:rowOff>19050</xdr:rowOff>
        </xdr:to>
        <xdr:sp macro="" textlink="">
          <xdr:nvSpPr>
            <xdr:cNvPr id="19553" name="Check Box 97" hidden="1">
              <a:extLst>
                <a:ext uri="{63B3BB69-23CF-44E3-9099-C40C66FF867C}">
                  <a14:compatExt spid="_x0000_s19553"/>
                </a:ext>
                <a:ext uri="{FF2B5EF4-FFF2-40B4-BE49-F238E27FC236}">
                  <a16:creationId xmlns:a16="http://schemas.microsoft.com/office/drawing/2014/main" xmlns="" id="{00000000-0008-0000-0900-000061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8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47625</xdr:colOff>
          <xdr:row>31</xdr:row>
          <xdr:rowOff>142875</xdr:rowOff>
        </xdr:from>
        <xdr:to>
          <xdr:col>31</xdr:col>
          <xdr:colOff>47625</xdr:colOff>
          <xdr:row>33</xdr:row>
          <xdr:rowOff>19050</xdr:rowOff>
        </xdr:to>
        <xdr:sp macro="" textlink="">
          <xdr:nvSpPr>
            <xdr:cNvPr id="19554" name="Check Box 98" hidden="1">
              <a:extLst>
                <a:ext uri="{63B3BB69-23CF-44E3-9099-C40C66FF867C}">
                  <a14:compatExt spid="_x0000_s19554"/>
                </a:ext>
                <a:ext uri="{FF2B5EF4-FFF2-40B4-BE49-F238E27FC236}">
                  <a16:creationId xmlns:a16="http://schemas.microsoft.com/office/drawing/2014/main" xmlns="" id="{00000000-0008-0000-0900-000062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8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47625</xdr:colOff>
          <xdr:row>32</xdr:row>
          <xdr:rowOff>142875</xdr:rowOff>
        </xdr:from>
        <xdr:to>
          <xdr:col>31</xdr:col>
          <xdr:colOff>47625</xdr:colOff>
          <xdr:row>34</xdr:row>
          <xdr:rowOff>19050</xdr:rowOff>
        </xdr:to>
        <xdr:sp macro="" textlink="">
          <xdr:nvSpPr>
            <xdr:cNvPr id="19555" name="Check Box 99" hidden="1">
              <a:extLst>
                <a:ext uri="{63B3BB69-23CF-44E3-9099-C40C66FF867C}">
                  <a14:compatExt spid="_x0000_s19555"/>
                </a:ext>
                <a:ext uri="{FF2B5EF4-FFF2-40B4-BE49-F238E27FC236}">
                  <a16:creationId xmlns:a16="http://schemas.microsoft.com/office/drawing/2014/main" xmlns="" id="{00000000-0008-0000-0900-000063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8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</xdr:col>
          <xdr:colOff>47625</xdr:colOff>
          <xdr:row>33</xdr:row>
          <xdr:rowOff>142875</xdr:rowOff>
        </xdr:from>
        <xdr:to>
          <xdr:col>31</xdr:col>
          <xdr:colOff>47625</xdr:colOff>
          <xdr:row>35</xdr:row>
          <xdr:rowOff>19050</xdr:rowOff>
        </xdr:to>
        <xdr:sp macro="" textlink="">
          <xdr:nvSpPr>
            <xdr:cNvPr id="19556" name="Check Box 100" hidden="1">
              <a:extLst>
                <a:ext uri="{63B3BB69-23CF-44E3-9099-C40C66FF867C}">
                  <a14:compatExt spid="_x0000_s19556"/>
                </a:ext>
                <a:ext uri="{FF2B5EF4-FFF2-40B4-BE49-F238E27FC236}">
                  <a16:creationId xmlns:a16="http://schemas.microsoft.com/office/drawing/2014/main" xmlns="" id="{00000000-0008-0000-0900-000064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808080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276225</xdr:colOff>
      <xdr:row>46</xdr:row>
      <xdr:rowOff>28575</xdr:rowOff>
    </xdr:from>
    <xdr:to>
      <xdr:col>3</xdr:col>
      <xdr:colOff>4343400</xdr:colOff>
      <xdr:row>70</xdr:row>
      <xdr:rowOff>114300</xdr:rowOff>
    </xdr:to>
    <xdr:pic>
      <xdr:nvPicPr>
        <xdr:cNvPr id="20481" name="Picture 489">
          <a:extLst>
            <a:ext uri="{FF2B5EF4-FFF2-40B4-BE49-F238E27FC236}">
              <a16:creationId xmlns:a16="http://schemas.microsoft.com/office/drawing/2014/main" xmlns="" id="{00000000-0008-0000-0A00-0000015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9648825"/>
          <a:ext cx="4067175" cy="3971925"/>
        </a:xfrm>
        <a:prstGeom prst="rect">
          <a:avLst/>
        </a:prstGeom>
        <a:solidFill>
          <a:srgbClr val="ED7D31"/>
        </a:solidFill>
        <a:ln w="0" algn="ctr">
          <a:solidFill>
            <a:srgbClr val="191919"/>
          </a:solidFill>
          <a:miter lim="800000"/>
          <a:headEnd/>
          <a:tailEnd/>
        </a:ln>
        <a:effectLst>
          <a:outerShdw dist="125724" dir="2700000" algn="ctr" rotWithShape="0">
            <a:srgbClr val="191919">
              <a:alpha val="50000"/>
            </a:srgbClr>
          </a:outerShdw>
        </a:effectLst>
      </xdr:spPr>
    </xdr:pic>
    <xdr:clientData/>
  </xdr:twoCellAnchor>
  <xdr:twoCellAnchor editAs="oneCell">
    <xdr:from>
      <xdr:col>2</xdr:col>
      <xdr:colOff>828675</xdr:colOff>
      <xdr:row>76</xdr:row>
      <xdr:rowOff>180975</xdr:rowOff>
    </xdr:from>
    <xdr:to>
      <xdr:col>2</xdr:col>
      <xdr:colOff>1085850</xdr:colOff>
      <xdr:row>76</xdr:row>
      <xdr:rowOff>400050</xdr:rowOff>
    </xdr:to>
    <xdr:pic>
      <xdr:nvPicPr>
        <xdr:cNvPr id="20482" name="Picture 217">
          <a:extLst>
            <a:ext uri="{FF2B5EF4-FFF2-40B4-BE49-F238E27FC236}">
              <a16:creationId xmlns:a16="http://schemas.microsoft.com/office/drawing/2014/main" xmlns="" id="{00000000-0008-0000-0A00-0000025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15316200"/>
          <a:ext cx="2571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714375</xdr:colOff>
      <xdr:row>3</xdr:row>
      <xdr:rowOff>0</xdr:rowOff>
    </xdr:to>
    <xdr:grpSp>
      <xdr:nvGrpSpPr>
        <xdr:cNvPr id="20483" name="Csoportba foglalás 2">
          <a:extLst>
            <a:ext uri="{FF2B5EF4-FFF2-40B4-BE49-F238E27FC236}">
              <a16:creationId xmlns:a16="http://schemas.microsoft.com/office/drawing/2014/main" xmlns="" id="{00000000-0008-0000-0A00-000003500000}"/>
            </a:ext>
          </a:extLst>
        </xdr:cNvPr>
        <xdr:cNvGrpSpPr>
          <a:grpSpLocks/>
        </xdr:cNvGrpSpPr>
      </xdr:nvGrpSpPr>
      <xdr:grpSpPr bwMode="auto">
        <a:xfrm>
          <a:off x="0" y="0"/>
          <a:ext cx="11991975" cy="361950"/>
          <a:chOff x="0" y="0"/>
          <a:chExt cx="11991975" cy="364644"/>
        </a:xfrm>
      </xdr:grpSpPr>
      <xdr:pic>
        <xdr:nvPicPr>
          <xdr:cNvPr id="20484" name="Picture 1711">
            <a:extLst>
              <a:ext uri="{FF2B5EF4-FFF2-40B4-BE49-F238E27FC236}">
                <a16:creationId xmlns:a16="http://schemas.microsoft.com/office/drawing/2014/main" xmlns="" id="{00000000-0008-0000-0A00-0000045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1991975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1168" name="AutoShape 1712">
            <a:hlinkClick xmlns:r="http://schemas.openxmlformats.org/officeDocument/2006/relationships" r:id="rId4" tooltip="Tippjáték"/>
            <a:extLst>
              <a:ext uri="{FF2B5EF4-FFF2-40B4-BE49-F238E27FC236}">
                <a16:creationId xmlns:a16="http://schemas.microsoft.com/office/drawing/2014/main" xmlns="" id="{00000000-0008-0000-0A00-0000B0520000}"/>
              </a:ext>
            </a:extLst>
          </xdr:cNvPr>
          <xdr:cNvSpPr>
            <a:spLocks noChangeArrowheads="1"/>
          </xdr:cNvSpPr>
        </xdr:nvSpPr>
        <xdr:spPr bwMode="auto">
          <a:xfrm>
            <a:off x="107537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TIPPJÁTÉK</a:t>
            </a:r>
          </a:p>
        </xdr:txBody>
      </xdr:sp>
      <xdr:sp macro="" textlink="">
        <xdr:nvSpPr>
          <xdr:cNvPr id="28678" name="AutoShape 1713">
            <a:hlinkClick xmlns:r="http://schemas.openxmlformats.org/officeDocument/2006/relationships" r:id="rId5" tooltip="Használati ismertető"/>
            <a:extLst>
              <a:ext uri="{FF2B5EF4-FFF2-40B4-BE49-F238E27FC236}">
                <a16:creationId xmlns:a16="http://schemas.microsoft.com/office/drawing/2014/main" xmlns="" id="{00000000-0008-0000-0A00-000006700000}"/>
              </a:ext>
            </a:extLst>
          </xdr:cNvPr>
          <xdr:cNvSpPr>
            <a:spLocks noChangeArrowheads="1"/>
          </xdr:cNvSpPr>
        </xdr:nvSpPr>
        <xdr:spPr bwMode="auto">
          <a:xfrm>
            <a:off x="11553825" y="19192"/>
            <a:ext cx="438150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10F3E">
                  <a:alpha val="56000"/>
                </a:srgbClr>
              </a:gs>
              <a:gs pos="100000">
                <a:srgbClr val="009CB3">
                  <a:alpha val="56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FAB65C"/>
                </a:solidFill>
                <a:latin typeface="Arial Unicode MS"/>
              </a:rPr>
              <a:t>SÚGÓ</a:t>
            </a:r>
          </a:p>
        </xdr:txBody>
      </xdr:sp>
      <xdr:pic>
        <xdr:nvPicPr>
          <xdr:cNvPr id="20487" name="Picture 1725" descr="NS-logo_szurke">
            <a:hlinkClick xmlns:r="http://schemas.openxmlformats.org/officeDocument/2006/relationships" r:id="rId6" tooltip="További szurkolói füzetek a Nemzeti Sport honlapján"/>
            <a:extLst>
              <a:ext uri="{FF2B5EF4-FFF2-40B4-BE49-F238E27FC236}">
                <a16:creationId xmlns:a16="http://schemas.microsoft.com/office/drawing/2014/main" xmlns="" id="{00000000-0008-0000-0A00-0000075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1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7625" y="38384"/>
            <a:ext cx="704850" cy="287877"/>
          </a:xfrm>
          <a:prstGeom prst="rect">
            <a:avLst/>
          </a:prstGeom>
          <a:noFill/>
          <a:ln>
            <a:noFill/>
          </a:ln>
          <a:effectLst>
            <a:outerShdw dist="35921" dir="2700000" algn="ctr" rotWithShape="0">
              <a:srgbClr val="333333"/>
            </a:outerShdw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0488" name="Picture 1726">
            <a:extLst>
              <a:ext uri="{FF2B5EF4-FFF2-40B4-BE49-F238E27FC236}">
                <a16:creationId xmlns:a16="http://schemas.microsoft.com/office/drawing/2014/main" xmlns="" id="{00000000-0008-0000-0A00-0000085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419350" y="38384"/>
            <a:ext cx="981075" cy="287877"/>
          </a:xfrm>
          <a:prstGeom prst="rect">
            <a:avLst/>
          </a:prstGeom>
          <a:noFill/>
          <a:ln>
            <a:noFill/>
          </a:ln>
          <a:effectLst>
            <a:outerShdw dist="35921" dir="2700000" algn="ctr" rotWithShape="0">
              <a:srgbClr val="333333"/>
            </a:outerShdw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1183" name="AutoShape 1727">
            <a:hlinkClick xmlns:r="http://schemas.openxmlformats.org/officeDocument/2006/relationships" r:id="rId9" tooltip="A csoportok állása"/>
            <a:extLst>
              <a:ext uri="{FF2B5EF4-FFF2-40B4-BE49-F238E27FC236}">
                <a16:creationId xmlns:a16="http://schemas.microsoft.com/office/drawing/2014/main" xmlns="" id="{00000000-0008-0000-0A00-0000BF520000}"/>
              </a:ext>
            </a:extLst>
          </xdr:cNvPr>
          <xdr:cNvSpPr>
            <a:spLocks noChangeArrowheads="1"/>
          </xdr:cNvSpPr>
        </xdr:nvSpPr>
        <xdr:spPr bwMode="auto">
          <a:xfrm>
            <a:off x="43529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TABELLÁK</a:t>
            </a:r>
          </a:p>
        </xdr:txBody>
      </xdr:sp>
      <xdr:sp macro="" textlink="">
        <xdr:nvSpPr>
          <xdr:cNvPr id="20490" name="AutoShape 1436">
            <a:extLst>
              <a:ext uri="{FF2B5EF4-FFF2-40B4-BE49-F238E27FC236}">
                <a16:creationId xmlns:a16="http://schemas.microsoft.com/office/drawing/2014/main" xmlns="" id="{00000000-0008-0000-0A00-00000A5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9815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683" name="AutoShape 1729">
            <a:hlinkClick xmlns:r="http://schemas.openxmlformats.org/officeDocument/2006/relationships" r:id="rId10" tooltip="Eredmények rögzítése"/>
            <a:extLst>
              <a:ext uri="{FF2B5EF4-FFF2-40B4-BE49-F238E27FC236}">
                <a16:creationId xmlns:a16="http://schemas.microsoft.com/office/drawing/2014/main" xmlns="" id="{00000000-0008-0000-0A00-00000B700000}"/>
              </a:ext>
            </a:extLst>
          </xdr:cNvPr>
          <xdr:cNvSpPr>
            <a:spLocks noChangeArrowheads="1"/>
          </xdr:cNvSpPr>
        </xdr:nvSpPr>
        <xdr:spPr bwMode="auto">
          <a:xfrm>
            <a:off x="35528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EREDMÉNYEK</a:t>
            </a:r>
          </a:p>
        </xdr:txBody>
      </xdr:sp>
      <xdr:sp macro="" textlink="">
        <xdr:nvSpPr>
          <xdr:cNvPr id="20492" name="AutoShape 1436">
            <a:extLst>
              <a:ext uri="{FF2B5EF4-FFF2-40B4-BE49-F238E27FC236}">
                <a16:creationId xmlns:a16="http://schemas.microsoft.com/office/drawing/2014/main" xmlns="" id="{00000000-0008-0000-0A00-00000C5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1814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187" name="AutoShape 1731">
            <a:hlinkClick xmlns:r="http://schemas.openxmlformats.org/officeDocument/2006/relationships" r:id="rId11" tooltip="A legjobb 16 csapat párosításának megtekintése"/>
            <a:extLst>
              <a:ext uri="{FF2B5EF4-FFF2-40B4-BE49-F238E27FC236}">
                <a16:creationId xmlns:a16="http://schemas.microsoft.com/office/drawing/2014/main" xmlns="" id="{00000000-0008-0000-0A00-0000C3520000}"/>
              </a:ext>
            </a:extLst>
          </xdr:cNvPr>
          <xdr:cNvSpPr>
            <a:spLocks noChangeArrowheads="1"/>
          </xdr:cNvSpPr>
        </xdr:nvSpPr>
        <xdr:spPr bwMode="auto">
          <a:xfrm>
            <a:off x="51530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ÁGRAJZ</a:t>
            </a:r>
          </a:p>
        </xdr:txBody>
      </xdr:sp>
      <xdr:sp macro="" textlink="">
        <xdr:nvSpPr>
          <xdr:cNvPr id="21188" name="AutoShape 1732">
            <a:hlinkClick xmlns:r="http://schemas.openxmlformats.org/officeDocument/2006/relationships" r:id="rId12" tooltip="Az Európa-bajnokság végeredménye"/>
            <a:extLst>
              <a:ext uri="{FF2B5EF4-FFF2-40B4-BE49-F238E27FC236}">
                <a16:creationId xmlns:a16="http://schemas.microsoft.com/office/drawing/2014/main" xmlns="" id="{00000000-0008-0000-0A00-0000C4520000}"/>
              </a:ext>
            </a:extLst>
          </xdr:cNvPr>
          <xdr:cNvSpPr>
            <a:spLocks noChangeArrowheads="1"/>
          </xdr:cNvSpPr>
        </xdr:nvSpPr>
        <xdr:spPr bwMode="auto">
          <a:xfrm>
            <a:off x="59531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RANGSOR</a:t>
            </a:r>
          </a:p>
        </xdr:txBody>
      </xdr:sp>
      <xdr:sp macro="" textlink="">
        <xdr:nvSpPr>
          <xdr:cNvPr id="21189" name="AutoShape 1733">
            <a:hlinkClick xmlns:r="http://schemas.openxmlformats.org/officeDocument/2006/relationships" r:id="rId13" tooltip="Gólszerzők rögzítése"/>
            <a:extLst>
              <a:ext uri="{FF2B5EF4-FFF2-40B4-BE49-F238E27FC236}">
                <a16:creationId xmlns:a16="http://schemas.microsoft.com/office/drawing/2014/main" xmlns="" id="{00000000-0008-0000-0A00-0000C5520000}"/>
              </a:ext>
            </a:extLst>
          </xdr:cNvPr>
          <xdr:cNvSpPr>
            <a:spLocks noChangeArrowheads="1"/>
          </xdr:cNvSpPr>
        </xdr:nvSpPr>
        <xdr:spPr bwMode="auto">
          <a:xfrm>
            <a:off x="67532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GÓLSZERZŐK</a:t>
            </a:r>
          </a:p>
        </xdr:txBody>
      </xdr:sp>
      <xdr:sp macro="" textlink="">
        <xdr:nvSpPr>
          <xdr:cNvPr id="21190" name="AutoShape 1734">
            <a:hlinkClick xmlns:r="http://schemas.openxmlformats.org/officeDocument/2006/relationships" r:id="rId14" tooltip="Góllövőlista megtekintése"/>
            <a:extLst>
              <a:ext uri="{FF2B5EF4-FFF2-40B4-BE49-F238E27FC236}">
                <a16:creationId xmlns:a16="http://schemas.microsoft.com/office/drawing/2014/main" xmlns="" id="{00000000-0008-0000-0A00-0000C6520000}"/>
              </a:ext>
            </a:extLst>
          </xdr:cNvPr>
          <xdr:cNvSpPr>
            <a:spLocks noChangeArrowheads="1"/>
          </xdr:cNvSpPr>
        </xdr:nvSpPr>
        <xdr:spPr bwMode="auto">
          <a:xfrm>
            <a:off x="75533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GÓLLÖVŐ</a:t>
            </a:r>
          </a:p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LISTA</a:t>
            </a:r>
          </a:p>
        </xdr:txBody>
      </xdr:sp>
      <xdr:sp macro="" textlink="">
        <xdr:nvSpPr>
          <xdr:cNvPr id="21191" name="AutoShape 1735">
            <a:hlinkClick xmlns:r="http://schemas.openxmlformats.org/officeDocument/2006/relationships" r:id="rId15" tooltip="A csoportok beosztása"/>
            <a:extLst>
              <a:ext uri="{FF2B5EF4-FFF2-40B4-BE49-F238E27FC236}">
                <a16:creationId xmlns:a16="http://schemas.microsoft.com/office/drawing/2014/main" xmlns="" id="{00000000-0008-0000-0A00-0000C7520000}"/>
              </a:ext>
            </a:extLst>
          </xdr:cNvPr>
          <xdr:cNvSpPr>
            <a:spLocks noChangeArrowheads="1"/>
          </xdr:cNvSpPr>
        </xdr:nvSpPr>
        <xdr:spPr bwMode="auto">
          <a:xfrm>
            <a:off x="83534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CSOPORTOK</a:t>
            </a:r>
          </a:p>
        </xdr:txBody>
      </xdr:sp>
      <xdr:sp macro="" textlink="">
        <xdr:nvSpPr>
          <xdr:cNvPr id="21192" name="AutoShape 1736">
            <a:hlinkClick xmlns:r="http://schemas.openxmlformats.org/officeDocument/2006/relationships" r:id="rId16" tooltip="A csapatok összeállítása"/>
            <a:extLst>
              <a:ext uri="{FF2B5EF4-FFF2-40B4-BE49-F238E27FC236}">
                <a16:creationId xmlns:a16="http://schemas.microsoft.com/office/drawing/2014/main" xmlns="" id="{00000000-0008-0000-0A00-0000C8520000}"/>
              </a:ext>
            </a:extLst>
          </xdr:cNvPr>
          <xdr:cNvSpPr>
            <a:spLocks noChangeArrowheads="1"/>
          </xdr:cNvSpPr>
        </xdr:nvSpPr>
        <xdr:spPr bwMode="auto">
          <a:xfrm>
            <a:off x="91535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CSAPATOK</a:t>
            </a:r>
          </a:p>
        </xdr:txBody>
      </xdr:sp>
      <xdr:sp macro="" textlink="">
        <xdr:nvSpPr>
          <xdr:cNvPr id="21193" name="AutoShape 1737">
            <a:hlinkClick xmlns:r="http://schemas.openxmlformats.org/officeDocument/2006/relationships" r:id="rId17" tooltip="Helyszínek és stadionok"/>
            <a:extLst>
              <a:ext uri="{FF2B5EF4-FFF2-40B4-BE49-F238E27FC236}">
                <a16:creationId xmlns:a16="http://schemas.microsoft.com/office/drawing/2014/main" xmlns="" id="{00000000-0008-0000-0A00-0000C9520000}"/>
              </a:ext>
            </a:extLst>
          </xdr:cNvPr>
          <xdr:cNvSpPr>
            <a:spLocks noChangeArrowheads="1"/>
          </xdr:cNvSpPr>
        </xdr:nvSpPr>
        <xdr:spPr bwMode="auto">
          <a:xfrm>
            <a:off x="99536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HELYSZÍNEK</a:t>
            </a:r>
          </a:p>
        </xdr:txBody>
      </xdr:sp>
      <xdr:sp macro="" textlink="">
        <xdr:nvSpPr>
          <xdr:cNvPr id="20500" name="AutoShape 1436">
            <a:extLst>
              <a:ext uri="{FF2B5EF4-FFF2-40B4-BE49-F238E27FC236}">
                <a16:creationId xmlns:a16="http://schemas.microsoft.com/office/drawing/2014/main" xmlns="" id="{00000000-0008-0000-0A00-0000145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97821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501" name="AutoShape 1436">
            <a:extLst>
              <a:ext uri="{FF2B5EF4-FFF2-40B4-BE49-F238E27FC236}">
                <a16:creationId xmlns:a16="http://schemas.microsoft.com/office/drawing/2014/main" xmlns="" id="{00000000-0008-0000-0A00-0000155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13823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502" name="AutoShape 1436">
            <a:extLst>
              <a:ext uri="{FF2B5EF4-FFF2-40B4-BE49-F238E27FC236}">
                <a16:creationId xmlns:a16="http://schemas.microsoft.com/office/drawing/2014/main" xmlns="" id="{00000000-0008-0000-0A00-0000165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5822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503" name="AutoShape 1436">
            <a:extLst>
              <a:ext uri="{FF2B5EF4-FFF2-40B4-BE49-F238E27FC236}">
                <a16:creationId xmlns:a16="http://schemas.microsoft.com/office/drawing/2014/main" xmlns="" id="{00000000-0008-0000-0A00-0000175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73818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504" name="AutoShape 1436">
            <a:extLst>
              <a:ext uri="{FF2B5EF4-FFF2-40B4-BE49-F238E27FC236}">
                <a16:creationId xmlns:a16="http://schemas.microsoft.com/office/drawing/2014/main" xmlns="" id="{00000000-0008-0000-0A00-0000185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89820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505" name="AutoShape 1436">
            <a:extLst>
              <a:ext uri="{FF2B5EF4-FFF2-40B4-BE49-F238E27FC236}">
                <a16:creationId xmlns:a16="http://schemas.microsoft.com/office/drawing/2014/main" xmlns="" id="{00000000-0008-0000-0A00-0000195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5817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506" name="AutoShape 1436">
            <a:extLst>
              <a:ext uri="{FF2B5EF4-FFF2-40B4-BE49-F238E27FC236}">
                <a16:creationId xmlns:a16="http://schemas.microsoft.com/office/drawing/2014/main" xmlns="" id="{00000000-0008-0000-0A00-00001A5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7816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507" name="AutoShape 1436">
            <a:extLst>
              <a:ext uri="{FF2B5EF4-FFF2-40B4-BE49-F238E27FC236}">
                <a16:creationId xmlns:a16="http://schemas.microsoft.com/office/drawing/2014/main" xmlns="" id="{00000000-0008-0000-0A00-00001B5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1830050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FAB65C"/>
              </a:gs>
              <a:gs pos="100000">
                <a:srgbClr val="333333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508" name="AutoShape 1436">
            <a:extLst>
              <a:ext uri="{FF2B5EF4-FFF2-40B4-BE49-F238E27FC236}">
                <a16:creationId xmlns:a16="http://schemas.microsoft.com/office/drawing/2014/main" xmlns="" id="{00000000-0008-0000-0A00-00001C5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81819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pic>
        <xdr:nvPicPr>
          <xdr:cNvPr id="20509" name="Kép 1">
            <a:hlinkClick xmlns:r="http://schemas.openxmlformats.org/officeDocument/2006/relationships" r:id="rId18" tooltip="Mail to Gyworks"/>
            <a:extLst>
              <a:ext uri="{FF2B5EF4-FFF2-40B4-BE49-F238E27FC236}">
                <a16:creationId xmlns:a16="http://schemas.microsoft.com/office/drawing/2014/main" xmlns="" id="{00000000-0008-0000-0A00-00001D5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6300" y="47625"/>
            <a:ext cx="1383912" cy="31701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5</xdr:row>
      <xdr:rowOff>0</xdr:rowOff>
    </xdr:from>
    <xdr:to>
      <xdr:col>11</xdr:col>
      <xdr:colOff>9525</xdr:colOff>
      <xdr:row>6</xdr:row>
      <xdr:rowOff>0</xdr:rowOff>
    </xdr:to>
    <xdr:grpSp>
      <xdr:nvGrpSpPr>
        <xdr:cNvPr id="2049" name="Group 719">
          <a:extLst>
            <a:ext uri="{FF2B5EF4-FFF2-40B4-BE49-F238E27FC236}">
              <a16:creationId xmlns:a16="http://schemas.microsoft.com/office/drawing/2014/main" xmlns="" id="{00000000-0008-0000-0100-000001080000}"/>
            </a:ext>
          </a:extLst>
        </xdr:cNvPr>
        <xdr:cNvGrpSpPr>
          <a:grpSpLocks/>
        </xdr:cNvGrpSpPr>
      </xdr:nvGrpSpPr>
      <xdr:grpSpPr bwMode="auto">
        <a:xfrm>
          <a:off x="819150" y="752475"/>
          <a:ext cx="4743450" cy="200025"/>
          <a:chOff x="86" y="79"/>
          <a:chExt cx="498" cy="21"/>
        </a:xfrm>
      </xdr:grpSpPr>
      <xdr:sp macro="" textlink="">
        <xdr:nvSpPr>
          <xdr:cNvPr id="3344" name="Text Box 272">
            <a:extLst>
              <a:ext uri="{FF2B5EF4-FFF2-40B4-BE49-F238E27FC236}">
                <a16:creationId xmlns:a16="http://schemas.microsoft.com/office/drawing/2014/main" xmlns="" id="{00000000-0008-0000-0100-0000100D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6" y="79"/>
            <a:ext cx="498" cy="21"/>
          </a:xfrm>
          <a:prstGeom prst="rect">
            <a:avLst/>
          </a:prstGeom>
          <a:gradFill rotWithShape="0">
            <a:gsLst>
              <a:gs pos="0">
                <a:srgbClr val="009CB3"/>
              </a:gs>
              <a:gs pos="100000">
                <a:srgbClr val="005C68"/>
              </a:gs>
            </a:gsLst>
            <a:lin ang="5400000" scaled="1"/>
          </a:gradFill>
          <a:ln w="0" algn="ctr">
            <a:solidFill>
              <a:srgbClr val="D3D3D3"/>
            </a:solidFill>
            <a:miter lim="800000"/>
            <a:headEnd/>
            <a:tailEnd/>
          </a:ln>
          <a:effectLst/>
        </xdr:spPr>
        <xdr:txBody>
          <a:bodyPr vertOverflow="clip" wrap="square" lIns="14400" tIns="0" rIns="0" bIns="0" anchor="ctr" upright="1"/>
          <a:lstStyle/>
          <a:p>
            <a:pPr algn="l" rtl="0">
              <a:defRPr sz="1000"/>
            </a:pPr>
            <a:r>
              <a:rPr lang="hu-HU" sz="800" b="1" i="0" u="none" strike="noStrike" baseline="0">
                <a:solidFill>
                  <a:srgbClr val="FFFFFF"/>
                </a:solidFill>
                <a:latin typeface="Arial Unicode MS"/>
              </a:rPr>
              <a:t>  A CSOPORT</a:t>
            </a:r>
          </a:p>
        </xdr:txBody>
      </xdr:sp>
      <xdr:sp macro="" textlink="">
        <xdr:nvSpPr>
          <xdr:cNvPr id="3345" name="Text Box 273">
            <a:extLst>
              <a:ext uri="{FF2B5EF4-FFF2-40B4-BE49-F238E27FC236}">
                <a16:creationId xmlns:a16="http://schemas.microsoft.com/office/drawing/2014/main" xmlns="" id="{00000000-0008-0000-0100-0000110D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22" y="80"/>
            <a:ext cx="257" cy="20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14400" tIns="0" rIns="0" bIns="0" anchor="ctr" upright="1"/>
          <a:lstStyle/>
          <a:p>
            <a:pPr algn="l" rtl="0">
              <a:defRPr sz="1000"/>
            </a:pPr>
            <a:r>
              <a:rPr lang="hu-HU" sz="700" b="1" i="0" u="none" strike="noStrike" baseline="0">
                <a:solidFill>
                  <a:srgbClr val="FFFFFF"/>
                </a:solidFill>
                <a:latin typeface="Verdana"/>
                <a:ea typeface="Verdana"/>
              </a:rPr>
              <a:t>M        Gy       D       V           L–K               Gk         P     </a:t>
            </a:r>
          </a:p>
        </xdr:txBody>
      </xdr:sp>
    </xdr:grpSp>
    <xdr:clientData/>
  </xdr:twoCellAnchor>
  <xdr:twoCellAnchor editAs="oneCell">
    <xdr:from>
      <xdr:col>3</xdr:col>
      <xdr:colOff>0</xdr:colOff>
      <xdr:row>11</xdr:row>
      <xdr:rowOff>0</xdr:rowOff>
    </xdr:from>
    <xdr:to>
      <xdr:col>11</xdr:col>
      <xdr:colOff>9525</xdr:colOff>
      <xdr:row>12</xdr:row>
      <xdr:rowOff>0</xdr:rowOff>
    </xdr:to>
    <xdr:grpSp>
      <xdr:nvGrpSpPr>
        <xdr:cNvPr id="2050" name="Group 714">
          <a:extLst>
            <a:ext uri="{FF2B5EF4-FFF2-40B4-BE49-F238E27FC236}">
              <a16:creationId xmlns:a16="http://schemas.microsoft.com/office/drawing/2014/main" xmlns="" id="{00000000-0008-0000-0100-000002080000}"/>
            </a:ext>
          </a:extLst>
        </xdr:cNvPr>
        <xdr:cNvGrpSpPr>
          <a:grpSpLocks/>
        </xdr:cNvGrpSpPr>
      </xdr:nvGrpSpPr>
      <xdr:grpSpPr bwMode="auto">
        <a:xfrm>
          <a:off x="819150" y="2000250"/>
          <a:ext cx="4743450" cy="200025"/>
          <a:chOff x="86" y="225"/>
          <a:chExt cx="498" cy="21"/>
        </a:xfrm>
      </xdr:grpSpPr>
      <xdr:sp macro="" textlink="">
        <xdr:nvSpPr>
          <xdr:cNvPr id="3360" name="Text Box 288">
            <a:extLst>
              <a:ext uri="{FF2B5EF4-FFF2-40B4-BE49-F238E27FC236}">
                <a16:creationId xmlns:a16="http://schemas.microsoft.com/office/drawing/2014/main" xmlns="" id="{00000000-0008-0000-0100-0000200D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6" y="225"/>
            <a:ext cx="498" cy="21"/>
          </a:xfrm>
          <a:prstGeom prst="rect">
            <a:avLst/>
          </a:prstGeom>
          <a:gradFill rotWithShape="0">
            <a:gsLst>
              <a:gs pos="0">
                <a:srgbClr val="9475E1"/>
              </a:gs>
              <a:gs pos="100000">
                <a:srgbClr val="523973"/>
              </a:gs>
            </a:gsLst>
            <a:lin ang="5400000" scaled="1"/>
          </a:gradFill>
          <a:ln w="0" algn="ctr">
            <a:solidFill>
              <a:srgbClr val="D3D3D3"/>
            </a:solidFill>
            <a:miter lim="800000"/>
            <a:headEnd/>
            <a:tailEnd/>
          </a:ln>
          <a:effectLst/>
        </xdr:spPr>
        <xdr:txBody>
          <a:bodyPr vertOverflow="clip" wrap="square" lIns="14400" tIns="0" rIns="0" bIns="0" anchor="ctr" upright="1"/>
          <a:lstStyle/>
          <a:p>
            <a:pPr algn="l" rtl="0">
              <a:defRPr sz="1000"/>
            </a:pPr>
            <a:r>
              <a:rPr lang="hu-HU" sz="800" b="1" i="0" u="none" strike="noStrike" baseline="0">
                <a:solidFill>
                  <a:srgbClr val="FFFFFF"/>
                </a:solidFill>
                <a:latin typeface="Arial Unicode MS"/>
              </a:rPr>
              <a:t>  B CSOPORT</a:t>
            </a:r>
          </a:p>
        </xdr:txBody>
      </xdr:sp>
      <xdr:sp macro="" textlink="">
        <xdr:nvSpPr>
          <xdr:cNvPr id="3776" name="Text Box 704">
            <a:extLst>
              <a:ext uri="{FF2B5EF4-FFF2-40B4-BE49-F238E27FC236}">
                <a16:creationId xmlns:a16="http://schemas.microsoft.com/office/drawing/2014/main" xmlns="" id="{00000000-0008-0000-0100-0000C00E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22" y="226"/>
            <a:ext cx="257" cy="20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14400" tIns="0" rIns="0" bIns="0" anchor="ctr" upright="1"/>
          <a:lstStyle/>
          <a:p>
            <a:pPr algn="l" rtl="0">
              <a:defRPr sz="1000"/>
            </a:pPr>
            <a:r>
              <a:rPr lang="hu-HU" sz="700" b="1" i="0" u="none" strike="noStrike" baseline="0">
                <a:solidFill>
                  <a:srgbClr val="FFFFFF"/>
                </a:solidFill>
                <a:latin typeface="Verdana"/>
                <a:ea typeface="Verdana"/>
              </a:rPr>
              <a:t>M        Gy       D       V           L–K               Gk         P     </a:t>
            </a:r>
          </a:p>
        </xdr:txBody>
      </xdr:sp>
    </xdr:grpSp>
    <xdr:clientData/>
  </xdr:twoCellAnchor>
  <xdr:twoCellAnchor editAs="oneCell">
    <xdr:from>
      <xdr:col>3</xdr:col>
      <xdr:colOff>0</xdr:colOff>
      <xdr:row>17</xdr:row>
      <xdr:rowOff>0</xdr:rowOff>
    </xdr:from>
    <xdr:to>
      <xdr:col>11</xdr:col>
      <xdr:colOff>9525</xdr:colOff>
      <xdr:row>18</xdr:row>
      <xdr:rowOff>0</xdr:rowOff>
    </xdr:to>
    <xdr:grpSp>
      <xdr:nvGrpSpPr>
        <xdr:cNvPr id="2051" name="Group 713">
          <a:extLst>
            <a:ext uri="{FF2B5EF4-FFF2-40B4-BE49-F238E27FC236}">
              <a16:creationId xmlns:a16="http://schemas.microsoft.com/office/drawing/2014/main" xmlns="" id="{00000000-0008-0000-0100-000003080000}"/>
            </a:ext>
          </a:extLst>
        </xdr:cNvPr>
        <xdr:cNvGrpSpPr>
          <a:grpSpLocks/>
        </xdr:cNvGrpSpPr>
      </xdr:nvGrpSpPr>
      <xdr:grpSpPr bwMode="auto">
        <a:xfrm>
          <a:off x="819150" y="3248025"/>
          <a:ext cx="4743450" cy="200025"/>
          <a:chOff x="86" y="371"/>
          <a:chExt cx="498" cy="21"/>
        </a:xfrm>
      </xdr:grpSpPr>
      <xdr:sp macro="" textlink="">
        <xdr:nvSpPr>
          <xdr:cNvPr id="3362" name="Text Box 290">
            <a:extLst>
              <a:ext uri="{FF2B5EF4-FFF2-40B4-BE49-F238E27FC236}">
                <a16:creationId xmlns:a16="http://schemas.microsoft.com/office/drawing/2014/main" xmlns="" id="{00000000-0008-0000-0100-0000220D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6" y="371"/>
            <a:ext cx="498" cy="21"/>
          </a:xfrm>
          <a:prstGeom prst="rect">
            <a:avLst/>
          </a:prstGeom>
          <a:gradFill rotWithShape="0">
            <a:gsLst>
              <a:gs pos="0">
                <a:srgbClr val="F99F27"/>
              </a:gs>
              <a:gs pos="100000">
                <a:srgbClr val="9C3B0B"/>
              </a:gs>
            </a:gsLst>
            <a:lin ang="5400000" scaled="1"/>
          </a:gradFill>
          <a:ln w="0" algn="ctr">
            <a:solidFill>
              <a:srgbClr val="D3D3D3"/>
            </a:solidFill>
            <a:miter lim="800000"/>
            <a:headEnd/>
            <a:tailEnd/>
          </a:ln>
          <a:effectLst/>
        </xdr:spPr>
        <xdr:txBody>
          <a:bodyPr vertOverflow="clip" wrap="square" lIns="14400" tIns="0" rIns="0" bIns="0" anchor="ctr" upright="1"/>
          <a:lstStyle/>
          <a:p>
            <a:pPr algn="l" rtl="0">
              <a:defRPr sz="1000"/>
            </a:pPr>
            <a:r>
              <a:rPr lang="hu-HU" sz="800" b="1" i="0" u="none" strike="noStrike" baseline="0">
                <a:solidFill>
                  <a:srgbClr val="FFFFFF"/>
                </a:solidFill>
                <a:latin typeface="Arial Unicode MS"/>
              </a:rPr>
              <a:t>  C CSOPORT</a:t>
            </a:r>
          </a:p>
        </xdr:txBody>
      </xdr:sp>
      <xdr:sp macro="" textlink="">
        <xdr:nvSpPr>
          <xdr:cNvPr id="3778" name="Text Box 706">
            <a:extLst>
              <a:ext uri="{FF2B5EF4-FFF2-40B4-BE49-F238E27FC236}">
                <a16:creationId xmlns:a16="http://schemas.microsoft.com/office/drawing/2014/main" xmlns="" id="{00000000-0008-0000-0100-0000C20E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22" y="372"/>
            <a:ext cx="257" cy="20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14400" tIns="0" rIns="0" bIns="0" anchor="ctr" upright="1"/>
          <a:lstStyle/>
          <a:p>
            <a:pPr algn="l" rtl="0">
              <a:defRPr sz="1000"/>
            </a:pPr>
            <a:r>
              <a:rPr lang="hu-HU" sz="700" b="1" i="0" u="none" strike="noStrike" baseline="0">
                <a:solidFill>
                  <a:srgbClr val="FFFFFF"/>
                </a:solidFill>
                <a:latin typeface="Verdana"/>
                <a:ea typeface="Verdana"/>
              </a:rPr>
              <a:t>M        Gy       D       V           L–K               Gk         P     </a:t>
            </a:r>
          </a:p>
        </xdr:txBody>
      </xdr:sp>
    </xdr:grpSp>
    <xdr:clientData/>
  </xdr:twoCellAnchor>
  <xdr:twoCellAnchor editAs="oneCell">
    <xdr:from>
      <xdr:col>13</xdr:col>
      <xdr:colOff>0</xdr:colOff>
      <xdr:row>5</xdr:row>
      <xdr:rowOff>0</xdr:rowOff>
    </xdr:from>
    <xdr:to>
      <xdr:col>21</xdr:col>
      <xdr:colOff>9525</xdr:colOff>
      <xdr:row>6</xdr:row>
      <xdr:rowOff>0</xdr:rowOff>
    </xdr:to>
    <xdr:grpSp>
      <xdr:nvGrpSpPr>
        <xdr:cNvPr id="2052" name="Group 718">
          <a:extLst>
            <a:ext uri="{FF2B5EF4-FFF2-40B4-BE49-F238E27FC236}">
              <a16:creationId xmlns:a16="http://schemas.microsoft.com/office/drawing/2014/main" xmlns="" id="{00000000-0008-0000-0100-000004080000}"/>
            </a:ext>
          </a:extLst>
        </xdr:cNvPr>
        <xdr:cNvGrpSpPr>
          <a:grpSpLocks/>
        </xdr:cNvGrpSpPr>
      </xdr:nvGrpSpPr>
      <xdr:grpSpPr bwMode="auto">
        <a:xfrm>
          <a:off x="6372225" y="752475"/>
          <a:ext cx="4743450" cy="200025"/>
          <a:chOff x="669" y="79"/>
          <a:chExt cx="498" cy="21"/>
        </a:xfrm>
      </xdr:grpSpPr>
      <xdr:sp macro="" textlink="">
        <xdr:nvSpPr>
          <xdr:cNvPr id="3366" name="Text Box 294">
            <a:extLst>
              <a:ext uri="{FF2B5EF4-FFF2-40B4-BE49-F238E27FC236}">
                <a16:creationId xmlns:a16="http://schemas.microsoft.com/office/drawing/2014/main" xmlns="" id="{00000000-0008-0000-0100-0000260D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69" y="79"/>
            <a:ext cx="498" cy="21"/>
          </a:xfrm>
          <a:prstGeom prst="rect">
            <a:avLst/>
          </a:prstGeom>
          <a:gradFill rotWithShape="0">
            <a:gsLst>
              <a:gs pos="0">
                <a:srgbClr val="ADCE35"/>
              </a:gs>
              <a:gs pos="100000">
                <a:srgbClr val="005000"/>
              </a:gs>
            </a:gsLst>
            <a:lin ang="5400000" scaled="1"/>
          </a:gradFill>
          <a:ln w="0" algn="ctr">
            <a:solidFill>
              <a:srgbClr val="D3D3D3"/>
            </a:solidFill>
            <a:miter lim="800000"/>
            <a:headEnd/>
            <a:tailEnd/>
          </a:ln>
          <a:effectLst/>
        </xdr:spPr>
        <xdr:txBody>
          <a:bodyPr vertOverflow="clip" wrap="square" lIns="14400" tIns="0" rIns="0" bIns="0" anchor="ctr" upright="1"/>
          <a:lstStyle/>
          <a:p>
            <a:pPr algn="l" rtl="0">
              <a:defRPr sz="1000"/>
            </a:pPr>
            <a:r>
              <a:rPr lang="hu-HU" sz="800" b="1" i="0" u="none" strike="noStrike" baseline="0">
                <a:solidFill>
                  <a:srgbClr val="FFFFFF"/>
                </a:solidFill>
                <a:latin typeface="Arial Unicode MS"/>
              </a:rPr>
              <a:t>  D CSOPORT</a:t>
            </a:r>
          </a:p>
        </xdr:txBody>
      </xdr:sp>
      <xdr:sp macro="" textlink="">
        <xdr:nvSpPr>
          <xdr:cNvPr id="3780" name="Text Box 708">
            <a:extLst>
              <a:ext uri="{FF2B5EF4-FFF2-40B4-BE49-F238E27FC236}">
                <a16:creationId xmlns:a16="http://schemas.microsoft.com/office/drawing/2014/main" xmlns="" id="{00000000-0008-0000-0100-0000C40E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05" y="80"/>
            <a:ext cx="257" cy="20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14400" tIns="0" rIns="0" bIns="0" anchor="ctr" upright="1"/>
          <a:lstStyle/>
          <a:p>
            <a:pPr algn="l" rtl="0">
              <a:defRPr sz="1000"/>
            </a:pPr>
            <a:r>
              <a:rPr lang="hu-HU" sz="700" b="1" i="0" u="none" strike="noStrike" baseline="0">
                <a:solidFill>
                  <a:srgbClr val="FFFFFF"/>
                </a:solidFill>
                <a:latin typeface="Verdana"/>
                <a:ea typeface="Verdana"/>
              </a:rPr>
              <a:t>M        Gy       D       V           L–K               Gk         P     </a:t>
            </a:r>
          </a:p>
        </xdr:txBody>
      </xdr:sp>
    </xdr:grpSp>
    <xdr:clientData/>
  </xdr:twoCellAnchor>
  <xdr:twoCellAnchor editAs="oneCell">
    <xdr:from>
      <xdr:col>13</xdr:col>
      <xdr:colOff>0</xdr:colOff>
      <xdr:row>11</xdr:row>
      <xdr:rowOff>0</xdr:rowOff>
    </xdr:from>
    <xdr:to>
      <xdr:col>21</xdr:col>
      <xdr:colOff>9525</xdr:colOff>
      <xdr:row>12</xdr:row>
      <xdr:rowOff>0</xdr:rowOff>
    </xdr:to>
    <xdr:grpSp>
      <xdr:nvGrpSpPr>
        <xdr:cNvPr id="2053" name="Group 717">
          <a:extLst>
            <a:ext uri="{FF2B5EF4-FFF2-40B4-BE49-F238E27FC236}">
              <a16:creationId xmlns:a16="http://schemas.microsoft.com/office/drawing/2014/main" xmlns="" id="{00000000-0008-0000-0100-000005080000}"/>
            </a:ext>
          </a:extLst>
        </xdr:cNvPr>
        <xdr:cNvGrpSpPr>
          <a:grpSpLocks/>
        </xdr:cNvGrpSpPr>
      </xdr:nvGrpSpPr>
      <xdr:grpSpPr bwMode="auto">
        <a:xfrm>
          <a:off x="6372225" y="2000250"/>
          <a:ext cx="4743450" cy="200025"/>
          <a:chOff x="669" y="225"/>
          <a:chExt cx="498" cy="21"/>
        </a:xfrm>
      </xdr:grpSpPr>
      <xdr:sp macro="" textlink="">
        <xdr:nvSpPr>
          <xdr:cNvPr id="3368" name="Text Box 296">
            <a:extLst>
              <a:ext uri="{FF2B5EF4-FFF2-40B4-BE49-F238E27FC236}">
                <a16:creationId xmlns:a16="http://schemas.microsoft.com/office/drawing/2014/main" xmlns="" id="{00000000-0008-0000-0100-0000280D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69" y="225"/>
            <a:ext cx="498" cy="21"/>
          </a:xfrm>
          <a:prstGeom prst="rect">
            <a:avLst/>
          </a:prstGeom>
          <a:gradFill rotWithShape="0">
            <a:gsLst>
              <a:gs pos="0">
                <a:srgbClr val="EE2959"/>
              </a:gs>
              <a:gs pos="100000">
                <a:srgbClr val="8C081D"/>
              </a:gs>
            </a:gsLst>
            <a:lin ang="5400000" scaled="1"/>
          </a:gradFill>
          <a:ln w="0" algn="ctr">
            <a:solidFill>
              <a:srgbClr val="D3D3D3"/>
            </a:solidFill>
            <a:miter lim="800000"/>
            <a:headEnd/>
            <a:tailEnd/>
          </a:ln>
          <a:effectLst/>
        </xdr:spPr>
        <xdr:txBody>
          <a:bodyPr vertOverflow="clip" wrap="square" lIns="14400" tIns="0" rIns="0" bIns="0" anchor="ctr" upright="1"/>
          <a:lstStyle/>
          <a:p>
            <a:pPr algn="l" rtl="0">
              <a:defRPr sz="1000"/>
            </a:pPr>
            <a:r>
              <a:rPr lang="hu-HU" sz="800" b="1" i="0" u="none" strike="noStrike" baseline="0">
                <a:solidFill>
                  <a:srgbClr val="FFFFFF"/>
                </a:solidFill>
                <a:latin typeface="Arial Unicode MS"/>
              </a:rPr>
              <a:t>  E CSOPORT</a:t>
            </a:r>
          </a:p>
        </xdr:txBody>
      </xdr:sp>
      <xdr:sp macro="" textlink="">
        <xdr:nvSpPr>
          <xdr:cNvPr id="3782" name="Text Box 710">
            <a:extLst>
              <a:ext uri="{FF2B5EF4-FFF2-40B4-BE49-F238E27FC236}">
                <a16:creationId xmlns:a16="http://schemas.microsoft.com/office/drawing/2014/main" xmlns="" id="{00000000-0008-0000-0100-0000C60E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05" y="226"/>
            <a:ext cx="257" cy="20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14400" tIns="0" rIns="0" bIns="0" anchor="ctr" upright="1"/>
          <a:lstStyle/>
          <a:p>
            <a:pPr algn="l" rtl="0">
              <a:defRPr sz="1000"/>
            </a:pPr>
            <a:r>
              <a:rPr lang="hu-HU" sz="700" b="1" i="0" u="none" strike="noStrike" baseline="0">
                <a:solidFill>
                  <a:srgbClr val="FFFFFF"/>
                </a:solidFill>
                <a:latin typeface="Verdana"/>
                <a:ea typeface="Verdana"/>
              </a:rPr>
              <a:t>M        Gy       D       V           L–K               Gk         P     </a:t>
            </a:r>
          </a:p>
        </xdr:txBody>
      </xdr:sp>
    </xdr:grpSp>
    <xdr:clientData/>
  </xdr:twoCellAnchor>
  <xdr:twoCellAnchor editAs="oneCell">
    <xdr:from>
      <xdr:col>13</xdr:col>
      <xdr:colOff>0</xdr:colOff>
      <xdr:row>17</xdr:row>
      <xdr:rowOff>0</xdr:rowOff>
    </xdr:from>
    <xdr:to>
      <xdr:col>21</xdr:col>
      <xdr:colOff>9525</xdr:colOff>
      <xdr:row>18</xdr:row>
      <xdr:rowOff>0</xdr:rowOff>
    </xdr:to>
    <xdr:grpSp>
      <xdr:nvGrpSpPr>
        <xdr:cNvPr id="2054" name="Group 716">
          <a:extLst>
            <a:ext uri="{FF2B5EF4-FFF2-40B4-BE49-F238E27FC236}">
              <a16:creationId xmlns:a16="http://schemas.microsoft.com/office/drawing/2014/main" xmlns="" id="{00000000-0008-0000-0100-000006080000}"/>
            </a:ext>
          </a:extLst>
        </xdr:cNvPr>
        <xdr:cNvGrpSpPr>
          <a:grpSpLocks/>
        </xdr:cNvGrpSpPr>
      </xdr:nvGrpSpPr>
      <xdr:grpSpPr bwMode="auto">
        <a:xfrm>
          <a:off x="6372225" y="3248025"/>
          <a:ext cx="4743450" cy="200025"/>
          <a:chOff x="669" y="371"/>
          <a:chExt cx="498" cy="21"/>
        </a:xfrm>
      </xdr:grpSpPr>
      <xdr:sp macro="" textlink="">
        <xdr:nvSpPr>
          <xdr:cNvPr id="3370" name="Text Box 298">
            <a:extLst>
              <a:ext uri="{FF2B5EF4-FFF2-40B4-BE49-F238E27FC236}">
                <a16:creationId xmlns:a16="http://schemas.microsoft.com/office/drawing/2014/main" xmlns="" id="{00000000-0008-0000-0100-00002A0D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669" y="371"/>
            <a:ext cx="498" cy="21"/>
          </a:xfrm>
          <a:prstGeom prst="rect">
            <a:avLst/>
          </a:prstGeom>
          <a:gradFill rotWithShape="0">
            <a:gsLst>
              <a:gs pos="0">
                <a:srgbClr val="8C126F"/>
              </a:gs>
              <a:gs pos="100000">
                <a:srgbClr val="3A082E"/>
              </a:gs>
            </a:gsLst>
            <a:lin ang="5400000" scaled="1"/>
          </a:gradFill>
          <a:ln w="0" algn="ctr">
            <a:solidFill>
              <a:srgbClr val="D3D3D3"/>
            </a:solidFill>
            <a:miter lim="800000"/>
            <a:headEnd/>
            <a:tailEnd/>
          </a:ln>
          <a:effectLst/>
        </xdr:spPr>
        <xdr:txBody>
          <a:bodyPr vertOverflow="clip" wrap="square" lIns="14400" tIns="0" rIns="0" bIns="0" anchor="ctr" upright="1"/>
          <a:lstStyle/>
          <a:p>
            <a:pPr algn="l" rtl="0">
              <a:defRPr sz="1000"/>
            </a:pPr>
            <a:r>
              <a:rPr lang="hu-HU" sz="800" b="1" i="0" u="none" strike="noStrike" baseline="0">
                <a:solidFill>
                  <a:srgbClr val="FFFFFF"/>
                </a:solidFill>
                <a:latin typeface="Arial Unicode MS"/>
              </a:rPr>
              <a:t>  F CSOPORT</a:t>
            </a:r>
          </a:p>
        </xdr:txBody>
      </xdr:sp>
      <xdr:sp macro="" textlink="">
        <xdr:nvSpPr>
          <xdr:cNvPr id="3784" name="Text Box 712">
            <a:extLst>
              <a:ext uri="{FF2B5EF4-FFF2-40B4-BE49-F238E27FC236}">
                <a16:creationId xmlns:a16="http://schemas.microsoft.com/office/drawing/2014/main" xmlns="" id="{00000000-0008-0000-0100-0000C80E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05" y="372"/>
            <a:ext cx="257" cy="20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14400" tIns="0" rIns="0" bIns="0" anchor="ctr" upright="1"/>
          <a:lstStyle/>
          <a:p>
            <a:pPr algn="l" rtl="0">
              <a:defRPr sz="1000"/>
            </a:pPr>
            <a:r>
              <a:rPr lang="hu-HU" sz="700" b="1" i="0" u="none" strike="noStrike" baseline="0">
                <a:solidFill>
                  <a:srgbClr val="FFFFFF"/>
                </a:solidFill>
                <a:latin typeface="Verdana"/>
                <a:ea typeface="Verdana"/>
              </a:rPr>
              <a:t>M        Gy       D       V           L–K               Gk         P     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22</xdr:col>
      <xdr:colOff>695325</xdr:colOff>
      <xdr:row>3</xdr:row>
      <xdr:rowOff>0</xdr:rowOff>
    </xdr:to>
    <xdr:grpSp>
      <xdr:nvGrpSpPr>
        <xdr:cNvPr id="2055" name="Csoportba foglalás 2">
          <a:extLst>
            <a:ext uri="{FF2B5EF4-FFF2-40B4-BE49-F238E27FC236}">
              <a16:creationId xmlns:a16="http://schemas.microsoft.com/office/drawing/2014/main" xmlns="" id="{00000000-0008-0000-0100-000007080000}"/>
            </a:ext>
          </a:extLst>
        </xdr:cNvPr>
        <xdr:cNvGrpSpPr>
          <a:grpSpLocks/>
        </xdr:cNvGrpSpPr>
      </xdr:nvGrpSpPr>
      <xdr:grpSpPr bwMode="auto">
        <a:xfrm>
          <a:off x="0" y="0"/>
          <a:ext cx="11991975" cy="361950"/>
          <a:chOff x="0" y="0"/>
          <a:chExt cx="11991975" cy="364644"/>
        </a:xfrm>
      </xdr:grpSpPr>
      <xdr:pic>
        <xdr:nvPicPr>
          <xdr:cNvPr id="2056" name="Picture 1711">
            <a:extLst>
              <a:ext uri="{FF2B5EF4-FFF2-40B4-BE49-F238E27FC236}">
                <a16:creationId xmlns:a16="http://schemas.microsoft.com/office/drawing/2014/main" xmlns="" id="{00000000-0008-0000-0100-0000080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1991975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1168" name="AutoShape 1712">
            <a:hlinkClick xmlns:r="http://schemas.openxmlformats.org/officeDocument/2006/relationships" r:id="rId2" tooltip="Tippjáték"/>
            <a:extLst>
              <a:ext uri="{FF2B5EF4-FFF2-40B4-BE49-F238E27FC236}">
                <a16:creationId xmlns:a16="http://schemas.microsoft.com/office/drawing/2014/main" xmlns="" id="{00000000-0008-0000-0100-0000B0520000}"/>
              </a:ext>
            </a:extLst>
          </xdr:cNvPr>
          <xdr:cNvSpPr>
            <a:spLocks noChangeArrowheads="1"/>
          </xdr:cNvSpPr>
        </xdr:nvSpPr>
        <xdr:spPr bwMode="auto">
          <a:xfrm>
            <a:off x="107537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TIPPJÁTÉK</a:t>
            </a:r>
          </a:p>
        </xdr:txBody>
      </xdr:sp>
      <xdr:sp macro="" textlink="">
        <xdr:nvSpPr>
          <xdr:cNvPr id="21169" name="AutoShape 1713">
            <a:hlinkClick xmlns:r="http://schemas.openxmlformats.org/officeDocument/2006/relationships" r:id="rId3" tooltip="Használati ismertető"/>
            <a:extLst>
              <a:ext uri="{FF2B5EF4-FFF2-40B4-BE49-F238E27FC236}">
                <a16:creationId xmlns:a16="http://schemas.microsoft.com/office/drawing/2014/main" xmlns="" id="{00000000-0008-0000-0100-0000B1520000}"/>
              </a:ext>
            </a:extLst>
          </xdr:cNvPr>
          <xdr:cNvSpPr>
            <a:spLocks noChangeArrowheads="1"/>
          </xdr:cNvSpPr>
        </xdr:nvSpPr>
        <xdr:spPr bwMode="auto">
          <a:xfrm>
            <a:off x="11553825" y="19192"/>
            <a:ext cx="438150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SÚGÓ</a:t>
            </a:r>
          </a:p>
        </xdr:txBody>
      </xdr:sp>
      <xdr:pic>
        <xdr:nvPicPr>
          <xdr:cNvPr id="2059" name="Picture 1725" descr="NS-logo_szurke">
            <a:hlinkClick xmlns:r="http://schemas.openxmlformats.org/officeDocument/2006/relationships" r:id="rId4" tooltip="További szurkolói füzetek a Nemzeti Sport honlapján"/>
            <a:extLst>
              <a:ext uri="{FF2B5EF4-FFF2-40B4-BE49-F238E27FC236}">
                <a16:creationId xmlns:a16="http://schemas.microsoft.com/office/drawing/2014/main" xmlns="" id="{00000000-0008-0000-0100-00000B0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1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7625" y="38384"/>
            <a:ext cx="704850" cy="287877"/>
          </a:xfrm>
          <a:prstGeom prst="rect">
            <a:avLst/>
          </a:prstGeom>
          <a:noFill/>
          <a:ln>
            <a:noFill/>
          </a:ln>
          <a:effectLst>
            <a:outerShdw dist="35921" dir="2700000" algn="ctr" rotWithShape="0">
              <a:srgbClr val="333333"/>
            </a:outerShdw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060" name="Picture 1726">
            <a:extLst>
              <a:ext uri="{FF2B5EF4-FFF2-40B4-BE49-F238E27FC236}">
                <a16:creationId xmlns:a16="http://schemas.microsoft.com/office/drawing/2014/main" xmlns="" id="{00000000-0008-0000-0100-00000C0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419350" y="38384"/>
            <a:ext cx="981075" cy="287877"/>
          </a:xfrm>
          <a:prstGeom prst="rect">
            <a:avLst/>
          </a:prstGeom>
          <a:noFill/>
          <a:ln>
            <a:noFill/>
          </a:ln>
          <a:effectLst>
            <a:outerShdw dist="35921" dir="2700000" algn="ctr" rotWithShape="0">
              <a:srgbClr val="333333"/>
            </a:outerShdw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1529" name="AutoShape 1727">
            <a:hlinkClick xmlns:r="http://schemas.openxmlformats.org/officeDocument/2006/relationships" r:id="rId7" tooltip="A csoportok állása"/>
            <a:extLst>
              <a:ext uri="{FF2B5EF4-FFF2-40B4-BE49-F238E27FC236}">
                <a16:creationId xmlns:a16="http://schemas.microsoft.com/office/drawing/2014/main" xmlns="" id="{00000000-0008-0000-0100-000019540000}"/>
              </a:ext>
            </a:extLst>
          </xdr:cNvPr>
          <xdr:cNvSpPr>
            <a:spLocks noChangeArrowheads="1"/>
          </xdr:cNvSpPr>
        </xdr:nvSpPr>
        <xdr:spPr bwMode="auto">
          <a:xfrm>
            <a:off x="43529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10F3E">
                  <a:alpha val="56000"/>
                </a:srgbClr>
              </a:gs>
              <a:gs pos="100000">
                <a:srgbClr val="009CB3">
                  <a:alpha val="56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FAB65C"/>
                </a:solidFill>
                <a:latin typeface="Arial Unicode MS"/>
              </a:rPr>
              <a:t>TABELLÁK</a:t>
            </a:r>
          </a:p>
        </xdr:txBody>
      </xdr:sp>
      <xdr:sp macro="" textlink="">
        <xdr:nvSpPr>
          <xdr:cNvPr id="2062" name="AutoShape 1436">
            <a:extLst>
              <a:ext uri="{FF2B5EF4-FFF2-40B4-BE49-F238E27FC236}">
                <a16:creationId xmlns:a16="http://schemas.microsoft.com/office/drawing/2014/main" xmlns="" id="{00000000-0008-0000-0100-00000E08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9815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FAB65C"/>
              </a:gs>
              <a:gs pos="100000">
                <a:srgbClr val="333333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531" name="AutoShape 1729">
            <a:hlinkClick xmlns:r="http://schemas.openxmlformats.org/officeDocument/2006/relationships" r:id="rId8" tooltip="Eredmények rögzítése"/>
            <a:extLst>
              <a:ext uri="{FF2B5EF4-FFF2-40B4-BE49-F238E27FC236}">
                <a16:creationId xmlns:a16="http://schemas.microsoft.com/office/drawing/2014/main" xmlns="" id="{00000000-0008-0000-0100-00001B540000}"/>
              </a:ext>
            </a:extLst>
          </xdr:cNvPr>
          <xdr:cNvSpPr>
            <a:spLocks noChangeArrowheads="1"/>
          </xdr:cNvSpPr>
        </xdr:nvSpPr>
        <xdr:spPr bwMode="auto">
          <a:xfrm>
            <a:off x="35528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EREDMÉNYEK</a:t>
            </a:r>
          </a:p>
        </xdr:txBody>
      </xdr:sp>
      <xdr:sp macro="" textlink="">
        <xdr:nvSpPr>
          <xdr:cNvPr id="2064" name="AutoShape 1436">
            <a:extLst>
              <a:ext uri="{FF2B5EF4-FFF2-40B4-BE49-F238E27FC236}">
                <a16:creationId xmlns:a16="http://schemas.microsoft.com/office/drawing/2014/main" xmlns="" id="{00000000-0008-0000-0100-00001008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1814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187" name="AutoShape 1731">
            <a:hlinkClick xmlns:r="http://schemas.openxmlformats.org/officeDocument/2006/relationships" r:id="rId9" tooltip="A legjobb 16 csapat párosításának megtekintése"/>
            <a:extLst>
              <a:ext uri="{FF2B5EF4-FFF2-40B4-BE49-F238E27FC236}">
                <a16:creationId xmlns:a16="http://schemas.microsoft.com/office/drawing/2014/main" xmlns="" id="{00000000-0008-0000-0100-0000C3520000}"/>
              </a:ext>
            </a:extLst>
          </xdr:cNvPr>
          <xdr:cNvSpPr>
            <a:spLocks noChangeArrowheads="1"/>
          </xdr:cNvSpPr>
        </xdr:nvSpPr>
        <xdr:spPr bwMode="auto">
          <a:xfrm>
            <a:off x="51530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ÁGRAJZ</a:t>
            </a:r>
          </a:p>
        </xdr:txBody>
      </xdr:sp>
      <xdr:sp macro="" textlink="">
        <xdr:nvSpPr>
          <xdr:cNvPr id="21188" name="AutoShape 1732">
            <a:hlinkClick xmlns:r="http://schemas.openxmlformats.org/officeDocument/2006/relationships" r:id="rId10" tooltip="Az Európa-bajnokság végeredménye"/>
            <a:extLst>
              <a:ext uri="{FF2B5EF4-FFF2-40B4-BE49-F238E27FC236}">
                <a16:creationId xmlns:a16="http://schemas.microsoft.com/office/drawing/2014/main" xmlns="" id="{00000000-0008-0000-0100-0000C4520000}"/>
              </a:ext>
            </a:extLst>
          </xdr:cNvPr>
          <xdr:cNvSpPr>
            <a:spLocks noChangeArrowheads="1"/>
          </xdr:cNvSpPr>
        </xdr:nvSpPr>
        <xdr:spPr bwMode="auto">
          <a:xfrm>
            <a:off x="59531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RANGSOR</a:t>
            </a:r>
          </a:p>
        </xdr:txBody>
      </xdr:sp>
      <xdr:sp macro="" textlink="">
        <xdr:nvSpPr>
          <xdr:cNvPr id="21189" name="AutoShape 1733">
            <a:hlinkClick xmlns:r="http://schemas.openxmlformats.org/officeDocument/2006/relationships" r:id="rId11" tooltip="Gólszerzők rögzítése"/>
            <a:extLst>
              <a:ext uri="{FF2B5EF4-FFF2-40B4-BE49-F238E27FC236}">
                <a16:creationId xmlns:a16="http://schemas.microsoft.com/office/drawing/2014/main" xmlns="" id="{00000000-0008-0000-0100-0000C5520000}"/>
              </a:ext>
            </a:extLst>
          </xdr:cNvPr>
          <xdr:cNvSpPr>
            <a:spLocks noChangeArrowheads="1"/>
          </xdr:cNvSpPr>
        </xdr:nvSpPr>
        <xdr:spPr bwMode="auto">
          <a:xfrm>
            <a:off x="67532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GÓLSZERZŐK</a:t>
            </a:r>
          </a:p>
        </xdr:txBody>
      </xdr:sp>
      <xdr:sp macro="" textlink="">
        <xdr:nvSpPr>
          <xdr:cNvPr id="21190" name="AutoShape 1734">
            <a:hlinkClick xmlns:r="http://schemas.openxmlformats.org/officeDocument/2006/relationships" r:id="rId12" tooltip="Góllövőlista megtekintése"/>
            <a:extLst>
              <a:ext uri="{FF2B5EF4-FFF2-40B4-BE49-F238E27FC236}">
                <a16:creationId xmlns:a16="http://schemas.microsoft.com/office/drawing/2014/main" xmlns="" id="{00000000-0008-0000-0100-0000C6520000}"/>
              </a:ext>
            </a:extLst>
          </xdr:cNvPr>
          <xdr:cNvSpPr>
            <a:spLocks noChangeArrowheads="1"/>
          </xdr:cNvSpPr>
        </xdr:nvSpPr>
        <xdr:spPr bwMode="auto">
          <a:xfrm>
            <a:off x="75533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GÓLLÖVŐ</a:t>
            </a:r>
          </a:p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LISTA</a:t>
            </a:r>
          </a:p>
        </xdr:txBody>
      </xdr:sp>
      <xdr:sp macro="" textlink="">
        <xdr:nvSpPr>
          <xdr:cNvPr id="21191" name="AutoShape 1735">
            <a:hlinkClick xmlns:r="http://schemas.openxmlformats.org/officeDocument/2006/relationships" r:id="rId13" tooltip="A csoportok beosztása"/>
            <a:extLst>
              <a:ext uri="{FF2B5EF4-FFF2-40B4-BE49-F238E27FC236}">
                <a16:creationId xmlns:a16="http://schemas.microsoft.com/office/drawing/2014/main" xmlns="" id="{00000000-0008-0000-0100-0000C7520000}"/>
              </a:ext>
            </a:extLst>
          </xdr:cNvPr>
          <xdr:cNvSpPr>
            <a:spLocks noChangeArrowheads="1"/>
          </xdr:cNvSpPr>
        </xdr:nvSpPr>
        <xdr:spPr bwMode="auto">
          <a:xfrm>
            <a:off x="83534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CSOPORTOK</a:t>
            </a:r>
          </a:p>
        </xdr:txBody>
      </xdr:sp>
      <xdr:sp macro="" textlink="">
        <xdr:nvSpPr>
          <xdr:cNvPr id="21192" name="AutoShape 1736">
            <a:hlinkClick xmlns:r="http://schemas.openxmlformats.org/officeDocument/2006/relationships" r:id="rId14" tooltip="A csapatok összeállítása"/>
            <a:extLst>
              <a:ext uri="{FF2B5EF4-FFF2-40B4-BE49-F238E27FC236}">
                <a16:creationId xmlns:a16="http://schemas.microsoft.com/office/drawing/2014/main" xmlns="" id="{00000000-0008-0000-0100-0000C8520000}"/>
              </a:ext>
            </a:extLst>
          </xdr:cNvPr>
          <xdr:cNvSpPr>
            <a:spLocks noChangeArrowheads="1"/>
          </xdr:cNvSpPr>
        </xdr:nvSpPr>
        <xdr:spPr bwMode="auto">
          <a:xfrm>
            <a:off x="91535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CSAPATOK</a:t>
            </a:r>
          </a:p>
        </xdr:txBody>
      </xdr:sp>
      <xdr:sp macro="" textlink="">
        <xdr:nvSpPr>
          <xdr:cNvPr id="21193" name="AutoShape 1737">
            <a:hlinkClick xmlns:r="http://schemas.openxmlformats.org/officeDocument/2006/relationships" r:id="rId15" tooltip="Helyszínek és stadionok"/>
            <a:extLst>
              <a:ext uri="{FF2B5EF4-FFF2-40B4-BE49-F238E27FC236}">
                <a16:creationId xmlns:a16="http://schemas.microsoft.com/office/drawing/2014/main" xmlns="" id="{00000000-0008-0000-0100-0000C9520000}"/>
              </a:ext>
            </a:extLst>
          </xdr:cNvPr>
          <xdr:cNvSpPr>
            <a:spLocks noChangeArrowheads="1"/>
          </xdr:cNvSpPr>
        </xdr:nvSpPr>
        <xdr:spPr bwMode="auto">
          <a:xfrm>
            <a:off x="99536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HELYSZÍNEK</a:t>
            </a:r>
          </a:p>
        </xdr:txBody>
      </xdr:sp>
      <xdr:sp macro="" textlink="">
        <xdr:nvSpPr>
          <xdr:cNvPr id="2072" name="AutoShape 1436">
            <a:extLst>
              <a:ext uri="{FF2B5EF4-FFF2-40B4-BE49-F238E27FC236}">
                <a16:creationId xmlns:a16="http://schemas.microsoft.com/office/drawing/2014/main" xmlns="" id="{00000000-0008-0000-0100-00001808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97821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73" name="AutoShape 1436">
            <a:extLst>
              <a:ext uri="{FF2B5EF4-FFF2-40B4-BE49-F238E27FC236}">
                <a16:creationId xmlns:a16="http://schemas.microsoft.com/office/drawing/2014/main" xmlns="" id="{00000000-0008-0000-0100-00001908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13823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74" name="AutoShape 1436">
            <a:extLst>
              <a:ext uri="{FF2B5EF4-FFF2-40B4-BE49-F238E27FC236}">
                <a16:creationId xmlns:a16="http://schemas.microsoft.com/office/drawing/2014/main" xmlns="" id="{00000000-0008-0000-0100-00001A08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5822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75" name="AutoShape 1436">
            <a:extLst>
              <a:ext uri="{FF2B5EF4-FFF2-40B4-BE49-F238E27FC236}">
                <a16:creationId xmlns:a16="http://schemas.microsoft.com/office/drawing/2014/main" xmlns="" id="{00000000-0008-0000-0100-00001B08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73818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76" name="AutoShape 1436">
            <a:extLst>
              <a:ext uri="{FF2B5EF4-FFF2-40B4-BE49-F238E27FC236}">
                <a16:creationId xmlns:a16="http://schemas.microsoft.com/office/drawing/2014/main" xmlns="" id="{00000000-0008-0000-0100-00001C08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89820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77" name="AutoShape 1436">
            <a:extLst>
              <a:ext uri="{FF2B5EF4-FFF2-40B4-BE49-F238E27FC236}">
                <a16:creationId xmlns:a16="http://schemas.microsoft.com/office/drawing/2014/main" xmlns="" id="{00000000-0008-0000-0100-00001D08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5817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78" name="AutoShape 1436">
            <a:extLst>
              <a:ext uri="{FF2B5EF4-FFF2-40B4-BE49-F238E27FC236}">
                <a16:creationId xmlns:a16="http://schemas.microsoft.com/office/drawing/2014/main" xmlns="" id="{00000000-0008-0000-0100-00001E08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7816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79" name="AutoShape 1436">
            <a:extLst>
              <a:ext uri="{FF2B5EF4-FFF2-40B4-BE49-F238E27FC236}">
                <a16:creationId xmlns:a16="http://schemas.microsoft.com/office/drawing/2014/main" xmlns="" id="{00000000-0008-0000-0100-00001F08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1830050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80" name="AutoShape 1436">
            <a:extLst>
              <a:ext uri="{FF2B5EF4-FFF2-40B4-BE49-F238E27FC236}">
                <a16:creationId xmlns:a16="http://schemas.microsoft.com/office/drawing/2014/main" xmlns="" id="{00000000-0008-0000-0100-00002008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81819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pic>
        <xdr:nvPicPr>
          <xdr:cNvPr id="2081" name="Kép 1">
            <a:hlinkClick xmlns:r="http://schemas.openxmlformats.org/officeDocument/2006/relationships" r:id="rId16" tooltip="Mail to Gyworks"/>
            <a:extLst>
              <a:ext uri="{FF2B5EF4-FFF2-40B4-BE49-F238E27FC236}">
                <a16:creationId xmlns:a16="http://schemas.microsoft.com/office/drawing/2014/main" xmlns="" id="{00000000-0008-0000-0100-00002108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6300" y="47625"/>
            <a:ext cx="1383912" cy="31701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13</xdr:row>
      <xdr:rowOff>76200</xdr:rowOff>
    </xdr:from>
    <xdr:to>
      <xdr:col>2</xdr:col>
      <xdr:colOff>457200</xdr:colOff>
      <xdr:row>13</xdr:row>
      <xdr:rowOff>219075</xdr:rowOff>
    </xdr:to>
    <xdr:sp macro="" textlink="">
      <xdr:nvSpPr>
        <xdr:cNvPr id="4620" name="AutoShape 524">
          <a:extLst>
            <a:ext uri="{FF2B5EF4-FFF2-40B4-BE49-F238E27FC236}">
              <a16:creationId xmlns:a16="http://schemas.microsoft.com/office/drawing/2014/main" xmlns="" id="{00000000-0008-0000-0200-00000C120000}"/>
            </a:ext>
          </a:extLst>
        </xdr:cNvPr>
        <xdr:cNvSpPr>
          <a:spLocks noChangeArrowheads="1"/>
        </xdr:cNvSpPr>
      </xdr:nvSpPr>
      <xdr:spPr bwMode="auto">
        <a:xfrm>
          <a:off x="419100" y="2276475"/>
          <a:ext cx="466725" cy="142875"/>
        </a:xfrm>
        <a:prstGeom prst="homePlate">
          <a:avLst>
            <a:gd name="adj" fmla="val 0"/>
          </a:avLst>
        </a:prstGeom>
        <a:gradFill rotWithShape="0">
          <a:gsLst>
            <a:gs pos="0">
              <a:srgbClr val="ADCE35"/>
            </a:gs>
            <a:gs pos="100000">
              <a:srgbClr val="005000"/>
            </a:gs>
          </a:gsLst>
          <a:lin ang="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algn="l" rtl="0">
            <a:defRPr sz="1000"/>
          </a:pPr>
          <a:r>
            <a:rPr lang="hu-HU" sz="800" b="1" i="0" u="none" strike="noStrike" baseline="0">
              <a:solidFill>
                <a:srgbClr val="FFFFFF"/>
              </a:solidFill>
              <a:latin typeface="Arial Unicode MS"/>
            </a:rPr>
            <a:t>   D2.</a:t>
          </a:r>
        </a:p>
      </xdr:txBody>
    </xdr:sp>
    <xdr:clientData/>
  </xdr:twoCellAnchor>
  <xdr:twoCellAnchor editAs="oneCell">
    <xdr:from>
      <xdr:col>1</xdr:col>
      <xdr:colOff>323850</xdr:colOff>
      <xdr:row>15</xdr:row>
      <xdr:rowOff>76200</xdr:rowOff>
    </xdr:from>
    <xdr:to>
      <xdr:col>2</xdr:col>
      <xdr:colOff>457200</xdr:colOff>
      <xdr:row>15</xdr:row>
      <xdr:rowOff>219075</xdr:rowOff>
    </xdr:to>
    <xdr:sp macro="" textlink="">
      <xdr:nvSpPr>
        <xdr:cNvPr id="4622" name="AutoShape 526">
          <a:extLst>
            <a:ext uri="{FF2B5EF4-FFF2-40B4-BE49-F238E27FC236}">
              <a16:creationId xmlns:a16="http://schemas.microsoft.com/office/drawing/2014/main" xmlns="" id="{00000000-0008-0000-0200-00000E120000}"/>
            </a:ext>
          </a:extLst>
        </xdr:cNvPr>
        <xdr:cNvSpPr>
          <a:spLocks noChangeArrowheads="1"/>
        </xdr:cNvSpPr>
      </xdr:nvSpPr>
      <xdr:spPr bwMode="auto">
        <a:xfrm>
          <a:off x="419100" y="2733675"/>
          <a:ext cx="466725" cy="142875"/>
        </a:xfrm>
        <a:prstGeom prst="homePlate">
          <a:avLst>
            <a:gd name="adj" fmla="val 0"/>
          </a:avLst>
        </a:prstGeom>
        <a:gradFill rotWithShape="0">
          <a:gsLst>
            <a:gs pos="0">
              <a:srgbClr val="EE2959"/>
            </a:gs>
            <a:gs pos="100000">
              <a:srgbClr val="8C081D"/>
            </a:gs>
          </a:gsLst>
          <a:lin ang="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algn="l" rtl="0">
            <a:defRPr sz="1000"/>
          </a:pPr>
          <a:r>
            <a:rPr lang="hu-HU" sz="800" b="1" i="0" u="none" strike="noStrike" baseline="0">
              <a:solidFill>
                <a:srgbClr val="FFFFFF"/>
              </a:solidFill>
              <a:latin typeface="Arial Unicode MS"/>
            </a:rPr>
            <a:t>   E1.</a:t>
          </a:r>
        </a:p>
      </xdr:txBody>
    </xdr:sp>
    <xdr:clientData/>
  </xdr:twoCellAnchor>
  <xdr:twoCellAnchor editAs="oneCell">
    <xdr:from>
      <xdr:col>1</xdr:col>
      <xdr:colOff>323850</xdr:colOff>
      <xdr:row>17</xdr:row>
      <xdr:rowOff>76200</xdr:rowOff>
    </xdr:from>
    <xdr:to>
      <xdr:col>2</xdr:col>
      <xdr:colOff>457200</xdr:colOff>
      <xdr:row>17</xdr:row>
      <xdr:rowOff>219075</xdr:rowOff>
    </xdr:to>
    <xdr:sp macro="" textlink="">
      <xdr:nvSpPr>
        <xdr:cNvPr id="4624" name="AutoShape 528">
          <a:extLst>
            <a:ext uri="{FF2B5EF4-FFF2-40B4-BE49-F238E27FC236}">
              <a16:creationId xmlns:a16="http://schemas.microsoft.com/office/drawing/2014/main" xmlns="" id="{00000000-0008-0000-0200-000010120000}"/>
            </a:ext>
          </a:extLst>
        </xdr:cNvPr>
        <xdr:cNvSpPr>
          <a:spLocks noChangeArrowheads="1"/>
        </xdr:cNvSpPr>
      </xdr:nvSpPr>
      <xdr:spPr bwMode="auto">
        <a:xfrm>
          <a:off x="419100" y="3190875"/>
          <a:ext cx="466725" cy="142875"/>
        </a:xfrm>
        <a:prstGeom prst="homePlate">
          <a:avLst>
            <a:gd name="adj" fmla="val 0"/>
          </a:avLst>
        </a:prstGeom>
        <a:gradFill rotWithShape="0">
          <a:gsLst>
            <a:gs pos="0">
              <a:srgbClr val="ADCE35"/>
            </a:gs>
            <a:gs pos="100000">
              <a:srgbClr val="005000"/>
            </a:gs>
          </a:gsLst>
          <a:lin ang="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algn="l" rtl="0">
            <a:defRPr sz="1000"/>
          </a:pPr>
          <a:r>
            <a:rPr lang="hu-HU" sz="800" b="1" i="0" u="none" strike="noStrike" baseline="0">
              <a:solidFill>
                <a:srgbClr val="FFFFFF"/>
              </a:solidFill>
              <a:latin typeface="Arial Unicode MS"/>
            </a:rPr>
            <a:t>   D1.</a:t>
          </a:r>
        </a:p>
      </xdr:txBody>
    </xdr:sp>
    <xdr:clientData/>
  </xdr:twoCellAnchor>
  <xdr:twoCellAnchor editAs="oneCell">
    <xdr:from>
      <xdr:col>1</xdr:col>
      <xdr:colOff>323850</xdr:colOff>
      <xdr:row>19</xdr:row>
      <xdr:rowOff>76200</xdr:rowOff>
    </xdr:from>
    <xdr:to>
      <xdr:col>2</xdr:col>
      <xdr:colOff>457200</xdr:colOff>
      <xdr:row>19</xdr:row>
      <xdr:rowOff>219075</xdr:rowOff>
    </xdr:to>
    <xdr:sp macro="" textlink="">
      <xdr:nvSpPr>
        <xdr:cNvPr id="4626" name="AutoShape 530">
          <a:extLst>
            <a:ext uri="{FF2B5EF4-FFF2-40B4-BE49-F238E27FC236}">
              <a16:creationId xmlns:a16="http://schemas.microsoft.com/office/drawing/2014/main" xmlns="" id="{00000000-0008-0000-0200-000012120000}"/>
            </a:ext>
          </a:extLst>
        </xdr:cNvPr>
        <xdr:cNvSpPr>
          <a:spLocks noChangeArrowheads="1"/>
        </xdr:cNvSpPr>
      </xdr:nvSpPr>
      <xdr:spPr bwMode="auto">
        <a:xfrm>
          <a:off x="419100" y="3648075"/>
          <a:ext cx="466725" cy="142875"/>
        </a:xfrm>
        <a:prstGeom prst="homePlate">
          <a:avLst>
            <a:gd name="adj" fmla="val 0"/>
          </a:avLst>
        </a:prstGeom>
        <a:gradFill rotWithShape="0">
          <a:gsLst>
            <a:gs pos="0">
              <a:srgbClr val="F99F27"/>
            </a:gs>
            <a:gs pos="100000">
              <a:srgbClr val="9C3B0B"/>
            </a:gs>
          </a:gsLst>
          <a:lin ang="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algn="l" rtl="0">
            <a:defRPr sz="1000"/>
          </a:pPr>
          <a:r>
            <a:rPr lang="hu-HU" sz="800" b="1" i="0" u="none" strike="noStrike" baseline="0">
              <a:solidFill>
                <a:srgbClr val="FFFFFF"/>
              </a:solidFill>
              <a:latin typeface="Arial Unicode MS"/>
            </a:rPr>
            <a:t>   C1.</a:t>
          </a:r>
        </a:p>
      </xdr:txBody>
    </xdr:sp>
    <xdr:clientData/>
  </xdr:twoCellAnchor>
  <xdr:twoCellAnchor editAs="oneCell">
    <xdr:from>
      <xdr:col>1</xdr:col>
      <xdr:colOff>323850</xdr:colOff>
      <xdr:row>22</xdr:row>
      <xdr:rowOff>19050</xdr:rowOff>
    </xdr:from>
    <xdr:to>
      <xdr:col>2</xdr:col>
      <xdr:colOff>457200</xdr:colOff>
      <xdr:row>22</xdr:row>
      <xdr:rowOff>161925</xdr:rowOff>
    </xdr:to>
    <xdr:sp macro="" textlink="">
      <xdr:nvSpPr>
        <xdr:cNvPr id="4627" name="AutoShape 531">
          <a:extLst>
            <a:ext uri="{FF2B5EF4-FFF2-40B4-BE49-F238E27FC236}">
              <a16:creationId xmlns:a16="http://schemas.microsoft.com/office/drawing/2014/main" xmlns="" id="{00000000-0008-0000-0200-000013120000}"/>
            </a:ext>
          </a:extLst>
        </xdr:cNvPr>
        <xdr:cNvSpPr>
          <a:spLocks noChangeArrowheads="1"/>
        </xdr:cNvSpPr>
      </xdr:nvSpPr>
      <xdr:spPr bwMode="auto">
        <a:xfrm>
          <a:off x="419100" y="4762500"/>
          <a:ext cx="466725" cy="142875"/>
        </a:xfrm>
        <a:prstGeom prst="homePlate">
          <a:avLst>
            <a:gd name="adj" fmla="val 0"/>
          </a:avLst>
        </a:prstGeom>
        <a:gradFill rotWithShape="0">
          <a:gsLst>
            <a:gs pos="0">
              <a:srgbClr val="9475E1"/>
            </a:gs>
            <a:gs pos="100000">
              <a:srgbClr val="523973"/>
            </a:gs>
          </a:gsLst>
          <a:lin ang="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algn="l" rtl="0">
            <a:defRPr sz="1000"/>
          </a:pPr>
          <a:r>
            <a:rPr lang="hu-HU" sz="800" b="1" i="0" u="none" strike="noStrike" baseline="0">
              <a:solidFill>
                <a:srgbClr val="FFFFFF"/>
              </a:solidFill>
              <a:latin typeface="Arial Unicode MS"/>
            </a:rPr>
            <a:t>   B2.</a:t>
          </a:r>
        </a:p>
      </xdr:txBody>
    </xdr:sp>
    <xdr:clientData/>
  </xdr:twoCellAnchor>
  <xdr:twoCellAnchor editAs="oneCell">
    <xdr:from>
      <xdr:col>1</xdr:col>
      <xdr:colOff>323850</xdr:colOff>
      <xdr:row>21</xdr:row>
      <xdr:rowOff>76200</xdr:rowOff>
    </xdr:from>
    <xdr:to>
      <xdr:col>2</xdr:col>
      <xdr:colOff>457200</xdr:colOff>
      <xdr:row>21</xdr:row>
      <xdr:rowOff>219075</xdr:rowOff>
    </xdr:to>
    <xdr:sp macro="" textlink="">
      <xdr:nvSpPr>
        <xdr:cNvPr id="4628" name="AutoShape 532">
          <a:extLst>
            <a:ext uri="{FF2B5EF4-FFF2-40B4-BE49-F238E27FC236}">
              <a16:creationId xmlns:a16="http://schemas.microsoft.com/office/drawing/2014/main" xmlns="" id="{00000000-0008-0000-0200-000014120000}"/>
            </a:ext>
          </a:extLst>
        </xdr:cNvPr>
        <xdr:cNvSpPr>
          <a:spLocks noChangeArrowheads="1"/>
        </xdr:cNvSpPr>
      </xdr:nvSpPr>
      <xdr:spPr bwMode="auto">
        <a:xfrm>
          <a:off x="419100" y="4105275"/>
          <a:ext cx="466725" cy="142875"/>
        </a:xfrm>
        <a:prstGeom prst="homePlate">
          <a:avLst>
            <a:gd name="adj" fmla="val 0"/>
          </a:avLst>
        </a:prstGeom>
        <a:gradFill rotWithShape="0">
          <a:gsLst>
            <a:gs pos="0">
              <a:srgbClr val="009CB3"/>
            </a:gs>
            <a:gs pos="100000">
              <a:srgbClr val="008192"/>
            </a:gs>
          </a:gsLst>
          <a:lin ang="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algn="l" rtl="0">
            <a:defRPr sz="1000"/>
          </a:pPr>
          <a:r>
            <a:rPr lang="hu-HU" sz="800" b="1" i="0" u="none" strike="noStrike" baseline="0">
              <a:solidFill>
                <a:srgbClr val="FFFFFF"/>
              </a:solidFill>
              <a:latin typeface="Arial Unicode MS"/>
            </a:rPr>
            <a:t>   A2.</a:t>
          </a:r>
        </a:p>
      </xdr:txBody>
    </xdr:sp>
    <xdr:clientData/>
  </xdr:twoCellAnchor>
  <xdr:twoCellAnchor editAs="oneCell">
    <xdr:from>
      <xdr:col>1</xdr:col>
      <xdr:colOff>323850</xdr:colOff>
      <xdr:row>11</xdr:row>
      <xdr:rowOff>76200</xdr:rowOff>
    </xdr:from>
    <xdr:to>
      <xdr:col>2</xdr:col>
      <xdr:colOff>457200</xdr:colOff>
      <xdr:row>11</xdr:row>
      <xdr:rowOff>219075</xdr:rowOff>
    </xdr:to>
    <xdr:sp macro="" textlink="">
      <xdr:nvSpPr>
        <xdr:cNvPr id="4630" name="AutoShape 534">
          <a:extLst>
            <a:ext uri="{FF2B5EF4-FFF2-40B4-BE49-F238E27FC236}">
              <a16:creationId xmlns:a16="http://schemas.microsoft.com/office/drawing/2014/main" xmlns="" id="{00000000-0008-0000-0200-000016120000}"/>
            </a:ext>
          </a:extLst>
        </xdr:cNvPr>
        <xdr:cNvSpPr>
          <a:spLocks noChangeArrowheads="1"/>
        </xdr:cNvSpPr>
      </xdr:nvSpPr>
      <xdr:spPr bwMode="auto">
        <a:xfrm>
          <a:off x="419100" y="1819275"/>
          <a:ext cx="466725" cy="142875"/>
        </a:xfrm>
        <a:prstGeom prst="homePlate">
          <a:avLst>
            <a:gd name="adj" fmla="val 0"/>
          </a:avLst>
        </a:prstGeom>
        <a:gradFill rotWithShape="0">
          <a:gsLst>
            <a:gs pos="0">
              <a:srgbClr val="8C126F"/>
            </a:gs>
            <a:gs pos="100000">
              <a:srgbClr val="3A082E"/>
            </a:gs>
          </a:gsLst>
          <a:lin ang="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algn="l" rtl="0">
            <a:defRPr sz="1000"/>
          </a:pPr>
          <a:r>
            <a:rPr lang="hu-HU" sz="800" b="1" i="0" u="none" strike="noStrike" baseline="0">
              <a:solidFill>
                <a:srgbClr val="FFFFFF"/>
              </a:solidFill>
              <a:latin typeface="Arial Unicode MS"/>
            </a:rPr>
            <a:t>   F1.</a:t>
          </a:r>
        </a:p>
      </xdr:txBody>
    </xdr:sp>
    <xdr:clientData/>
  </xdr:twoCellAnchor>
  <xdr:twoCellAnchor editAs="oneCell">
    <xdr:from>
      <xdr:col>1</xdr:col>
      <xdr:colOff>323850</xdr:colOff>
      <xdr:row>9</xdr:row>
      <xdr:rowOff>76200</xdr:rowOff>
    </xdr:from>
    <xdr:to>
      <xdr:col>2</xdr:col>
      <xdr:colOff>457200</xdr:colOff>
      <xdr:row>9</xdr:row>
      <xdr:rowOff>219075</xdr:rowOff>
    </xdr:to>
    <xdr:sp macro="" textlink="">
      <xdr:nvSpPr>
        <xdr:cNvPr id="4632" name="AutoShape 536">
          <a:extLst>
            <a:ext uri="{FF2B5EF4-FFF2-40B4-BE49-F238E27FC236}">
              <a16:creationId xmlns:a16="http://schemas.microsoft.com/office/drawing/2014/main" xmlns="" id="{00000000-0008-0000-0200-000018120000}"/>
            </a:ext>
          </a:extLst>
        </xdr:cNvPr>
        <xdr:cNvSpPr>
          <a:spLocks noChangeArrowheads="1"/>
        </xdr:cNvSpPr>
      </xdr:nvSpPr>
      <xdr:spPr bwMode="auto">
        <a:xfrm>
          <a:off x="419100" y="1362075"/>
          <a:ext cx="466725" cy="142875"/>
        </a:xfrm>
        <a:prstGeom prst="homePlate">
          <a:avLst>
            <a:gd name="adj" fmla="val 0"/>
          </a:avLst>
        </a:prstGeom>
        <a:gradFill rotWithShape="0">
          <a:gsLst>
            <a:gs pos="0">
              <a:srgbClr val="009CB3"/>
            </a:gs>
            <a:gs pos="100000">
              <a:srgbClr val="008192"/>
            </a:gs>
          </a:gsLst>
          <a:lin ang="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algn="l" rtl="0">
            <a:defRPr sz="1000"/>
          </a:pPr>
          <a:r>
            <a:rPr lang="hu-HU" sz="800" b="1" i="0" u="none" strike="noStrike" baseline="0">
              <a:solidFill>
                <a:srgbClr val="FFFFFF"/>
              </a:solidFill>
              <a:latin typeface="Arial Unicode MS"/>
            </a:rPr>
            <a:t>   A1.</a:t>
          </a:r>
        </a:p>
      </xdr:txBody>
    </xdr:sp>
    <xdr:clientData/>
  </xdr:twoCellAnchor>
  <xdr:twoCellAnchor editAs="oneCell">
    <xdr:from>
      <xdr:col>1</xdr:col>
      <xdr:colOff>323850</xdr:colOff>
      <xdr:row>7</xdr:row>
      <xdr:rowOff>76200</xdr:rowOff>
    </xdr:from>
    <xdr:to>
      <xdr:col>2</xdr:col>
      <xdr:colOff>457200</xdr:colOff>
      <xdr:row>7</xdr:row>
      <xdr:rowOff>219075</xdr:rowOff>
    </xdr:to>
    <xdr:sp macro="" textlink="">
      <xdr:nvSpPr>
        <xdr:cNvPr id="4634" name="AutoShape 538">
          <a:extLst>
            <a:ext uri="{FF2B5EF4-FFF2-40B4-BE49-F238E27FC236}">
              <a16:creationId xmlns:a16="http://schemas.microsoft.com/office/drawing/2014/main" xmlns="" id="{00000000-0008-0000-0200-00001A120000}"/>
            </a:ext>
          </a:extLst>
        </xdr:cNvPr>
        <xdr:cNvSpPr>
          <a:spLocks noChangeArrowheads="1"/>
        </xdr:cNvSpPr>
      </xdr:nvSpPr>
      <xdr:spPr bwMode="auto">
        <a:xfrm>
          <a:off x="419100" y="904875"/>
          <a:ext cx="466725" cy="142875"/>
        </a:xfrm>
        <a:prstGeom prst="homePlate">
          <a:avLst>
            <a:gd name="adj" fmla="val 0"/>
          </a:avLst>
        </a:prstGeom>
        <a:gradFill rotWithShape="0">
          <a:gsLst>
            <a:gs pos="0">
              <a:srgbClr val="9475E1"/>
            </a:gs>
            <a:gs pos="100000">
              <a:srgbClr val="523973"/>
            </a:gs>
          </a:gsLst>
          <a:lin ang="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algn="l" rtl="0">
            <a:defRPr sz="1000"/>
          </a:pPr>
          <a:r>
            <a:rPr lang="hu-HU" sz="800" b="1" i="0" u="none" strike="noStrike" baseline="0">
              <a:solidFill>
                <a:srgbClr val="FFFFFF"/>
              </a:solidFill>
              <a:latin typeface="Arial Unicode MS"/>
            </a:rPr>
            <a:t>   B1.</a:t>
          </a:r>
        </a:p>
      </xdr:txBody>
    </xdr:sp>
    <xdr:clientData/>
  </xdr:twoCellAnchor>
  <xdr:twoCellAnchor editAs="oneCell">
    <xdr:from>
      <xdr:col>1</xdr:col>
      <xdr:colOff>238125</xdr:colOff>
      <xdr:row>20</xdr:row>
      <xdr:rowOff>161925</xdr:rowOff>
    </xdr:from>
    <xdr:to>
      <xdr:col>3</xdr:col>
      <xdr:colOff>95250</xdr:colOff>
      <xdr:row>21</xdr:row>
      <xdr:rowOff>57150</xdr:rowOff>
    </xdr:to>
    <xdr:sp macro="" textlink="">
      <xdr:nvSpPr>
        <xdr:cNvPr id="3082" name="Rectangle 686">
          <a:extLst>
            <a:ext uri="{FF2B5EF4-FFF2-40B4-BE49-F238E27FC236}">
              <a16:creationId xmlns:a16="http://schemas.microsoft.com/office/drawing/2014/main" xmlns="" id="{00000000-0008-0000-0200-00000A0C0000}"/>
            </a:ext>
          </a:extLst>
        </xdr:cNvPr>
        <xdr:cNvSpPr>
          <a:spLocks noChangeArrowheads="1"/>
        </xdr:cNvSpPr>
      </xdr:nvSpPr>
      <xdr:spPr bwMode="auto">
        <a:xfrm>
          <a:off x="333375" y="3962400"/>
          <a:ext cx="657225" cy="1238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238125</xdr:colOff>
      <xdr:row>8</xdr:row>
      <xdr:rowOff>161925</xdr:rowOff>
    </xdr:from>
    <xdr:to>
      <xdr:col>3</xdr:col>
      <xdr:colOff>95250</xdr:colOff>
      <xdr:row>9</xdr:row>
      <xdr:rowOff>57150</xdr:rowOff>
    </xdr:to>
    <xdr:sp macro="" textlink="">
      <xdr:nvSpPr>
        <xdr:cNvPr id="3083" name="Rectangle 691">
          <a:extLst>
            <a:ext uri="{FF2B5EF4-FFF2-40B4-BE49-F238E27FC236}">
              <a16:creationId xmlns:a16="http://schemas.microsoft.com/office/drawing/2014/main" xmlns="" id="{00000000-0008-0000-0200-00000B0C0000}"/>
            </a:ext>
          </a:extLst>
        </xdr:cNvPr>
        <xdr:cNvSpPr>
          <a:spLocks noChangeArrowheads="1"/>
        </xdr:cNvSpPr>
      </xdr:nvSpPr>
      <xdr:spPr bwMode="auto">
        <a:xfrm>
          <a:off x="333375" y="1219200"/>
          <a:ext cx="657225" cy="1238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323850</xdr:colOff>
      <xdr:row>10</xdr:row>
      <xdr:rowOff>19050</xdr:rowOff>
    </xdr:from>
    <xdr:to>
      <xdr:col>2</xdr:col>
      <xdr:colOff>457200</xdr:colOff>
      <xdr:row>10</xdr:row>
      <xdr:rowOff>161925</xdr:rowOff>
    </xdr:to>
    <xdr:sp macro="" textlink="">
      <xdr:nvSpPr>
        <xdr:cNvPr id="4791" name="AutoShape 695">
          <a:extLst>
            <a:ext uri="{FF2B5EF4-FFF2-40B4-BE49-F238E27FC236}">
              <a16:creationId xmlns:a16="http://schemas.microsoft.com/office/drawing/2014/main" xmlns="" id="{00000000-0008-0000-0200-0000B7120000}"/>
            </a:ext>
          </a:extLst>
        </xdr:cNvPr>
        <xdr:cNvSpPr>
          <a:spLocks noChangeArrowheads="1"/>
        </xdr:cNvSpPr>
      </xdr:nvSpPr>
      <xdr:spPr bwMode="auto">
        <a:xfrm>
          <a:off x="419100" y="1562100"/>
          <a:ext cx="466725" cy="142875"/>
        </a:xfrm>
        <a:prstGeom prst="homePlate">
          <a:avLst>
            <a:gd name="adj" fmla="val 0"/>
          </a:avLst>
        </a:prstGeom>
        <a:gradFill rotWithShape="0">
          <a:gsLst>
            <a:gs pos="0">
              <a:srgbClr val="F99F27"/>
            </a:gs>
            <a:gs pos="100000">
              <a:srgbClr val="9C3B0B"/>
            </a:gs>
          </a:gsLst>
          <a:lin ang="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algn="l" rtl="0">
            <a:defRPr sz="1000"/>
          </a:pPr>
          <a:r>
            <a:rPr lang="hu-HU" sz="800" b="1" i="0" u="none" strike="noStrike" baseline="0">
              <a:solidFill>
                <a:srgbClr val="FFFFFF"/>
              </a:solidFill>
              <a:latin typeface="Arial Unicode MS"/>
            </a:rPr>
            <a:t>   C2.</a:t>
          </a:r>
        </a:p>
      </xdr:txBody>
    </xdr:sp>
    <xdr:clientData/>
  </xdr:twoCellAnchor>
  <xdr:twoCellAnchor editAs="oneCell">
    <xdr:from>
      <xdr:col>1</xdr:col>
      <xdr:colOff>323850</xdr:colOff>
      <xdr:row>18</xdr:row>
      <xdr:rowOff>19050</xdr:rowOff>
    </xdr:from>
    <xdr:to>
      <xdr:col>2</xdr:col>
      <xdr:colOff>457200</xdr:colOff>
      <xdr:row>18</xdr:row>
      <xdr:rowOff>161925</xdr:rowOff>
    </xdr:to>
    <xdr:sp macro="" textlink="">
      <xdr:nvSpPr>
        <xdr:cNvPr id="4800" name="AutoShape 704">
          <a:extLst>
            <a:ext uri="{FF2B5EF4-FFF2-40B4-BE49-F238E27FC236}">
              <a16:creationId xmlns:a16="http://schemas.microsoft.com/office/drawing/2014/main" xmlns="" id="{00000000-0008-0000-0200-0000C0120000}"/>
            </a:ext>
          </a:extLst>
        </xdr:cNvPr>
        <xdr:cNvSpPr>
          <a:spLocks noChangeArrowheads="1"/>
        </xdr:cNvSpPr>
      </xdr:nvSpPr>
      <xdr:spPr bwMode="auto">
        <a:xfrm>
          <a:off x="419100" y="3695700"/>
          <a:ext cx="466725" cy="142875"/>
        </a:xfrm>
        <a:prstGeom prst="homePlate">
          <a:avLst>
            <a:gd name="adj" fmla="val 0"/>
          </a:avLst>
        </a:prstGeom>
        <a:gradFill rotWithShape="0">
          <a:gsLst>
            <a:gs pos="0">
              <a:srgbClr val="8C126F"/>
            </a:gs>
            <a:gs pos="100000">
              <a:srgbClr val="3A082E"/>
            </a:gs>
          </a:gsLst>
          <a:lin ang="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algn="l" rtl="0">
            <a:defRPr sz="1000"/>
          </a:pPr>
          <a:r>
            <a:rPr lang="hu-HU" sz="800" b="1" i="0" u="none" strike="noStrike" baseline="0">
              <a:solidFill>
                <a:srgbClr val="FFFFFF"/>
              </a:solidFill>
              <a:latin typeface="Arial Unicode MS"/>
            </a:rPr>
            <a:t>   F2.</a:t>
          </a:r>
        </a:p>
      </xdr:txBody>
    </xdr:sp>
    <xdr:clientData/>
  </xdr:twoCellAnchor>
  <xdr:twoCellAnchor editAs="oneCell">
    <xdr:from>
      <xdr:col>1</xdr:col>
      <xdr:colOff>238125</xdr:colOff>
      <xdr:row>16</xdr:row>
      <xdr:rowOff>161925</xdr:rowOff>
    </xdr:from>
    <xdr:to>
      <xdr:col>3</xdr:col>
      <xdr:colOff>95250</xdr:colOff>
      <xdr:row>17</xdr:row>
      <xdr:rowOff>57150</xdr:rowOff>
    </xdr:to>
    <xdr:sp macro="" textlink="">
      <xdr:nvSpPr>
        <xdr:cNvPr id="3086" name="Rectangle 705">
          <a:extLst>
            <a:ext uri="{FF2B5EF4-FFF2-40B4-BE49-F238E27FC236}">
              <a16:creationId xmlns:a16="http://schemas.microsoft.com/office/drawing/2014/main" xmlns="" id="{00000000-0008-0000-0200-00000E0C0000}"/>
            </a:ext>
          </a:extLst>
        </xdr:cNvPr>
        <xdr:cNvSpPr>
          <a:spLocks noChangeArrowheads="1"/>
        </xdr:cNvSpPr>
      </xdr:nvSpPr>
      <xdr:spPr bwMode="auto">
        <a:xfrm>
          <a:off x="333375" y="3048000"/>
          <a:ext cx="657225" cy="1238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323850</xdr:colOff>
      <xdr:row>14</xdr:row>
      <xdr:rowOff>19050</xdr:rowOff>
    </xdr:from>
    <xdr:to>
      <xdr:col>2</xdr:col>
      <xdr:colOff>457200</xdr:colOff>
      <xdr:row>14</xdr:row>
      <xdr:rowOff>161925</xdr:rowOff>
    </xdr:to>
    <xdr:sp macro="" textlink="">
      <xdr:nvSpPr>
        <xdr:cNvPr id="4802" name="AutoShape 706">
          <a:extLst>
            <a:ext uri="{FF2B5EF4-FFF2-40B4-BE49-F238E27FC236}">
              <a16:creationId xmlns:a16="http://schemas.microsoft.com/office/drawing/2014/main" xmlns="" id="{00000000-0008-0000-0200-0000C2120000}"/>
            </a:ext>
          </a:extLst>
        </xdr:cNvPr>
        <xdr:cNvSpPr>
          <a:spLocks noChangeArrowheads="1"/>
        </xdr:cNvSpPr>
      </xdr:nvSpPr>
      <xdr:spPr bwMode="auto">
        <a:xfrm>
          <a:off x="419100" y="2628900"/>
          <a:ext cx="466725" cy="142875"/>
        </a:xfrm>
        <a:prstGeom prst="homePlate">
          <a:avLst>
            <a:gd name="adj" fmla="val 0"/>
          </a:avLst>
        </a:prstGeom>
        <a:gradFill rotWithShape="0">
          <a:gsLst>
            <a:gs pos="0">
              <a:srgbClr val="EE2959"/>
            </a:gs>
            <a:gs pos="100000">
              <a:srgbClr val="8C081D"/>
            </a:gs>
          </a:gsLst>
          <a:lin ang="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algn="l" rtl="0">
            <a:defRPr sz="1000"/>
          </a:pPr>
          <a:r>
            <a:rPr lang="hu-HU" sz="800" b="1" i="0" u="none" strike="noStrike" baseline="0">
              <a:solidFill>
                <a:srgbClr val="FFFFFF"/>
              </a:solidFill>
              <a:latin typeface="Arial Unicode MS"/>
            </a:rPr>
            <a:t>   E2.</a:t>
          </a:r>
        </a:p>
      </xdr:txBody>
    </xdr:sp>
    <xdr:clientData/>
  </xdr:twoCellAnchor>
  <xdr:twoCellAnchor editAs="oneCell">
    <xdr:from>
      <xdr:col>1</xdr:col>
      <xdr:colOff>238125</xdr:colOff>
      <xdr:row>12</xdr:row>
      <xdr:rowOff>161925</xdr:rowOff>
    </xdr:from>
    <xdr:to>
      <xdr:col>3</xdr:col>
      <xdr:colOff>95250</xdr:colOff>
      <xdr:row>13</xdr:row>
      <xdr:rowOff>57150</xdr:rowOff>
    </xdr:to>
    <xdr:sp macro="" textlink="">
      <xdr:nvSpPr>
        <xdr:cNvPr id="3088" name="Rectangle 707">
          <a:extLst>
            <a:ext uri="{FF2B5EF4-FFF2-40B4-BE49-F238E27FC236}">
              <a16:creationId xmlns:a16="http://schemas.microsoft.com/office/drawing/2014/main" xmlns="" id="{00000000-0008-0000-0200-0000100C0000}"/>
            </a:ext>
          </a:extLst>
        </xdr:cNvPr>
        <xdr:cNvSpPr>
          <a:spLocks noChangeArrowheads="1"/>
        </xdr:cNvSpPr>
      </xdr:nvSpPr>
      <xdr:spPr bwMode="auto">
        <a:xfrm>
          <a:off x="333375" y="2133600"/>
          <a:ext cx="657225" cy="1238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238125</xdr:colOff>
      <xdr:row>12</xdr:row>
      <xdr:rowOff>161925</xdr:rowOff>
    </xdr:from>
    <xdr:to>
      <xdr:col>3</xdr:col>
      <xdr:colOff>95250</xdr:colOff>
      <xdr:row>13</xdr:row>
      <xdr:rowOff>57150</xdr:rowOff>
    </xdr:to>
    <xdr:sp macro="" textlink="">
      <xdr:nvSpPr>
        <xdr:cNvPr id="3089" name="Rectangle 708">
          <a:extLst>
            <a:ext uri="{FF2B5EF4-FFF2-40B4-BE49-F238E27FC236}">
              <a16:creationId xmlns:a16="http://schemas.microsoft.com/office/drawing/2014/main" xmlns="" id="{00000000-0008-0000-0200-0000110C0000}"/>
            </a:ext>
          </a:extLst>
        </xdr:cNvPr>
        <xdr:cNvSpPr>
          <a:spLocks noChangeArrowheads="1"/>
        </xdr:cNvSpPr>
      </xdr:nvSpPr>
      <xdr:spPr bwMode="auto">
        <a:xfrm>
          <a:off x="333375" y="2133600"/>
          <a:ext cx="657225" cy="1238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238125</xdr:colOff>
      <xdr:row>12</xdr:row>
      <xdr:rowOff>161925</xdr:rowOff>
    </xdr:from>
    <xdr:to>
      <xdr:col>3</xdr:col>
      <xdr:colOff>95250</xdr:colOff>
      <xdr:row>13</xdr:row>
      <xdr:rowOff>57150</xdr:rowOff>
    </xdr:to>
    <xdr:sp macro="" textlink="">
      <xdr:nvSpPr>
        <xdr:cNvPr id="3090" name="Rectangle 709">
          <a:extLst>
            <a:ext uri="{FF2B5EF4-FFF2-40B4-BE49-F238E27FC236}">
              <a16:creationId xmlns:a16="http://schemas.microsoft.com/office/drawing/2014/main" xmlns="" id="{00000000-0008-0000-0200-0000120C0000}"/>
            </a:ext>
          </a:extLst>
        </xdr:cNvPr>
        <xdr:cNvSpPr>
          <a:spLocks noChangeArrowheads="1"/>
        </xdr:cNvSpPr>
      </xdr:nvSpPr>
      <xdr:spPr bwMode="auto">
        <a:xfrm>
          <a:off x="333375" y="2133600"/>
          <a:ext cx="657225" cy="1238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238125</xdr:colOff>
      <xdr:row>12</xdr:row>
      <xdr:rowOff>161925</xdr:rowOff>
    </xdr:from>
    <xdr:to>
      <xdr:col>3</xdr:col>
      <xdr:colOff>95250</xdr:colOff>
      <xdr:row>13</xdr:row>
      <xdr:rowOff>57150</xdr:rowOff>
    </xdr:to>
    <xdr:sp macro="" textlink="">
      <xdr:nvSpPr>
        <xdr:cNvPr id="3091" name="Rectangle 710">
          <a:extLst>
            <a:ext uri="{FF2B5EF4-FFF2-40B4-BE49-F238E27FC236}">
              <a16:creationId xmlns:a16="http://schemas.microsoft.com/office/drawing/2014/main" xmlns="" id="{00000000-0008-0000-0200-0000130C0000}"/>
            </a:ext>
          </a:extLst>
        </xdr:cNvPr>
        <xdr:cNvSpPr>
          <a:spLocks noChangeArrowheads="1"/>
        </xdr:cNvSpPr>
      </xdr:nvSpPr>
      <xdr:spPr bwMode="auto">
        <a:xfrm>
          <a:off x="333375" y="2133600"/>
          <a:ext cx="657225" cy="1238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86</xdr:col>
      <xdr:colOff>0</xdr:colOff>
      <xdr:row>3</xdr:row>
      <xdr:rowOff>0</xdr:rowOff>
    </xdr:to>
    <xdr:grpSp>
      <xdr:nvGrpSpPr>
        <xdr:cNvPr id="3092" name="Csoportba foglalás 2">
          <a:extLst>
            <a:ext uri="{FF2B5EF4-FFF2-40B4-BE49-F238E27FC236}">
              <a16:creationId xmlns:a16="http://schemas.microsoft.com/office/drawing/2014/main" xmlns="" id="{00000000-0008-0000-0200-0000140C0000}"/>
            </a:ext>
          </a:extLst>
        </xdr:cNvPr>
        <xdr:cNvGrpSpPr>
          <a:grpSpLocks/>
        </xdr:cNvGrpSpPr>
      </xdr:nvGrpSpPr>
      <xdr:grpSpPr bwMode="auto">
        <a:xfrm>
          <a:off x="0" y="0"/>
          <a:ext cx="11991975" cy="361950"/>
          <a:chOff x="0" y="0"/>
          <a:chExt cx="11991975" cy="364644"/>
        </a:xfrm>
      </xdr:grpSpPr>
      <xdr:pic>
        <xdr:nvPicPr>
          <xdr:cNvPr id="3093" name="Picture 1711">
            <a:extLst>
              <a:ext uri="{FF2B5EF4-FFF2-40B4-BE49-F238E27FC236}">
                <a16:creationId xmlns:a16="http://schemas.microsoft.com/office/drawing/2014/main" xmlns="" id="{00000000-0008-0000-0200-0000150C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1991975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1168" name="AutoShape 1712">
            <a:hlinkClick xmlns:r="http://schemas.openxmlformats.org/officeDocument/2006/relationships" r:id="rId2" tooltip="Tippjáték"/>
            <a:extLst>
              <a:ext uri="{FF2B5EF4-FFF2-40B4-BE49-F238E27FC236}">
                <a16:creationId xmlns:a16="http://schemas.microsoft.com/office/drawing/2014/main" xmlns="" id="{00000000-0008-0000-0200-0000B0520000}"/>
              </a:ext>
            </a:extLst>
          </xdr:cNvPr>
          <xdr:cNvSpPr>
            <a:spLocks noChangeArrowheads="1"/>
          </xdr:cNvSpPr>
        </xdr:nvSpPr>
        <xdr:spPr bwMode="auto">
          <a:xfrm>
            <a:off x="107537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TIPPJÁTÉK</a:t>
            </a:r>
          </a:p>
        </xdr:txBody>
      </xdr:sp>
      <xdr:sp macro="" textlink="">
        <xdr:nvSpPr>
          <xdr:cNvPr id="21169" name="AutoShape 1713">
            <a:hlinkClick xmlns:r="http://schemas.openxmlformats.org/officeDocument/2006/relationships" r:id="rId3" tooltip="Használati ismertető"/>
            <a:extLst>
              <a:ext uri="{FF2B5EF4-FFF2-40B4-BE49-F238E27FC236}">
                <a16:creationId xmlns:a16="http://schemas.microsoft.com/office/drawing/2014/main" xmlns="" id="{00000000-0008-0000-0200-0000B1520000}"/>
              </a:ext>
            </a:extLst>
          </xdr:cNvPr>
          <xdr:cNvSpPr>
            <a:spLocks noChangeArrowheads="1"/>
          </xdr:cNvSpPr>
        </xdr:nvSpPr>
        <xdr:spPr bwMode="auto">
          <a:xfrm>
            <a:off x="11553825" y="19192"/>
            <a:ext cx="438150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SÚGÓ</a:t>
            </a:r>
          </a:p>
        </xdr:txBody>
      </xdr:sp>
      <xdr:pic>
        <xdr:nvPicPr>
          <xdr:cNvPr id="3096" name="Picture 1725" descr="NS-logo_szurke">
            <a:hlinkClick xmlns:r="http://schemas.openxmlformats.org/officeDocument/2006/relationships" r:id="rId4" tooltip="További szurkolói füzetek a Nemzeti Sport honlapján"/>
            <a:extLst>
              <a:ext uri="{FF2B5EF4-FFF2-40B4-BE49-F238E27FC236}">
                <a16:creationId xmlns:a16="http://schemas.microsoft.com/office/drawing/2014/main" xmlns="" id="{00000000-0008-0000-0200-0000180C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1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7625" y="38384"/>
            <a:ext cx="704850" cy="287877"/>
          </a:xfrm>
          <a:prstGeom prst="rect">
            <a:avLst/>
          </a:prstGeom>
          <a:noFill/>
          <a:ln>
            <a:noFill/>
          </a:ln>
          <a:effectLst>
            <a:outerShdw dist="35921" dir="2700000" algn="ctr" rotWithShape="0">
              <a:srgbClr val="333333"/>
            </a:outerShdw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097" name="Picture 1726">
            <a:extLst>
              <a:ext uri="{FF2B5EF4-FFF2-40B4-BE49-F238E27FC236}">
                <a16:creationId xmlns:a16="http://schemas.microsoft.com/office/drawing/2014/main" xmlns="" id="{00000000-0008-0000-0200-0000190C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419350" y="38384"/>
            <a:ext cx="981075" cy="287877"/>
          </a:xfrm>
          <a:prstGeom prst="rect">
            <a:avLst/>
          </a:prstGeom>
          <a:noFill/>
          <a:ln>
            <a:noFill/>
          </a:ln>
          <a:effectLst>
            <a:outerShdw dist="35921" dir="2700000" algn="ctr" rotWithShape="0">
              <a:srgbClr val="333333"/>
            </a:outerShdw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1183" name="AutoShape 1727">
            <a:hlinkClick xmlns:r="http://schemas.openxmlformats.org/officeDocument/2006/relationships" r:id="rId7" tooltip="A csoportok állása"/>
            <a:extLst>
              <a:ext uri="{FF2B5EF4-FFF2-40B4-BE49-F238E27FC236}">
                <a16:creationId xmlns:a16="http://schemas.microsoft.com/office/drawing/2014/main" xmlns="" id="{00000000-0008-0000-0200-0000BF520000}"/>
              </a:ext>
            </a:extLst>
          </xdr:cNvPr>
          <xdr:cNvSpPr>
            <a:spLocks noChangeArrowheads="1"/>
          </xdr:cNvSpPr>
        </xdr:nvSpPr>
        <xdr:spPr bwMode="auto">
          <a:xfrm>
            <a:off x="43529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TABELLÁK</a:t>
            </a:r>
          </a:p>
        </xdr:txBody>
      </xdr:sp>
      <xdr:sp macro="" textlink="">
        <xdr:nvSpPr>
          <xdr:cNvPr id="3099" name="AutoShape 1436">
            <a:extLst>
              <a:ext uri="{FF2B5EF4-FFF2-40B4-BE49-F238E27FC236}">
                <a16:creationId xmlns:a16="http://schemas.microsoft.com/office/drawing/2014/main" xmlns="" id="{00000000-0008-0000-0200-00001B0C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9815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556" name="AutoShape 1729">
            <a:hlinkClick xmlns:r="http://schemas.openxmlformats.org/officeDocument/2006/relationships" r:id="rId8" tooltip="Eredmények rögzítése"/>
            <a:extLst>
              <a:ext uri="{FF2B5EF4-FFF2-40B4-BE49-F238E27FC236}">
                <a16:creationId xmlns:a16="http://schemas.microsoft.com/office/drawing/2014/main" xmlns="" id="{00000000-0008-0000-0200-00001C580000}"/>
              </a:ext>
            </a:extLst>
          </xdr:cNvPr>
          <xdr:cNvSpPr>
            <a:spLocks noChangeArrowheads="1"/>
          </xdr:cNvSpPr>
        </xdr:nvSpPr>
        <xdr:spPr bwMode="auto">
          <a:xfrm>
            <a:off x="35528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EREDMÉNYEK</a:t>
            </a:r>
          </a:p>
        </xdr:txBody>
      </xdr:sp>
      <xdr:sp macro="" textlink="">
        <xdr:nvSpPr>
          <xdr:cNvPr id="3101" name="AutoShape 1436">
            <a:extLst>
              <a:ext uri="{FF2B5EF4-FFF2-40B4-BE49-F238E27FC236}">
                <a16:creationId xmlns:a16="http://schemas.microsoft.com/office/drawing/2014/main" xmlns="" id="{00000000-0008-0000-0200-00001D0C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1814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558" name="AutoShape 1731">
            <a:hlinkClick xmlns:r="http://schemas.openxmlformats.org/officeDocument/2006/relationships" r:id="rId9" tooltip="A legjobb 16 csapat párosításának megtekintése"/>
            <a:extLst>
              <a:ext uri="{FF2B5EF4-FFF2-40B4-BE49-F238E27FC236}">
                <a16:creationId xmlns:a16="http://schemas.microsoft.com/office/drawing/2014/main" xmlns="" id="{00000000-0008-0000-0200-00001E580000}"/>
              </a:ext>
            </a:extLst>
          </xdr:cNvPr>
          <xdr:cNvSpPr>
            <a:spLocks noChangeArrowheads="1"/>
          </xdr:cNvSpPr>
        </xdr:nvSpPr>
        <xdr:spPr bwMode="auto">
          <a:xfrm>
            <a:off x="51530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10F3E">
                  <a:alpha val="56000"/>
                </a:srgbClr>
              </a:gs>
              <a:gs pos="100000">
                <a:srgbClr val="009CB3">
                  <a:alpha val="56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FAB65C"/>
                </a:solidFill>
                <a:latin typeface="Arial Unicode MS"/>
              </a:rPr>
              <a:t>ÁGRAJZ</a:t>
            </a:r>
          </a:p>
        </xdr:txBody>
      </xdr:sp>
      <xdr:sp macro="" textlink="">
        <xdr:nvSpPr>
          <xdr:cNvPr id="21188" name="AutoShape 1732">
            <a:hlinkClick xmlns:r="http://schemas.openxmlformats.org/officeDocument/2006/relationships" r:id="rId10" tooltip="Az Európa-bajnokság végeredménye"/>
            <a:extLst>
              <a:ext uri="{FF2B5EF4-FFF2-40B4-BE49-F238E27FC236}">
                <a16:creationId xmlns:a16="http://schemas.microsoft.com/office/drawing/2014/main" xmlns="" id="{00000000-0008-0000-0200-0000C4520000}"/>
              </a:ext>
            </a:extLst>
          </xdr:cNvPr>
          <xdr:cNvSpPr>
            <a:spLocks noChangeArrowheads="1"/>
          </xdr:cNvSpPr>
        </xdr:nvSpPr>
        <xdr:spPr bwMode="auto">
          <a:xfrm>
            <a:off x="59531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RANGSOR</a:t>
            </a:r>
          </a:p>
        </xdr:txBody>
      </xdr:sp>
      <xdr:sp macro="" textlink="">
        <xdr:nvSpPr>
          <xdr:cNvPr id="21189" name="AutoShape 1733">
            <a:hlinkClick xmlns:r="http://schemas.openxmlformats.org/officeDocument/2006/relationships" r:id="rId11" tooltip="Gólszerzők rögzítése"/>
            <a:extLst>
              <a:ext uri="{FF2B5EF4-FFF2-40B4-BE49-F238E27FC236}">
                <a16:creationId xmlns:a16="http://schemas.microsoft.com/office/drawing/2014/main" xmlns="" id="{00000000-0008-0000-0200-0000C5520000}"/>
              </a:ext>
            </a:extLst>
          </xdr:cNvPr>
          <xdr:cNvSpPr>
            <a:spLocks noChangeArrowheads="1"/>
          </xdr:cNvSpPr>
        </xdr:nvSpPr>
        <xdr:spPr bwMode="auto">
          <a:xfrm>
            <a:off x="67532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GÓLSZERZŐK</a:t>
            </a:r>
          </a:p>
        </xdr:txBody>
      </xdr:sp>
      <xdr:sp macro="" textlink="">
        <xdr:nvSpPr>
          <xdr:cNvPr id="21190" name="AutoShape 1734">
            <a:hlinkClick xmlns:r="http://schemas.openxmlformats.org/officeDocument/2006/relationships" r:id="rId12" tooltip="Góllövőlista megtekintése"/>
            <a:extLst>
              <a:ext uri="{FF2B5EF4-FFF2-40B4-BE49-F238E27FC236}">
                <a16:creationId xmlns:a16="http://schemas.microsoft.com/office/drawing/2014/main" xmlns="" id="{00000000-0008-0000-0200-0000C6520000}"/>
              </a:ext>
            </a:extLst>
          </xdr:cNvPr>
          <xdr:cNvSpPr>
            <a:spLocks noChangeArrowheads="1"/>
          </xdr:cNvSpPr>
        </xdr:nvSpPr>
        <xdr:spPr bwMode="auto">
          <a:xfrm>
            <a:off x="75533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GÓLLÖVŐ</a:t>
            </a:r>
          </a:p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LISTA</a:t>
            </a:r>
          </a:p>
        </xdr:txBody>
      </xdr:sp>
      <xdr:sp macro="" textlink="">
        <xdr:nvSpPr>
          <xdr:cNvPr id="21191" name="AutoShape 1735">
            <a:hlinkClick xmlns:r="http://schemas.openxmlformats.org/officeDocument/2006/relationships" r:id="rId13" tooltip="A csoportok beosztása"/>
            <a:extLst>
              <a:ext uri="{FF2B5EF4-FFF2-40B4-BE49-F238E27FC236}">
                <a16:creationId xmlns:a16="http://schemas.microsoft.com/office/drawing/2014/main" xmlns="" id="{00000000-0008-0000-0200-0000C7520000}"/>
              </a:ext>
            </a:extLst>
          </xdr:cNvPr>
          <xdr:cNvSpPr>
            <a:spLocks noChangeArrowheads="1"/>
          </xdr:cNvSpPr>
        </xdr:nvSpPr>
        <xdr:spPr bwMode="auto">
          <a:xfrm>
            <a:off x="83534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CSOPORTOK</a:t>
            </a:r>
          </a:p>
        </xdr:txBody>
      </xdr:sp>
      <xdr:sp macro="" textlink="">
        <xdr:nvSpPr>
          <xdr:cNvPr id="21192" name="AutoShape 1736">
            <a:hlinkClick xmlns:r="http://schemas.openxmlformats.org/officeDocument/2006/relationships" r:id="rId14" tooltip="A csapatok összeállítása"/>
            <a:extLst>
              <a:ext uri="{FF2B5EF4-FFF2-40B4-BE49-F238E27FC236}">
                <a16:creationId xmlns:a16="http://schemas.microsoft.com/office/drawing/2014/main" xmlns="" id="{00000000-0008-0000-0200-0000C8520000}"/>
              </a:ext>
            </a:extLst>
          </xdr:cNvPr>
          <xdr:cNvSpPr>
            <a:spLocks noChangeArrowheads="1"/>
          </xdr:cNvSpPr>
        </xdr:nvSpPr>
        <xdr:spPr bwMode="auto">
          <a:xfrm>
            <a:off x="91535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CSAPATOK</a:t>
            </a:r>
          </a:p>
        </xdr:txBody>
      </xdr:sp>
      <xdr:sp macro="" textlink="">
        <xdr:nvSpPr>
          <xdr:cNvPr id="21193" name="AutoShape 1737">
            <a:hlinkClick xmlns:r="http://schemas.openxmlformats.org/officeDocument/2006/relationships" r:id="rId15" tooltip="Helyszínek és stadionok"/>
            <a:extLst>
              <a:ext uri="{FF2B5EF4-FFF2-40B4-BE49-F238E27FC236}">
                <a16:creationId xmlns:a16="http://schemas.microsoft.com/office/drawing/2014/main" xmlns="" id="{00000000-0008-0000-0200-0000C9520000}"/>
              </a:ext>
            </a:extLst>
          </xdr:cNvPr>
          <xdr:cNvSpPr>
            <a:spLocks noChangeArrowheads="1"/>
          </xdr:cNvSpPr>
        </xdr:nvSpPr>
        <xdr:spPr bwMode="auto">
          <a:xfrm>
            <a:off x="99536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HELYSZÍNEK</a:t>
            </a:r>
          </a:p>
        </xdr:txBody>
      </xdr:sp>
      <xdr:sp macro="" textlink="">
        <xdr:nvSpPr>
          <xdr:cNvPr id="3109" name="AutoShape 1436">
            <a:extLst>
              <a:ext uri="{FF2B5EF4-FFF2-40B4-BE49-F238E27FC236}">
                <a16:creationId xmlns:a16="http://schemas.microsoft.com/office/drawing/2014/main" xmlns="" id="{00000000-0008-0000-0200-0000250C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97821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10" name="AutoShape 1436">
            <a:extLst>
              <a:ext uri="{FF2B5EF4-FFF2-40B4-BE49-F238E27FC236}">
                <a16:creationId xmlns:a16="http://schemas.microsoft.com/office/drawing/2014/main" xmlns="" id="{00000000-0008-0000-0200-0000260C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13823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11" name="AutoShape 1436">
            <a:extLst>
              <a:ext uri="{FF2B5EF4-FFF2-40B4-BE49-F238E27FC236}">
                <a16:creationId xmlns:a16="http://schemas.microsoft.com/office/drawing/2014/main" xmlns="" id="{00000000-0008-0000-0200-0000270C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5822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12" name="AutoShape 1436">
            <a:extLst>
              <a:ext uri="{FF2B5EF4-FFF2-40B4-BE49-F238E27FC236}">
                <a16:creationId xmlns:a16="http://schemas.microsoft.com/office/drawing/2014/main" xmlns="" id="{00000000-0008-0000-0200-0000280C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73818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13" name="AutoShape 1436">
            <a:extLst>
              <a:ext uri="{FF2B5EF4-FFF2-40B4-BE49-F238E27FC236}">
                <a16:creationId xmlns:a16="http://schemas.microsoft.com/office/drawing/2014/main" xmlns="" id="{00000000-0008-0000-0200-0000290C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89820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14" name="AutoShape 1436">
            <a:extLst>
              <a:ext uri="{FF2B5EF4-FFF2-40B4-BE49-F238E27FC236}">
                <a16:creationId xmlns:a16="http://schemas.microsoft.com/office/drawing/2014/main" xmlns="" id="{00000000-0008-0000-0200-00002A0C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5817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15" name="AutoShape 1436">
            <a:extLst>
              <a:ext uri="{FF2B5EF4-FFF2-40B4-BE49-F238E27FC236}">
                <a16:creationId xmlns:a16="http://schemas.microsoft.com/office/drawing/2014/main" xmlns="" id="{00000000-0008-0000-0200-00002B0C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7816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FAB65C"/>
              </a:gs>
              <a:gs pos="100000">
                <a:srgbClr val="333333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16" name="AutoShape 1436">
            <a:extLst>
              <a:ext uri="{FF2B5EF4-FFF2-40B4-BE49-F238E27FC236}">
                <a16:creationId xmlns:a16="http://schemas.microsoft.com/office/drawing/2014/main" xmlns="" id="{00000000-0008-0000-0200-00002C0C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1830050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17" name="AutoShape 1436">
            <a:extLst>
              <a:ext uri="{FF2B5EF4-FFF2-40B4-BE49-F238E27FC236}">
                <a16:creationId xmlns:a16="http://schemas.microsoft.com/office/drawing/2014/main" xmlns="" id="{00000000-0008-0000-0200-00002D0C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81819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pic>
        <xdr:nvPicPr>
          <xdr:cNvPr id="3118" name="Kép 1">
            <a:hlinkClick xmlns:r="http://schemas.openxmlformats.org/officeDocument/2006/relationships" r:id="rId16" tooltip="Mail to Gyworks"/>
            <a:extLst>
              <a:ext uri="{FF2B5EF4-FFF2-40B4-BE49-F238E27FC236}">
                <a16:creationId xmlns:a16="http://schemas.microsoft.com/office/drawing/2014/main" xmlns="" id="{00000000-0008-0000-0200-00002E0C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6300" y="47625"/>
            <a:ext cx="1383912" cy="31701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276225</xdr:colOff>
      <xdr:row>3</xdr:row>
      <xdr:rowOff>0</xdr:rowOff>
    </xdr:to>
    <xdr:grpSp>
      <xdr:nvGrpSpPr>
        <xdr:cNvPr id="4097" name="Csoportba foglalás 2">
          <a:extLst>
            <a:ext uri="{FF2B5EF4-FFF2-40B4-BE49-F238E27FC236}">
              <a16:creationId xmlns:a16="http://schemas.microsoft.com/office/drawing/2014/main" xmlns="" id="{00000000-0008-0000-0300-000001100000}"/>
            </a:ext>
          </a:extLst>
        </xdr:cNvPr>
        <xdr:cNvGrpSpPr>
          <a:grpSpLocks/>
        </xdr:cNvGrpSpPr>
      </xdr:nvGrpSpPr>
      <xdr:grpSpPr bwMode="auto">
        <a:xfrm>
          <a:off x="0" y="0"/>
          <a:ext cx="11991975" cy="361950"/>
          <a:chOff x="0" y="0"/>
          <a:chExt cx="11991975" cy="364644"/>
        </a:xfrm>
      </xdr:grpSpPr>
      <xdr:pic>
        <xdr:nvPicPr>
          <xdr:cNvPr id="4098" name="Picture 1711">
            <a:extLst>
              <a:ext uri="{FF2B5EF4-FFF2-40B4-BE49-F238E27FC236}">
                <a16:creationId xmlns:a16="http://schemas.microsoft.com/office/drawing/2014/main" xmlns="" id="{00000000-0008-0000-0300-0000021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1991975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1168" name="AutoShape 1712">
            <a:hlinkClick xmlns:r="http://schemas.openxmlformats.org/officeDocument/2006/relationships" r:id="rId2" tooltip="Tippjáték"/>
            <a:extLst>
              <a:ext uri="{FF2B5EF4-FFF2-40B4-BE49-F238E27FC236}">
                <a16:creationId xmlns:a16="http://schemas.microsoft.com/office/drawing/2014/main" xmlns="" id="{00000000-0008-0000-0300-0000B0520000}"/>
              </a:ext>
            </a:extLst>
          </xdr:cNvPr>
          <xdr:cNvSpPr>
            <a:spLocks noChangeArrowheads="1"/>
          </xdr:cNvSpPr>
        </xdr:nvSpPr>
        <xdr:spPr bwMode="auto">
          <a:xfrm>
            <a:off x="107537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TIPPJÁTÉK</a:t>
            </a:r>
          </a:p>
        </xdr:txBody>
      </xdr:sp>
      <xdr:sp macro="" textlink="">
        <xdr:nvSpPr>
          <xdr:cNvPr id="21169" name="AutoShape 1713">
            <a:hlinkClick xmlns:r="http://schemas.openxmlformats.org/officeDocument/2006/relationships" r:id="rId3" tooltip="Használati ismertető"/>
            <a:extLst>
              <a:ext uri="{FF2B5EF4-FFF2-40B4-BE49-F238E27FC236}">
                <a16:creationId xmlns:a16="http://schemas.microsoft.com/office/drawing/2014/main" xmlns="" id="{00000000-0008-0000-0300-0000B1520000}"/>
              </a:ext>
            </a:extLst>
          </xdr:cNvPr>
          <xdr:cNvSpPr>
            <a:spLocks noChangeArrowheads="1"/>
          </xdr:cNvSpPr>
        </xdr:nvSpPr>
        <xdr:spPr bwMode="auto">
          <a:xfrm>
            <a:off x="11553825" y="19192"/>
            <a:ext cx="438150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SÚGÓ</a:t>
            </a:r>
          </a:p>
        </xdr:txBody>
      </xdr:sp>
      <xdr:pic>
        <xdr:nvPicPr>
          <xdr:cNvPr id="4101" name="Picture 1725" descr="NS-logo_szurke">
            <a:hlinkClick xmlns:r="http://schemas.openxmlformats.org/officeDocument/2006/relationships" r:id="rId4" tooltip="További szurkolói füzetek a Nemzeti Sport honlapján"/>
            <a:extLst>
              <a:ext uri="{FF2B5EF4-FFF2-40B4-BE49-F238E27FC236}">
                <a16:creationId xmlns:a16="http://schemas.microsoft.com/office/drawing/2014/main" xmlns="" id="{00000000-0008-0000-0300-0000051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1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7625" y="38384"/>
            <a:ext cx="704850" cy="287877"/>
          </a:xfrm>
          <a:prstGeom prst="rect">
            <a:avLst/>
          </a:prstGeom>
          <a:noFill/>
          <a:ln>
            <a:noFill/>
          </a:ln>
          <a:effectLst>
            <a:outerShdw dist="35921" dir="2700000" algn="ctr" rotWithShape="0">
              <a:srgbClr val="333333"/>
            </a:outerShdw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102" name="Picture 1726">
            <a:extLst>
              <a:ext uri="{FF2B5EF4-FFF2-40B4-BE49-F238E27FC236}">
                <a16:creationId xmlns:a16="http://schemas.microsoft.com/office/drawing/2014/main" xmlns="" id="{00000000-0008-0000-0300-0000061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419350" y="38384"/>
            <a:ext cx="981075" cy="287877"/>
          </a:xfrm>
          <a:prstGeom prst="rect">
            <a:avLst/>
          </a:prstGeom>
          <a:noFill/>
          <a:ln>
            <a:noFill/>
          </a:ln>
          <a:effectLst>
            <a:outerShdw dist="35921" dir="2700000" algn="ctr" rotWithShape="0">
              <a:srgbClr val="333333"/>
            </a:outerShdw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1183" name="AutoShape 1727">
            <a:hlinkClick xmlns:r="http://schemas.openxmlformats.org/officeDocument/2006/relationships" r:id="rId7" tooltip="A csoportok állása"/>
            <a:extLst>
              <a:ext uri="{FF2B5EF4-FFF2-40B4-BE49-F238E27FC236}">
                <a16:creationId xmlns:a16="http://schemas.microsoft.com/office/drawing/2014/main" xmlns="" id="{00000000-0008-0000-0300-0000BF520000}"/>
              </a:ext>
            </a:extLst>
          </xdr:cNvPr>
          <xdr:cNvSpPr>
            <a:spLocks noChangeArrowheads="1"/>
          </xdr:cNvSpPr>
        </xdr:nvSpPr>
        <xdr:spPr bwMode="auto">
          <a:xfrm>
            <a:off x="43529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TABELLÁK</a:t>
            </a:r>
          </a:p>
        </xdr:txBody>
      </xdr:sp>
      <xdr:sp macro="" textlink="">
        <xdr:nvSpPr>
          <xdr:cNvPr id="4104" name="AutoShape 1436">
            <a:extLst>
              <a:ext uri="{FF2B5EF4-FFF2-40B4-BE49-F238E27FC236}">
                <a16:creationId xmlns:a16="http://schemas.microsoft.com/office/drawing/2014/main" xmlns="" id="{00000000-0008-0000-0300-0000081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9815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9705" name="AutoShape 1729">
            <a:hlinkClick xmlns:r="http://schemas.openxmlformats.org/officeDocument/2006/relationships" r:id="rId8" tooltip="Eredmények rögzítése"/>
            <a:extLst>
              <a:ext uri="{FF2B5EF4-FFF2-40B4-BE49-F238E27FC236}">
                <a16:creationId xmlns:a16="http://schemas.microsoft.com/office/drawing/2014/main" xmlns="" id="{00000000-0008-0000-0300-000009740000}"/>
              </a:ext>
            </a:extLst>
          </xdr:cNvPr>
          <xdr:cNvSpPr>
            <a:spLocks noChangeArrowheads="1"/>
          </xdr:cNvSpPr>
        </xdr:nvSpPr>
        <xdr:spPr bwMode="auto">
          <a:xfrm>
            <a:off x="35528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EREDMÉNYEK</a:t>
            </a:r>
          </a:p>
        </xdr:txBody>
      </xdr:sp>
      <xdr:sp macro="" textlink="">
        <xdr:nvSpPr>
          <xdr:cNvPr id="4106" name="AutoShape 1436">
            <a:extLst>
              <a:ext uri="{FF2B5EF4-FFF2-40B4-BE49-F238E27FC236}">
                <a16:creationId xmlns:a16="http://schemas.microsoft.com/office/drawing/2014/main" xmlns="" id="{00000000-0008-0000-0300-00000A1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1814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187" name="AutoShape 1731">
            <a:hlinkClick xmlns:r="http://schemas.openxmlformats.org/officeDocument/2006/relationships" r:id="rId9" tooltip="A legjobb 16 csapat párosításának megtekintése"/>
            <a:extLst>
              <a:ext uri="{FF2B5EF4-FFF2-40B4-BE49-F238E27FC236}">
                <a16:creationId xmlns:a16="http://schemas.microsoft.com/office/drawing/2014/main" xmlns="" id="{00000000-0008-0000-0300-0000C3520000}"/>
              </a:ext>
            </a:extLst>
          </xdr:cNvPr>
          <xdr:cNvSpPr>
            <a:spLocks noChangeArrowheads="1"/>
          </xdr:cNvSpPr>
        </xdr:nvSpPr>
        <xdr:spPr bwMode="auto">
          <a:xfrm>
            <a:off x="51530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ÁGRAJZ</a:t>
            </a:r>
          </a:p>
        </xdr:txBody>
      </xdr:sp>
      <xdr:sp macro="" textlink="">
        <xdr:nvSpPr>
          <xdr:cNvPr id="29708" name="AutoShape 1732">
            <a:hlinkClick xmlns:r="http://schemas.openxmlformats.org/officeDocument/2006/relationships" r:id="rId10" tooltip="Az Európa-bajnokság végeredménye"/>
            <a:extLst>
              <a:ext uri="{FF2B5EF4-FFF2-40B4-BE49-F238E27FC236}">
                <a16:creationId xmlns:a16="http://schemas.microsoft.com/office/drawing/2014/main" xmlns="" id="{00000000-0008-0000-0300-00000C740000}"/>
              </a:ext>
            </a:extLst>
          </xdr:cNvPr>
          <xdr:cNvSpPr>
            <a:spLocks noChangeArrowheads="1"/>
          </xdr:cNvSpPr>
        </xdr:nvSpPr>
        <xdr:spPr bwMode="auto">
          <a:xfrm>
            <a:off x="59531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10F3E">
                  <a:alpha val="56000"/>
                </a:srgbClr>
              </a:gs>
              <a:gs pos="100000">
                <a:srgbClr val="009CB3">
                  <a:alpha val="56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FAB65C"/>
                </a:solidFill>
                <a:latin typeface="Arial Unicode MS"/>
              </a:rPr>
              <a:t>RANGSOR</a:t>
            </a:r>
          </a:p>
        </xdr:txBody>
      </xdr:sp>
      <xdr:sp macro="" textlink="">
        <xdr:nvSpPr>
          <xdr:cNvPr id="21189" name="AutoShape 1733">
            <a:hlinkClick xmlns:r="http://schemas.openxmlformats.org/officeDocument/2006/relationships" r:id="rId11" tooltip="Gólszerzők rögzítése"/>
            <a:extLst>
              <a:ext uri="{FF2B5EF4-FFF2-40B4-BE49-F238E27FC236}">
                <a16:creationId xmlns:a16="http://schemas.microsoft.com/office/drawing/2014/main" xmlns="" id="{00000000-0008-0000-0300-0000C5520000}"/>
              </a:ext>
            </a:extLst>
          </xdr:cNvPr>
          <xdr:cNvSpPr>
            <a:spLocks noChangeArrowheads="1"/>
          </xdr:cNvSpPr>
        </xdr:nvSpPr>
        <xdr:spPr bwMode="auto">
          <a:xfrm>
            <a:off x="67532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GÓLSZERZŐK</a:t>
            </a:r>
          </a:p>
        </xdr:txBody>
      </xdr:sp>
      <xdr:sp macro="" textlink="">
        <xdr:nvSpPr>
          <xdr:cNvPr id="21190" name="AutoShape 1734">
            <a:hlinkClick xmlns:r="http://schemas.openxmlformats.org/officeDocument/2006/relationships" r:id="rId12" tooltip="Góllövőlista megtekintése"/>
            <a:extLst>
              <a:ext uri="{FF2B5EF4-FFF2-40B4-BE49-F238E27FC236}">
                <a16:creationId xmlns:a16="http://schemas.microsoft.com/office/drawing/2014/main" xmlns="" id="{00000000-0008-0000-0300-0000C6520000}"/>
              </a:ext>
            </a:extLst>
          </xdr:cNvPr>
          <xdr:cNvSpPr>
            <a:spLocks noChangeArrowheads="1"/>
          </xdr:cNvSpPr>
        </xdr:nvSpPr>
        <xdr:spPr bwMode="auto">
          <a:xfrm>
            <a:off x="75533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GÓLLÖVŐ</a:t>
            </a:r>
          </a:p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LISTA</a:t>
            </a:r>
          </a:p>
        </xdr:txBody>
      </xdr:sp>
      <xdr:sp macro="" textlink="">
        <xdr:nvSpPr>
          <xdr:cNvPr id="21191" name="AutoShape 1735">
            <a:hlinkClick xmlns:r="http://schemas.openxmlformats.org/officeDocument/2006/relationships" r:id="rId13" tooltip="A csoportok beosztása"/>
            <a:extLst>
              <a:ext uri="{FF2B5EF4-FFF2-40B4-BE49-F238E27FC236}">
                <a16:creationId xmlns:a16="http://schemas.microsoft.com/office/drawing/2014/main" xmlns="" id="{00000000-0008-0000-0300-0000C7520000}"/>
              </a:ext>
            </a:extLst>
          </xdr:cNvPr>
          <xdr:cNvSpPr>
            <a:spLocks noChangeArrowheads="1"/>
          </xdr:cNvSpPr>
        </xdr:nvSpPr>
        <xdr:spPr bwMode="auto">
          <a:xfrm>
            <a:off x="83534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CSOPORTOK</a:t>
            </a:r>
          </a:p>
        </xdr:txBody>
      </xdr:sp>
      <xdr:sp macro="" textlink="">
        <xdr:nvSpPr>
          <xdr:cNvPr id="21192" name="AutoShape 1736">
            <a:hlinkClick xmlns:r="http://schemas.openxmlformats.org/officeDocument/2006/relationships" r:id="rId14" tooltip="A csapatok összeállítása"/>
            <a:extLst>
              <a:ext uri="{FF2B5EF4-FFF2-40B4-BE49-F238E27FC236}">
                <a16:creationId xmlns:a16="http://schemas.microsoft.com/office/drawing/2014/main" xmlns="" id="{00000000-0008-0000-0300-0000C8520000}"/>
              </a:ext>
            </a:extLst>
          </xdr:cNvPr>
          <xdr:cNvSpPr>
            <a:spLocks noChangeArrowheads="1"/>
          </xdr:cNvSpPr>
        </xdr:nvSpPr>
        <xdr:spPr bwMode="auto">
          <a:xfrm>
            <a:off x="91535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CSAPATOK</a:t>
            </a:r>
          </a:p>
        </xdr:txBody>
      </xdr:sp>
      <xdr:sp macro="" textlink="">
        <xdr:nvSpPr>
          <xdr:cNvPr id="21193" name="AutoShape 1737">
            <a:hlinkClick xmlns:r="http://schemas.openxmlformats.org/officeDocument/2006/relationships" r:id="rId15" tooltip="Helyszínek és stadionok"/>
            <a:extLst>
              <a:ext uri="{FF2B5EF4-FFF2-40B4-BE49-F238E27FC236}">
                <a16:creationId xmlns:a16="http://schemas.microsoft.com/office/drawing/2014/main" xmlns="" id="{00000000-0008-0000-0300-0000C9520000}"/>
              </a:ext>
            </a:extLst>
          </xdr:cNvPr>
          <xdr:cNvSpPr>
            <a:spLocks noChangeArrowheads="1"/>
          </xdr:cNvSpPr>
        </xdr:nvSpPr>
        <xdr:spPr bwMode="auto">
          <a:xfrm>
            <a:off x="99536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HELYSZÍNEK</a:t>
            </a:r>
          </a:p>
        </xdr:txBody>
      </xdr:sp>
      <xdr:sp macro="" textlink="">
        <xdr:nvSpPr>
          <xdr:cNvPr id="4114" name="AutoShape 1436">
            <a:extLst>
              <a:ext uri="{FF2B5EF4-FFF2-40B4-BE49-F238E27FC236}">
                <a16:creationId xmlns:a16="http://schemas.microsoft.com/office/drawing/2014/main" xmlns="" id="{00000000-0008-0000-0300-0000121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97821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15" name="AutoShape 1436">
            <a:extLst>
              <a:ext uri="{FF2B5EF4-FFF2-40B4-BE49-F238E27FC236}">
                <a16:creationId xmlns:a16="http://schemas.microsoft.com/office/drawing/2014/main" xmlns="" id="{00000000-0008-0000-0300-0000131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13823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16" name="AutoShape 1436">
            <a:extLst>
              <a:ext uri="{FF2B5EF4-FFF2-40B4-BE49-F238E27FC236}">
                <a16:creationId xmlns:a16="http://schemas.microsoft.com/office/drawing/2014/main" xmlns="" id="{00000000-0008-0000-0300-0000141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5822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17" name="AutoShape 1436">
            <a:extLst>
              <a:ext uri="{FF2B5EF4-FFF2-40B4-BE49-F238E27FC236}">
                <a16:creationId xmlns:a16="http://schemas.microsoft.com/office/drawing/2014/main" xmlns="" id="{00000000-0008-0000-0300-0000151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73818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18" name="AutoShape 1436">
            <a:extLst>
              <a:ext uri="{FF2B5EF4-FFF2-40B4-BE49-F238E27FC236}">
                <a16:creationId xmlns:a16="http://schemas.microsoft.com/office/drawing/2014/main" xmlns="" id="{00000000-0008-0000-0300-0000161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89820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19" name="AutoShape 1436">
            <a:extLst>
              <a:ext uri="{FF2B5EF4-FFF2-40B4-BE49-F238E27FC236}">
                <a16:creationId xmlns:a16="http://schemas.microsoft.com/office/drawing/2014/main" xmlns="" id="{00000000-0008-0000-0300-0000171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5817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FAB65C"/>
              </a:gs>
              <a:gs pos="100000">
                <a:srgbClr val="333333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20" name="AutoShape 1436">
            <a:extLst>
              <a:ext uri="{FF2B5EF4-FFF2-40B4-BE49-F238E27FC236}">
                <a16:creationId xmlns:a16="http://schemas.microsoft.com/office/drawing/2014/main" xmlns="" id="{00000000-0008-0000-0300-0000181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7816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21" name="AutoShape 1436">
            <a:extLst>
              <a:ext uri="{FF2B5EF4-FFF2-40B4-BE49-F238E27FC236}">
                <a16:creationId xmlns:a16="http://schemas.microsoft.com/office/drawing/2014/main" xmlns="" id="{00000000-0008-0000-0300-0000191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1830050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122" name="AutoShape 1436">
            <a:extLst>
              <a:ext uri="{FF2B5EF4-FFF2-40B4-BE49-F238E27FC236}">
                <a16:creationId xmlns:a16="http://schemas.microsoft.com/office/drawing/2014/main" xmlns="" id="{00000000-0008-0000-0300-00001A1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81819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pic>
        <xdr:nvPicPr>
          <xdr:cNvPr id="4123" name="Kép 1">
            <a:hlinkClick xmlns:r="http://schemas.openxmlformats.org/officeDocument/2006/relationships" r:id="rId16" tooltip="Mail to Gyworks"/>
            <a:extLst>
              <a:ext uri="{FF2B5EF4-FFF2-40B4-BE49-F238E27FC236}">
                <a16:creationId xmlns:a16="http://schemas.microsoft.com/office/drawing/2014/main" xmlns="" id="{00000000-0008-0000-0300-00001B1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6300" y="47625"/>
            <a:ext cx="1383912" cy="31701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990600</xdr:colOff>
      <xdr:row>3</xdr:row>
      <xdr:rowOff>28575</xdr:rowOff>
    </xdr:from>
    <xdr:to>
      <xdr:col>14</xdr:col>
      <xdr:colOff>1133475</xdr:colOff>
      <xdr:row>4</xdr:row>
      <xdr:rowOff>0</xdr:rowOff>
    </xdr:to>
    <xdr:sp macro="" textlink="">
      <xdr:nvSpPr>
        <xdr:cNvPr id="16743" name="Text Box 359">
          <a:extLst>
            <a:ext uri="{FF2B5EF4-FFF2-40B4-BE49-F238E27FC236}">
              <a16:creationId xmlns:a16="http://schemas.microsoft.com/office/drawing/2014/main" xmlns="" id="{00000000-0008-0000-0400-000067410000}"/>
            </a:ext>
          </a:extLst>
        </xdr:cNvPr>
        <xdr:cNvSpPr txBox="1">
          <a:spLocks noChangeArrowheads="1"/>
        </xdr:cNvSpPr>
      </xdr:nvSpPr>
      <xdr:spPr bwMode="auto">
        <a:xfrm>
          <a:off x="7219950" y="390525"/>
          <a:ext cx="4581525" cy="12382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0" tIns="0" rIns="0" bIns="0" anchor="ctr" upright="1"/>
        <a:lstStyle/>
        <a:p>
          <a:pPr algn="r" rtl="0">
            <a:defRPr sz="1000"/>
          </a:pPr>
          <a:r>
            <a:rPr lang="hu-HU" sz="600" b="0" i="0" u="none" strike="noStrike" baseline="0">
              <a:solidFill>
                <a:srgbClr val="FFFFFF"/>
              </a:solidFill>
              <a:latin typeface="Arial Unicode MS"/>
            </a:rPr>
            <a:t>A LISTÁBAN VALÓ LAPOZÁSHOZ HASZNÁLJA AZ OLDALSÓ GÖRGETŐSÁVOT ITT   </a:t>
          </a:r>
          <a:r>
            <a:rPr lang="hu-HU" sz="600" b="1" i="0" u="none" strike="noStrike" baseline="0">
              <a:solidFill>
                <a:srgbClr val="FFFFFF"/>
              </a:solidFill>
              <a:latin typeface="Arial Unicode MS"/>
            </a:rPr>
            <a:t>&gt;&gt;&gt;</a:t>
          </a:r>
          <a:r>
            <a:rPr lang="hu-HU" sz="600" b="0" i="0" u="none" strike="noStrike" baseline="0">
              <a:solidFill>
                <a:srgbClr val="FFFFFF"/>
              </a:solidFill>
              <a:latin typeface="Arial Unicode MS"/>
            </a:rPr>
            <a:t>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0</xdr:colOff>
      <xdr:row>3</xdr:row>
      <xdr:rowOff>0</xdr:rowOff>
    </xdr:to>
    <xdr:grpSp>
      <xdr:nvGrpSpPr>
        <xdr:cNvPr id="5122" name="Csoportba foglalás 2">
          <a:extLst>
            <a:ext uri="{FF2B5EF4-FFF2-40B4-BE49-F238E27FC236}">
              <a16:creationId xmlns:a16="http://schemas.microsoft.com/office/drawing/2014/main" xmlns="" id="{00000000-0008-0000-0400-000002140000}"/>
            </a:ext>
          </a:extLst>
        </xdr:cNvPr>
        <xdr:cNvGrpSpPr>
          <a:grpSpLocks/>
        </xdr:cNvGrpSpPr>
      </xdr:nvGrpSpPr>
      <xdr:grpSpPr bwMode="auto">
        <a:xfrm>
          <a:off x="0" y="0"/>
          <a:ext cx="11991975" cy="361950"/>
          <a:chOff x="0" y="0"/>
          <a:chExt cx="11991975" cy="364644"/>
        </a:xfrm>
      </xdr:grpSpPr>
      <xdr:pic>
        <xdr:nvPicPr>
          <xdr:cNvPr id="5174" name="Picture 1711">
            <a:extLst>
              <a:ext uri="{FF2B5EF4-FFF2-40B4-BE49-F238E27FC236}">
                <a16:creationId xmlns:a16="http://schemas.microsoft.com/office/drawing/2014/main" xmlns="" id="{00000000-0008-0000-0400-0000361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1991975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1168" name="AutoShape 1712">
            <a:hlinkClick xmlns:r="http://schemas.openxmlformats.org/officeDocument/2006/relationships" r:id="rId2" tooltip="Tippjáték"/>
            <a:extLst>
              <a:ext uri="{FF2B5EF4-FFF2-40B4-BE49-F238E27FC236}">
                <a16:creationId xmlns:a16="http://schemas.microsoft.com/office/drawing/2014/main" xmlns="" id="{00000000-0008-0000-0400-0000B0520000}"/>
              </a:ext>
            </a:extLst>
          </xdr:cNvPr>
          <xdr:cNvSpPr>
            <a:spLocks noChangeArrowheads="1"/>
          </xdr:cNvSpPr>
        </xdr:nvSpPr>
        <xdr:spPr bwMode="auto">
          <a:xfrm>
            <a:off x="107537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TIPPJÁTÉK</a:t>
            </a:r>
          </a:p>
        </xdr:txBody>
      </xdr:sp>
      <xdr:sp macro="" textlink="">
        <xdr:nvSpPr>
          <xdr:cNvPr id="21169" name="AutoShape 1713">
            <a:hlinkClick xmlns:r="http://schemas.openxmlformats.org/officeDocument/2006/relationships" r:id="rId3" tooltip="Használati ismertető"/>
            <a:extLst>
              <a:ext uri="{FF2B5EF4-FFF2-40B4-BE49-F238E27FC236}">
                <a16:creationId xmlns:a16="http://schemas.microsoft.com/office/drawing/2014/main" xmlns="" id="{00000000-0008-0000-0400-0000B1520000}"/>
              </a:ext>
            </a:extLst>
          </xdr:cNvPr>
          <xdr:cNvSpPr>
            <a:spLocks noChangeArrowheads="1"/>
          </xdr:cNvSpPr>
        </xdr:nvSpPr>
        <xdr:spPr bwMode="auto">
          <a:xfrm>
            <a:off x="11553825" y="19192"/>
            <a:ext cx="438150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SÚGÓ</a:t>
            </a:r>
          </a:p>
        </xdr:txBody>
      </xdr:sp>
      <xdr:pic>
        <xdr:nvPicPr>
          <xdr:cNvPr id="5177" name="Picture 1725" descr="NS-logo_szurke">
            <a:hlinkClick xmlns:r="http://schemas.openxmlformats.org/officeDocument/2006/relationships" r:id="rId4" tooltip="További szurkolói füzetek a Nemzeti Sport honlapján"/>
            <a:extLst>
              <a:ext uri="{FF2B5EF4-FFF2-40B4-BE49-F238E27FC236}">
                <a16:creationId xmlns:a16="http://schemas.microsoft.com/office/drawing/2014/main" xmlns="" id="{00000000-0008-0000-0400-0000391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1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7625" y="38384"/>
            <a:ext cx="704850" cy="287877"/>
          </a:xfrm>
          <a:prstGeom prst="rect">
            <a:avLst/>
          </a:prstGeom>
          <a:noFill/>
          <a:ln>
            <a:noFill/>
          </a:ln>
          <a:effectLst>
            <a:outerShdw dist="35921" dir="2700000" algn="ctr" rotWithShape="0">
              <a:srgbClr val="333333"/>
            </a:outerShdw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178" name="Picture 1726">
            <a:extLst>
              <a:ext uri="{FF2B5EF4-FFF2-40B4-BE49-F238E27FC236}">
                <a16:creationId xmlns:a16="http://schemas.microsoft.com/office/drawing/2014/main" xmlns="" id="{00000000-0008-0000-0400-00003A1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419350" y="38384"/>
            <a:ext cx="981075" cy="287877"/>
          </a:xfrm>
          <a:prstGeom prst="rect">
            <a:avLst/>
          </a:prstGeom>
          <a:noFill/>
          <a:ln>
            <a:noFill/>
          </a:ln>
          <a:effectLst>
            <a:outerShdw dist="35921" dir="2700000" algn="ctr" rotWithShape="0">
              <a:srgbClr val="333333"/>
            </a:outerShdw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1183" name="AutoShape 1727">
            <a:hlinkClick xmlns:r="http://schemas.openxmlformats.org/officeDocument/2006/relationships" r:id="rId7" tooltip="A csoportok állása"/>
            <a:extLst>
              <a:ext uri="{FF2B5EF4-FFF2-40B4-BE49-F238E27FC236}">
                <a16:creationId xmlns:a16="http://schemas.microsoft.com/office/drawing/2014/main" xmlns="" id="{00000000-0008-0000-0400-0000BF520000}"/>
              </a:ext>
            </a:extLst>
          </xdr:cNvPr>
          <xdr:cNvSpPr>
            <a:spLocks noChangeArrowheads="1"/>
          </xdr:cNvSpPr>
        </xdr:nvSpPr>
        <xdr:spPr bwMode="auto">
          <a:xfrm>
            <a:off x="43529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TABELLÁK</a:t>
            </a:r>
          </a:p>
        </xdr:txBody>
      </xdr:sp>
      <xdr:sp macro="" textlink="">
        <xdr:nvSpPr>
          <xdr:cNvPr id="5180" name="AutoShape 1436">
            <a:extLst>
              <a:ext uri="{FF2B5EF4-FFF2-40B4-BE49-F238E27FC236}">
                <a16:creationId xmlns:a16="http://schemas.microsoft.com/office/drawing/2014/main" xmlns="" id="{00000000-0008-0000-0400-00003C14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9815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3613" name="AutoShape 1729">
            <a:hlinkClick xmlns:r="http://schemas.openxmlformats.org/officeDocument/2006/relationships" r:id="rId8" tooltip="Eredmények rögzítése"/>
            <a:extLst>
              <a:ext uri="{FF2B5EF4-FFF2-40B4-BE49-F238E27FC236}">
                <a16:creationId xmlns:a16="http://schemas.microsoft.com/office/drawing/2014/main" xmlns="" id="{00000000-0008-0000-0400-00003D5C0000}"/>
              </a:ext>
            </a:extLst>
          </xdr:cNvPr>
          <xdr:cNvSpPr>
            <a:spLocks noChangeArrowheads="1"/>
          </xdr:cNvSpPr>
        </xdr:nvSpPr>
        <xdr:spPr bwMode="auto">
          <a:xfrm>
            <a:off x="35528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EREDMÉNYEK</a:t>
            </a:r>
          </a:p>
        </xdr:txBody>
      </xdr:sp>
      <xdr:sp macro="" textlink="">
        <xdr:nvSpPr>
          <xdr:cNvPr id="5182" name="AutoShape 1436">
            <a:extLst>
              <a:ext uri="{FF2B5EF4-FFF2-40B4-BE49-F238E27FC236}">
                <a16:creationId xmlns:a16="http://schemas.microsoft.com/office/drawing/2014/main" xmlns="" id="{00000000-0008-0000-0400-00003E14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1814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187" name="AutoShape 1731">
            <a:hlinkClick xmlns:r="http://schemas.openxmlformats.org/officeDocument/2006/relationships" r:id="rId9" tooltip="A legjobb 16 csapat párosításának megtekintése"/>
            <a:extLst>
              <a:ext uri="{FF2B5EF4-FFF2-40B4-BE49-F238E27FC236}">
                <a16:creationId xmlns:a16="http://schemas.microsoft.com/office/drawing/2014/main" xmlns="" id="{00000000-0008-0000-0400-0000C3520000}"/>
              </a:ext>
            </a:extLst>
          </xdr:cNvPr>
          <xdr:cNvSpPr>
            <a:spLocks noChangeArrowheads="1"/>
          </xdr:cNvSpPr>
        </xdr:nvSpPr>
        <xdr:spPr bwMode="auto">
          <a:xfrm>
            <a:off x="51530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ÁGRAJZ</a:t>
            </a:r>
          </a:p>
        </xdr:txBody>
      </xdr:sp>
      <xdr:sp macro="" textlink="">
        <xdr:nvSpPr>
          <xdr:cNvPr id="21188" name="AutoShape 1732">
            <a:hlinkClick xmlns:r="http://schemas.openxmlformats.org/officeDocument/2006/relationships" r:id="rId10" tooltip="Az Európa-bajnokság végeredménye"/>
            <a:extLst>
              <a:ext uri="{FF2B5EF4-FFF2-40B4-BE49-F238E27FC236}">
                <a16:creationId xmlns:a16="http://schemas.microsoft.com/office/drawing/2014/main" xmlns="" id="{00000000-0008-0000-0400-0000C4520000}"/>
              </a:ext>
            </a:extLst>
          </xdr:cNvPr>
          <xdr:cNvSpPr>
            <a:spLocks noChangeArrowheads="1"/>
          </xdr:cNvSpPr>
        </xdr:nvSpPr>
        <xdr:spPr bwMode="auto">
          <a:xfrm>
            <a:off x="59531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RANGSOR</a:t>
            </a:r>
          </a:p>
        </xdr:txBody>
      </xdr:sp>
      <xdr:sp macro="" textlink="">
        <xdr:nvSpPr>
          <xdr:cNvPr id="23617" name="AutoShape 1733">
            <a:hlinkClick xmlns:r="http://schemas.openxmlformats.org/officeDocument/2006/relationships" r:id="rId11" tooltip="Gólszerzők rögzítése"/>
            <a:extLst>
              <a:ext uri="{FF2B5EF4-FFF2-40B4-BE49-F238E27FC236}">
                <a16:creationId xmlns:a16="http://schemas.microsoft.com/office/drawing/2014/main" xmlns="" id="{00000000-0008-0000-0400-0000415C0000}"/>
              </a:ext>
            </a:extLst>
          </xdr:cNvPr>
          <xdr:cNvSpPr>
            <a:spLocks noChangeArrowheads="1"/>
          </xdr:cNvSpPr>
        </xdr:nvSpPr>
        <xdr:spPr bwMode="auto">
          <a:xfrm>
            <a:off x="67532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10F3E">
                  <a:alpha val="56000"/>
                </a:srgbClr>
              </a:gs>
              <a:gs pos="100000">
                <a:srgbClr val="009CB3">
                  <a:alpha val="56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FAB65C"/>
                </a:solidFill>
                <a:latin typeface="Arial Unicode MS"/>
              </a:rPr>
              <a:t>GÓLSZERZŐK</a:t>
            </a:r>
          </a:p>
        </xdr:txBody>
      </xdr:sp>
      <xdr:sp macro="" textlink="">
        <xdr:nvSpPr>
          <xdr:cNvPr id="21190" name="AutoShape 1734">
            <a:hlinkClick xmlns:r="http://schemas.openxmlformats.org/officeDocument/2006/relationships" r:id="rId12" tooltip="Góllövőlista megtekintése"/>
            <a:extLst>
              <a:ext uri="{FF2B5EF4-FFF2-40B4-BE49-F238E27FC236}">
                <a16:creationId xmlns:a16="http://schemas.microsoft.com/office/drawing/2014/main" xmlns="" id="{00000000-0008-0000-0400-0000C6520000}"/>
              </a:ext>
            </a:extLst>
          </xdr:cNvPr>
          <xdr:cNvSpPr>
            <a:spLocks noChangeArrowheads="1"/>
          </xdr:cNvSpPr>
        </xdr:nvSpPr>
        <xdr:spPr bwMode="auto">
          <a:xfrm>
            <a:off x="75533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GÓLLÖVŐ</a:t>
            </a:r>
          </a:p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LISTA</a:t>
            </a:r>
          </a:p>
        </xdr:txBody>
      </xdr:sp>
      <xdr:sp macro="" textlink="">
        <xdr:nvSpPr>
          <xdr:cNvPr id="21191" name="AutoShape 1735">
            <a:hlinkClick xmlns:r="http://schemas.openxmlformats.org/officeDocument/2006/relationships" r:id="rId13" tooltip="A csoportok beosztása"/>
            <a:extLst>
              <a:ext uri="{FF2B5EF4-FFF2-40B4-BE49-F238E27FC236}">
                <a16:creationId xmlns:a16="http://schemas.microsoft.com/office/drawing/2014/main" xmlns="" id="{00000000-0008-0000-0400-0000C7520000}"/>
              </a:ext>
            </a:extLst>
          </xdr:cNvPr>
          <xdr:cNvSpPr>
            <a:spLocks noChangeArrowheads="1"/>
          </xdr:cNvSpPr>
        </xdr:nvSpPr>
        <xdr:spPr bwMode="auto">
          <a:xfrm>
            <a:off x="83534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CSOPORTOK</a:t>
            </a:r>
          </a:p>
        </xdr:txBody>
      </xdr:sp>
      <xdr:sp macro="" textlink="">
        <xdr:nvSpPr>
          <xdr:cNvPr id="21192" name="AutoShape 1736">
            <a:hlinkClick xmlns:r="http://schemas.openxmlformats.org/officeDocument/2006/relationships" r:id="rId14" tooltip="A csapatok összeállítása"/>
            <a:extLst>
              <a:ext uri="{FF2B5EF4-FFF2-40B4-BE49-F238E27FC236}">
                <a16:creationId xmlns:a16="http://schemas.microsoft.com/office/drawing/2014/main" xmlns="" id="{00000000-0008-0000-0400-0000C8520000}"/>
              </a:ext>
            </a:extLst>
          </xdr:cNvPr>
          <xdr:cNvSpPr>
            <a:spLocks noChangeArrowheads="1"/>
          </xdr:cNvSpPr>
        </xdr:nvSpPr>
        <xdr:spPr bwMode="auto">
          <a:xfrm>
            <a:off x="91535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CSAPATOK</a:t>
            </a:r>
          </a:p>
        </xdr:txBody>
      </xdr:sp>
      <xdr:sp macro="" textlink="">
        <xdr:nvSpPr>
          <xdr:cNvPr id="21193" name="AutoShape 1737">
            <a:hlinkClick xmlns:r="http://schemas.openxmlformats.org/officeDocument/2006/relationships" r:id="rId15" tooltip="Helyszínek és stadionok"/>
            <a:extLst>
              <a:ext uri="{FF2B5EF4-FFF2-40B4-BE49-F238E27FC236}">
                <a16:creationId xmlns:a16="http://schemas.microsoft.com/office/drawing/2014/main" xmlns="" id="{00000000-0008-0000-0400-0000C9520000}"/>
              </a:ext>
            </a:extLst>
          </xdr:cNvPr>
          <xdr:cNvSpPr>
            <a:spLocks noChangeArrowheads="1"/>
          </xdr:cNvSpPr>
        </xdr:nvSpPr>
        <xdr:spPr bwMode="auto">
          <a:xfrm>
            <a:off x="99536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HELYSZÍNEK</a:t>
            </a:r>
          </a:p>
        </xdr:txBody>
      </xdr:sp>
      <xdr:sp macro="" textlink="">
        <xdr:nvSpPr>
          <xdr:cNvPr id="5190" name="AutoShape 1436">
            <a:extLst>
              <a:ext uri="{FF2B5EF4-FFF2-40B4-BE49-F238E27FC236}">
                <a16:creationId xmlns:a16="http://schemas.microsoft.com/office/drawing/2014/main" xmlns="" id="{00000000-0008-0000-0400-00004614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97821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191" name="AutoShape 1436">
            <a:extLst>
              <a:ext uri="{FF2B5EF4-FFF2-40B4-BE49-F238E27FC236}">
                <a16:creationId xmlns:a16="http://schemas.microsoft.com/office/drawing/2014/main" xmlns="" id="{00000000-0008-0000-0400-00004714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13823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192" name="AutoShape 1436">
            <a:extLst>
              <a:ext uri="{FF2B5EF4-FFF2-40B4-BE49-F238E27FC236}">
                <a16:creationId xmlns:a16="http://schemas.microsoft.com/office/drawing/2014/main" xmlns="" id="{00000000-0008-0000-0400-00004814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5822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193" name="AutoShape 1436">
            <a:extLst>
              <a:ext uri="{FF2B5EF4-FFF2-40B4-BE49-F238E27FC236}">
                <a16:creationId xmlns:a16="http://schemas.microsoft.com/office/drawing/2014/main" xmlns="" id="{00000000-0008-0000-0400-00004914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73818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FAB65C"/>
              </a:gs>
              <a:gs pos="100000">
                <a:srgbClr val="333333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194" name="AutoShape 1436">
            <a:extLst>
              <a:ext uri="{FF2B5EF4-FFF2-40B4-BE49-F238E27FC236}">
                <a16:creationId xmlns:a16="http://schemas.microsoft.com/office/drawing/2014/main" xmlns="" id="{00000000-0008-0000-0400-00004A14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89820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195" name="AutoShape 1436">
            <a:extLst>
              <a:ext uri="{FF2B5EF4-FFF2-40B4-BE49-F238E27FC236}">
                <a16:creationId xmlns:a16="http://schemas.microsoft.com/office/drawing/2014/main" xmlns="" id="{00000000-0008-0000-0400-00004B14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5817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196" name="AutoShape 1436">
            <a:extLst>
              <a:ext uri="{FF2B5EF4-FFF2-40B4-BE49-F238E27FC236}">
                <a16:creationId xmlns:a16="http://schemas.microsoft.com/office/drawing/2014/main" xmlns="" id="{00000000-0008-0000-0400-00004C14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7816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197" name="AutoShape 1436">
            <a:extLst>
              <a:ext uri="{FF2B5EF4-FFF2-40B4-BE49-F238E27FC236}">
                <a16:creationId xmlns:a16="http://schemas.microsoft.com/office/drawing/2014/main" xmlns="" id="{00000000-0008-0000-0400-00004D14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1830050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198" name="AutoShape 1436">
            <a:extLst>
              <a:ext uri="{FF2B5EF4-FFF2-40B4-BE49-F238E27FC236}">
                <a16:creationId xmlns:a16="http://schemas.microsoft.com/office/drawing/2014/main" xmlns="" id="{00000000-0008-0000-0400-00004E14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81819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pic>
        <xdr:nvPicPr>
          <xdr:cNvPr id="5199" name="Kép 1">
            <a:hlinkClick xmlns:r="http://schemas.openxmlformats.org/officeDocument/2006/relationships" r:id="rId16" tooltip="Mail to Gyworks"/>
            <a:extLst>
              <a:ext uri="{FF2B5EF4-FFF2-40B4-BE49-F238E27FC236}">
                <a16:creationId xmlns:a16="http://schemas.microsoft.com/office/drawing/2014/main" xmlns="" id="{00000000-0008-0000-0400-00004F14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6300" y="47625"/>
            <a:ext cx="1383912" cy="31701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oneCellAnchor>
    <xdr:from>
      <xdr:col>10</xdr:col>
      <xdr:colOff>1266825</xdr:colOff>
      <xdr:row>21</xdr:row>
      <xdr:rowOff>0</xdr:rowOff>
    </xdr:from>
    <xdr:ext cx="752475" cy="216000"/>
    <xdr:sp macro="" textlink="">
      <xdr:nvSpPr>
        <xdr:cNvPr id="81" name="AutoShape 284">
          <a:extLst>
            <a:ext uri="{FF2B5EF4-FFF2-40B4-BE49-F238E27FC236}">
              <a16:creationId xmlns:a16="http://schemas.microsoft.com/office/drawing/2014/main" xmlns="" id="{00000000-0008-0000-0400-000051000000}"/>
            </a:ext>
          </a:extLst>
        </xdr:cNvPr>
        <xdr:cNvSpPr>
          <a:spLocks noChangeArrowheads="1"/>
        </xdr:cNvSpPr>
      </xdr:nvSpPr>
      <xdr:spPr bwMode="auto">
        <a:xfrm>
          <a:off x="8639175" y="2619375"/>
          <a:ext cx="752475" cy="216000"/>
        </a:xfrm>
        <a:prstGeom prst="downArrowCallout">
          <a:avLst>
            <a:gd name="adj1" fmla="val 154635"/>
            <a:gd name="adj2" fmla="val 45318"/>
            <a:gd name="adj3" fmla="val 34287"/>
            <a:gd name="adj4" fmla="val 65713"/>
          </a:avLst>
        </a:prstGeom>
        <a:gradFill rotWithShape="0">
          <a:gsLst>
            <a:gs pos="0">
              <a:srgbClr val="523973"/>
            </a:gs>
            <a:gs pos="100000">
              <a:srgbClr val="9475E1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0">
            <a:defRPr sz="1000"/>
          </a:pPr>
          <a:r>
            <a:rPr lang="hu-HU" sz="7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B CSOPORT</a:t>
          </a:r>
        </a:p>
      </xdr:txBody>
    </xdr:sp>
    <xdr:clientData/>
  </xdr:oneCellAnchor>
  <xdr:oneCellAnchor>
    <xdr:from>
      <xdr:col>10</xdr:col>
      <xdr:colOff>1266825</xdr:colOff>
      <xdr:row>5</xdr:row>
      <xdr:rowOff>0</xdr:rowOff>
    </xdr:from>
    <xdr:ext cx="752475" cy="216000"/>
    <xdr:sp macro="" textlink="">
      <xdr:nvSpPr>
        <xdr:cNvPr id="82" name="AutoShape 284">
          <a:extLst>
            <a:ext uri="{FF2B5EF4-FFF2-40B4-BE49-F238E27FC236}">
              <a16:creationId xmlns:a16="http://schemas.microsoft.com/office/drawing/2014/main" xmlns="" id="{00000000-0008-0000-0400-000052000000}"/>
            </a:ext>
          </a:extLst>
        </xdr:cNvPr>
        <xdr:cNvSpPr>
          <a:spLocks noChangeArrowheads="1"/>
        </xdr:cNvSpPr>
      </xdr:nvSpPr>
      <xdr:spPr bwMode="auto">
        <a:xfrm>
          <a:off x="8639175" y="2657475"/>
          <a:ext cx="752475" cy="216000"/>
        </a:xfrm>
        <a:prstGeom prst="downArrowCallout">
          <a:avLst>
            <a:gd name="adj1" fmla="val 154635"/>
            <a:gd name="adj2" fmla="val 45318"/>
            <a:gd name="adj3" fmla="val 34287"/>
            <a:gd name="adj4" fmla="val 65713"/>
          </a:avLst>
        </a:prstGeom>
        <a:gradFill rotWithShape="0">
          <a:gsLst>
            <a:gs pos="0">
              <a:srgbClr val="008192"/>
            </a:gs>
            <a:gs pos="100000">
              <a:srgbClr val="018D76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0">
            <a:defRPr sz="1000"/>
          </a:pPr>
          <a:r>
            <a:rPr lang="hu-HU" sz="7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A CSOPORT</a:t>
          </a:r>
        </a:p>
      </xdr:txBody>
    </xdr:sp>
    <xdr:clientData/>
  </xdr:oneCellAnchor>
  <xdr:oneCellAnchor>
    <xdr:from>
      <xdr:col>3</xdr:col>
      <xdr:colOff>1266825</xdr:colOff>
      <xdr:row>5</xdr:row>
      <xdr:rowOff>0</xdr:rowOff>
    </xdr:from>
    <xdr:ext cx="752475" cy="216000"/>
    <xdr:sp macro="" textlink="">
      <xdr:nvSpPr>
        <xdr:cNvPr id="83" name="AutoShape 284">
          <a:extLst>
            <a:ext uri="{FF2B5EF4-FFF2-40B4-BE49-F238E27FC236}">
              <a16:creationId xmlns:a16="http://schemas.microsoft.com/office/drawing/2014/main" xmlns="" id="{00000000-0008-0000-0400-000053000000}"/>
            </a:ext>
          </a:extLst>
        </xdr:cNvPr>
        <xdr:cNvSpPr>
          <a:spLocks noChangeArrowheads="1"/>
        </xdr:cNvSpPr>
      </xdr:nvSpPr>
      <xdr:spPr bwMode="auto">
        <a:xfrm>
          <a:off x="8639175" y="2657475"/>
          <a:ext cx="752475" cy="216000"/>
        </a:xfrm>
        <a:prstGeom prst="downArrowCallout">
          <a:avLst>
            <a:gd name="adj1" fmla="val 154635"/>
            <a:gd name="adj2" fmla="val 45318"/>
            <a:gd name="adj3" fmla="val 34287"/>
            <a:gd name="adj4" fmla="val 65713"/>
          </a:avLst>
        </a:prstGeom>
        <a:gradFill rotWithShape="0">
          <a:gsLst>
            <a:gs pos="0">
              <a:srgbClr val="008192"/>
            </a:gs>
            <a:gs pos="100000">
              <a:srgbClr val="018D76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0">
            <a:defRPr sz="1000"/>
          </a:pPr>
          <a:r>
            <a:rPr lang="hu-HU" sz="7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A CSOPORT</a:t>
          </a:r>
        </a:p>
      </xdr:txBody>
    </xdr:sp>
    <xdr:clientData/>
  </xdr:oneCellAnchor>
  <xdr:oneCellAnchor>
    <xdr:from>
      <xdr:col>3</xdr:col>
      <xdr:colOff>1266825</xdr:colOff>
      <xdr:row>21</xdr:row>
      <xdr:rowOff>0</xdr:rowOff>
    </xdr:from>
    <xdr:ext cx="752475" cy="216000"/>
    <xdr:sp macro="" textlink="">
      <xdr:nvSpPr>
        <xdr:cNvPr id="84" name="AutoShape 284">
          <a:extLst>
            <a:ext uri="{FF2B5EF4-FFF2-40B4-BE49-F238E27FC236}">
              <a16:creationId xmlns:a16="http://schemas.microsoft.com/office/drawing/2014/main" xmlns="" id="{00000000-0008-0000-0400-000054000000}"/>
            </a:ext>
          </a:extLst>
        </xdr:cNvPr>
        <xdr:cNvSpPr>
          <a:spLocks noChangeArrowheads="1"/>
        </xdr:cNvSpPr>
      </xdr:nvSpPr>
      <xdr:spPr bwMode="auto">
        <a:xfrm>
          <a:off x="8639175" y="2657475"/>
          <a:ext cx="752475" cy="216000"/>
        </a:xfrm>
        <a:prstGeom prst="downArrowCallout">
          <a:avLst>
            <a:gd name="adj1" fmla="val 154635"/>
            <a:gd name="adj2" fmla="val 45318"/>
            <a:gd name="adj3" fmla="val 34287"/>
            <a:gd name="adj4" fmla="val 65713"/>
          </a:avLst>
        </a:prstGeom>
        <a:gradFill rotWithShape="0">
          <a:gsLst>
            <a:gs pos="0">
              <a:srgbClr val="523973"/>
            </a:gs>
            <a:gs pos="100000">
              <a:srgbClr val="9475E1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0">
            <a:defRPr sz="1000"/>
          </a:pPr>
          <a:r>
            <a:rPr lang="hu-HU" sz="7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B CSOPORT</a:t>
          </a:r>
        </a:p>
      </xdr:txBody>
    </xdr:sp>
    <xdr:clientData/>
  </xdr:oneCellAnchor>
  <xdr:oneCellAnchor>
    <xdr:from>
      <xdr:col>3</xdr:col>
      <xdr:colOff>1266825</xdr:colOff>
      <xdr:row>37</xdr:row>
      <xdr:rowOff>0</xdr:rowOff>
    </xdr:from>
    <xdr:ext cx="752475" cy="216000"/>
    <xdr:sp macro="" textlink="">
      <xdr:nvSpPr>
        <xdr:cNvPr id="85" name="AutoShape 284">
          <a:extLst>
            <a:ext uri="{FF2B5EF4-FFF2-40B4-BE49-F238E27FC236}">
              <a16:creationId xmlns:a16="http://schemas.microsoft.com/office/drawing/2014/main" xmlns="" id="{00000000-0008-0000-0400-000055000000}"/>
            </a:ext>
          </a:extLst>
        </xdr:cNvPr>
        <xdr:cNvSpPr>
          <a:spLocks noChangeArrowheads="1"/>
        </xdr:cNvSpPr>
      </xdr:nvSpPr>
      <xdr:spPr bwMode="auto">
        <a:xfrm>
          <a:off x="2724150" y="2657475"/>
          <a:ext cx="752475" cy="216000"/>
        </a:xfrm>
        <a:prstGeom prst="downArrowCallout">
          <a:avLst>
            <a:gd name="adj1" fmla="val 154635"/>
            <a:gd name="adj2" fmla="val 45318"/>
            <a:gd name="adj3" fmla="val 34287"/>
            <a:gd name="adj4" fmla="val 65713"/>
          </a:avLst>
        </a:prstGeom>
        <a:gradFill rotWithShape="0">
          <a:gsLst>
            <a:gs pos="0">
              <a:srgbClr val="005000"/>
            </a:gs>
            <a:gs pos="100000">
              <a:srgbClr val="ADCE35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1">
            <a:defRPr sz="1000"/>
          </a:pPr>
          <a:r>
            <a:rPr lang="hu-HU" sz="7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D CSOPORT</a:t>
          </a:r>
        </a:p>
      </xdr:txBody>
    </xdr:sp>
    <xdr:clientData/>
  </xdr:oneCellAnchor>
  <xdr:oneCellAnchor>
    <xdr:from>
      <xdr:col>10</xdr:col>
      <xdr:colOff>1266825</xdr:colOff>
      <xdr:row>37</xdr:row>
      <xdr:rowOff>0</xdr:rowOff>
    </xdr:from>
    <xdr:ext cx="752475" cy="216000"/>
    <xdr:sp macro="" textlink="">
      <xdr:nvSpPr>
        <xdr:cNvPr id="86" name="AutoShape 284">
          <a:extLst>
            <a:ext uri="{FF2B5EF4-FFF2-40B4-BE49-F238E27FC236}">
              <a16:creationId xmlns:a16="http://schemas.microsoft.com/office/drawing/2014/main" xmlns="" id="{00000000-0008-0000-0400-000056000000}"/>
            </a:ext>
          </a:extLst>
        </xdr:cNvPr>
        <xdr:cNvSpPr>
          <a:spLocks noChangeArrowheads="1"/>
        </xdr:cNvSpPr>
      </xdr:nvSpPr>
      <xdr:spPr bwMode="auto">
        <a:xfrm>
          <a:off x="2724150" y="2657475"/>
          <a:ext cx="752475" cy="216000"/>
        </a:xfrm>
        <a:prstGeom prst="downArrowCallout">
          <a:avLst>
            <a:gd name="adj1" fmla="val 154635"/>
            <a:gd name="adj2" fmla="val 45318"/>
            <a:gd name="adj3" fmla="val 34287"/>
            <a:gd name="adj4" fmla="val 65713"/>
          </a:avLst>
        </a:prstGeom>
        <a:gradFill rotWithShape="0">
          <a:gsLst>
            <a:gs pos="0">
              <a:srgbClr val="9C3B0B"/>
            </a:gs>
            <a:gs pos="100000">
              <a:srgbClr val="F99F27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0">
            <a:defRPr sz="1000"/>
          </a:pPr>
          <a:r>
            <a:rPr lang="hu-HU" sz="7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C CSOPORT</a:t>
          </a:r>
        </a:p>
      </xdr:txBody>
    </xdr:sp>
    <xdr:clientData/>
  </xdr:oneCellAnchor>
  <xdr:oneCellAnchor>
    <xdr:from>
      <xdr:col>3</xdr:col>
      <xdr:colOff>1266825</xdr:colOff>
      <xdr:row>53</xdr:row>
      <xdr:rowOff>0</xdr:rowOff>
    </xdr:from>
    <xdr:ext cx="752475" cy="216000"/>
    <xdr:sp macro="" textlink="">
      <xdr:nvSpPr>
        <xdr:cNvPr id="87" name="AutoShape 284">
          <a:extLst>
            <a:ext uri="{FF2B5EF4-FFF2-40B4-BE49-F238E27FC236}">
              <a16:creationId xmlns:a16="http://schemas.microsoft.com/office/drawing/2014/main" xmlns="" id="{00000000-0008-0000-0400-000057000000}"/>
            </a:ext>
          </a:extLst>
        </xdr:cNvPr>
        <xdr:cNvSpPr>
          <a:spLocks noChangeArrowheads="1"/>
        </xdr:cNvSpPr>
      </xdr:nvSpPr>
      <xdr:spPr bwMode="auto">
        <a:xfrm>
          <a:off x="2724150" y="2657475"/>
          <a:ext cx="752475" cy="216000"/>
        </a:xfrm>
        <a:prstGeom prst="downArrowCallout">
          <a:avLst>
            <a:gd name="adj1" fmla="val 154635"/>
            <a:gd name="adj2" fmla="val 45318"/>
            <a:gd name="adj3" fmla="val 34287"/>
            <a:gd name="adj4" fmla="val 65713"/>
          </a:avLst>
        </a:prstGeom>
        <a:gradFill rotWithShape="0">
          <a:gsLst>
            <a:gs pos="0">
              <a:srgbClr val="9C3B0B"/>
            </a:gs>
            <a:gs pos="100000">
              <a:srgbClr val="F99F27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0">
            <a:defRPr sz="1000"/>
          </a:pPr>
          <a:r>
            <a:rPr lang="hu-HU" sz="7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C CSOPORT</a:t>
          </a:r>
        </a:p>
      </xdr:txBody>
    </xdr:sp>
    <xdr:clientData/>
  </xdr:oneCellAnchor>
  <xdr:oneCellAnchor>
    <xdr:from>
      <xdr:col>10</xdr:col>
      <xdr:colOff>1266825</xdr:colOff>
      <xdr:row>53</xdr:row>
      <xdr:rowOff>0</xdr:rowOff>
    </xdr:from>
    <xdr:ext cx="752475" cy="216000"/>
    <xdr:sp macro="" textlink="">
      <xdr:nvSpPr>
        <xdr:cNvPr id="88" name="AutoShape 284">
          <a:extLst>
            <a:ext uri="{FF2B5EF4-FFF2-40B4-BE49-F238E27FC236}">
              <a16:creationId xmlns:a16="http://schemas.microsoft.com/office/drawing/2014/main" xmlns="" id="{00000000-0008-0000-0400-000058000000}"/>
            </a:ext>
          </a:extLst>
        </xdr:cNvPr>
        <xdr:cNvSpPr>
          <a:spLocks noChangeArrowheads="1"/>
        </xdr:cNvSpPr>
      </xdr:nvSpPr>
      <xdr:spPr bwMode="auto">
        <a:xfrm>
          <a:off x="2724150" y="2657475"/>
          <a:ext cx="752475" cy="216000"/>
        </a:xfrm>
        <a:prstGeom prst="downArrowCallout">
          <a:avLst>
            <a:gd name="adj1" fmla="val 154635"/>
            <a:gd name="adj2" fmla="val 45318"/>
            <a:gd name="adj3" fmla="val 34287"/>
            <a:gd name="adj4" fmla="val 65713"/>
          </a:avLst>
        </a:prstGeom>
        <a:gradFill rotWithShape="0">
          <a:gsLst>
            <a:gs pos="0">
              <a:srgbClr val="005000"/>
            </a:gs>
            <a:gs pos="100000">
              <a:srgbClr val="ADCE35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1">
            <a:defRPr sz="1000"/>
          </a:pPr>
          <a:r>
            <a:rPr lang="hu-HU" sz="7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D CSOPORT</a:t>
          </a:r>
        </a:p>
      </xdr:txBody>
    </xdr:sp>
    <xdr:clientData/>
  </xdr:oneCellAnchor>
  <xdr:oneCellAnchor>
    <xdr:from>
      <xdr:col>3</xdr:col>
      <xdr:colOff>1266825</xdr:colOff>
      <xdr:row>69</xdr:row>
      <xdr:rowOff>0</xdr:rowOff>
    </xdr:from>
    <xdr:ext cx="752475" cy="216000"/>
    <xdr:sp macro="" textlink="">
      <xdr:nvSpPr>
        <xdr:cNvPr id="89" name="AutoShape 284">
          <a:extLst>
            <a:ext uri="{FF2B5EF4-FFF2-40B4-BE49-F238E27FC236}">
              <a16:creationId xmlns:a16="http://schemas.microsoft.com/office/drawing/2014/main" xmlns="" id="{00000000-0008-0000-0400-000059000000}"/>
            </a:ext>
          </a:extLst>
        </xdr:cNvPr>
        <xdr:cNvSpPr>
          <a:spLocks noChangeArrowheads="1"/>
        </xdr:cNvSpPr>
      </xdr:nvSpPr>
      <xdr:spPr bwMode="auto">
        <a:xfrm>
          <a:off x="2724150" y="2657475"/>
          <a:ext cx="752475" cy="216000"/>
        </a:xfrm>
        <a:prstGeom prst="downArrowCallout">
          <a:avLst>
            <a:gd name="adj1" fmla="val 154635"/>
            <a:gd name="adj2" fmla="val 45318"/>
            <a:gd name="adj3" fmla="val 34287"/>
            <a:gd name="adj4" fmla="val 65713"/>
          </a:avLst>
        </a:prstGeom>
        <a:gradFill rotWithShape="0">
          <a:gsLst>
            <a:gs pos="0">
              <a:srgbClr val="8C081D"/>
            </a:gs>
            <a:gs pos="100000">
              <a:srgbClr val="EE2959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0">
            <a:defRPr sz="1000"/>
          </a:pPr>
          <a:r>
            <a:rPr lang="hu-HU" sz="7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E CSOPORT</a:t>
          </a:r>
        </a:p>
      </xdr:txBody>
    </xdr:sp>
    <xdr:clientData/>
  </xdr:oneCellAnchor>
  <xdr:oneCellAnchor>
    <xdr:from>
      <xdr:col>10</xdr:col>
      <xdr:colOff>1266825</xdr:colOff>
      <xdr:row>69</xdr:row>
      <xdr:rowOff>0</xdr:rowOff>
    </xdr:from>
    <xdr:ext cx="752475" cy="216000"/>
    <xdr:sp macro="" textlink="">
      <xdr:nvSpPr>
        <xdr:cNvPr id="90" name="AutoShape 284">
          <a:extLst>
            <a:ext uri="{FF2B5EF4-FFF2-40B4-BE49-F238E27FC236}">
              <a16:creationId xmlns:a16="http://schemas.microsoft.com/office/drawing/2014/main" xmlns="" id="{00000000-0008-0000-0400-00005A000000}"/>
            </a:ext>
          </a:extLst>
        </xdr:cNvPr>
        <xdr:cNvSpPr>
          <a:spLocks noChangeArrowheads="1"/>
        </xdr:cNvSpPr>
      </xdr:nvSpPr>
      <xdr:spPr bwMode="auto">
        <a:xfrm>
          <a:off x="2724150" y="2657475"/>
          <a:ext cx="752475" cy="216000"/>
        </a:xfrm>
        <a:prstGeom prst="downArrowCallout">
          <a:avLst>
            <a:gd name="adj1" fmla="val 154635"/>
            <a:gd name="adj2" fmla="val 45318"/>
            <a:gd name="adj3" fmla="val 34287"/>
            <a:gd name="adj4" fmla="val 65713"/>
          </a:avLst>
        </a:prstGeom>
        <a:gradFill rotWithShape="0">
          <a:gsLst>
            <a:gs pos="0">
              <a:srgbClr val="8C081D"/>
            </a:gs>
            <a:gs pos="100000">
              <a:srgbClr val="EE2959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0">
            <a:defRPr sz="1000"/>
          </a:pPr>
          <a:r>
            <a:rPr lang="hu-HU" sz="7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E CSOPORT</a:t>
          </a:r>
        </a:p>
      </xdr:txBody>
    </xdr:sp>
    <xdr:clientData/>
  </xdr:oneCellAnchor>
  <xdr:oneCellAnchor>
    <xdr:from>
      <xdr:col>3</xdr:col>
      <xdr:colOff>1266825</xdr:colOff>
      <xdr:row>85</xdr:row>
      <xdr:rowOff>0</xdr:rowOff>
    </xdr:from>
    <xdr:ext cx="752475" cy="216000"/>
    <xdr:sp macro="" textlink="">
      <xdr:nvSpPr>
        <xdr:cNvPr id="91" name="AutoShape 284">
          <a:extLst>
            <a:ext uri="{FF2B5EF4-FFF2-40B4-BE49-F238E27FC236}">
              <a16:creationId xmlns:a16="http://schemas.microsoft.com/office/drawing/2014/main" xmlns="" id="{00000000-0008-0000-0400-00005B000000}"/>
            </a:ext>
          </a:extLst>
        </xdr:cNvPr>
        <xdr:cNvSpPr>
          <a:spLocks noChangeArrowheads="1"/>
        </xdr:cNvSpPr>
      </xdr:nvSpPr>
      <xdr:spPr bwMode="auto">
        <a:xfrm>
          <a:off x="2724150" y="2657475"/>
          <a:ext cx="752475" cy="216000"/>
        </a:xfrm>
        <a:prstGeom prst="downArrowCallout">
          <a:avLst>
            <a:gd name="adj1" fmla="val 154635"/>
            <a:gd name="adj2" fmla="val 45318"/>
            <a:gd name="adj3" fmla="val 34287"/>
            <a:gd name="adj4" fmla="val 65713"/>
          </a:avLst>
        </a:prstGeom>
        <a:gradFill rotWithShape="0">
          <a:gsLst>
            <a:gs pos="0">
              <a:srgbClr val="3A082E"/>
            </a:gs>
            <a:gs pos="100000">
              <a:srgbClr val="8C126F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0">
            <a:defRPr sz="1000"/>
          </a:pPr>
          <a:r>
            <a:rPr lang="hu-HU" sz="7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F CSOPORT</a:t>
          </a:r>
        </a:p>
      </xdr:txBody>
    </xdr:sp>
    <xdr:clientData/>
  </xdr:oneCellAnchor>
  <xdr:oneCellAnchor>
    <xdr:from>
      <xdr:col>10</xdr:col>
      <xdr:colOff>1266825</xdr:colOff>
      <xdr:row>85</xdr:row>
      <xdr:rowOff>0</xdr:rowOff>
    </xdr:from>
    <xdr:ext cx="752475" cy="216000"/>
    <xdr:sp macro="" textlink="">
      <xdr:nvSpPr>
        <xdr:cNvPr id="92" name="AutoShape 284">
          <a:extLst>
            <a:ext uri="{FF2B5EF4-FFF2-40B4-BE49-F238E27FC236}">
              <a16:creationId xmlns:a16="http://schemas.microsoft.com/office/drawing/2014/main" xmlns="" id="{00000000-0008-0000-0400-00005C000000}"/>
            </a:ext>
          </a:extLst>
        </xdr:cNvPr>
        <xdr:cNvSpPr>
          <a:spLocks noChangeArrowheads="1"/>
        </xdr:cNvSpPr>
      </xdr:nvSpPr>
      <xdr:spPr bwMode="auto">
        <a:xfrm>
          <a:off x="2724150" y="2657475"/>
          <a:ext cx="752475" cy="216000"/>
        </a:xfrm>
        <a:prstGeom prst="downArrowCallout">
          <a:avLst>
            <a:gd name="adj1" fmla="val 154635"/>
            <a:gd name="adj2" fmla="val 45318"/>
            <a:gd name="adj3" fmla="val 34287"/>
            <a:gd name="adj4" fmla="val 65713"/>
          </a:avLst>
        </a:prstGeom>
        <a:gradFill rotWithShape="0">
          <a:gsLst>
            <a:gs pos="0">
              <a:srgbClr val="3A082E"/>
            </a:gs>
            <a:gs pos="100000">
              <a:srgbClr val="8C126F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0">
            <a:defRPr sz="1000"/>
          </a:pPr>
          <a:r>
            <a:rPr lang="hu-HU" sz="7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F CSOPORT</a:t>
          </a:r>
        </a:p>
      </xdr:txBody>
    </xdr:sp>
    <xdr:clientData/>
  </xdr:oneCellAnchor>
  <xdr:oneCellAnchor>
    <xdr:from>
      <xdr:col>3</xdr:col>
      <xdr:colOff>1266825</xdr:colOff>
      <xdr:row>101</xdr:row>
      <xdr:rowOff>0</xdr:rowOff>
    </xdr:from>
    <xdr:ext cx="752475" cy="216000"/>
    <xdr:sp macro="" textlink="">
      <xdr:nvSpPr>
        <xdr:cNvPr id="93" name="AutoShape 284">
          <a:extLst>
            <a:ext uri="{FF2B5EF4-FFF2-40B4-BE49-F238E27FC236}">
              <a16:creationId xmlns:a16="http://schemas.microsoft.com/office/drawing/2014/main" xmlns="" id="{00000000-0008-0000-0400-00005D000000}"/>
            </a:ext>
          </a:extLst>
        </xdr:cNvPr>
        <xdr:cNvSpPr>
          <a:spLocks noChangeArrowheads="1"/>
        </xdr:cNvSpPr>
      </xdr:nvSpPr>
      <xdr:spPr bwMode="auto">
        <a:xfrm>
          <a:off x="2724150" y="2657475"/>
          <a:ext cx="752475" cy="216000"/>
        </a:xfrm>
        <a:prstGeom prst="downArrowCallout">
          <a:avLst>
            <a:gd name="adj1" fmla="val 154635"/>
            <a:gd name="adj2" fmla="val 45318"/>
            <a:gd name="adj3" fmla="val 34287"/>
            <a:gd name="adj4" fmla="val 65713"/>
          </a:avLst>
        </a:prstGeom>
        <a:gradFill rotWithShape="0">
          <a:gsLst>
            <a:gs pos="0">
              <a:srgbClr val="523973"/>
            </a:gs>
            <a:gs pos="100000">
              <a:srgbClr val="9475E1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0">
            <a:defRPr sz="1000"/>
          </a:pPr>
          <a:r>
            <a:rPr lang="hu-HU" sz="7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B CSOPORT</a:t>
          </a:r>
        </a:p>
      </xdr:txBody>
    </xdr:sp>
    <xdr:clientData/>
  </xdr:oneCellAnchor>
  <xdr:oneCellAnchor>
    <xdr:from>
      <xdr:col>10</xdr:col>
      <xdr:colOff>1266825</xdr:colOff>
      <xdr:row>101</xdr:row>
      <xdr:rowOff>0</xdr:rowOff>
    </xdr:from>
    <xdr:ext cx="752475" cy="216000"/>
    <xdr:sp macro="" textlink="">
      <xdr:nvSpPr>
        <xdr:cNvPr id="94" name="AutoShape 284">
          <a:extLst>
            <a:ext uri="{FF2B5EF4-FFF2-40B4-BE49-F238E27FC236}">
              <a16:creationId xmlns:a16="http://schemas.microsoft.com/office/drawing/2014/main" xmlns="" id="{00000000-0008-0000-0400-00005E000000}"/>
            </a:ext>
          </a:extLst>
        </xdr:cNvPr>
        <xdr:cNvSpPr>
          <a:spLocks noChangeArrowheads="1"/>
        </xdr:cNvSpPr>
      </xdr:nvSpPr>
      <xdr:spPr bwMode="auto">
        <a:xfrm>
          <a:off x="2724150" y="2657475"/>
          <a:ext cx="752475" cy="216000"/>
        </a:xfrm>
        <a:prstGeom prst="downArrowCallout">
          <a:avLst>
            <a:gd name="adj1" fmla="val 154635"/>
            <a:gd name="adj2" fmla="val 45318"/>
            <a:gd name="adj3" fmla="val 34287"/>
            <a:gd name="adj4" fmla="val 65713"/>
          </a:avLst>
        </a:prstGeom>
        <a:gradFill rotWithShape="0">
          <a:gsLst>
            <a:gs pos="0">
              <a:srgbClr val="008192"/>
            </a:gs>
            <a:gs pos="100000">
              <a:srgbClr val="018D76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1">
            <a:defRPr sz="1000"/>
          </a:pPr>
          <a:r>
            <a:rPr lang="hu-HU" sz="7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A CSOPORT</a:t>
          </a:r>
        </a:p>
      </xdr:txBody>
    </xdr:sp>
    <xdr:clientData/>
  </xdr:oneCellAnchor>
  <xdr:oneCellAnchor>
    <xdr:from>
      <xdr:col>3</xdr:col>
      <xdr:colOff>1266825</xdr:colOff>
      <xdr:row>117</xdr:row>
      <xdr:rowOff>0</xdr:rowOff>
    </xdr:from>
    <xdr:ext cx="752475" cy="216000"/>
    <xdr:sp macro="" textlink="">
      <xdr:nvSpPr>
        <xdr:cNvPr id="95" name="AutoShape 284">
          <a:extLst>
            <a:ext uri="{FF2B5EF4-FFF2-40B4-BE49-F238E27FC236}">
              <a16:creationId xmlns:a16="http://schemas.microsoft.com/office/drawing/2014/main" xmlns="" id="{00000000-0008-0000-0400-00005F000000}"/>
            </a:ext>
          </a:extLst>
        </xdr:cNvPr>
        <xdr:cNvSpPr>
          <a:spLocks noChangeArrowheads="1"/>
        </xdr:cNvSpPr>
      </xdr:nvSpPr>
      <xdr:spPr bwMode="auto">
        <a:xfrm>
          <a:off x="2724150" y="2657475"/>
          <a:ext cx="752475" cy="216000"/>
        </a:xfrm>
        <a:prstGeom prst="downArrowCallout">
          <a:avLst>
            <a:gd name="adj1" fmla="val 154635"/>
            <a:gd name="adj2" fmla="val 45318"/>
            <a:gd name="adj3" fmla="val 34287"/>
            <a:gd name="adj4" fmla="val 65713"/>
          </a:avLst>
        </a:prstGeom>
        <a:gradFill rotWithShape="0">
          <a:gsLst>
            <a:gs pos="0">
              <a:srgbClr val="008192"/>
            </a:gs>
            <a:gs pos="100000">
              <a:srgbClr val="018D76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1">
            <a:defRPr sz="1000"/>
          </a:pPr>
          <a:r>
            <a:rPr lang="hu-HU" sz="7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A CSOPORT</a:t>
          </a:r>
        </a:p>
      </xdr:txBody>
    </xdr:sp>
    <xdr:clientData/>
  </xdr:oneCellAnchor>
  <xdr:oneCellAnchor>
    <xdr:from>
      <xdr:col>10</xdr:col>
      <xdr:colOff>1266825</xdr:colOff>
      <xdr:row>117</xdr:row>
      <xdr:rowOff>0</xdr:rowOff>
    </xdr:from>
    <xdr:ext cx="752475" cy="216000"/>
    <xdr:sp macro="" textlink="">
      <xdr:nvSpPr>
        <xdr:cNvPr id="96" name="AutoShape 284">
          <a:extLst>
            <a:ext uri="{FF2B5EF4-FFF2-40B4-BE49-F238E27FC236}">
              <a16:creationId xmlns:a16="http://schemas.microsoft.com/office/drawing/2014/main" xmlns="" id="{00000000-0008-0000-0400-000060000000}"/>
            </a:ext>
          </a:extLst>
        </xdr:cNvPr>
        <xdr:cNvSpPr>
          <a:spLocks noChangeArrowheads="1"/>
        </xdr:cNvSpPr>
      </xdr:nvSpPr>
      <xdr:spPr bwMode="auto">
        <a:xfrm>
          <a:off x="2724150" y="2657475"/>
          <a:ext cx="752475" cy="216000"/>
        </a:xfrm>
        <a:prstGeom prst="downArrowCallout">
          <a:avLst>
            <a:gd name="adj1" fmla="val 154635"/>
            <a:gd name="adj2" fmla="val 45318"/>
            <a:gd name="adj3" fmla="val 34287"/>
            <a:gd name="adj4" fmla="val 65713"/>
          </a:avLst>
        </a:prstGeom>
        <a:gradFill rotWithShape="0">
          <a:gsLst>
            <a:gs pos="0">
              <a:srgbClr val="9C3B0B"/>
            </a:gs>
            <a:gs pos="100000">
              <a:srgbClr val="F99F27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0">
            <a:defRPr sz="1000"/>
          </a:pPr>
          <a:r>
            <a:rPr lang="hu-HU" sz="7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C CSOPORT</a:t>
          </a:r>
        </a:p>
      </xdr:txBody>
    </xdr:sp>
    <xdr:clientData/>
  </xdr:oneCellAnchor>
  <xdr:oneCellAnchor>
    <xdr:from>
      <xdr:col>3</xdr:col>
      <xdr:colOff>1266825</xdr:colOff>
      <xdr:row>133</xdr:row>
      <xdr:rowOff>0</xdr:rowOff>
    </xdr:from>
    <xdr:ext cx="752475" cy="216000"/>
    <xdr:sp macro="" textlink="">
      <xdr:nvSpPr>
        <xdr:cNvPr id="97" name="AutoShape 284">
          <a:extLst>
            <a:ext uri="{FF2B5EF4-FFF2-40B4-BE49-F238E27FC236}">
              <a16:creationId xmlns:a16="http://schemas.microsoft.com/office/drawing/2014/main" xmlns="" id="{00000000-0008-0000-0400-000061000000}"/>
            </a:ext>
          </a:extLst>
        </xdr:cNvPr>
        <xdr:cNvSpPr>
          <a:spLocks noChangeArrowheads="1"/>
        </xdr:cNvSpPr>
      </xdr:nvSpPr>
      <xdr:spPr bwMode="auto">
        <a:xfrm>
          <a:off x="2724150" y="2657475"/>
          <a:ext cx="752475" cy="216000"/>
        </a:xfrm>
        <a:prstGeom prst="downArrowCallout">
          <a:avLst>
            <a:gd name="adj1" fmla="val 154635"/>
            <a:gd name="adj2" fmla="val 45318"/>
            <a:gd name="adj3" fmla="val 34287"/>
            <a:gd name="adj4" fmla="val 65713"/>
          </a:avLst>
        </a:prstGeom>
        <a:gradFill rotWithShape="0">
          <a:gsLst>
            <a:gs pos="0">
              <a:srgbClr val="523973"/>
            </a:gs>
            <a:gs pos="100000">
              <a:srgbClr val="9475E1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0">
            <a:defRPr sz="1000"/>
          </a:pPr>
          <a:r>
            <a:rPr lang="hu-HU" sz="7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B CSOPORT</a:t>
          </a:r>
        </a:p>
      </xdr:txBody>
    </xdr:sp>
    <xdr:clientData/>
  </xdr:oneCellAnchor>
  <xdr:oneCellAnchor>
    <xdr:from>
      <xdr:col>10</xdr:col>
      <xdr:colOff>1266825</xdr:colOff>
      <xdr:row>133</xdr:row>
      <xdr:rowOff>0</xdr:rowOff>
    </xdr:from>
    <xdr:ext cx="752475" cy="216000"/>
    <xdr:sp macro="" textlink="">
      <xdr:nvSpPr>
        <xdr:cNvPr id="98" name="AutoShape 284">
          <a:extLst>
            <a:ext uri="{FF2B5EF4-FFF2-40B4-BE49-F238E27FC236}">
              <a16:creationId xmlns:a16="http://schemas.microsoft.com/office/drawing/2014/main" xmlns="" id="{00000000-0008-0000-0400-000062000000}"/>
            </a:ext>
          </a:extLst>
        </xdr:cNvPr>
        <xdr:cNvSpPr>
          <a:spLocks noChangeArrowheads="1"/>
        </xdr:cNvSpPr>
      </xdr:nvSpPr>
      <xdr:spPr bwMode="auto">
        <a:xfrm>
          <a:off x="2724150" y="2657475"/>
          <a:ext cx="752475" cy="216000"/>
        </a:xfrm>
        <a:prstGeom prst="downArrowCallout">
          <a:avLst>
            <a:gd name="adj1" fmla="val 154635"/>
            <a:gd name="adj2" fmla="val 45318"/>
            <a:gd name="adj3" fmla="val 34287"/>
            <a:gd name="adj4" fmla="val 65713"/>
          </a:avLst>
        </a:prstGeom>
        <a:gradFill rotWithShape="0">
          <a:gsLst>
            <a:gs pos="0">
              <a:srgbClr val="9C3B0B"/>
            </a:gs>
            <a:gs pos="100000">
              <a:srgbClr val="F99F27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0">
            <a:defRPr sz="1000"/>
          </a:pPr>
          <a:r>
            <a:rPr lang="hu-HU" sz="7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C CSOPORT</a:t>
          </a:r>
        </a:p>
      </xdr:txBody>
    </xdr:sp>
    <xdr:clientData/>
  </xdr:oneCellAnchor>
  <xdr:oneCellAnchor>
    <xdr:from>
      <xdr:col>3</xdr:col>
      <xdr:colOff>1266825</xdr:colOff>
      <xdr:row>149</xdr:row>
      <xdr:rowOff>0</xdr:rowOff>
    </xdr:from>
    <xdr:ext cx="752475" cy="216000"/>
    <xdr:sp macro="" textlink="">
      <xdr:nvSpPr>
        <xdr:cNvPr id="99" name="AutoShape 284">
          <a:extLst>
            <a:ext uri="{FF2B5EF4-FFF2-40B4-BE49-F238E27FC236}">
              <a16:creationId xmlns:a16="http://schemas.microsoft.com/office/drawing/2014/main" xmlns="" id="{00000000-0008-0000-0400-000063000000}"/>
            </a:ext>
          </a:extLst>
        </xdr:cNvPr>
        <xdr:cNvSpPr>
          <a:spLocks noChangeArrowheads="1"/>
        </xdr:cNvSpPr>
      </xdr:nvSpPr>
      <xdr:spPr bwMode="auto">
        <a:xfrm>
          <a:off x="2724150" y="2657475"/>
          <a:ext cx="752475" cy="216000"/>
        </a:xfrm>
        <a:prstGeom prst="downArrowCallout">
          <a:avLst>
            <a:gd name="adj1" fmla="val 154635"/>
            <a:gd name="adj2" fmla="val 45318"/>
            <a:gd name="adj3" fmla="val 34287"/>
            <a:gd name="adj4" fmla="val 65713"/>
          </a:avLst>
        </a:prstGeom>
        <a:gradFill rotWithShape="0">
          <a:gsLst>
            <a:gs pos="0">
              <a:srgbClr val="8C081D"/>
            </a:gs>
            <a:gs pos="100000">
              <a:srgbClr val="EE2959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0">
            <a:defRPr sz="1000"/>
          </a:pPr>
          <a:r>
            <a:rPr lang="hu-HU" sz="7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E CSOPORT</a:t>
          </a:r>
        </a:p>
      </xdr:txBody>
    </xdr:sp>
    <xdr:clientData/>
  </xdr:oneCellAnchor>
  <xdr:oneCellAnchor>
    <xdr:from>
      <xdr:col>10</xdr:col>
      <xdr:colOff>1266825</xdr:colOff>
      <xdr:row>149</xdr:row>
      <xdr:rowOff>0</xdr:rowOff>
    </xdr:from>
    <xdr:ext cx="752475" cy="216000"/>
    <xdr:sp macro="" textlink="">
      <xdr:nvSpPr>
        <xdr:cNvPr id="100" name="AutoShape 284">
          <a:extLst>
            <a:ext uri="{FF2B5EF4-FFF2-40B4-BE49-F238E27FC236}">
              <a16:creationId xmlns:a16="http://schemas.microsoft.com/office/drawing/2014/main" xmlns="" id="{00000000-0008-0000-0400-000064000000}"/>
            </a:ext>
          </a:extLst>
        </xdr:cNvPr>
        <xdr:cNvSpPr>
          <a:spLocks noChangeArrowheads="1"/>
        </xdr:cNvSpPr>
      </xdr:nvSpPr>
      <xdr:spPr bwMode="auto">
        <a:xfrm>
          <a:off x="2724150" y="2657475"/>
          <a:ext cx="752475" cy="216000"/>
        </a:xfrm>
        <a:prstGeom prst="downArrowCallout">
          <a:avLst>
            <a:gd name="adj1" fmla="val 154635"/>
            <a:gd name="adj2" fmla="val 45318"/>
            <a:gd name="adj3" fmla="val 34287"/>
            <a:gd name="adj4" fmla="val 65713"/>
          </a:avLst>
        </a:prstGeom>
        <a:gradFill rotWithShape="0">
          <a:gsLst>
            <a:gs pos="0">
              <a:srgbClr val="005000"/>
            </a:gs>
            <a:gs pos="100000">
              <a:srgbClr val="ADCE35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1">
            <a:defRPr sz="1000"/>
          </a:pPr>
          <a:r>
            <a:rPr lang="hu-HU" sz="7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D CSOPORT</a:t>
          </a:r>
        </a:p>
      </xdr:txBody>
    </xdr:sp>
    <xdr:clientData/>
  </xdr:oneCellAnchor>
  <xdr:oneCellAnchor>
    <xdr:from>
      <xdr:col>3</xdr:col>
      <xdr:colOff>1266825</xdr:colOff>
      <xdr:row>165</xdr:row>
      <xdr:rowOff>0</xdr:rowOff>
    </xdr:from>
    <xdr:ext cx="752475" cy="216000"/>
    <xdr:sp macro="" textlink="">
      <xdr:nvSpPr>
        <xdr:cNvPr id="101" name="AutoShape 284">
          <a:extLst>
            <a:ext uri="{FF2B5EF4-FFF2-40B4-BE49-F238E27FC236}">
              <a16:creationId xmlns:a16="http://schemas.microsoft.com/office/drawing/2014/main" xmlns="" id="{00000000-0008-0000-0400-000065000000}"/>
            </a:ext>
          </a:extLst>
        </xdr:cNvPr>
        <xdr:cNvSpPr>
          <a:spLocks noChangeArrowheads="1"/>
        </xdr:cNvSpPr>
      </xdr:nvSpPr>
      <xdr:spPr bwMode="auto">
        <a:xfrm>
          <a:off x="2724150" y="2657475"/>
          <a:ext cx="752475" cy="216000"/>
        </a:xfrm>
        <a:prstGeom prst="downArrowCallout">
          <a:avLst>
            <a:gd name="adj1" fmla="val 154635"/>
            <a:gd name="adj2" fmla="val 45318"/>
            <a:gd name="adj3" fmla="val 34287"/>
            <a:gd name="adj4" fmla="val 65713"/>
          </a:avLst>
        </a:prstGeom>
        <a:gradFill rotWithShape="0">
          <a:gsLst>
            <a:gs pos="0">
              <a:srgbClr val="005000"/>
            </a:gs>
            <a:gs pos="100000">
              <a:srgbClr val="ADCE35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1">
            <a:defRPr sz="1000"/>
          </a:pPr>
          <a:r>
            <a:rPr lang="hu-HU" sz="7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D CSOPORT</a:t>
          </a:r>
        </a:p>
      </xdr:txBody>
    </xdr:sp>
    <xdr:clientData/>
  </xdr:oneCellAnchor>
  <xdr:oneCellAnchor>
    <xdr:from>
      <xdr:col>10</xdr:col>
      <xdr:colOff>1266825</xdr:colOff>
      <xdr:row>165</xdr:row>
      <xdr:rowOff>0</xdr:rowOff>
    </xdr:from>
    <xdr:ext cx="752475" cy="216000"/>
    <xdr:sp macro="" textlink="">
      <xdr:nvSpPr>
        <xdr:cNvPr id="102" name="AutoShape 284">
          <a:extLst>
            <a:ext uri="{FF2B5EF4-FFF2-40B4-BE49-F238E27FC236}">
              <a16:creationId xmlns:a16="http://schemas.microsoft.com/office/drawing/2014/main" xmlns="" id="{00000000-0008-0000-0400-000066000000}"/>
            </a:ext>
          </a:extLst>
        </xdr:cNvPr>
        <xdr:cNvSpPr>
          <a:spLocks noChangeArrowheads="1"/>
        </xdr:cNvSpPr>
      </xdr:nvSpPr>
      <xdr:spPr bwMode="auto">
        <a:xfrm>
          <a:off x="2724150" y="2657475"/>
          <a:ext cx="752475" cy="216000"/>
        </a:xfrm>
        <a:prstGeom prst="downArrowCallout">
          <a:avLst>
            <a:gd name="adj1" fmla="val 154635"/>
            <a:gd name="adj2" fmla="val 45318"/>
            <a:gd name="adj3" fmla="val 34287"/>
            <a:gd name="adj4" fmla="val 65713"/>
          </a:avLst>
        </a:prstGeom>
        <a:gradFill rotWithShape="0">
          <a:gsLst>
            <a:gs pos="0">
              <a:srgbClr val="3A082E"/>
            </a:gs>
            <a:gs pos="100000">
              <a:srgbClr val="8C126F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0">
            <a:defRPr sz="1000"/>
          </a:pPr>
          <a:r>
            <a:rPr lang="hu-HU" sz="7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F CSOPORT</a:t>
          </a:r>
        </a:p>
      </xdr:txBody>
    </xdr:sp>
    <xdr:clientData/>
  </xdr:oneCellAnchor>
  <xdr:oneCellAnchor>
    <xdr:from>
      <xdr:col>3</xdr:col>
      <xdr:colOff>1266825</xdr:colOff>
      <xdr:row>181</xdr:row>
      <xdr:rowOff>0</xdr:rowOff>
    </xdr:from>
    <xdr:ext cx="752475" cy="216000"/>
    <xdr:sp macro="" textlink="">
      <xdr:nvSpPr>
        <xdr:cNvPr id="103" name="AutoShape 284">
          <a:extLst>
            <a:ext uri="{FF2B5EF4-FFF2-40B4-BE49-F238E27FC236}">
              <a16:creationId xmlns:a16="http://schemas.microsoft.com/office/drawing/2014/main" xmlns="" id="{00000000-0008-0000-0400-000067000000}"/>
            </a:ext>
          </a:extLst>
        </xdr:cNvPr>
        <xdr:cNvSpPr>
          <a:spLocks noChangeArrowheads="1"/>
        </xdr:cNvSpPr>
      </xdr:nvSpPr>
      <xdr:spPr bwMode="auto">
        <a:xfrm>
          <a:off x="2724150" y="2657475"/>
          <a:ext cx="752475" cy="216000"/>
        </a:xfrm>
        <a:prstGeom prst="downArrowCallout">
          <a:avLst>
            <a:gd name="adj1" fmla="val 154635"/>
            <a:gd name="adj2" fmla="val 45318"/>
            <a:gd name="adj3" fmla="val 34287"/>
            <a:gd name="adj4" fmla="val 65713"/>
          </a:avLst>
        </a:prstGeom>
        <a:gradFill rotWithShape="0">
          <a:gsLst>
            <a:gs pos="0">
              <a:srgbClr val="3A082E"/>
            </a:gs>
            <a:gs pos="100000">
              <a:srgbClr val="8C126F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0">
            <a:defRPr sz="1000"/>
          </a:pPr>
          <a:r>
            <a:rPr lang="hu-HU" sz="7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F CSOPORT</a:t>
          </a:r>
        </a:p>
      </xdr:txBody>
    </xdr:sp>
    <xdr:clientData/>
  </xdr:oneCellAnchor>
  <xdr:oneCellAnchor>
    <xdr:from>
      <xdr:col>10</xdr:col>
      <xdr:colOff>1266825</xdr:colOff>
      <xdr:row>181</xdr:row>
      <xdr:rowOff>0</xdr:rowOff>
    </xdr:from>
    <xdr:ext cx="752475" cy="216000"/>
    <xdr:sp macro="" textlink="">
      <xdr:nvSpPr>
        <xdr:cNvPr id="104" name="AutoShape 284">
          <a:extLst>
            <a:ext uri="{FF2B5EF4-FFF2-40B4-BE49-F238E27FC236}">
              <a16:creationId xmlns:a16="http://schemas.microsoft.com/office/drawing/2014/main" xmlns="" id="{00000000-0008-0000-0400-000068000000}"/>
            </a:ext>
          </a:extLst>
        </xdr:cNvPr>
        <xdr:cNvSpPr>
          <a:spLocks noChangeArrowheads="1"/>
        </xdr:cNvSpPr>
      </xdr:nvSpPr>
      <xdr:spPr bwMode="auto">
        <a:xfrm>
          <a:off x="2724150" y="2657475"/>
          <a:ext cx="752475" cy="216000"/>
        </a:xfrm>
        <a:prstGeom prst="downArrowCallout">
          <a:avLst>
            <a:gd name="adj1" fmla="val 154635"/>
            <a:gd name="adj2" fmla="val 45318"/>
            <a:gd name="adj3" fmla="val 34287"/>
            <a:gd name="adj4" fmla="val 65713"/>
          </a:avLst>
        </a:prstGeom>
        <a:gradFill rotWithShape="0">
          <a:gsLst>
            <a:gs pos="0">
              <a:srgbClr val="8C081D"/>
            </a:gs>
            <a:gs pos="100000">
              <a:srgbClr val="EE2959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0">
            <a:defRPr sz="1000"/>
          </a:pPr>
          <a:r>
            <a:rPr lang="hu-HU" sz="7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E CSOPORT</a:t>
          </a:r>
        </a:p>
      </xdr:txBody>
    </xdr:sp>
    <xdr:clientData/>
  </xdr:oneCellAnchor>
  <xdr:oneCellAnchor>
    <xdr:from>
      <xdr:col>3</xdr:col>
      <xdr:colOff>1266825</xdr:colOff>
      <xdr:row>197</xdr:row>
      <xdr:rowOff>0</xdr:rowOff>
    </xdr:from>
    <xdr:ext cx="752475" cy="216000"/>
    <xdr:sp macro="" textlink="">
      <xdr:nvSpPr>
        <xdr:cNvPr id="105" name="AutoShape 284">
          <a:extLst>
            <a:ext uri="{FF2B5EF4-FFF2-40B4-BE49-F238E27FC236}">
              <a16:creationId xmlns:a16="http://schemas.microsoft.com/office/drawing/2014/main" xmlns="" id="{00000000-0008-0000-0400-000069000000}"/>
            </a:ext>
          </a:extLst>
        </xdr:cNvPr>
        <xdr:cNvSpPr>
          <a:spLocks noChangeArrowheads="1"/>
        </xdr:cNvSpPr>
      </xdr:nvSpPr>
      <xdr:spPr bwMode="auto">
        <a:xfrm>
          <a:off x="2724150" y="2657475"/>
          <a:ext cx="752475" cy="216000"/>
        </a:xfrm>
        <a:prstGeom prst="downArrowCallout">
          <a:avLst>
            <a:gd name="adj1" fmla="val 154635"/>
            <a:gd name="adj2" fmla="val 45318"/>
            <a:gd name="adj3" fmla="val 34287"/>
            <a:gd name="adj4" fmla="val 65713"/>
          </a:avLst>
        </a:prstGeom>
        <a:gradFill rotWithShape="0">
          <a:gsLst>
            <a:gs pos="0">
              <a:srgbClr val="008192"/>
            </a:gs>
            <a:gs pos="100000">
              <a:srgbClr val="018D76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1">
            <a:defRPr sz="1000"/>
          </a:pPr>
          <a:r>
            <a:rPr lang="hu-HU" sz="7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A CSOPORT</a:t>
          </a:r>
        </a:p>
      </xdr:txBody>
    </xdr:sp>
    <xdr:clientData/>
  </xdr:oneCellAnchor>
  <xdr:oneCellAnchor>
    <xdr:from>
      <xdr:col>10</xdr:col>
      <xdr:colOff>1266825</xdr:colOff>
      <xdr:row>197</xdr:row>
      <xdr:rowOff>0</xdr:rowOff>
    </xdr:from>
    <xdr:ext cx="752475" cy="216000"/>
    <xdr:sp macro="" textlink="">
      <xdr:nvSpPr>
        <xdr:cNvPr id="106" name="AutoShape 284">
          <a:extLst>
            <a:ext uri="{FF2B5EF4-FFF2-40B4-BE49-F238E27FC236}">
              <a16:creationId xmlns:a16="http://schemas.microsoft.com/office/drawing/2014/main" xmlns="" id="{00000000-0008-0000-0400-00006A000000}"/>
            </a:ext>
          </a:extLst>
        </xdr:cNvPr>
        <xdr:cNvSpPr>
          <a:spLocks noChangeArrowheads="1"/>
        </xdr:cNvSpPr>
      </xdr:nvSpPr>
      <xdr:spPr bwMode="auto">
        <a:xfrm>
          <a:off x="2724150" y="2657475"/>
          <a:ext cx="752475" cy="216000"/>
        </a:xfrm>
        <a:prstGeom prst="downArrowCallout">
          <a:avLst>
            <a:gd name="adj1" fmla="val 154635"/>
            <a:gd name="adj2" fmla="val 45318"/>
            <a:gd name="adj3" fmla="val 34287"/>
            <a:gd name="adj4" fmla="val 65713"/>
          </a:avLst>
        </a:prstGeom>
        <a:gradFill rotWithShape="0">
          <a:gsLst>
            <a:gs pos="0">
              <a:srgbClr val="008192"/>
            </a:gs>
            <a:gs pos="100000">
              <a:srgbClr val="018D76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1">
            <a:defRPr sz="1000"/>
          </a:pPr>
          <a:r>
            <a:rPr lang="hu-HU" sz="7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A CSOPORT</a:t>
          </a:r>
        </a:p>
      </xdr:txBody>
    </xdr:sp>
    <xdr:clientData/>
  </xdr:oneCellAnchor>
  <xdr:oneCellAnchor>
    <xdr:from>
      <xdr:col>3</xdr:col>
      <xdr:colOff>1266825</xdr:colOff>
      <xdr:row>231</xdr:row>
      <xdr:rowOff>0</xdr:rowOff>
    </xdr:from>
    <xdr:ext cx="752475" cy="216000"/>
    <xdr:sp macro="" textlink="">
      <xdr:nvSpPr>
        <xdr:cNvPr id="107" name="AutoShape 284">
          <a:extLst>
            <a:ext uri="{FF2B5EF4-FFF2-40B4-BE49-F238E27FC236}">
              <a16:creationId xmlns:a16="http://schemas.microsoft.com/office/drawing/2014/main" xmlns="" id="{00000000-0008-0000-0400-00006B000000}"/>
            </a:ext>
          </a:extLst>
        </xdr:cNvPr>
        <xdr:cNvSpPr>
          <a:spLocks noChangeArrowheads="1"/>
        </xdr:cNvSpPr>
      </xdr:nvSpPr>
      <xdr:spPr bwMode="auto">
        <a:xfrm>
          <a:off x="2724150" y="2657475"/>
          <a:ext cx="752475" cy="216000"/>
        </a:xfrm>
        <a:prstGeom prst="downArrowCallout">
          <a:avLst>
            <a:gd name="adj1" fmla="val 154635"/>
            <a:gd name="adj2" fmla="val 45318"/>
            <a:gd name="adj3" fmla="val 34287"/>
            <a:gd name="adj4" fmla="val 65713"/>
          </a:avLst>
        </a:prstGeom>
        <a:gradFill rotWithShape="0">
          <a:gsLst>
            <a:gs pos="0">
              <a:srgbClr val="9C3B0B"/>
            </a:gs>
            <a:gs pos="100000">
              <a:srgbClr val="F99F27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0">
            <a:defRPr sz="1000"/>
          </a:pPr>
          <a:r>
            <a:rPr lang="hu-HU" sz="7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C CSOPORT</a:t>
          </a:r>
        </a:p>
      </xdr:txBody>
    </xdr:sp>
    <xdr:clientData/>
  </xdr:oneCellAnchor>
  <xdr:oneCellAnchor>
    <xdr:from>
      <xdr:col>10</xdr:col>
      <xdr:colOff>1266825</xdr:colOff>
      <xdr:row>231</xdr:row>
      <xdr:rowOff>0</xdr:rowOff>
    </xdr:from>
    <xdr:ext cx="752475" cy="216000"/>
    <xdr:sp macro="" textlink="">
      <xdr:nvSpPr>
        <xdr:cNvPr id="108" name="AutoShape 284">
          <a:extLst>
            <a:ext uri="{FF2B5EF4-FFF2-40B4-BE49-F238E27FC236}">
              <a16:creationId xmlns:a16="http://schemas.microsoft.com/office/drawing/2014/main" xmlns="" id="{00000000-0008-0000-0400-00006C000000}"/>
            </a:ext>
          </a:extLst>
        </xdr:cNvPr>
        <xdr:cNvSpPr>
          <a:spLocks noChangeArrowheads="1"/>
        </xdr:cNvSpPr>
      </xdr:nvSpPr>
      <xdr:spPr bwMode="auto">
        <a:xfrm>
          <a:off x="2724150" y="2657475"/>
          <a:ext cx="752475" cy="216000"/>
        </a:xfrm>
        <a:prstGeom prst="downArrowCallout">
          <a:avLst>
            <a:gd name="adj1" fmla="val 154635"/>
            <a:gd name="adj2" fmla="val 45318"/>
            <a:gd name="adj3" fmla="val 34287"/>
            <a:gd name="adj4" fmla="val 65713"/>
          </a:avLst>
        </a:prstGeom>
        <a:gradFill rotWithShape="0">
          <a:gsLst>
            <a:gs pos="0">
              <a:srgbClr val="9C3B0B"/>
            </a:gs>
            <a:gs pos="100000">
              <a:srgbClr val="F99F27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0">
            <a:defRPr sz="1000"/>
          </a:pPr>
          <a:r>
            <a:rPr lang="hu-HU" sz="7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C CSOPORT</a:t>
          </a:r>
        </a:p>
      </xdr:txBody>
    </xdr:sp>
    <xdr:clientData/>
  </xdr:oneCellAnchor>
  <xdr:oneCellAnchor>
    <xdr:from>
      <xdr:col>3</xdr:col>
      <xdr:colOff>1266825</xdr:colOff>
      <xdr:row>265</xdr:row>
      <xdr:rowOff>0</xdr:rowOff>
    </xdr:from>
    <xdr:ext cx="752475" cy="216000"/>
    <xdr:sp macro="" textlink="">
      <xdr:nvSpPr>
        <xdr:cNvPr id="109" name="AutoShape 284">
          <a:extLst>
            <a:ext uri="{FF2B5EF4-FFF2-40B4-BE49-F238E27FC236}">
              <a16:creationId xmlns:a16="http://schemas.microsoft.com/office/drawing/2014/main" xmlns="" id="{00000000-0008-0000-0400-00006D000000}"/>
            </a:ext>
          </a:extLst>
        </xdr:cNvPr>
        <xdr:cNvSpPr>
          <a:spLocks noChangeArrowheads="1"/>
        </xdr:cNvSpPr>
      </xdr:nvSpPr>
      <xdr:spPr bwMode="auto">
        <a:xfrm>
          <a:off x="2724150" y="2657475"/>
          <a:ext cx="752475" cy="216000"/>
        </a:xfrm>
        <a:prstGeom prst="downArrowCallout">
          <a:avLst>
            <a:gd name="adj1" fmla="val 154635"/>
            <a:gd name="adj2" fmla="val 45318"/>
            <a:gd name="adj3" fmla="val 34287"/>
            <a:gd name="adj4" fmla="val 65713"/>
          </a:avLst>
        </a:prstGeom>
        <a:gradFill rotWithShape="0">
          <a:gsLst>
            <a:gs pos="0">
              <a:srgbClr val="523973"/>
            </a:gs>
            <a:gs pos="100000">
              <a:srgbClr val="9475E1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0">
            <a:defRPr sz="1000"/>
          </a:pPr>
          <a:r>
            <a:rPr lang="hu-HU" sz="7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B CSOPORT</a:t>
          </a:r>
        </a:p>
      </xdr:txBody>
    </xdr:sp>
    <xdr:clientData/>
  </xdr:oneCellAnchor>
  <xdr:oneCellAnchor>
    <xdr:from>
      <xdr:col>10</xdr:col>
      <xdr:colOff>1266825</xdr:colOff>
      <xdr:row>265</xdr:row>
      <xdr:rowOff>0</xdr:rowOff>
    </xdr:from>
    <xdr:ext cx="752475" cy="216000"/>
    <xdr:sp macro="" textlink="">
      <xdr:nvSpPr>
        <xdr:cNvPr id="110" name="AutoShape 284">
          <a:extLst>
            <a:ext uri="{FF2B5EF4-FFF2-40B4-BE49-F238E27FC236}">
              <a16:creationId xmlns:a16="http://schemas.microsoft.com/office/drawing/2014/main" xmlns="" id="{00000000-0008-0000-0400-00006E000000}"/>
            </a:ext>
          </a:extLst>
        </xdr:cNvPr>
        <xdr:cNvSpPr>
          <a:spLocks noChangeArrowheads="1"/>
        </xdr:cNvSpPr>
      </xdr:nvSpPr>
      <xdr:spPr bwMode="auto">
        <a:xfrm>
          <a:off x="2724150" y="2657475"/>
          <a:ext cx="752475" cy="216000"/>
        </a:xfrm>
        <a:prstGeom prst="downArrowCallout">
          <a:avLst>
            <a:gd name="adj1" fmla="val 154635"/>
            <a:gd name="adj2" fmla="val 45318"/>
            <a:gd name="adj3" fmla="val 34287"/>
            <a:gd name="adj4" fmla="val 65713"/>
          </a:avLst>
        </a:prstGeom>
        <a:gradFill rotWithShape="0">
          <a:gsLst>
            <a:gs pos="0">
              <a:srgbClr val="523973"/>
            </a:gs>
            <a:gs pos="100000">
              <a:srgbClr val="9475E1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0">
            <a:defRPr sz="1000"/>
          </a:pPr>
          <a:r>
            <a:rPr lang="hu-HU" sz="7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B CSOPORT</a:t>
          </a:r>
        </a:p>
      </xdr:txBody>
    </xdr:sp>
    <xdr:clientData/>
  </xdr:oneCellAnchor>
  <xdr:oneCellAnchor>
    <xdr:from>
      <xdr:col>3</xdr:col>
      <xdr:colOff>1266825</xdr:colOff>
      <xdr:row>299</xdr:row>
      <xdr:rowOff>0</xdr:rowOff>
    </xdr:from>
    <xdr:ext cx="752475" cy="216000"/>
    <xdr:sp macro="" textlink="">
      <xdr:nvSpPr>
        <xdr:cNvPr id="111" name="AutoShape 284">
          <a:extLst>
            <a:ext uri="{FF2B5EF4-FFF2-40B4-BE49-F238E27FC236}">
              <a16:creationId xmlns:a16="http://schemas.microsoft.com/office/drawing/2014/main" xmlns="" id="{00000000-0008-0000-0400-00006F000000}"/>
            </a:ext>
          </a:extLst>
        </xdr:cNvPr>
        <xdr:cNvSpPr>
          <a:spLocks noChangeArrowheads="1"/>
        </xdr:cNvSpPr>
      </xdr:nvSpPr>
      <xdr:spPr bwMode="auto">
        <a:xfrm>
          <a:off x="2724150" y="2657475"/>
          <a:ext cx="752475" cy="216000"/>
        </a:xfrm>
        <a:prstGeom prst="downArrowCallout">
          <a:avLst>
            <a:gd name="adj1" fmla="val 154635"/>
            <a:gd name="adj2" fmla="val 45318"/>
            <a:gd name="adj3" fmla="val 34287"/>
            <a:gd name="adj4" fmla="val 65713"/>
          </a:avLst>
        </a:prstGeom>
        <a:gradFill rotWithShape="0">
          <a:gsLst>
            <a:gs pos="0">
              <a:srgbClr val="005000"/>
            </a:gs>
            <a:gs pos="100000">
              <a:srgbClr val="ADCE35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1">
            <a:defRPr sz="1000"/>
          </a:pPr>
          <a:r>
            <a:rPr lang="hu-HU" sz="7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D CSOPORT</a:t>
          </a:r>
        </a:p>
      </xdr:txBody>
    </xdr:sp>
    <xdr:clientData/>
  </xdr:oneCellAnchor>
  <xdr:oneCellAnchor>
    <xdr:from>
      <xdr:col>10</xdr:col>
      <xdr:colOff>1266825</xdr:colOff>
      <xdr:row>299</xdr:row>
      <xdr:rowOff>0</xdr:rowOff>
    </xdr:from>
    <xdr:ext cx="752475" cy="216000"/>
    <xdr:sp macro="" textlink="">
      <xdr:nvSpPr>
        <xdr:cNvPr id="112" name="AutoShape 284">
          <a:extLst>
            <a:ext uri="{FF2B5EF4-FFF2-40B4-BE49-F238E27FC236}">
              <a16:creationId xmlns:a16="http://schemas.microsoft.com/office/drawing/2014/main" xmlns="" id="{00000000-0008-0000-0400-000070000000}"/>
            </a:ext>
          </a:extLst>
        </xdr:cNvPr>
        <xdr:cNvSpPr>
          <a:spLocks noChangeArrowheads="1"/>
        </xdr:cNvSpPr>
      </xdr:nvSpPr>
      <xdr:spPr bwMode="auto">
        <a:xfrm>
          <a:off x="2724150" y="2657475"/>
          <a:ext cx="752475" cy="216000"/>
        </a:xfrm>
        <a:prstGeom prst="downArrowCallout">
          <a:avLst>
            <a:gd name="adj1" fmla="val 154635"/>
            <a:gd name="adj2" fmla="val 45318"/>
            <a:gd name="adj3" fmla="val 34287"/>
            <a:gd name="adj4" fmla="val 65713"/>
          </a:avLst>
        </a:prstGeom>
        <a:gradFill rotWithShape="0">
          <a:gsLst>
            <a:gs pos="0">
              <a:srgbClr val="005000"/>
            </a:gs>
            <a:gs pos="100000">
              <a:srgbClr val="ADCE35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1">
            <a:defRPr sz="1000"/>
          </a:pPr>
          <a:r>
            <a:rPr lang="hu-HU" sz="7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D CSOPORT</a:t>
          </a:r>
        </a:p>
      </xdr:txBody>
    </xdr:sp>
    <xdr:clientData/>
  </xdr:oneCellAnchor>
  <xdr:oneCellAnchor>
    <xdr:from>
      <xdr:col>3</xdr:col>
      <xdr:colOff>1266825</xdr:colOff>
      <xdr:row>333</xdr:row>
      <xdr:rowOff>0</xdr:rowOff>
    </xdr:from>
    <xdr:ext cx="752475" cy="216000"/>
    <xdr:sp macro="" textlink="">
      <xdr:nvSpPr>
        <xdr:cNvPr id="113" name="AutoShape 284">
          <a:extLst>
            <a:ext uri="{FF2B5EF4-FFF2-40B4-BE49-F238E27FC236}">
              <a16:creationId xmlns:a16="http://schemas.microsoft.com/office/drawing/2014/main" xmlns="" id="{00000000-0008-0000-0400-000071000000}"/>
            </a:ext>
          </a:extLst>
        </xdr:cNvPr>
        <xdr:cNvSpPr>
          <a:spLocks noChangeArrowheads="1"/>
        </xdr:cNvSpPr>
      </xdr:nvSpPr>
      <xdr:spPr bwMode="auto">
        <a:xfrm>
          <a:off x="2724150" y="2657475"/>
          <a:ext cx="752475" cy="216000"/>
        </a:xfrm>
        <a:prstGeom prst="downArrowCallout">
          <a:avLst>
            <a:gd name="adj1" fmla="val 154635"/>
            <a:gd name="adj2" fmla="val 45318"/>
            <a:gd name="adj3" fmla="val 34287"/>
            <a:gd name="adj4" fmla="val 65713"/>
          </a:avLst>
        </a:prstGeom>
        <a:gradFill rotWithShape="0">
          <a:gsLst>
            <a:gs pos="0">
              <a:srgbClr val="8C081D"/>
            </a:gs>
            <a:gs pos="100000">
              <a:srgbClr val="EE2959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0">
            <a:defRPr sz="1000"/>
          </a:pPr>
          <a:r>
            <a:rPr lang="hu-HU" sz="7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E CSOPORT</a:t>
          </a:r>
        </a:p>
      </xdr:txBody>
    </xdr:sp>
    <xdr:clientData/>
  </xdr:oneCellAnchor>
  <xdr:oneCellAnchor>
    <xdr:from>
      <xdr:col>10</xdr:col>
      <xdr:colOff>1266825</xdr:colOff>
      <xdr:row>333</xdr:row>
      <xdr:rowOff>0</xdr:rowOff>
    </xdr:from>
    <xdr:ext cx="752475" cy="216000"/>
    <xdr:sp macro="" textlink="">
      <xdr:nvSpPr>
        <xdr:cNvPr id="114" name="AutoShape 284">
          <a:extLst>
            <a:ext uri="{FF2B5EF4-FFF2-40B4-BE49-F238E27FC236}">
              <a16:creationId xmlns:a16="http://schemas.microsoft.com/office/drawing/2014/main" xmlns="" id="{00000000-0008-0000-0400-000072000000}"/>
            </a:ext>
          </a:extLst>
        </xdr:cNvPr>
        <xdr:cNvSpPr>
          <a:spLocks noChangeArrowheads="1"/>
        </xdr:cNvSpPr>
      </xdr:nvSpPr>
      <xdr:spPr bwMode="auto">
        <a:xfrm>
          <a:off x="2724150" y="2657475"/>
          <a:ext cx="752475" cy="216000"/>
        </a:xfrm>
        <a:prstGeom prst="downArrowCallout">
          <a:avLst>
            <a:gd name="adj1" fmla="val 154635"/>
            <a:gd name="adj2" fmla="val 45318"/>
            <a:gd name="adj3" fmla="val 34287"/>
            <a:gd name="adj4" fmla="val 65713"/>
          </a:avLst>
        </a:prstGeom>
        <a:gradFill rotWithShape="0">
          <a:gsLst>
            <a:gs pos="0">
              <a:srgbClr val="8C081D"/>
            </a:gs>
            <a:gs pos="100000">
              <a:srgbClr val="EE2959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0">
            <a:defRPr sz="1000"/>
          </a:pPr>
          <a:r>
            <a:rPr lang="hu-HU" sz="7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E CSOPORT</a:t>
          </a:r>
        </a:p>
      </xdr:txBody>
    </xdr:sp>
    <xdr:clientData/>
  </xdr:oneCellAnchor>
  <xdr:oneCellAnchor>
    <xdr:from>
      <xdr:col>3</xdr:col>
      <xdr:colOff>1266825</xdr:colOff>
      <xdr:row>367</xdr:row>
      <xdr:rowOff>0</xdr:rowOff>
    </xdr:from>
    <xdr:ext cx="752475" cy="216000"/>
    <xdr:sp macro="" textlink="">
      <xdr:nvSpPr>
        <xdr:cNvPr id="115" name="AutoShape 284">
          <a:extLst>
            <a:ext uri="{FF2B5EF4-FFF2-40B4-BE49-F238E27FC236}">
              <a16:creationId xmlns:a16="http://schemas.microsoft.com/office/drawing/2014/main" xmlns="" id="{00000000-0008-0000-0400-000073000000}"/>
            </a:ext>
          </a:extLst>
        </xdr:cNvPr>
        <xdr:cNvSpPr>
          <a:spLocks noChangeArrowheads="1"/>
        </xdr:cNvSpPr>
      </xdr:nvSpPr>
      <xdr:spPr bwMode="auto">
        <a:xfrm>
          <a:off x="2724150" y="2657475"/>
          <a:ext cx="752475" cy="216000"/>
        </a:xfrm>
        <a:prstGeom prst="downArrowCallout">
          <a:avLst>
            <a:gd name="adj1" fmla="val 154635"/>
            <a:gd name="adj2" fmla="val 45318"/>
            <a:gd name="adj3" fmla="val 34287"/>
            <a:gd name="adj4" fmla="val 65713"/>
          </a:avLst>
        </a:prstGeom>
        <a:gradFill rotWithShape="0">
          <a:gsLst>
            <a:gs pos="0">
              <a:srgbClr val="3A082E"/>
            </a:gs>
            <a:gs pos="100000">
              <a:srgbClr val="8C126F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0">
            <a:defRPr sz="1000"/>
          </a:pPr>
          <a:r>
            <a:rPr lang="hu-HU" sz="7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F CSOPORT</a:t>
          </a:r>
        </a:p>
      </xdr:txBody>
    </xdr:sp>
    <xdr:clientData/>
  </xdr:oneCellAnchor>
  <xdr:oneCellAnchor>
    <xdr:from>
      <xdr:col>10</xdr:col>
      <xdr:colOff>1266825</xdr:colOff>
      <xdr:row>367</xdr:row>
      <xdr:rowOff>0</xdr:rowOff>
    </xdr:from>
    <xdr:ext cx="752475" cy="216000"/>
    <xdr:sp macro="" textlink="">
      <xdr:nvSpPr>
        <xdr:cNvPr id="116" name="AutoShape 284">
          <a:extLst>
            <a:ext uri="{FF2B5EF4-FFF2-40B4-BE49-F238E27FC236}">
              <a16:creationId xmlns:a16="http://schemas.microsoft.com/office/drawing/2014/main" xmlns="" id="{00000000-0008-0000-0400-000074000000}"/>
            </a:ext>
          </a:extLst>
        </xdr:cNvPr>
        <xdr:cNvSpPr>
          <a:spLocks noChangeArrowheads="1"/>
        </xdr:cNvSpPr>
      </xdr:nvSpPr>
      <xdr:spPr bwMode="auto">
        <a:xfrm>
          <a:off x="2724150" y="2657475"/>
          <a:ext cx="752475" cy="216000"/>
        </a:xfrm>
        <a:prstGeom prst="downArrowCallout">
          <a:avLst>
            <a:gd name="adj1" fmla="val 154635"/>
            <a:gd name="adj2" fmla="val 45318"/>
            <a:gd name="adj3" fmla="val 34287"/>
            <a:gd name="adj4" fmla="val 65713"/>
          </a:avLst>
        </a:prstGeom>
        <a:gradFill rotWithShape="0">
          <a:gsLst>
            <a:gs pos="0">
              <a:srgbClr val="3A082E"/>
            </a:gs>
            <a:gs pos="100000">
              <a:srgbClr val="8C126F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0">
            <a:defRPr sz="1000"/>
          </a:pPr>
          <a:r>
            <a:rPr lang="hu-HU" sz="7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F CSOPORT</a:t>
          </a:r>
        </a:p>
      </xdr:txBody>
    </xdr:sp>
    <xdr:clientData/>
  </xdr:oneCellAnchor>
  <xdr:oneCellAnchor>
    <xdr:from>
      <xdr:col>3</xdr:col>
      <xdr:colOff>1266825</xdr:colOff>
      <xdr:row>401</xdr:row>
      <xdr:rowOff>0</xdr:rowOff>
    </xdr:from>
    <xdr:ext cx="752475" cy="216000"/>
    <xdr:sp macro="" textlink="">
      <xdr:nvSpPr>
        <xdr:cNvPr id="117" name="AutoShape 284">
          <a:extLst>
            <a:ext uri="{FF2B5EF4-FFF2-40B4-BE49-F238E27FC236}">
              <a16:creationId xmlns:a16="http://schemas.microsoft.com/office/drawing/2014/main" xmlns="" id="{00000000-0008-0000-0400-000075000000}"/>
            </a:ext>
          </a:extLst>
        </xdr:cNvPr>
        <xdr:cNvSpPr>
          <a:spLocks noChangeArrowheads="1"/>
        </xdr:cNvSpPr>
      </xdr:nvSpPr>
      <xdr:spPr bwMode="auto">
        <a:xfrm>
          <a:off x="2724150" y="2657475"/>
          <a:ext cx="752475" cy="216000"/>
        </a:xfrm>
        <a:prstGeom prst="downArrowCallout">
          <a:avLst>
            <a:gd name="adj1" fmla="val 154635"/>
            <a:gd name="adj2" fmla="val 45318"/>
            <a:gd name="adj3" fmla="val 34287"/>
            <a:gd name="adj4" fmla="val 65713"/>
          </a:avLst>
        </a:prstGeom>
        <a:gradFill rotWithShape="0">
          <a:gsLst>
            <a:gs pos="0">
              <a:srgbClr val="FFFFFF"/>
            </a:gs>
            <a:gs pos="100000">
              <a:srgbClr val="C0C0C0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18000" rIns="0" bIns="0" anchor="ctr" upright="1"/>
        <a:lstStyle/>
        <a:p>
          <a:pPr marL="0" indent="0" algn="ctr" rtl="0">
            <a:defRPr sz="1000"/>
          </a:pPr>
          <a:r>
            <a:rPr lang="hu-HU" sz="800" b="1" i="0" u="none" strike="noStrike" baseline="0">
              <a:solidFill>
                <a:srgbClr val="000000"/>
              </a:solidFill>
              <a:latin typeface="Arial Unicode MS"/>
              <a:ea typeface="+mn-ea"/>
              <a:cs typeface="+mn-cs"/>
            </a:rPr>
            <a:t>8 / 8</a:t>
          </a:r>
        </a:p>
      </xdr:txBody>
    </xdr:sp>
    <xdr:clientData/>
  </xdr:oneCellAnchor>
  <xdr:oneCellAnchor>
    <xdr:from>
      <xdr:col>10</xdr:col>
      <xdr:colOff>1266825</xdr:colOff>
      <xdr:row>401</xdr:row>
      <xdr:rowOff>0</xdr:rowOff>
    </xdr:from>
    <xdr:ext cx="752475" cy="216000"/>
    <xdr:sp macro="" textlink="">
      <xdr:nvSpPr>
        <xdr:cNvPr id="121" name="AutoShape 284">
          <a:extLst>
            <a:ext uri="{FF2B5EF4-FFF2-40B4-BE49-F238E27FC236}">
              <a16:creationId xmlns:a16="http://schemas.microsoft.com/office/drawing/2014/main" xmlns="" id="{00000000-0008-0000-0400-000079000000}"/>
            </a:ext>
          </a:extLst>
        </xdr:cNvPr>
        <xdr:cNvSpPr>
          <a:spLocks noChangeArrowheads="1"/>
        </xdr:cNvSpPr>
      </xdr:nvSpPr>
      <xdr:spPr bwMode="auto">
        <a:xfrm>
          <a:off x="2724150" y="52654200"/>
          <a:ext cx="752475" cy="216000"/>
        </a:xfrm>
        <a:prstGeom prst="downArrowCallout">
          <a:avLst>
            <a:gd name="adj1" fmla="val 154635"/>
            <a:gd name="adj2" fmla="val 45318"/>
            <a:gd name="adj3" fmla="val 34287"/>
            <a:gd name="adj4" fmla="val 65713"/>
          </a:avLst>
        </a:prstGeom>
        <a:gradFill rotWithShape="0">
          <a:gsLst>
            <a:gs pos="0">
              <a:srgbClr val="FFFFFF"/>
            </a:gs>
            <a:gs pos="100000">
              <a:srgbClr val="C0C0C0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18000" rIns="0" bIns="0" anchor="ctr" upright="1"/>
        <a:lstStyle/>
        <a:p>
          <a:pPr marL="0" indent="0" algn="ctr" rtl="0">
            <a:defRPr sz="1000"/>
          </a:pPr>
          <a:r>
            <a:rPr lang="hu-HU" sz="800" b="1" i="0" u="none" strike="noStrike" baseline="0">
              <a:solidFill>
                <a:srgbClr val="000000"/>
              </a:solidFill>
              <a:latin typeface="Arial Unicode MS"/>
              <a:ea typeface="+mn-ea"/>
              <a:cs typeface="+mn-cs"/>
            </a:rPr>
            <a:t>2 / 8</a:t>
          </a:r>
        </a:p>
      </xdr:txBody>
    </xdr:sp>
    <xdr:clientData/>
  </xdr:oneCellAnchor>
  <xdr:oneCellAnchor>
    <xdr:from>
      <xdr:col>3</xdr:col>
      <xdr:colOff>1266825</xdr:colOff>
      <xdr:row>435</xdr:row>
      <xdr:rowOff>0</xdr:rowOff>
    </xdr:from>
    <xdr:ext cx="752475" cy="216000"/>
    <xdr:sp macro="" textlink="">
      <xdr:nvSpPr>
        <xdr:cNvPr id="122" name="AutoShape 284">
          <a:extLst>
            <a:ext uri="{FF2B5EF4-FFF2-40B4-BE49-F238E27FC236}">
              <a16:creationId xmlns:a16="http://schemas.microsoft.com/office/drawing/2014/main" xmlns="" id="{00000000-0008-0000-0400-00007A000000}"/>
            </a:ext>
          </a:extLst>
        </xdr:cNvPr>
        <xdr:cNvSpPr>
          <a:spLocks noChangeArrowheads="1"/>
        </xdr:cNvSpPr>
      </xdr:nvSpPr>
      <xdr:spPr bwMode="auto">
        <a:xfrm>
          <a:off x="2724150" y="52654200"/>
          <a:ext cx="752475" cy="216000"/>
        </a:xfrm>
        <a:prstGeom prst="downArrowCallout">
          <a:avLst>
            <a:gd name="adj1" fmla="val 154635"/>
            <a:gd name="adj2" fmla="val 45318"/>
            <a:gd name="adj3" fmla="val 34287"/>
            <a:gd name="adj4" fmla="val 65713"/>
          </a:avLst>
        </a:prstGeom>
        <a:gradFill rotWithShape="0">
          <a:gsLst>
            <a:gs pos="0">
              <a:srgbClr val="FFFFFF"/>
            </a:gs>
            <a:gs pos="100000">
              <a:srgbClr val="C0C0C0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18000" rIns="0" bIns="0" anchor="ctr" upright="1"/>
        <a:lstStyle/>
        <a:p>
          <a:pPr marL="0" indent="0" algn="ctr" rtl="0">
            <a:defRPr sz="1000"/>
          </a:pPr>
          <a:r>
            <a:rPr lang="hu-HU" sz="800" b="1" i="0" u="none" strike="noStrike" baseline="0">
              <a:solidFill>
                <a:srgbClr val="000000"/>
              </a:solidFill>
              <a:latin typeface="Arial Unicode MS"/>
              <a:ea typeface="+mn-ea"/>
              <a:cs typeface="+mn-cs"/>
            </a:rPr>
            <a:t>7 / 8</a:t>
          </a:r>
        </a:p>
      </xdr:txBody>
    </xdr:sp>
    <xdr:clientData/>
  </xdr:oneCellAnchor>
  <xdr:oneCellAnchor>
    <xdr:from>
      <xdr:col>10</xdr:col>
      <xdr:colOff>1266825</xdr:colOff>
      <xdr:row>435</xdr:row>
      <xdr:rowOff>0</xdr:rowOff>
    </xdr:from>
    <xdr:ext cx="752475" cy="216000"/>
    <xdr:sp macro="" textlink="">
      <xdr:nvSpPr>
        <xdr:cNvPr id="123" name="AutoShape 284">
          <a:extLst>
            <a:ext uri="{FF2B5EF4-FFF2-40B4-BE49-F238E27FC236}">
              <a16:creationId xmlns:a16="http://schemas.microsoft.com/office/drawing/2014/main" xmlns="" id="{00000000-0008-0000-0400-00007B000000}"/>
            </a:ext>
          </a:extLst>
        </xdr:cNvPr>
        <xdr:cNvSpPr>
          <a:spLocks noChangeArrowheads="1"/>
        </xdr:cNvSpPr>
      </xdr:nvSpPr>
      <xdr:spPr bwMode="auto">
        <a:xfrm>
          <a:off x="2724150" y="52654200"/>
          <a:ext cx="752475" cy="216000"/>
        </a:xfrm>
        <a:prstGeom prst="downArrowCallout">
          <a:avLst>
            <a:gd name="adj1" fmla="val 154635"/>
            <a:gd name="adj2" fmla="val 45318"/>
            <a:gd name="adj3" fmla="val 34287"/>
            <a:gd name="adj4" fmla="val 65713"/>
          </a:avLst>
        </a:prstGeom>
        <a:gradFill rotWithShape="0">
          <a:gsLst>
            <a:gs pos="0">
              <a:srgbClr val="FFFFFF"/>
            </a:gs>
            <a:gs pos="100000">
              <a:srgbClr val="C0C0C0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18000" rIns="0" bIns="0" anchor="ctr" upright="1"/>
        <a:lstStyle/>
        <a:p>
          <a:pPr marL="0" indent="0" algn="ctr" rtl="0">
            <a:defRPr sz="1000"/>
          </a:pPr>
          <a:r>
            <a:rPr lang="hu-HU" sz="800" b="1" i="0" u="none" strike="noStrike" baseline="0">
              <a:solidFill>
                <a:srgbClr val="000000"/>
              </a:solidFill>
              <a:latin typeface="Arial Unicode MS"/>
              <a:ea typeface="+mn-ea"/>
              <a:cs typeface="+mn-cs"/>
            </a:rPr>
            <a:t>1 / 8</a:t>
          </a:r>
        </a:p>
      </xdr:txBody>
    </xdr:sp>
    <xdr:clientData/>
  </xdr:oneCellAnchor>
  <xdr:oneCellAnchor>
    <xdr:from>
      <xdr:col>3</xdr:col>
      <xdr:colOff>1266825</xdr:colOff>
      <xdr:row>469</xdr:row>
      <xdr:rowOff>0</xdr:rowOff>
    </xdr:from>
    <xdr:ext cx="752475" cy="216000"/>
    <xdr:sp macro="" textlink="">
      <xdr:nvSpPr>
        <xdr:cNvPr id="124" name="AutoShape 284">
          <a:extLst>
            <a:ext uri="{FF2B5EF4-FFF2-40B4-BE49-F238E27FC236}">
              <a16:creationId xmlns:a16="http://schemas.microsoft.com/office/drawing/2014/main" xmlns="" id="{00000000-0008-0000-0400-00007C000000}"/>
            </a:ext>
          </a:extLst>
        </xdr:cNvPr>
        <xdr:cNvSpPr>
          <a:spLocks noChangeArrowheads="1"/>
        </xdr:cNvSpPr>
      </xdr:nvSpPr>
      <xdr:spPr bwMode="auto">
        <a:xfrm>
          <a:off x="2724150" y="52654200"/>
          <a:ext cx="752475" cy="216000"/>
        </a:xfrm>
        <a:prstGeom prst="downArrowCallout">
          <a:avLst>
            <a:gd name="adj1" fmla="val 154635"/>
            <a:gd name="adj2" fmla="val 45318"/>
            <a:gd name="adj3" fmla="val 34287"/>
            <a:gd name="adj4" fmla="val 65713"/>
          </a:avLst>
        </a:prstGeom>
        <a:gradFill rotWithShape="0">
          <a:gsLst>
            <a:gs pos="0">
              <a:srgbClr val="FFFFFF"/>
            </a:gs>
            <a:gs pos="100000">
              <a:srgbClr val="C0C0C0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18000" rIns="0" bIns="0" anchor="ctr" upright="1"/>
        <a:lstStyle/>
        <a:p>
          <a:pPr marL="0" indent="0" algn="ctr" rtl="0">
            <a:defRPr sz="1000"/>
          </a:pPr>
          <a:r>
            <a:rPr lang="hu-HU" sz="800" b="1" i="0" u="none" strike="noStrike" baseline="0">
              <a:solidFill>
                <a:srgbClr val="000000"/>
              </a:solidFill>
              <a:latin typeface="Arial Unicode MS"/>
              <a:ea typeface="+mn-ea"/>
              <a:cs typeface="+mn-cs"/>
            </a:rPr>
            <a:t>4 / 8</a:t>
          </a:r>
        </a:p>
      </xdr:txBody>
    </xdr:sp>
    <xdr:clientData/>
  </xdr:oneCellAnchor>
  <xdr:oneCellAnchor>
    <xdr:from>
      <xdr:col>10</xdr:col>
      <xdr:colOff>1266825</xdr:colOff>
      <xdr:row>469</xdr:row>
      <xdr:rowOff>0</xdr:rowOff>
    </xdr:from>
    <xdr:ext cx="752475" cy="216000"/>
    <xdr:sp macro="" textlink="">
      <xdr:nvSpPr>
        <xdr:cNvPr id="125" name="AutoShape 284">
          <a:extLst>
            <a:ext uri="{FF2B5EF4-FFF2-40B4-BE49-F238E27FC236}">
              <a16:creationId xmlns:a16="http://schemas.microsoft.com/office/drawing/2014/main" xmlns="" id="{00000000-0008-0000-0400-00007D000000}"/>
            </a:ext>
          </a:extLst>
        </xdr:cNvPr>
        <xdr:cNvSpPr>
          <a:spLocks noChangeArrowheads="1"/>
        </xdr:cNvSpPr>
      </xdr:nvSpPr>
      <xdr:spPr bwMode="auto">
        <a:xfrm>
          <a:off x="2724150" y="52654200"/>
          <a:ext cx="752475" cy="216000"/>
        </a:xfrm>
        <a:prstGeom prst="downArrowCallout">
          <a:avLst>
            <a:gd name="adj1" fmla="val 154635"/>
            <a:gd name="adj2" fmla="val 45318"/>
            <a:gd name="adj3" fmla="val 34287"/>
            <a:gd name="adj4" fmla="val 65713"/>
          </a:avLst>
        </a:prstGeom>
        <a:gradFill rotWithShape="0">
          <a:gsLst>
            <a:gs pos="0">
              <a:srgbClr val="FFFFFF"/>
            </a:gs>
            <a:gs pos="100000">
              <a:srgbClr val="C0C0C0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18000" rIns="0" bIns="0" anchor="ctr" upright="1"/>
        <a:lstStyle/>
        <a:p>
          <a:pPr marL="0" indent="0" algn="ctr" rtl="0">
            <a:defRPr sz="1000"/>
          </a:pPr>
          <a:r>
            <a:rPr lang="hu-HU" sz="800" b="1" i="0" u="none" strike="noStrike" baseline="0">
              <a:solidFill>
                <a:srgbClr val="000000"/>
              </a:solidFill>
              <a:latin typeface="Arial Unicode MS"/>
              <a:ea typeface="+mn-ea"/>
              <a:cs typeface="+mn-cs"/>
            </a:rPr>
            <a:t>3 / 8</a:t>
          </a:r>
        </a:p>
      </xdr:txBody>
    </xdr:sp>
    <xdr:clientData/>
  </xdr:oneCellAnchor>
  <xdr:oneCellAnchor>
    <xdr:from>
      <xdr:col>3</xdr:col>
      <xdr:colOff>1266825</xdr:colOff>
      <xdr:row>503</xdr:row>
      <xdr:rowOff>0</xdr:rowOff>
    </xdr:from>
    <xdr:ext cx="752475" cy="216000"/>
    <xdr:sp macro="" textlink="">
      <xdr:nvSpPr>
        <xdr:cNvPr id="126" name="AutoShape 284">
          <a:extLst>
            <a:ext uri="{FF2B5EF4-FFF2-40B4-BE49-F238E27FC236}">
              <a16:creationId xmlns:a16="http://schemas.microsoft.com/office/drawing/2014/main" xmlns="" id="{00000000-0008-0000-0400-00007E000000}"/>
            </a:ext>
          </a:extLst>
        </xdr:cNvPr>
        <xdr:cNvSpPr>
          <a:spLocks noChangeArrowheads="1"/>
        </xdr:cNvSpPr>
      </xdr:nvSpPr>
      <xdr:spPr bwMode="auto">
        <a:xfrm>
          <a:off x="2724150" y="52654200"/>
          <a:ext cx="752475" cy="216000"/>
        </a:xfrm>
        <a:prstGeom prst="downArrowCallout">
          <a:avLst>
            <a:gd name="adj1" fmla="val 154635"/>
            <a:gd name="adj2" fmla="val 45318"/>
            <a:gd name="adj3" fmla="val 34287"/>
            <a:gd name="adj4" fmla="val 65713"/>
          </a:avLst>
        </a:prstGeom>
        <a:gradFill rotWithShape="0">
          <a:gsLst>
            <a:gs pos="0">
              <a:srgbClr val="FFFFFF"/>
            </a:gs>
            <a:gs pos="100000">
              <a:srgbClr val="C0C0C0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18000" rIns="0" bIns="0" anchor="ctr" upright="1"/>
        <a:lstStyle/>
        <a:p>
          <a:pPr marL="0" indent="0" algn="ctr" rtl="0">
            <a:defRPr sz="1000"/>
          </a:pPr>
          <a:r>
            <a:rPr lang="hu-HU" sz="800" b="1" i="0" u="none" strike="noStrike" baseline="0">
              <a:solidFill>
                <a:srgbClr val="000000"/>
              </a:solidFill>
              <a:latin typeface="Arial Unicode MS"/>
              <a:ea typeface="+mn-ea"/>
              <a:cs typeface="+mn-cs"/>
            </a:rPr>
            <a:t>6 / 8</a:t>
          </a:r>
        </a:p>
      </xdr:txBody>
    </xdr:sp>
    <xdr:clientData/>
  </xdr:oneCellAnchor>
  <xdr:oneCellAnchor>
    <xdr:from>
      <xdr:col>10</xdr:col>
      <xdr:colOff>1266825</xdr:colOff>
      <xdr:row>503</xdr:row>
      <xdr:rowOff>0</xdr:rowOff>
    </xdr:from>
    <xdr:ext cx="752475" cy="216000"/>
    <xdr:sp macro="" textlink="">
      <xdr:nvSpPr>
        <xdr:cNvPr id="127" name="AutoShape 284">
          <a:extLst>
            <a:ext uri="{FF2B5EF4-FFF2-40B4-BE49-F238E27FC236}">
              <a16:creationId xmlns:a16="http://schemas.microsoft.com/office/drawing/2014/main" xmlns="" id="{00000000-0008-0000-0400-00007F000000}"/>
            </a:ext>
          </a:extLst>
        </xdr:cNvPr>
        <xdr:cNvSpPr>
          <a:spLocks noChangeArrowheads="1"/>
        </xdr:cNvSpPr>
      </xdr:nvSpPr>
      <xdr:spPr bwMode="auto">
        <a:xfrm>
          <a:off x="2724150" y="52654200"/>
          <a:ext cx="752475" cy="216000"/>
        </a:xfrm>
        <a:prstGeom prst="downArrowCallout">
          <a:avLst>
            <a:gd name="adj1" fmla="val 154635"/>
            <a:gd name="adj2" fmla="val 45318"/>
            <a:gd name="adj3" fmla="val 34287"/>
            <a:gd name="adj4" fmla="val 65713"/>
          </a:avLst>
        </a:prstGeom>
        <a:gradFill rotWithShape="0">
          <a:gsLst>
            <a:gs pos="0">
              <a:srgbClr val="FFFFFF"/>
            </a:gs>
            <a:gs pos="100000">
              <a:srgbClr val="C0C0C0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18000" rIns="0" bIns="0" anchor="ctr" upright="1"/>
        <a:lstStyle/>
        <a:p>
          <a:pPr marL="0" indent="0" algn="ctr" rtl="0">
            <a:defRPr sz="1000"/>
          </a:pPr>
          <a:r>
            <a:rPr lang="hu-HU" sz="800" b="1" i="0" u="none" strike="noStrike" baseline="0">
              <a:solidFill>
                <a:srgbClr val="000000"/>
              </a:solidFill>
              <a:latin typeface="Arial Unicode MS"/>
              <a:ea typeface="+mn-ea"/>
              <a:cs typeface="+mn-cs"/>
            </a:rPr>
            <a:t>5 / 8</a:t>
          </a:r>
        </a:p>
      </xdr:txBody>
    </xdr:sp>
    <xdr:clientData/>
  </xdr:oneCellAnchor>
  <xdr:oneCellAnchor>
    <xdr:from>
      <xdr:col>3</xdr:col>
      <xdr:colOff>1266825</xdr:colOff>
      <xdr:row>537</xdr:row>
      <xdr:rowOff>0</xdr:rowOff>
    </xdr:from>
    <xdr:ext cx="752475" cy="216000"/>
    <xdr:sp macro="" textlink="">
      <xdr:nvSpPr>
        <xdr:cNvPr id="128" name="AutoShape 284">
          <a:extLst>
            <a:ext uri="{FF2B5EF4-FFF2-40B4-BE49-F238E27FC236}">
              <a16:creationId xmlns:a16="http://schemas.microsoft.com/office/drawing/2014/main" xmlns="" id="{00000000-0008-0000-0400-000080000000}"/>
            </a:ext>
          </a:extLst>
        </xdr:cNvPr>
        <xdr:cNvSpPr>
          <a:spLocks noChangeArrowheads="1"/>
        </xdr:cNvSpPr>
      </xdr:nvSpPr>
      <xdr:spPr bwMode="auto">
        <a:xfrm>
          <a:off x="2724150" y="52654200"/>
          <a:ext cx="752475" cy="216000"/>
        </a:xfrm>
        <a:prstGeom prst="downArrowCallout">
          <a:avLst>
            <a:gd name="adj1" fmla="val 154635"/>
            <a:gd name="adj2" fmla="val 45318"/>
            <a:gd name="adj3" fmla="val 34287"/>
            <a:gd name="adj4" fmla="val 65713"/>
          </a:avLst>
        </a:prstGeom>
        <a:gradFill rotWithShape="0">
          <a:gsLst>
            <a:gs pos="0">
              <a:srgbClr val="FFFFFF"/>
            </a:gs>
            <a:gs pos="100000">
              <a:srgbClr val="C0C0C0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18000" rIns="0" bIns="0" anchor="ctr" upright="1"/>
        <a:lstStyle/>
        <a:p>
          <a:pPr marL="0" indent="0" algn="ctr" rtl="0">
            <a:defRPr sz="1000"/>
          </a:pPr>
          <a:r>
            <a:rPr lang="hu-HU" sz="800" b="1" i="0" u="none" strike="noStrike" baseline="0">
              <a:solidFill>
                <a:srgbClr val="000000"/>
              </a:solidFill>
              <a:latin typeface="Arial Unicode MS"/>
              <a:ea typeface="+mn-ea"/>
              <a:cs typeface="+mn-cs"/>
            </a:rPr>
            <a:t>2 / 4</a:t>
          </a:r>
        </a:p>
      </xdr:txBody>
    </xdr:sp>
    <xdr:clientData/>
  </xdr:oneCellAnchor>
  <xdr:oneCellAnchor>
    <xdr:from>
      <xdr:col>10</xdr:col>
      <xdr:colOff>1266825</xdr:colOff>
      <xdr:row>537</xdr:row>
      <xdr:rowOff>0</xdr:rowOff>
    </xdr:from>
    <xdr:ext cx="752475" cy="216000"/>
    <xdr:sp macro="" textlink="">
      <xdr:nvSpPr>
        <xdr:cNvPr id="129" name="AutoShape 284">
          <a:extLst>
            <a:ext uri="{FF2B5EF4-FFF2-40B4-BE49-F238E27FC236}">
              <a16:creationId xmlns:a16="http://schemas.microsoft.com/office/drawing/2014/main" xmlns="" id="{00000000-0008-0000-0400-000081000000}"/>
            </a:ext>
          </a:extLst>
        </xdr:cNvPr>
        <xdr:cNvSpPr>
          <a:spLocks noChangeArrowheads="1"/>
        </xdr:cNvSpPr>
      </xdr:nvSpPr>
      <xdr:spPr bwMode="auto">
        <a:xfrm>
          <a:off x="2724150" y="52654200"/>
          <a:ext cx="752475" cy="216000"/>
        </a:xfrm>
        <a:prstGeom prst="downArrowCallout">
          <a:avLst>
            <a:gd name="adj1" fmla="val 154635"/>
            <a:gd name="adj2" fmla="val 45318"/>
            <a:gd name="adj3" fmla="val 34287"/>
            <a:gd name="adj4" fmla="val 65713"/>
          </a:avLst>
        </a:prstGeom>
        <a:gradFill rotWithShape="0">
          <a:gsLst>
            <a:gs pos="0">
              <a:srgbClr val="FFFFFF"/>
            </a:gs>
            <a:gs pos="100000">
              <a:srgbClr val="C0C0C0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18000" rIns="0" bIns="0" anchor="ctr" upright="1"/>
        <a:lstStyle/>
        <a:p>
          <a:pPr marL="0" indent="0" algn="ctr" rtl="0">
            <a:defRPr sz="1000"/>
          </a:pPr>
          <a:r>
            <a:rPr lang="hu-HU" sz="800" b="1" i="0" u="none" strike="noStrike" baseline="0">
              <a:solidFill>
                <a:srgbClr val="000000"/>
              </a:solidFill>
              <a:latin typeface="Arial Unicode MS"/>
              <a:ea typeface="+mn-ea"/>
              <a:cs typeface="+mn-cs"/>
            </a:rPr>
            <a:t>1 / 4</a:t>
          </a:r>
        </a:p>
      </xdr:txBody>
    </xdr:sp>
    <xdr:clientData/>
  </xdr:oneCellAnchor>
  <xdr:oneCellAnchor>
    <xdr:from>
      <xdr:col>3</xdr:col>
      <xdr:colOff>1266825</xdr:colOff>
      <xdr:row>571</xdr:row>
      <xdr:rowOff>0</xdr:rowOff>
    </xdr:from>
    <xdr:ext cx="752475" cy="216000"/>
    <xdr:sp macro="" textlink="">
      <xdr:nvSpPr>
        <xdr:cNvPr id="130" name="AutoShape 284">
          <a:extLst>
            <a:ext uri="{FF2B5EF4-FFF2-40B4-BE49-F238E27FC236}">
              <a16:creationId xmlns:a16="http://schemas.microsoft.com/office/drawing/2014/main" xmlns="" id="{00000000-0008-0000-0400-000082000000}"/>
            </a:ext>
          </a:extLst>
        </xdr:cNvPr>
        <xdr:cNvSpPr>
          <a:spLocks noChangeArrowheads="1"/>
        </xdr:cNvSpPr>
      </xdr:nvSpPr>
      <xdr:spPr bwMode="auto">
        <a:xfrm>
          <a:off x="2724150" y="52654200"/>
          <a:ext cx="752475" cy="216000"/>
        </a:xfrm>
        <a:prstGeom prst="downArrowCallout">
          <a:avLst>
            <a:gd name="adj1" fmla="val 154635"/>
            <a:gd name="adj2" fmla="val 45318"/>
            <a:gd name="adj3" fmla="val 34287"/>
            <a:gd name="adj4" fmla="val 65713"/>
          </a:avLst>
        </a:prstGeom>
        <a:gradFill rotWithShape="0">
          <a:gsLst>
            <a:gs pos="0">
              <a:srgbClr val="FFFFFF"/>
            </a:gs>
            <a:gs pos="100000">
              <a:srgbClr val="C0C0C0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18000" rIns="0" bIns="0" anchor="ctr" upright="1"/>
        <a:lstStyle/>
        <a:p>
          <a:pPr marL="0" indent="0" algn="ctr" rtl="0">
            <a:defRPr sz="1000"/>
          </a:pPr>
          <a:r>
            <a:rPr lang="hu-HU" sz="800" b="1" i="0" u="none" strike="noStrike" baseline="0">
              <a:solidFill>
                <a:srgbClr val="000000"/>
              </a:solidFill>
              <a:latin typeface="Arial Unicode MS"/>
              <a:ea typeface="+mn-ea"/>
              <a:cs typeface="+mn-cs"/>
            </a:rPr>
            <a:t>4 / 4</a:t>
          </a:r>
        </a:p>
      </xdr:txBody>
    </xdr:sp>
    <xdr:clientData/>
  </xdr:oneCellAnchor>
  <xdr:oneCellAnchor>
    <xdr:from>
      <xdr:col>10</xdr:col>
      <xdr:colOff>1266825</xdr:colOff>
      <xdr:row>571</xdr:row>
      <xdr:rowOff>0</xdr:rowOff>
    </xdr:from>
    <xdr:ext cx="752475" cy="216000"/>
    <xdr:sp macro="" textlink="">
      <xdr:nvSpPr>
        <xdr:cNvPr id="131" name="AutoShape 284">
          <a:extLst>
            <a:ext uri="{FF2B5EF4-FFF2-40B4-BE49-F238E27FC236}">
              <a16:creationId xmlns:a16="http://schemas.microsoft.com/office/drawing/2014/main" xmlns="" id="{00000000-0008-0000-0400-000083000000}"/>
            </a:ext>
          </a:extLst>
        </xdr:cNvPr>
        <xdr:cNvSpPr>
          <a:spLocks noChangeArrowheads="1"/>
        </xdr:cNvSpPr>
      </xdr:nvSpPr>
      <xdr:spPr bwMode="auto">
        <a:xfrm>
          <a:off x="2724150" y="52654200"/>
          <a:ext cx="752475" cy="216000"/>
        </a:xfrm>
        <a:prstGeom prst="downArrowCallout">
          <a:avLst>
            <a:gd name="adj1" fmla="val 154635"/>
            <a:gd name="adj2" fmla="val 45318"/>
            <a:gd name="adj3" fmla="val 34287"/>
            <a:gd name="adj4" fmla="val 65713"/>
          </a:avLst>
        </a:prstGeom>
        <a:gradFill rotWithShape="0">
          <a:gsLst>
            <a:gs pos="0">
              <a:srgbClr val="FFFFFF"/>
            </a:gs>
            <a:gs pos="100000">
              <a:srgbClr val="C0C0C0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18000" rIns="0" bIns="0" anchor="ctr" upright="1"/>
        <a:lstStyle/>
        <a:p>
          <a:pPr marL="0" indent="0" algn="ctr" rtl="0">
            <a:defRPr sz="1000"/>
          </a:pPr>
          <a:r>
            <a:rPr lang="hu-HU" sz="800" b="1" i="0" u="none" strike="noStrike" baseline="0">
              <a:solidFill>
                <a:srgbClr val="000000"/>
              </a:solidFill>
              <a:latin typeface="Arial Unicode MS"/>
              <a:ea typeface="+mn-ea"/>
              <a:cs typeface="+mn-cs"/>
            </a:rPr>
            <a:t>3 / 4</a:t>
          </a:r>
        </a:p>
      </xdr:txBody>
    </xdr:sp>
    <xdr:clientData/>
  </xdr:oneCellAnchor>
  <xdr:oneCellAnchor>
    <xdr:from>
      <xdr:col>3</xdr:col>
      <xdr:colOff>1266825</xdr:colOff>
      <xdr:row>605</xdr:row>
      <xdr:rowOff>0</xdr:rowOff>
    </xdr:from>
    <xdr:ext cx="752475" cy="216000"/>
    <xdr:sp macro="" textlink="">
      <xdr:nvSpPr>
        <xdr:cNvPr id="132" name="AutoShape 284">
          <a:extLst>
            <a:ext uri="{FF2B5EF4-FFF2-40B4-BE49-F238E27FC236}">
              <a16:creationId xmlns:a16="http://schemas.microsoft.com/office/drawing/2014/main" xmlns="" id="{00000000-0008-0000-0400-000084000000}"/>
            </a:ext>
          </a:extLst>
        </xdr:cNvPr>
        <xdr:cNvSpPr>
          <a:spLocks noChangeArrowheads="1"/>
        </xdr:cNvSpPr>
      </xdr:nvSpPr>
      <xdr:spPr bwMode="auto">
        <a:xfrm>
          <a:off x="2724150" y="52654200"/>
          <a:ext cx="752475" cy="216000"/>
        </a:xfrm>
        <a:prstGeom prst="downArrowCallout">
          <a:avLst>
            <a:gd name="adj1" fmla="val 154635"/>
            <a:gd name="adj2" fmla="val 45318"/>
            <a:gd name="adj3" fmla="val 34287"/>
            <a:gd name="adj4" fmla="val 65713"/>
          </a:avLst>
        </a:prstGeom>
        <a:gradFill rotWithShape="0">
          <a:gsLst>
            <a:gs pos="0">
              <a:srgbClr val="FFFFFF"/>
            </a:gs>
            <a:gs pos="100000">
              <a:srgbClr val="C0C0C0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18000" rIns="0" bIns="0" anchor="ctr" upright="1"/>
        <a:lstStyle/>
        <a:p>
          <a:pPr marL="0" indent="0" algn="ctr" rtl="0">
            <a:defRPr sz="1000"/>
          </a:pPr>
          <a:r>
            <a:rPr lang="hu-HU" sz="800" b="1" i="0" u="none" strike="noStrike" baseline="0">
              <a:solidFill>
                <a:srgbClr val="000000"/>
              </a:solidFill>
              <a:latin typeface="Arial Unicode MS"/>
              <a:ea typeface="+mn-ea"/>
              <a:cs typeface="+mn-cs"/>
            </a:rPr>
            <a:t>1 / 2</a:t>
          </a:r>
        </a:p>
      </xdr:txBody>
    </xdr:sp>
    <xdr:clientData/>
  </xdr:oneCellAnchor>
  <xdr:oneCellAnchor>
    <xdr:from>
      <xdr:col>10</xdr:col>
      <xdr:colOff>1266825</xdr:colOff>
      <xdr:row>605</xdr:row>
      <xdr:rowOff>0</xdr:rowOff>
    </xdr:from>
    <xdr:ext cx="752475" cy="216000"/>
    <xdr:sp macro="" textlink="">
      <xdr:nvSpPr>
        <xdr:cNvPr id="133" name="AutoShape 284">
          <a:extLst>
            <a:ext uri="{FF2B5EF4-FFF2-40B4-BE49-F238E27FC236}">
              <a16:creationId xmlns:a16="http://schemas.microsoft.com/office/drawing/2014/main" xmlns="" id="{00000000-0008-0000-0400-000085000000}"/>
            </a:ext>
          </a:extLst>
        </xdr:cNvPr>
        <xdr:cNvSpPr>
          <a:spLocks noChangeArrowheads="1"/>
        </xdr:cNvSpPr>
      </xdr:nvSpPr>
      <xdr:spPr bwMode="auto">
        <a:xfrm>
          <a:off x="2724150" y="52654200"/>
          <a:ext cx="752475" cy="216000"/>
        </a:xfrm>
        <a:prstGeom prst="downArrowCallout">
          <a:avLst>
            <a:gd name="adj1" fmla="val 154635"/>
            <a:gd name="adj2" fmla="val 45318"/>
            <a:gd name="adj3" fmla="val 34287"/>
            <a:gd name="adj4" fmla="val 65713"/>
          </a:avLst>
        </a:prstGeom>
        <a:gradFill rotWithShape="0">
          <a:gsLst>
            <a:gs pos="0">
              <a:srgbClr val="FFFFFF"/>
            </a:gs>
            <a:gs pos="100000">
              <a:srgbClr val="C0C0C0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18000" rIns="0" bIns="0" anchor="ctr" upright="1"/>
        <a:lstStyle/>
        <a:p>
          <a:pPr marL="0" indent="0" algn="ctr" rtl="0">
            <a:defRPr sz="1000"/>
          </a:pPr>
          <a:r>
            <a:rPr lang="hu-HU" sz="800" b="1" i="0" u="none" strike="noStrike" baseline="0">
              <a:solidFill>
                <a:srgbClr val="000000"/>
              </a:solidFill>
              <a:latin typeface="Arial Unicode MS"/>
              <a:ea typeface="+mn-ea"/>
              <a:cs typeface="+mn-cs"/>
            </a:rPr>
            <a:t>2 / 2</a:t>
          </a:r>
        </a:p>
      </xdr:txBody>
    </xdr:sp>
    <xdr:clientData/>
  </xdr:oneCellAnchor>
  <xdr:oneCellAnchor>
    <xdr:from>
      <xdr:col>3</xdr:col>
      <xdr:colOff>1266825</xdr:colOff>
      <xdr:row>639</xdr:row>
      <xdr:rowOff>0</xdr:rowOff>
    </xdr:from>
    <xdr:ext cx="752475" cy="216000"/>
    <xdr:sp macro="" textlink="">
      <xdr:nvSpPr>
        <xdr:cNvPr id="134" name="AutoShape 284">
          <a:extLst>
            <a:ext uri="{FF2B5EF4-FFF2-40B4-BE49-F238E27FC236}">
              <a16:creationId xmlns:a16="http://schemas.microsoft.com/office/drawing/2014/main" xmlns="" id="{00000000-0008-0000-0400-000086000000}"/>
            </a:ext>
          </a:extLst>
        </xdr:cNvPr>
        <xdr:cNvSpPr>
          <a:spLocks noChangeArrowheads="1"/>
        </xdr:cNvSpPr>
      </xdr:nvSpPr>
      <xdr:spPr bwMode="auto">
        <a:xfrm>
          <a:off x="2724150" y="52654200"/>
          <a:ext cx="752475" cy="216000"/>
        </a:xfrm>
        <a:prstGeom prst="downArrowCallout">
          <a:avLst>
            <a:gd name="adj1" fmla="val 154635"/>
            <a:gd name="adj2" fmla="val 45318"/>
            <a:gd name="adj3" fmla="val 34287"/>
            <a:gd name="adj4" fmla="val 65713"/>
          </a:avLst>
        </a:prstGeom>
        <a:gradFill rotWithShape="0">
          <a:gsLst>
            <a:gs pos="0">
              <a:srgbClr val="FFFFFF"/>
            </a:gs>
            <a:gs pos="100000">
              <a:srgbClr val="C0C0C0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18000" rIns="0" bIns="0" anchor="ctr" upright="1"/>
        <a:lstStyle/>
        <a:p>
          <a:pPr marL="0" indent="0" algn="ctr" rtl="0">
            <a:defRPr sz="1000"/>
          </a:pPr>
          <a:r>
            <a:rPr lang="hu-HU" sz="800" b="1" i="0" u="none" strike="noStrike" baseline="0">
              <a:solidFill>
                <a:srgbClr val="000000"/>
              </a:solidFill>
              <a:latin typeface="Arial Unicode MS"/>
              <a:ea typeface="+mn-ea"/>
              <a:cs typeface="+mn-cs"/>
            </a:rPr>
            <a:t>DÖNTŐ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247650</xdr:colOff>
      <xdr:row>3</xdr:row>
      <xdr:rowOff>28575</xdr:rowOff>
    </xdr:from>
    <xdr:to>
      <xdr:col>18</xdr:col>
      <xdr:colOff>0</xdr:colOff>
      <xdr:row>4</xdr:row>
      <xdr:rowOff>9525</xdr:rowOff>
    </xdr:to>
    <xdr:sp macro="" textlink="">
      <xdr:nvSpPr>
        <xdr:cNvPr id="17498" name="Text Box 90">
          <a:extLst>
            <a:ext uri="{FF2B5EF4-FFF2-40B4-BE49-F238E27FC236}">
              <a16:creationId xmlns:a16="http://schemas.microsoft.com/office/drawing/2014/main" xmlns="" id="{00000000-0008-0000-0500-00005A440000}"/>
            </a:ext>
          </a:extLst>
        </xdr:cNvPr>
        <xdr:cNvSpPr txBox="1">
          <a:spLocks noChangeArrowheads="1"/>
        </xdr:cNvSpPr>
      </xdr:nvSpPr>
      <xdr:spPr bwMode="auto">
        <a:xfrm>
          <a:off x="6734175" y="390525"/>
          <a:ext cx="5067300" cy="13335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0" tIns="0" rIns="0" bIns="0" anchor="ctr" upright="1"/>
        <a:lstStyle/>
        <a:p>
          <a:pPr algn="r" rtl="0">
            <a:defRPr sz="1000"/>
          </a:pPr>
          <a:r>
            <a:rPr lang="hu-HU" sz="600" b="0" i="0" u="none" strike="noStrike" baseline="0">
              <a:solidFill>
                <a:srgbClr val="FFFFFF"/>
              </a:solidFill>
              <a:latin typeface="Arial Unicode MS"/>
            </a:rPr>
            <a:t>A LISTÁBAN VALÓ LAPOZÁSHOZ HASZNÁLJA AZ OLDALSÓ GÖRGETŐSÁVOT ITT   </a:t>
          </a:r>
          <a:r>
            <a:rPr lang="hu-HU" sz="600" b="1" i="0" u="none" strike="noStrike" baseline="0">
              <a:solidFill>
                <a:srgbClr val="FFFFFF"/>
              </a:solidFill>
              <a:latin typeface="Arial Unicode MS"/>
            </a:rPr>
            <a:t>&gt;&gt;&gt;</a:t>
          </a:r>
          <a:r>
            <a:rPr lang="hu-HU" sz="600" b="0" i="0" u="none" strike="noStrike" baseline="0">
              <a:solidFill>
                <a:srgbClr val="FFFFFF"/>
              </a:solidFill>
              <a:latin typeface="Arial Unicode MS"/>
            </a:rPr>
            <a:t>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190500</xdr:colOff>
      <xdr:row>3</xdr:row>
      <xdr:rowOff>0</xdr:rowOff>
    </xdr:to>
    <xdr:grpSp>
      <xdr:nvGrpSpPr>
        <xdr:cNvPr id="6146" name="Csoportba foglalás 2">
          <a:extLst>
            <a:ext uri="{FF2B5EF4-FFF2-40B4-BE49-F238E27FC236}">
              <a16:creationId xmlns:a16="http://schemas.microsoft.com/office/drawing/2014/main" xmlns="" id="{00000000-0008-0000-0500-000002180000}"/>
            </a:ext>
          </a:extLst>
        </xdr:cNvPr>
        <xdr:cNvGrpSpPr>
          <a:grpSpLocks/>
        </xdr:cNvGrpSpPr>
      </xdr:nvGrpSpPr>
      <xdr:grpSpPr bwMode="auto">
        <a:xfrm>
          <a:off x="0" y="0"/>
          <a:ext cx="11991975" cy="361950"/>
          <a:chOff x="0" y="0"/>
          <a:chExt cx="11991975" cy="364644"/>
        </a:xfrm>
      </xdr:grpSpPr>
      <xdr:pic>
        <xdr:nvPicPr>
          <xdr:cNvPr id="6147" name="Picture 1711">
            <a:extLst>
              <a:ext uri="{FF2B5EF4-FFF2-40B4-BE49-F238E27FC236}">
                <a16:creationId xmlns:a16="http://schemas.microsoft.com/office/drawing/2014/main" xmlns="" id="{00000000-0008-0000-0500-0000031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1991975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1168" name="AutoShape 1712">
            <a:hlinkClick xmlns:r="http://schemas.openxmlformats.org/officeDocument/2006/relationships" r:id="rId2" tooltip="Tippjáték"/>
            <a:extLst>
              <a:ext uri="{FF2B5EF4-FFF2-40B4-BE49-F238E27FC236}">
                <a16:creationId xmlns:a16="http://schemas.microsoft.com/office/drawing/2014/main" xmlns="" id="{00000000-0008-0000-0500-0000B0520000}"/>
              </a:ext>
            </a:extLst>
          </xdr:cNvPr>
          <xdr:cNvSpPr>
            <a:spLocks noChangeArrowheads="1"/>
          </xdr:cNvSpPr>
        </xdr:nvSpPr>
        <xdr:spPr bwMode="auto">
          <a:xfrm>
            <a:off x="107537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TIPPJÁTÉK</a:t>
            </a:r>
          </a:p>
        </xdr:txBody>
      </xdr:sp>
      <xdr:sp macro="" textlink="">
        <xdr:nvSpPr>
          <xdr:cNvPr id="21169" name="AutoShape 1713">
            <a:hlinkClick xmlns:r="http://schemas.openxmlformats.org/officeDocument/2006/relationships" r:id="rId3" tooltip="Használati ismertető"/>
            <a:extLst>
              <a:ext uri="{FF2B5EF4-FFF2-40B4-BE49-F238E27FC236}">
                <a16:creationId xmlns:a16="http://schemas.microsoft.com/office/drawing/2014/main" xmlns="" id="{00000000-0008-0000-0500-0000B1520000}"/>
              </a:ext>
            </a:extLst>
          </xdr:cNvPr>
          <xdr:cNvSpPr>
            <a:spLocks noChangeArrowheads="1"/>
          </xdr:cNvSpPr>
        </xdr:nvSpPr>
        <xdr:spPr bwMode="auto">
          <a:xfrm>
            <a:off x="11553825" y="19192"/>
            <a:ext cx="438150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SÚGÓ</a:t>
            </a:r>
          </a:p>
        </xdr:txBody>
      </xdr:sp>
      <xdr:pic>
        <xdr:nvPicPr>
          <xdr:cNvPr id="6150" name="Picture 1725" descr="NS-logo_szurke">
            <a:hlinkClick xmlns:r="http://schemas.openxmlformats.org/officeDocument/2006/relationships" r:id="rId4" tooltip="További szurkolói füzetek a Nemzeti Sport honlapján"/>
            <a:extLst>
              <a:ext uri="{FF2B5EF4-FFF2-40B4-BE49-F238E27FC236}">
                <a16:creationId xmlns:a16="http://schemas.microsoft.com/office/drawing/2014/main" xmlns="" id="{00000000-0008-0000-0500-0000061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1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7625" y="38384"/>
            <a:ext cx="704850" cy="287877"/>
          </a:xfrm>
          <a:prstGeom prst="rect">
            <a:avLst/>
          </a:prstGeom>
          <a:noFill/>
          <a:ln>
            <a:noFill/>
          </a:ln>
          <a:effectLst>
            <a:outerShdw dist="35921" dir="2700000" algn="ctr" rotWithShape="0">
              <a:srgbClr val="333333"/>
            </a:outerShdw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151" name="Picture 1726">
            <a:extLst>
              <a:ext uri="{FF2B5EF4-FFF2-40B4-BE49-F238E27FC236}">
                <a16:creationId xmlns:a16="http://schemas.microsoft.com/office/drawing/2014/main" xmlns="" id="{00000000-0008-0000-0500-0000071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419350" y="38384"/>
            <a:ext cx="981075" cy="287877"/>
          </a:xfrm>
          <a:prstGeom prst="rect">
            <a:avLst/>
          </a:prstGeom>
          <a:noFill/>
          <a:ln>
            <a:noFill/>
          </a:ln>
          <a:effectLst>
            <a:outerShdw dist="35921" dir="2700000" algn="ctr" rotWithShape="0">
              <a:srgbClr val="333333"/>
            </a:outerShdw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1183" name="AutoShape 1727">
            <a:hlinkClick xmlns:r="http://schemas.openxmlformats.org/officeDocument/2006/relationships" r:id="rId7" tooltip="A csoportok állása"/>
            <a:extLst>
              <a:ext uri="{FF2B5EF4-FFF2-40B4-BE49-F238E27FC236}">
                <a16:creationId xmlns:a16="http://schemas.microsoft.com/office/drawing/2014/main" xmlns="" id="{00000000-0008-0000-0500-0000BF520000}"/>
              </a:ext>
            </a:extLst>
          </xdr:cNvPr>
          <xdr:cNvSpPr>
            <a:spLocks noChangeArrowheads="1"/>
          </xdr:cNvSpPr>
        </xdr:nvSpPr>
        <xdr:spPr bwMode="auto">
          <a:xfrm>
            <a:off x="43529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TABELLÁK</a:t>
            </a:r>
          </a:p>
        </xdr:txBody>
      </xdr:sp>
      <xdr:sp macro="" textlink="">
        <xdr:nvSpPr>
          <xdr:cNvPr id="6153" name="AutoShape 1436">
            <a:extLst>
              <a:ext uri="{FF2B5EF4-FFF2-40B4-BE49-F238E27FC236}">
                <a16:creationId xmlns:a16="http://schemas.microsoft.com/office/drawing/2014/main" xmlns="" id="{00000000-0008-0000-0500-00000918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9815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586" name="AutoShape 1729">
            <a:hlinkClick xmlns:r="http://schemas.openxmlformats.org/officeDocument/2006/relationships" r:id="rId8" tooltip="Eredmények rögzítése"/>
            <a:extLst>
              <a:ext uri="{FF2B5EF4-FFF2-40B4-BE49-F238E27FC236}">
                <a16:creationId xmlns:a16="http://schemas.microsoft.com/office/drawing/2014/main" xmlns="" id="{00000000-0008-0000-0500-00000A600000}"/>
              </a:ext>
            </a:extLst>
          </xdr:cNvPr>
          <xdr:cNvSpPr>
            <a:spLocks noChangeArrowheads="1"/>
          </xdr:cNvSpPr>
        </xdr:nvSpPr>
        <xdr:spPr bwMode="auto">
          <a:xfrm>
            <a:off x="35528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EREDMÉNYEK</a:t>
            </a:r>
          </a:p>
        </xdr:txBody>
      </xdr:sp>
      <xdr:sp macro="" textlink="">
        <xdr:nvSpPr>
          <xdr:cNvPr id="6155" name="AutoShape 1436">
            <a:extLst>
              <a:ext uri="{FF2B5EF4-FFF2-40B4-BE49-F238E27FC236}">
                <a16:creationId xmlns:a16="http://schemas.microsoft.com/office/drawing/2014/main" xmlns="" id="{00000000-0008-0000-0500-00000B18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1814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187" name="AutoShape 1731">
            <a:hlinkClick xmlns:r="http://schemas.openxmlformats.org/officeDocument/2006/relationships" r:id="rId9" tooltip="A legjobb 16 csapat párosításának megtekintése"/>
            <a:extLst>
              <a:ext uri="{FF2B5EF4-FFF2-40B4-BE49-F238E27FC236}">
                <a16:creationId xmlns:a16="http://schemas.microsoft.com/office/drawing/2014/main" xmlns="" id="{00000000-0008-0000-0500-0000C3520000}"/>
              </a:ext>
            </a:extLst>
          </xdr:cNvPr>
          <xdr:cNvSpPr>
            <a:spLocks noChangeArrowheads="1"/>
          </xdr:cNvSpPr>
        </xdr:nvSpPr>
        <xdr:spPr bwMode="auto">
          <a:xfrm>
            <a:off x="51530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ÁGRAJZ</a:t>
            </a:r>
          </a:p>
        </xdr:txBody>
      </xdr:sp>
      <xdr:sp macro="" textlink="">
        <xdr:nvSpPr>
          <xdr:cNvPr id="21188" name="AutoShape 1732">
            <a:hlinkClick xmlns:r="http://schemas.openxmlformats.org/officeDocument/2006/relationships" r:id="rId10" tooltip="Az Európa-bajnokság végeredménye"/>
            <a:extLst>
              <a:ext uri="{FF2B5EF4-FFF2-40B4-BE49-F238E27FC236}">
                <a16:creationId xmlns:a16="http://schemas.microsoft.com/office/drawing/2014/main" xmlns="" id="{00000000-0008-0000-0500-0000C4520000}"/>
              </a:ext>
            </a:extLst>
          </xdr:cNvPr>
          <xdr:cNvSpPr>
            <a:spLocks noChangeArrowheads="1"/>
          </xdr:cNvSpPr>
        </xdr:nvSpPr>
        <xdr:spPr bwMode="auto">
          <a:xfrm>
            <a:off x="59531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RANGSOR</a:t>
            </a:r>
          </a:p>
        </xdr:txBody>
      </xdr:sp>
      <xdr:sp macro="" textlink="">
        <xdr:nvSpPr>
          <xdr:cNvPr id="21189" name="AutoShape 1733">
            <a:hlinkClick xmlns:r="http://schemas.openxmlformats.org/officeDocument/2006/relationships" r:id="rId11" tooltip="Gólszerzők rögzítése"/>
            <a:extLst>
              <a:ext uri="{FF2B5EF4-FFF2-40B4-BE49-F238E27FC236}">
                <a16:creationId xmlns:a16="http://schemas.microsoft.com/office/drawing/2014/main" xmlns="" id="{00000000-0008-0000-0500-0000C5520000}"/>
              </a:ext>
            </a:extLst>
          </xdr:cNvPr>
          <xdr:cNvSpPr>
            <a:spLocks noChangeArrowheads="1"/>
          </xdr:cNvSpPr>
        </xdr:nvSpPr>
        <xdr:spPr bwMode="auto">
          <a:xfrm>
            <a:off x="67532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GÓLSZERZŐK</a:t>
            </a:r>
          </a:p>
        </xdr:txBody>
      </xdr:sp>
      <xdr:sp macro="" textlink="">
        <xdr:nvSpPr>
          <xdr:cNvPr id="24591" name="AutoShape 1734">
            <a:hlinkClick xmlns:r="http://schemas.openxmlformats.org/officeDocument/2006/relationships" r:id="rId12" tooltip="Góllövőlista megtekintése"/>
            <a:extLst>
              <a:ext uri="{FF2B5EF4-FFF2-40B4-BE49-F238E27FC236}">
                <a16:creationId xmlns:a16="http://schemas.microsoft.com/office/drawing/2014/main" xmlns="" id="{00000000-0008-0000-0500-00000F600000}"/>
              </a:ext>
            </a:extLst>
          </xdr:cNvPr>
          <xdr:cNvSpPr>
            <a:spLocks noChangeArrowheads="1"/>
          </xdr:cNvSpPr>
        </xdr:nvSpPr>
        <xdr:spPr bwMode="auto">
          <a:xfrm>
            <a:off x="75533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10F3E">
                  <a:alpha val="56000"/>
                </a:srgbClr>
              </a:gs>
              <a:gs pos="100000">
                <a:srgbClr val="009CB3">
                  <a:alpha val="56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FAB65C"/>
                </a:solidFill>
                <a:latin typeface="Arial Unicode MS"/>
              </a:rPr>
              <a:t>GÓLLÖVŐ</a:t>
            </a:r>
          </a:p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FAB65C"/>
                </a:solidFill>
                <a:latin typeface="Arial Unicode MS"/>
              </a:rPr>
              <a:t>LISTA</a:t>
            </a:r>
          </a:p>
        </xdr:txBody>
      </xdr:sp>
      <xdr:sp macro="" textlink="">
        <xdr:nvSpPr>
          <xdr:cNvPr id="21191" name="AutoShape 1735">
            <a:hlinkClick xmlns:r="http://schemas.openxmlformats.org/officeDocument/2006/relationships" r:id="rId13" tooltip="A csoportok beosztása"/>
            <a:extLst>
              <a:ext uri="{FF2B5EF4-FFF2-40B4-BE49-F238E27FC236}">
                <a16:creationId xmlns:a16="http://schemas.microsoft.com/office/drawing/2014/main" xmlns="" id="{00000000-0008-0000-0500-0000C7520000}"/>
              </a:ext>
            </a:extLst>
          </xdr:cNvPr>
          <xdr:cNvSpPr>
            <a:spLocks noChangeArrowheads="1"/>
          </xdr:cNvSpPr>
        </xdr:nvSpPr>
        <xdr:spPr bwMode="auto">
          <a:xfrm>
            <a:off x="83534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CSOPORTOK</a:t>
            </a:r>
          </a:p>
        </xdr:txBody>
      </xdr:sp>
      <xdr:sp macro="" textlink="">
        <xdr:nvSpPr>
          <xdr:cNvPr id="21192" name="AutoShape 1736">
            <a:hlinkClick xmlns:r="http://schemas.openxmlformats.org/officeDocument/2006/relationships" r:id="rId14" tooltip="A csapatok összeállítása"/>
            <a:extLst>
              <a:ext uri="{FF2B5EF4-FFF2-40B4-BE49-F238E27FC236}">
                <a16:creationId xmlns:a16="http://schemas.microsoft.com/office/drawing/2014/main" xmlns="" id="{00000000-0008-0000-0500-0000C8520000}"/>
              </a:ext>
            </a:extLst>
          </xdr:cNvPr>
          <xdr:cNvSpPr>
            <a:spLocks noChangeArrowheads="1"/>
          </xdr:cNvSpPr>
        </xdr:nvSpPr>
        <xdr:spPr bwMode="auto">
          <a:xfrm>
            <a:off x="91535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CSAPATOK</a:t>
            </a:r>
          </a:p>
        </xdr:txBody>
      </xdr:sp>
      <xdr:sp macro="" textlink="">
        <xdr:nvSpPr>
          <xdr:cNvPr id="21193" name="AutoShape 1737">
            <a:hlinkClick xmlns:r="http://schemas.openxmlformats.org/officeDocument/2006/relationships" r:id="rId15" tooltip="Helyszínek és stadionok"/>
            <a:extLst>
              <a:ext uri="{FF2B5EF4-FFF2-40B4-BE49-F238E27FC236}">
                <a16:creationId xmlns:a16="http://schemas.microsoft.com/office/drawing/2014/main" xmlns="" id="{00000000-0008-0000-0500-0000C9520000}"/>
              </a:ext>
            </a:extLst>
          </xdr:cNvPr>
          <xdr:cNvSpPr>
            <a:spLocks noChangeArrowheads="1"/>
          </xdr:cNvSpPr>
        </xdr:nvSpPr>
        <xdr:spPr bwMode="auto">
          <a:xfrm>
            <a:off x="99536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HELYSZÍNEK</a:t>
            </a:r>
          </a:p>
        </xdr:txBody>
      </xdr:sp>
      <xdr:sp macro="" textlink="">
        <xdr:nvSpPr>
          <xdr:cNvPr id="6163" name="AutoShape 1436">
            <a:extLst>
              <a:ext uri="{FF2B5EF4-FFF2-40B4-BE49-F238E27FC236}">
                <a16:creationId xmlns:a16="http://schemas.microsoft.com/office/drawing/2014/main" xmlns="" id="{00000000-0008-0000-0500-00001318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97821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164" name="AutoShape 1436">
            <a:extLst>
              <a:ext uri="{FF2B5EF4-FFF2-40B4-BE49-F238E27FC236}">
                <a16:creationId xmlns:a16="http://schemas.microsoft.com/office/drawing/2014/main" xmlns="" id="{00000000-0008-0000-0500-00001418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13823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165" name="AutoShape 1436">
            <a:extLst>
              <a:ext uri="{FF2B5EF4-FFF2-40B4-BE49-F238E27FC236}">
                <a16:creationId xmlns:a16="http://schemas.microsoft.com/office/drawing/2014/main" xmlns="" id="{00000000-0008-0000-0500-00001518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5822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166" name="AutoShape 1436">
            <a:extLst>
              <a:ext uri="{FF2B5EF4-FFF2-40B4-BE49-F238E27FC236}">
                <a16:creationId xmlns:a16="http://schemas.microsoft.com/office/drawing/2014/main" xmlns="" id="{00000000-0008-0000-0500-00001618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73818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167" name="AutoShape 1436">
            <a:extLst>
              <a:ext uri="{FF2B5EF4-FFF2-40B4-BE49-F238E27FC236}">
                <a16:creationId xmlns:a16="http://schemas.microsoft.com/office/drawing/2014/main" xmlns="" id="{00000000-0008-0000-0500-00001718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89820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168" name="AutoShape 1436">
            <a:extLst>
              <a:ext uri="{FF2B5EF4-FFF2-40B4-BE49-F238E27FC236}">
                <a16:creationId xmlns:a16="http://schemas.microsoft.com/office/drawing/2014/main" xmlns="" id="{00000000-0008-0000-0500-00001818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5817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169" name="AutoShape 1436">
            <a:extLst>
              <a:ext uri="{FF2B5EF4-FFF2-40B4-BE49-F238E27FC236}">
                <a16:creationId xmlns:a16="http://schemas.microsoft.com/office/drawing/2014/main" xmlns="" id="{00000000-0008-0000-0500-00001918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7816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170" name="AutoShape 1436">
            <a:extLst>
              <a:ext uri="{FF2B5EF4-FFF2-40B4-BE49-F238E27FC236}">
                <a16:creationId xmlns:a16="http://schemas.microsoft.com/office/drawing/2014/main" xmlns="" id="{00000000-0008-0000-0500-00001A18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1830050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171" name="AutoShape 1436">
            <a:extLst>
              <a:ext uri="{FF2B5EF4-FFF2-40B4-BE49-F238E27FC236}">
                <a16:creationId xmlns:a16="http://schemas.microsoft.com/office/drawing/2014/main" xmlns="" id="{00000000-0008-0000-0500-00001B18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81819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FAB65C"/>
              </a:gs>
              <a:gs pos="100000">
                <a:srgbClr val="333333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pic>
        <xdr:nvPicPr>
          <xdr:cNvPr id="6172" name="Kép 1">
            <a:hlinkClick xmlns:r="http://schemas.openxmlformats.org/officeDocument/2006/relationships" r:id="rId16" tooltip="Mail to Gyworks"/>
            <a:extLst>
              <a:ext uri="{FF2B5EF4-FFF2-40B4-BE49-F238E27FC236}">
                <a16:creationId xmlns:a16="http://schemas.microsoft.com/office/drawing/2014/main" xmlns="" id="{00000000-0008-0000-0500-00001C18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6300" y="47625"/>
            <a:ext cx="1383912" cy="31701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514350</xdr:colOff>
      <xdr:row>130</xdr:row>
      <xdr:rowOff>190500</xdr:rowOff>
    </xdr:from>
    <xdr:to>
      <xdr:col>8</xdr:col>
      <xdr:colOff>933450</xdr:colOff>
      <xdr:row>150</xdr:row>
      <xdr:rowOff>28575</xdr:rowOff>
    </xdr:to>
    <xdr:pic>
      <xdr:nvPicPr>
        <xdr:cNvPr id="7169" name="Kép 9">
          <a:extLst>
            <a:ext uri="{FF2B5EF4-FFF2-40B4-BE49-F238E27FC236}">
              <a16:creationId xmlns:a16="http://schemas.microsoft.com/office/drawing/2014/main" xmlns="" id="{00000000-0008-0000-0600-00000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4725" y="24669750"/>
          <a:ext cx="4505325" cy="3724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514350</xdr:colOff>
      <xdr:row>105</xdr:row>
      <xdr:rowOff>190500</xdr:rowOff>
    </xdr:from>
    <xdr:to>
      <xdr:col>8</xdr:col>
      <xdr:colOff>933450</xdr:colOff>
      <xdr:row>125</xdr:row>
      <xdr:rowOff>28575</xdr:rowOff>
    </xdr:to>
    <xdr:pic>
      <xdr:nvPicPr>
        <xdr:cNvPr id="7170" name="Kép 8">
          <a:extLst>
            <a:ext uri="{FF2B5EF4-FFF2-40B4-BE49-F238E27FC236}">
              <a16:creationId xmlns:a16="http://schemas.microsoft.com/office/drawing/2014/main" xmlns="" id="{00000000-0008-0000-0600-000002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4725" y="19907250"/>
          <a:ext cx="4505325" cy="3724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514350</xdr:colOff>
      <xdr:row>80</xdr:row>
      <xdr:rowOff>190500</xdr:rowOff>
    </xdr:from>
    <xdr:to>
      <xdr:col>8</xdr:col>
      <xdr:colOff>923925</xdr:colOff>
      <xdr:row>100</xdr:row>
      <xdr:rowOff>28575</xdr:rowOff>
    </xdr:to>
    <xdr:pic>
      <xdr:nvPicPr>
        <xdr:cNvPr id="7171" name="Kép 7">
          <a:extLst>
            <a:ext uri="{FF2B5EF4-FFF2-40B4-BE49-F238E27FC236}">
              <a16:creationId xmlns:a16="http://schemas.microsoft.com/office/drawing/2014/main" xmlns="" id="{00000000-0008-0000-0600-000003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4725" y="15144750"/>
          <a:ext cx="4495800" cy="3724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514350</xdr:colOff>
      <xdr:row>55</xdr:row>
      <xdr:rowOff>190500</xdr:rowOff>
    </xdr:from>
    <xdr:to>
      <xdr:col>8</xdr:col>
      <xdr:colOff>923925</xdr:colOff>
      <xdr:row>75</xdr:row>
      <xdr:rowOff>28575</xdr:rowOff>
    </xdr:to>
    <xdr:pic>
      <xdr:nvPicPr>
        <xdr:cNvPr id="7172" name="Kép 6">
          <a:extLst>
            <a:ext uri="{FF2B5EF4-FFF2-40B4-BE49-F238E27FC236}">
              <a16:creationId xmlns:a16="http://schemas.microsoft.com/office/drawing/2014/main" xmlns="" id="{00000000-0008-0000-0600-000004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4725" y="10382250"/>
          <a:ext cx="4495800" cy="3724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514350</xdr:colOff>
      <xdr:row>30</xdr:row>
      <xdr:rowOff>200025</xdr:rowOff>
    </xdr:from>
    <xdr:to>
      <xdr:col>8</xdr:col>
      <xdr:colOff>923925</xdr:colOff>
      <xdr:row>50</xdr:row>
      <xdr:rowOff>28575</xdr:rowOff>
    </xdr:to>
    <xdr:pic>
      <xdr:nvPicPr>
        <xdr:cNvPr id="7173" name="Kép 5">
          <a:extLst>
            <a:ext uri="{FF2B5EF4-FFF2-40B4-BE49-F238E27FC236}">
              <a16:creationId xmlns:a16="http://schemas.microsoft.com/office/drawing/2014/main" xmlns="" id="{00000000-0008-0000-0600-000005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4725" y="5629275"/>
          <a:ext cx="4495800" cy="3714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514350</xdr:colOff>
      <xdr:row>5</xdr:row>
      <xdr:rowOff>190500</xdr:rowOff>
    </xdr:from>
    <xdr:to>
      <xdr:col>8</xdr:col>
      <xdr:colOff>923925</xdr:colOff>
      <xdr:row>25</xdr:row>
      <xdr:rowOff>28575</xdr:rowOff>
    </xdr:to>
    <xdr:pic>
      <xdr:nvPicPr>
        <xdr:cNvPr id="7174" name="Kép 4">
          <a:extLst>
            <a:ext uri="{FF2B5EF4-FFF2-40B4-BE49-F238E27FC236}">
              <a16:creationId xmlns:a16="http://schemas.microsoft.com/office/drawing/2014/main" xmlns="" id="{00000000-0008-0000-0600-000006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4725" y="857250"/>
          <a:ext cx="4495800" cy="3724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1371600</xdr:colOff>
      <xdr:row>131</xdr:row>
      <xdr:rowOff>57150</xdr:rowOff>
    </xdr:from>
    <xdr:to>
      <xdr:col>2</xdr:col>
      <xdr:colOff>1695450</xdr:colOff>
      <xdr:row>131</xdr:row>
      <xdr:rowOff>381000</xdr:rowOff>
    </xdr:to>
    <xdr:pic>
      <xdr:nvPicPr>
        <xdr:cNvPr id="7175" name="Picture 1254" descr="Hungary">
          <a:extLst>
            <a:ext uri="{FF2B5EF4-FFF2-40B4-BE49-F238E27FC236}">
              <a16:creationId xmlns:a16="http://schemas.microsoft.com/office/drawing/2014/main" xmlns="" id="{00000000-0008-0000-0600-000007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2480310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1800225</xdr:colOff>
      <xdr:row>131</xdr:row>
      <xdr:rowOff>66675</xdr:rowOff>
    </xdr:from>
    <xdr:to>
      <xdr:col>2</xdr:col>
      <xdr:colOff>2257425</xdr:colOff>
      <xdr:row>131</xdr:row>
      <xdr:rowOff>361950</xdr:rowOff>
    </xdr:to>
    <xdr:pic>
      <xdr:nvPicPr>
        <xdr:cNvPr id="7176" name="Picture 1253">
          <a:extLst>
            <a:ext uri="{FF2B5EF4-FFF2-40B4-BE49-F238E27FC236}">
              <a16:creationId xmlns:a16="http://schemas.microsoft.com/office/drawing/2014/main" xmlns="" id="{00000000-0008-0000-0600-000008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24812625"/>
          <a:ext cx="457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638175</xdr:colOff>
      <xdr:row>117</xdr:row>
      <xdr:rowOff>47625</xdr:rowOff>
    </xdr:from>
    <xdr:to>
      <xdr:col>11</xdr:col>
      <xdr:colOff>971550</xdr:colOff>
      <xdr:row>117</xdr:row>
      <xdr:rowOff>371475</xdr:rowOff>
    </xdr:to>
    <xdr:pic>
      <xdr:nvPicPr>
        <xdr:cNvPr id="7177" name="Kép 3">
          <a:extLst>
            <a:ext uri="{FF2B5EF4-FFF2-40B4-BE49-F238E27FC236}">
              <a16:creationId xmlns:a16="http://schemas.microsoft.com/office/drawing/2014/main" xmlns="" id="{00000000-0008-0000-0600-000009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3100" y="22088475"/>
          <a:ext cx="333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47625</xdr:colOff>
      <xdr:row>117</xdr:row>
      <xdr:rowOff>66675</xdr:rowOff>
    </xdr:from>
    <xdr:to>
      <xdr:col>11</xdr:col>
      <xdr:colOff>504825</xdr:colOff>
      <xdr:row>117</xdr:row>
      <xdr:rowOff>361950</xdr:rowOff>
    </xdr:to>
    <xdr:pic>
      <xdr:nvPicPr>
        <xdr:cNvPr id="7178" name="Picture 582">
          <a:extLst>
            <a:ext uri="{FF2B5EF4-FFF2-40B4-BE49-F238E27FC236}">
              <a16:creationId xmlns:a16="http://schemas.microsoft.com/office/drawing/2014/main" xmlns="" id="{00000000-0008-0000-0600-00000A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2550" y="22107525"/>
          <a:ext cx="457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638175</xdr:colOff>
      <xdr:row>81</xdr:row>
      <xdr:rowOff>28575</xdr:rowOff>
    </xdr:from>
    <xdr:to>
      <xdr:col>11</xdr:col>
      <xdr:colOff>1000125</xdr:colOff>
      <xdr:row>81</xdr:row>
      <xdr:rowOff>390525</xdr:rowOff>
    </xdr:to>
    <xdr:pic>
      <xdr:nvPicPr>
        <xdr:cNvPr id="7179" name="Kép 2">
          <a:extLst>
            <a:ext uri="{FF2B5EF4-FFF2-40B4-BE49-F238E27FC236}">
              <a16:creationId xmlns:a16="http://schemas.microsoft.com/office/drawing/2014/main" xmlns="" id="{00000000-0008-0000-0600-00000B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3100" y="15249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38100</xdr:colOff>
      <xdr:row>81</xdr:row>
      <xdr:rowOff>66675</xdr:rowOff>
    </xdr:from>
    <xdr:to>
      <xdr:col>11</xdr:col>
      <xdr:colOff>495300</xdr:colOff>
      <xdr:row>81</xdr:row>
      <xdr:rowOff>361950</xdr:rowOff>
    </xdr:to>
    <xdr:pic>
      <xdr:nvPicPr>
        <xdr:cNvPr id="7180" name="Picture 625">
          <a:extLst>
            <a:ext uri="{FF2B5EF4-FFF2-40B4-BE49-F238E27FC236}">
              <a16:creationId xmlns:a16="http://schemas.microsoft.com/office/drawing/2014/main" xmlns="" id="{00000000-0008-0000-0600-00000C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3025" y="15287625"/>
          <a:ext cx="457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657225</xdr:colOff>
      <xdr:row>67</xdr:row>
      <xdr:rowOff>38100</xdr:rowOff>
    </xdr:from>
    <xdr:to>
      <xdr:col>11</xdr:col>
      <xdr:colOff>962025</xdr:colOff>
      <xdr:row>67</xdr:row>
      <xdr:rowOff>400050</xdr:rowOff>
    </xdr:to>
    <xdr:pic>
      <xdr:nvPicPr>
        <xdr:cNvPr id="7181" name="Kép 1">
          <a:extLst>
            <a:ext uri="{FF2B5EF4-FFF2-40B4-BE49-F238E27FC236}">
              <a16:creationId xmlns:a16="http://schemas.microsoft.com/office/drawing/2014/main" xmlns="" id="{00000000-0008-0000-0600-00000D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12553950"/>
          <a:ext cx="3048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38100</xdr:colOff>
      <xdr:row>67</xdr:row>
      <xdr:rowOff>66675</xdr:rowOff>
    </xdr:from>
    <xdr:to>
      <xdr:col>11</xdr:col>
      <xdr:colOff>495300</xdr:colOff>
      <xdr:row>67</xdr:row>
      <xdr:rowOff>361950</xdr:rowOff>
    </xdr:to>
    <xdr:pic>
      <xdr:nvPicPr>
        <xdr:cNvPr id="7182" name="Picture 500">
          <a:extLst>
            <a:ext uri="{FF2B5EF4-FFF2-40B4-BE49-F238E27FC236}">
              <a16:creationId xmlns:a16="http://schemas.microsoft.com/office/drawing/2014/main" xmlns="" id="{00000000-0008-0000-0600-00000E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3025" y="12582525"/>
          <a:ext cx="457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1362075</xdr:colOff>
      <xdr:row>17</xdr:row>
      <xdr:rowOff>57150</xdr:rowOff>
    </xdr:from>
    <xdr:to>
      <xdr:col>2</xdr:col>
      <xdr:colOff>1695450</xdr:colOff>
      <xdr:row>17</xdr:row>
      <xdr:rowOff>390525</xdr:rowOff>
    </xdr:to>
    <xdr:pic>
      <xdr:nvPicPr>
        <xdr:cNvPr id="7183" name="Picture 1379" descr="ITA">
          <a:extLst>
            <a:ext uri="{FF2B5EF4-FFF2-40B4-BE49-F238E27FC236}">
              <a16:creationId xmlns:a16="http://schemas.microsoft.com/office/drawing/2014/main" xmlns="" id="{00000000-0008-0000-0600-00000F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3048000"/>
          <a:ext cx="3333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1800225</xdr:colOff>
      <xdr:row>17</xdr:row>
      <xdr:rowOff>66675</xdr:rowOff>
    </xdr:from>
    <xdr:to>
      <xdr:col>2</xdr:col>
      <xdr:colOff>2257425</xdr:colOff>
      <xdr:row>17</xdr:row>
      <xdr:rowOff>361950</xdr:rowOff>
    </xdr:to>
    <xdr:pic>
      <xdr:nvPicPr>
        <xdr:cNvPr id="7184" name="Picture 1380">
          <a:extLst>
            <a:ext uri="{FF2B5EF4-FFF2-40B4-BE49-F238E27FC236}">
              <a16:creationId xmlns:a16="http://schemas.microsoft.com/office/drawing/2014/main" xmlns="" id="{00000000-0008-0000-0600-000010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3057525"/>
          <a:ext cx="457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1333500</xdr:colOff>
      <xdr:row>6</xdr:row>
      <xdr:rowOff>47625</xdr:rowOff>
    </xdr:from>
    <xdr:to>
      <xdr:col>2</xdr:col>
      <xdr:colOff>1685925</xdr:colOff>
      <xdr:row>6</xdr:row>
      <xdr:rowOff>400050</xdr:rowOff>
    </xdr:to>
    <xdr:pic>
      <xdr:nvPicPr>
        <xdr:cNvPr id="7185" name="Picture 1413" descr="Turkey">
          <a:extLst>
            <a:ext uri="{FF2B5EF4-FFF2-40B4-BE49-F238E27FC236}">
              <a16:creationId xmlns:a16="http://schemas.microsoft.com/office/drawing/2014/main" xmlns="" id="{00000000-0008-0000-0600-00001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981075"/>
          <a:ext cx="3524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1800225</xdr:colOff>
      <xdr:row>6</xdr:row>
      <xdr:rowOff>66675</xdr:rowOff>
    </xdr:from>
    <xdr:to>
      <xdr:col>2</xdr:col>
      <xdr:colOff>2257425</xdr:colOff>
      <xdr:row>6</xdr:row>
      <xdr:rowOff>361950</xdr:rowOff>
    </xdr:to>
    <xdr:pic>
      <xdr:nvPicPr>
        <xdr:cNvPr id="7186" name="Picture 1412">
          <a:extLst>
            <a:ext uri="{FF2B5EF4-FFF2-40B4-BE49-F238E27FC236}">
              <a16:creationId xmlns:a16="http://schemas.microsoft.com/office/drawing/2014/main" xmlns="" id="{00000000-0008-0000-0600-000012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1000125"/>
          <a:ext cx="457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638175</xdr:colOff>
      <xdr:row>42</xdr:row>
      <xdr:rowOff>47625</xdr:rowOff>
    </xdr:from>
    <xdr:to>
      <xdr:col>11</xdr:col>
      <xdr:colOff>981075</xdr:colOff>
      <xdr:row>42</xdr:row>
      <xdr:rowOff>390525</xdr:rowOff>
    </xdr:to>
    <xdr:pic>
      <xdr:nvPicPr>
        <xdr:cNvPr id="7187" name="Picture 1409">
          <a:extLst>
            <a:ext uri="{FF2B5EF4-FFF2-40B4-BE49-F238E27FC236}">
              <a16:creationId xmlns:a16="http://schemas.microsoft.com/office/drawing/2014/main" xmlns="" id="{00000000-0008-0000-0600-000013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3100" y="7800975"/>
          <a:ext cx="342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47625</xdr:colOff>
      <xdr:row>42</xdr:row>
      <xdr:rowOff>66675</xdr:rowOff>
    </xdr:from>
    <xdr:to>
      <xdr:col>11</xdr:col>
      <xdr:colOff>504825</xdr:colOff>
      <xdr:row>42</xdr:row>
      <xdr:rowOff>361950</xdr:rowOff>
    </xdr:to>
    <xdr:pic>
      <xdr:nvPicPr>
        <xdr:cNvPr id="7188" name="Picture 1408">
          <a:extLst>
            <a:ext uri="{FF2B5EF4-FFF2-40B4-BE49-F238E27FC236}">
              <a16:creationId xmlns:a16="http://schemas.microsoft.com/office/drawing/2014/main" xmlns="" id="{00000000-0008-0000-0600-000014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2550" y="7820025"/>
          <a:ext cx="457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38100</xdr:colOff>
      <xdr:row>31</xdr:row>
      <xdr:rowOff>66675</xdr:rowOff>
    </xdr:from>
    <xdr:to>
      <xdr:col>11</xdr:col>
      <xdr:colOff>495300</xdr:colOff>
      <xdr:row>31</xdr:row>
      <xdr:rowOff>361950</xdr:rowOff>
    </xdr:to>
    <xdr:pic>
      <xdr:nvPicPr>
        <xdr:cNvPr id="7189" name="Picture 1384">
          <a:extLst>
            <a:ext uri="{FF2B5EF4-FFF2-40B4-BE49-F238E27FC236}">
              <a16:creationId xmlns:a16="http://schemas.microsoft.com/office/drawing/2014/main" xmlns="" id="{00000000-0008-0000-0600-000015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3025" y="5762625"/>
          <a:ext cx="457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590550</xdr:colOff>
      <xdr:row>30</xdr:row>
      <xdr:rowOff>257175</xdr:rowOff>
    </xdr:from>
    <xdr:to>
      <xdr:col>11</xdr:col>
      <xdr:colOff>1009650</xdr:colOff>
      <xdr:row>31</xdr:row>
      <xdr:rowOff>409575</xdr:rowOff>
    </xdr:to>
    <xdr:pic>
      <xdr:nvPicPr>
        <xdr:cNvPr id="7190" name="Picture 1383">
          <a:extLst>
            <a:ext uri="{FF2B5EF4-FFF2-40B4-BE49-F238E27FC236}">
              <a16:creationId xmlns:a16="http://schemas.microsoft.com/office/drawing/2014/main" xmlns="" id="{00000000-0008-0000-0600-000016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5" y="5686425"/>
          <a:ext cx="419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1800225</xdr:colOff>
      <xdr:row>31</xdr:row>
      <xdr:rowOff>66675</xdr:rowOff>
    </xdr:from>
    <xdr:to>
      <xdr:col>2</xdr:col>
      <xdr:colOff>2257425</xdr:colOff>
      <xdr:row>31</xdr:row>
      <xdr:rowOff>361950</xdr:rowOff>
    </xdr:to>
    <xdr:pic>
      <xdr:nvPicPr>
        <xdr:cNvPr id="7191" name="Picture 1415">
          <a:extLst>
            <a:ext uri="{FF2B5EF4-FFF2-40B4-BE49-F238E27FC236}">
              <a16:creationId xmlns:a16="http://schemas.microsoft.com/office/drawing/2014/main" xmlns="" id="{00000000-0008-0000-0600-000017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5762625"/>
          <a:ext cx="457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1800225</xdr:colOff>
      <xdr:row>42</xdr:row>
      <xdr:rowOff>66675</xdr:rowOff>
    </xdr:from>
    <xdr:to>
      <xdr:col>2</xdr:col>
      <xdr:colOff>2257425</xdr:colOff>
      <xdr:row>42</xdr:row>
      <xdr:rowOff>361950</xdr:rowOff>
    </xdr:to>
    <xdr:pic>
      <xdr:nvPicPr>
        <xdr:cNvPr id="7192" name="Picture 1414">
          <a:extLst>
            <a:ext uri="{FF2B5EF4-FFF2-40B4-BE49-F238E27FC236}">
              <a16:creationId xmlns:a16="http://schemas.microsoft.com/office/drawing/2014/main" xmlns="" id="{00000000-0008-0000-0600-000018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7820025"/>
          <a:ext cx="457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1362075</xdr:colOff>
      <xdr:row>42</xdr:row>
      <xdr:rowOff>47625</xdr:rowOff>
    </xdr:from>
    <xdr:to>
      <xdr:col>2</xdr:col>
      <xdr:colOff>1628775</xdr:colOff>
      <xdr:row>42</xdr:row>
      <xdr:rowOff>381000</xdr:rowOff>
    </xdr:to>
    <xdr:pic>
      <xdr:nvPicPr>
        <xdr:cNvPr id="7193" name="Picture 1419">
          <a:extLst>
            <a:ext uri="{FF2B5EF4-FFF2-40B4-BE49-F238E27FC236}">
              <a16:creationId xmlns:a16="http://schemas.microsoft.com/office/drawing/2014/main" xmlns="" id="{00000000-0008-0000-0600-000019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7800975"/>
          <a:ext cx="2667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1323975</xdr:colOff>
      <xdr:row>31</xdr:row>
      <xdr:rowOff>66675</xdr:rowOff>
    </xdr:from>
    <xdr:to>
      <xdr:col>2</xdr:col>
      <xdr:colOff>1619250</xdr:colOff>
      <xdr:row>31</xdr:row>
      <xdr:rowOff>361950</xdr:rowOff>
    </xdr:to>
    <xdr:pic>
      <xdr:nvPicPr>
        <xdr:cNvPr id="7194" name="Picture 1417">
          <a:extLst>
            <a:ext uri="{FF2B5EF4-FFF2-40B4-BE49-F238E27FC236}">
              <a16:creationId xmlns:a16="http://schemas.microsoft.com/office/drawing/2014/main" xmlns="" id="{00000000-0008-0000-0600-00001A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5762625"/>
          <a:ext cx="2952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638175</xdr:colOff>
      <xdr:row>6</xdr:row>
      <xdr:rowOff>47625</xdr:rowOff>
    </xdr:from>
    <xdr:to>
      <xdr:col>11</xdr:col>
      <xdr:colOff>971550</xdr:colOff>
      <xdr:row>6</xdr:row>
      <xdr:rowOff>381000</xdr:rowOff>
    </xdr:to>
    <xdr:pic>
      <xdr:nvPicPr>
        <xdr:cNvPr id="7195" name="Picture 1411" descr="Wales">
          <a:extLst>
            <a:ext uri="{FF2B5EF4-FFF2-40B4-BE49-F238E27FC236}">
              <a16:creationId xmlns:a16="http://schemas.microsoft.com/office/drawing/2014/main" xmlns="" id="{00000000-0008-0000-0600-00001B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3100" y="981075"/>
          <a:ext cx="3333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38100</xdr:colOff>
      <xdr:row>6</xdr:row>
      <xdr:rowOff>66675</xdr:rowOff>
    </xdr:from>
    <xdr:to>
      <xdr:col>11</xdr:col>
      <xdr:colOff>495300</xdr:colOff>
      <xdr:row>6</xdr:row>
      <xdr:rowOff>361950</xdr:rowOff>
    </xdr:to>
    <xdr:pic>
      <xdr:nvPicPr>
        <xdr:cNvPr id="7196" name="Picture 1410">
          <a:extLst>
            <a:ext uri="{FF2B5EF4-FFF2-40B4-BE49-F238E27FC236}">
              <a16:creationId xmlns:a16="http://schemas.microsoft.com/office/drawing/2014/main" xmlns="" id="{00000000-0008-0000-0600-00001C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3025" y="1000125"/>
          <a:ext cx="457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1800225</xdr:colOff>
      <xdr:row>56</xdr:row>
      <xdr:rowOff>66675</xdr:rowOff>
    </xdr:from>
    <xdr:to>
      <xdr:col>2</xdr:col>
      <xdr:colOff>2257425</xdr:colOff>
      <xdr:row>56</xdr:row>
      <xdr:rowOff>361950</xdr:rowOff>
    </xdr:to>
    <xdr:pic>
      <xdr:nvPicPr>
        <xdr:cNvPr id="7197" name="Picture 1403">
          <a:extLst>
            <a:ext uri="{FF2B5EF4-FFF2-40B4-BE49-F238E27FC236}">
              <a16:creationId xmlns:a16="http://schemas.microsoft.com/office/drawing/2014/main" xmlns="" id="{00000000-0008-0000-0600-00001D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10525125"/>
          <a:ext cx="457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1390650</xdr:colOff>
      <xdr:row>56</xdr:row>
      <xdr:rowOff>47625</xdr:rowOff>
    </xdr:from>
    <xdr:to>
      <xdr:col>2</xdr:col>
      <xdr:colOff>1600200</xdr:colOff>
      <xdr:row>56</xdr:row>
      <xdr:rowOff>342900</xdr:rowOff>
    </xdr:to>
    <xdr:pic>
      <xdr:nvPicPr>
        <xdr:cNvPr id="7198" name="Picture 1404" descr="NED">
          <a:extLst>
            <a:ext uri="{FF2B5EF4-FFF2-40B4-BE49-F238E27FC236}">
              <a16:creationId xmlns:a16="http://schemas.microsoft.com/office/drawing/2014/main" xmlns="" id="{00000000-0008-0000-0600-00001E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clrChange>
            <a:clrFrom>
              <a:srgbClr val="FFFCF1"/>
            </a:clrFrom>
            <a:clrTo>
              <a:srgbClr val="FFFCF1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10506075"/>
          <a:ext cx="2095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609600</xdr:colOff>
      <xdr:row>55</xdr:row>
      <xdr:rowOff>238125</xdr:rowOff>
    </xdr:from>
    <xdr:to>
      <xdr:col>11</xdr:col>
      <xdr:colOff>1085850</xdr:colOff>
      <xdr:row>57</xdr:row>
      <xdr:rowOff>19050</xdr:rowOff>
    </xdr:to>
    <xdr:pic>
      <xdr:nvPicPr>
        <xdr:cNvPr id="7199" name="Picture 1370" descr="Austria">
          <a:extLst>
            <a:ext uri="{FF2B5EF4-FFF2-40B4-BE49-F238E27FC236}">
              <a16:creationId xmlns:a16="http://schemas.microsoft.com/office/drawing/2014/main" xmlns="" id="{00000000-0008-0000-0600-00001F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4525" y="10429875"/>
          <a:ext cx="4762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47625</xdr:colOff>
      <xdr:row>56</xdr:row>
      <xdr:rowOff>66675</xdr:rowOff>
    </xdr:from>
    <xdr:to>
      <xdr:col>11</xdr:col>
      <xdr:colOff>504825</xdr:colOff>
      <xdr:row>56</xdr:row>
      <xdr:rowOff>361950</xdr:rowOff>
    </xdr:to>
    <xdr:pic>
      <xdr:nvPicPr>
        <xdr:cNvPr id="7200" name="Picture 1371">
          <a:extLst>
            <a:ext uri="{FF2B5EF4-FFF2-40B4-BE49-F238E27FC236}">
              <a16:creationId xmlns:a16="http://schemas.microsoft.com/office/drawing/2014/main" xmlns="" id="{00000000-0008-0000-0600-000020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2550" y="10525125"/>
          <a:ext cx="457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638175</xdr:colOff>
      <xdr:row>92</xdr:row>
      <xdr:rowOff>38100</xdr:rowOff>
    </xdr:from>
    <xdr:to>
      <xdr:col>11</xdr:col>
      <xdr:colOff>990600</xdr:colOff>
      <xdr:row>92</xdr:row>
      <xdr:rowOff>390525</xdr:rowOff>
    </xdr:to>
    <xdr:pic>
      <xdr:nvPicPr>
        <xdr:cNvPr id="7201" name="Picture 1396">
          <a:extLst>
            <a:ext uri="{FF2B5EF4-FFF2-40B4-BE49-F238E27FC236}">
              <a16:creationId xmlns:a16="http://schemas.microsoft.com/office/drawing/2014/main" xmlns="" id="{00000000-0008-0000-0600-00002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3100" y="17316450"/>
          <a:ext cx="3524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38100</xdr:colOff>
      <xdr:row>92</xdr:row>
      <xdr:rowOff>66675</xdr:rowOff>
    </xdr:from>
    <xdr:to>
      <xdr:col>11</xdr:col>
      <xdr:colOff>495300</xdr:colOff>
      <xdr:row>92</xdr:row>
      <xdr:rowOff>361950</xdr:rowOff>
    </xdr:to>
    <xdr:pic>
      <xdr:nvPicPr>
        <xdr:cNvPr id="7202" name="Picture 1397">
          <a:extLst>
            <a:ext uri="{FF2B5EF4-FFF2-40B4-BE49-F238E27FC236}">
              <a16:creationId xmlns:a16="http://schemas.microsoft.com/office/drawing/2014/main" xmlns="" id="{00000000-0008-0000-0600-000022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3025" y="17345025"/>
          <a:ext cx="457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1800225</xdr:colOff>
      <xdr:row>92</xdr:row>
      <xdr:rowOff>66675</xdr:rowOff>
    </xdr:from>
    <xdr:to>
      <xdr:col>2</xdr:col>
      <xdr:colOff>2257425</xdr:colOff>
      <xdr:row>92</xdr:row>
      <xdr:rowOff>361950</xdr:rowOff>
    </xdr:to>
    <xdr:pic>
      <xdr:nvPicPr>
        <xdr:cNvPr id="7203" name="Picture 1394">
          <a:extLst>
            <a:ext uri="{FF2B5EF4-FFF2-40B4-BE49-F238E27FC236}">
              <a16:creationId xmlns:a16="http://schemas.microsoft.com/office/drawing/2014/main" xmlns="" id="{00000000-0008-0000-0600-000023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17345025"/>
          <a:ext cx="457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1314450</xdr:colOff>
      <xdr:row>92</xdr:row>
      <xdr:rowOff>38100</xdr:rowOff>
    </xdr:from>
    <xdr:to>
      <xdr:col>2</xdr:col>
      <xdr:colOff>1676400</xdr:colOff>
      <xdr:row>92</xdr:row>
      <xdr:rowOff>400050</xdr:rowOff>
    </xdr:to>
    <xdr:pic>
      <xdr:nvPicPr>
        <xdr:cNvPr id="7204" name="Picture 1395">
          <a:extLst>
            <a:ext uri="{FF2B5EF4-FFF2-40B4-BE49-F238E27FC236}">
              <a16:creationId xmlns:a16="http://schemas.microsoft.com/office/drawing/2014/main" xmlns="" id="{00000000-0008-0000-0600-000024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173164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1323975</xdr:colOff>
      <xdr:row>81</xdr:row>
      <xdr:rowOff>47625</xdr:rowOff>
    </xdr:from>
    <xdr:to>
      <xdr:col>2</xdr:col>
      <xdr:colOff>1647825</xdr:colOff>
      <xdr:row>81</xdr:row>
      <xdr:rowOff>390525</xdr:rowOff>
    </xdr:to>
    <xdr:pic>
      <xdr:nvPicPr>
        <xdr:cNvPr id="7205" name="Picture 1399" descr="logo_eng">
          <a:extLst>
            <a:ext uri="{FF2B5EF4-FFF2-40B4-BE49-F238E27FC236}">
              <a16:creationId xmlns:a16="http://schemas.microsoft.com/office/drawing/2014/main" xmlns="" id="{00000000-0008-0000-0600-000025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15268575"/>
          <a:ext cx="3238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1800225</xdr:colOff>
      <xdr:row>81</xdr:row>
      <xdr:rowOff>66675</xdr:rowOff>
    </xdr:from>
    <xdr:to>
      <xdr:col>2</xdr:col>
      <xdr:colOff>2257425</xdr:colOff>
      <xdr:row>81</xdr:row>
      <xdr:rowOff>361950</xdr:rowOff>
    </xdr:to>
    <xdr:pic>
      <xdr:nvPicPr>
        <xdr:cNvPr id="7206" name="Picture 1398">
          <a:extLst>
            <a:ext uri="{FF2B5EF4-FFF2-40B4-BE49-F238E27FC236}">
              <a16:creationId xmlns:a16="http://schemas.microsoft.com/office/drawing/2014/main" xmlns="" id="{00000000-0008-0000-0600-000026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15287625"/>
          <a:ext cx="457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47625</xdr:colOff>
      <xdr:row>106</xdr:row>
      <xdr:rowOff>66675</xdr:rowOff>
    </xdr:from>
    <xdr:to>
      <xdr:col>11</xdr:col>
      <xdr:colOff>504825</xdr:colOff>
      <xdr:row>106</xdr:row>
      <xdr:rowOff>361950</xdr:rowOff>
    </xdr:to>
    <xdr:pic>
      <xdr:nvPicPr>
        <xdr:cNvPr id="7207" name="Picture 1387">
          <a:extLst>
            <a:ext uri="{FF2B5EF4-FFF2-40B4-BE49-F238E27FC236}">
              <a16:creationId xmlns:a16="http://schemas.microsoft.com/office/drawing/2014/main" xmlns="" id="{00000000-0008-0000-0600-000027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2550" y="20050125"/>
          <a:ext cx="457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1314450</xdr:colOff>
      <xdr:row>117</xdr:row>
      <xdr:rowOff>28575</xdr:rowOff>
    </xdr:from>
    <xdr:to>
      <xdr:col>2</xdr:col>
      <xdr:colOff>1676400</xdr:colOff>
      <xdr:row>117</xdr:row>
      <xdr:rowOff>390525</xdr:rowOff>
    </xdr:to>
    <xdr:pic>
      <xdr:nvPicPr>
        <xdr:cNvPr id="7208" name="Picture 1382" descr="Sweden">
          <a:extLst>
            <a:ext uri="{FF2B5EF4-FFF2-40B4-BE49-F238E27FC236}">
              <a16:creationId xmlns:a16="http://schemas.microsoft.com/office/drawing/2014/main" xmlns="" id="{00000000-0008-0000-0600-000028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20694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1800225</xdr:colOff>
      <xdr:row>117</xdr:row>
      <xdr:rowOff>66675</xdr:rowOff>
    </xdr:from>
    <xdr:to>
      <xdr:col>2</xdr:col>
      <xdr:colOff>2257425</xdr:colOff>
      <xdr:row>117</xdr:row>
      <xdr:rowOff>361950</xdr:rowOff>
    </xdr:to>
    <xdr:pic>
      <xdr:nvPicPr>
        <xdr:cNvPr id="7209" name="Picture 1381">
          <a:extLst>
            <a:ext uri="{FF2B5EF4-FFF2-40B4-BE49-F238E27FC236}">
              <a16:creationId xmlns:a16="http://schemas.microsoft.com/office/drawing/2014/main" xmlns="" id="{00000000-0008-0000-0600-000029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22107525"/>
          <a:ext cx="457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676275</xdr:colOff>
      <xdr:row>106</xdr:row>
      <xdr:rowOff>0</xdr:rowOff>
    </xdr:from>
    <xdr:to>
      <xdr:col>11</xdr:col>
      <xdr:colOff>952500</xdr:colOff>
      <xdr:row>106</xdr:row>
      <xdr:rowOff>409575</xdr:rowOff>
    </xdr:to>
    <xdr:pic>
      <xdr:nvPicPr>
        <xdr:cNvPr id="7210" name="Picture 1388">
          <a:extLst>
            <a:ext uri="{FF2B5EF4-FFF2-40B4-BE49-F238E27FC236}">
              <a16:creationId xmlns:a16="http://schemas.microsoft.com/office/drawing/2014/main" xmlns="" id="{00000000-0008-0000-0600-00002A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19983450"/>
          <a:ext cx="2762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1419225</xdr:colOff>
      <xdr:row>142</xdr:row>
      <xdr:rowOff>76200</xdr:rowOff>
    </xdr:from>
    <xdr:to>
      <xdr:col>2</xdr:col>
      <xdr:colOff>1638300</xdr:colOff>
      <xdr:row>142</xdr:row>
      <xdr:rowOff>361950</xdr:rowOff>
    </xdr:to>
    <xdr:pic>
      <xdr:nvPicPr>
        <xdr:cNvPr id="7211" name="Picture 1364" descr="POR">
          <a:extLst>
            <a:ext uri="{FF2B5EF4-FFF2-40B4-BE49-F238E27FC236}">
              <a16:creationId xmlns:a16="http://schemas.microsoft.com/office/drawing/2014/main" xmlns="" id="{00000000-0008-0000-0600-00002B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26879550"/>
          <a:ext cx="2190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1800225</xdr:colOff>
      <xdr:row>142</xdr:row>
      <xdr:rowOff>66675</xdr:rowOff>
    </xdr:from>
    <xdr:to>
      <xdr:col>2</xdr:col>
      <xdr:colOff>2257425</xdr:colOff>
      <xdr:row>142</xdr:row>
      <xdr:rowOff>361950</xdr:rowOff>
    </xdr:to>
    <xdr:pic>
      <xdr:nvPicPr>
        <xdr:cNvPr id="7212" name="Picture 1365">
          <a:extLst>
            <a:ext uri="{FF2B5EF4-FFF2-40B4-BE49-F238E27FC236}">
              <a16:creationId xmlns:a16="http://schemas.microsoft.com/office/drawing/2014/main" xmlns="" id="{00000000-0008-0000-0600-00002C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26870025"/>
          <a:ext cx="457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1343025</xdr:colOff>
      <xdr:row>106</xdr:row>
      <xdr:rowOff>47625</xdr:rowOff>
    </xdr:from>
    <xdr:to>
      <xdr:col>2</xdr:col>
      <xdr:colOff>1647825</xdr:colOff>
      <xdr:row>106</xdr:row>
      <xdr:rowOff>371475</xdr:rowOff>
    </xdr:to>
    <xdr:pic>
      <xdr:nvPicPr>
        <xdr:cNvPr id="7213" name="Picture 1385" descr="ESP">
          <a:extLst>
            <a:ext uri="{FF2B5EF4-FFF2-40B4-BE49-F238E27FC236}">
              <a16:creationId xmlns:a16="http://schemas.microsoft.com/office/drawing/2014/main" xmlns="" id="{00000000-0008-0000-0600-00002D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0" y="20031075"/>
          <a:ext cx="3048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1800225</xdr:colOff>
      <xdr:row>106</xdr:row>
      <xdr:rowOff>66675</xdr:rowOff>
    </xdr:from>
    <xdr:to>
      <xdr:col>2</xdr:col>
      <xdr:colOff>2257425</xdr:colOff>
      <xdr:row>106</xdr:row>
      <xdr:rowOff>361950</xdr:rowOff>
    </xdr:to>
    <xdr:pic>
      <xdr:nvPicPr>
        <xdr:cNvPr id="7214" name="Picture 1386">
          <a:extLst>
            <a:ext uri="{FF2B5EF4-FFF2-40B4-BE49-F238E27FC236}">
              <a16:creationId xmlns:a16="http://schemas.microsoft.com/office/drawing/2014/main" xmlns="" id="{00000000-0008-0000-0600-00002E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20050125"/>
          <a:ext cx="457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676275</xdr:colOff>
      <xdr:row>131</xdr:row>
      <xdr:rowOff>19050</xdr:rowOff>
    </xdr:from>
    <xdr:to>
      <xdr:col>11</xdr:col>
      <xdr:colOff>1019175</xdr:colOff>
      <xdr:row>131</xdr:row>
      <xdr:rowOff>371475</xdr:rowOff>
    </xdr:to>
    <xdr:pic>
      <xdr:nvPicPr>
        <xdr:cNvPr id="7215" name="Picture 1369">
          <a:extLst>
            <a:ext uri="{FF2B5EF4-FFF2-40B4-BE49-F238E27FC236}">
              <a16:creationId xmlns:a16="http://schemas.microsoft.com/office/drawing/2014/main" xmlns="" id="{00000000-0008-0000-0600-00002F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clrChange>
            <a:clrFrom>
              <a:srgbClr val="F9F6FF"/>
            </a:clrFrom>
            <a:clrTo>
              <a:srgbClr val="F9F6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0" y="24765000"/>
          <a:ext cx="3429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47625</xdr:colOff>
      <xdr:row>131</xdr:row>
      <xdr:rowOff>66675</xdr:rowOff>
    </xdr:from>
    <xdr:to>
      <xdr:col>11</xdr:col>
      <xdr:colOff>504825</xdr:colOff>
      <xdr:row>131</xdr:row>
      <xdr:rowOff>361950</xdr:rowOff>
    </xdr:to>
    <xdr:pic>
      <xdr:nvPicPr>
        <xdr:cNvPr id="7216" name="Picture 1368">
          <a:extLst>
            <a:ext uri="{FF2B5EF4-FFF2-40B4-BE49-F238E27FC236}">
              <a16:creationId xmlns:a16="http://schemas.microsoft.com/office/drawing/2014/main" xmlns="" id="{00000000-0008-0000-0600-000030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2550" y="24812625"/>
          <a:ext cx="457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685800</xdr:colOff>
      <xdr:row>142</xdr:row>
      <xdr:rowOff>85725</xdr:rowOff>
    </xdr:from>
    <xdr:to>
      <xdr:col>11</xdr:col>
      <xdr:colOff>962025</xdr:colOff>
      <xdr:row>142</xdr:row>
      <xdr:rowOff>361950</xdr:rowOff>
    </xdr:to>
    <xdr:pic>
      <xdr:nvPicPr>
        <xdr:cNvPr id="7217" name="Picture 1366" descr="GER">
          <a:extLst>
            <a:ext uri="{FF2B5EF4-FFF2-40B4-BE49-F238E27FC236}">
              <a16:creationId xmlns:a16="http://schemas.microsoft.com/office/drawing/2014/main" xmlns="" id="{00000000-0008-0000-0600-00003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0725" y="2688907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47625</xdr:colOff>
      <xdr:row>142</xdr:row>
      <xdr:rowOff>66675</xdr:rowOff>
    </xdr:from>
    <xdr:to>
      <xdr:col>11</xdr:col>
      <xdr:colOff>504825</xdr:colOff>
      <xdr:row>142</xdr:row>
      <xdr:rowOff>361950</xdr:rowOff>
    </xdr:to>
    <xdr:pic>
      <xdr:nvPicPr>
        <xdr:cNvPr id="7218" name="Picture 1367">
          <a:extLst>
            <a:ext uri="{FF2B5EF4-FFF2-40B4-BE49-F238E27FC236}">
              <a16:creationId xmlns:a16="http://schemas.microsoft.com/office/drawing/2014/main" xmlns="" id="{00000000-0008-0000-0600-000032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2550" y="26870025"/>
          <a:ext cx="457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628650</xdr:colOff>
      <xdr:row>17</xdr:row>
      <xdr:rowOff>38100</xdr:rowOff>
    </xdr:from>
    <xdr:to>
      <xdr:col>11</xdr:col>
      <xdr:colOff>971550</xdr:colOff>
      <xdr:row>17</xdr:row>
      <xdr:rowOff>381000</xdr:rowOff>
    </xdr:to>
    <xdr:pic>
      <xdr:nvPicPr>
        <xdr:cNvPr id="7219" name="Picture 1256" descr="SUI">
          <a:extLst>
            <a:ext uri="{FF2B5EF4-FFF2-40B4-BE49-F238E27FC236}">
              <a16:creationId xmlns:a16="http://schemas.microsoft.com/office/drawing/2014/main" xmlns="" id="{00000000-0008-0000-0600-000033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3575" y="3028950"/>
          <a:ext cx="3429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38100</xdr:colOff>
      <xdr:row>17</xdr:row>
      <xdr:rowOff>66675</xdr:rowOff>
    </xdr:from>
    <xdr:to>
      <xdr:col>11</xdr:col>
      <xdr:colOff>495300</xdr:colOff>
      <xdr:row>17</xdr:row>
      <xdr:rowOff>361950</xdr:rowOff>
    </xdr:to>
    <xdr:pic>
      <xdr:nvPicPr>
        <xdr:cNvPr id="7220" name="Picture 1257">
          <a:extLst>
            <a:ext uri="{FF2B5EF4-FFF2-40B4-BE49-F238E27FC236}">
              <a16:creationId xmlns:a16="http://schemas.microsoft.com/office/drawing/2014/main" xmlns="" id="{00000000-0008-0000-0600-000034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3025" y="3057525"/>
          <a:ext cx="457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228600</xdr:colOff>
      <xdr:row>5</xdr:row>
      <xdr:rowOff>0</xdr:rowOff>
    </xdr:from>
    <xdr:to>
      <xdr:col>9</xdr:col>
      <xdr:colOff>9525</xdr:colOff>
      <xdr:row>5</xdr:row>
      <xdr:rowOff>190500</xdr:rowOff>
    </xdr:to>
    <xdr:sp macro="" textlink="">
      <xdr:nvSpPr>
        <xdr:cNvPr id="12225" name="Text Box 961">
          <a:extLst>
            <a:ext uri="{FF2B5EF4-FFF2-40B4-BE49-F238E27FC236}">
              <a16:creationId xmlns:a16="http://schemas.microsoft.com/office/drawing/2014/main" xmlns="" id="{00000000-0008-0000-0600-0000C12F0000}"/>
            </a:ext>
          </a:extLst>
        </xdr:cNvPr>
        <xdr:cNvSpPr txBox="1">
          <a:spLocks noChangeArrowheads="1"/>
        </xdr:cNvSpPr>
      </xdr:nvSpPr>
      <xdr:spPr bwMode="auto">
        <a:xfrm>
          <a:off x="2990850" y="666750"/>
          <a:ext cx="5467350" cy="190500"/>
        </a:xfrm>
        <a:prstGeom prst="rect">
          <a:avLst/>
        </a:prstGeom>
        <a:gradFill rotWithShape="0">
          <a:gsLst>
            <a:gs pos="0">
              <a:srgbClr val="009CB3"/>
            </a:gs>
            <a:gs pos="100000">
              <a:srgbClr val="005C68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/>
      </xdr:spPr>
      <xdr:txBody>
        <a:bodyPr vertOverflow="clip" wrap="square" lIns="14400" tIns="0" rIns="0" bIns="0" anchor="ctr" upright="1"/>
        <a:lstStyle/>
        <a:p>
          <a:pPr algn="ctr" rtl="0">
            <a:defRPr sz="1000"/>
          </a:pPr>
          <a:r>
            <a:rPr lang="hu-HU" sz="800" b="1" i="0" u="none" strike="noStrike" baseline="0">
              <a:solidFill>
                <a:srgbClr val="FFFFFF"/>
              </a:solidFill>
              <a:latin typeface="Arial Unicode MS"/>
            </a:rPr>
            <a:t>A CSOPORT</a:t>
          </a:r>
        </a:p>
      </xdr:txBody>
    </xdr:sp>
    <xdr:clientData/>
  </xdr:twoCellAnchor>
  <xdr:twoCellAnchor>
    <xdr:from>
      <xdr:col>3</xdr:col>
      <xdr:colOff>0</xdr:colOff>
      <xdr:row>26</xdr:row>
      <xdr:rowOff>0</xdr:rowOff>
    </xdr:from>
    <xdr:to>
      <xdr:col>8</xdr:col>
      <xdr:colOff>2333625</xdr:colOff>
      <xdr:row>26</xdr:row>
      <xdr:rowOff>0</xdr:rowOff>
    </xdr:to>
    <xdr:grpSp>
      <xdr:nvGrpSpPr>
        <xdr:cNvPr id="7222" name="Group 205">
          <a:extLst>
            <a:ext uri="{FF2B5EF4-FFF2-40B4-BE49-F238E27FC236}">
              <a16:creationId xmlns:a16="http://schemas.microsoft.com/office/drawing/2014/main" xmlns="" id="{00000000-0008-0000-0600-0000361C0000}"/>
            </a:ext>
          </a:extLst>
        </xdr:cNvPr>
        <xdr:cNvGrpSpPr>
          <a:grpSpLocks/>
        </xdr:cNvGrpSpPr>
      </xdr:nvGrpSpPr>
      <xdr:grpSpPr bwMode="auto">
        <a:xfrm>
          <a:off x="2524125" y="4743450"/>
          <a:ext cx="5924550" cy="0"/>
          <a:chOff x="186" y="63"/>
          <a:chExt cx="580" cy="17"/>
        </a:xfrm>
      </xdr:grpSpPr>
      <xdr:sp macro="" textlink="">
        <xdr:nvSpPr>
          <xdr:cNvPr id="11434" name="AutoShape 170">
            <a:hlinkClick xmlns:r="http://schemas.openxmlformats.org/officeDocument/2006/relationships" r:id="rId53" tooltip="A csoport"/>
            <a:extLst>
              <a:ext uri="{FF2B5EF4-FFF2-40B4-BE49-F238E27FC236}">
                <a16:creationId xmlns:a16="http://schemas.microsoft.com/office/drawing/2014/main" xmlns="" id="{00000000-0008-0000-0600-0000AA2C0000}"/>
              </a:ext>
            </a:extLst>
          </xdr:cNvPr>
          <xdr:cNvSpPr>
            <a:spLocks noChangeArrowheads="1"/>
          </xdr:cNvSpPr>
        </xdr:nvSpPr>
        <xdr:spPr bwMode="auto">
          <a:xfrm>
            <a:off x="-660752483771" y="4743450"/>
            <a:ext cx="66" cy="0"/>
          </a:xfrm>
          <a:prstGeom prst="bevel">
            <a:avLst>
              <a:gd name="adj" fmla="val 12500"/>
            </a:avLst>
          </a:prstGeom>
          <a:gradFill rotWithShape="0">
            <a:gsLst>
              <a:gs pos="0">
                <a:srgbClr val="FFFFFF"/>
              </a:gs>
              <a:gs pos="100000">
                <a:srgbClr val="C0C0C0"/>
              </a:gs>
            </a:gsLst>
            <a:lin ang="5400000" scaled="1"/>
          </a:gradFill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000000"/>
                </a:solidFill>
                <a:latin typeface="Verdana"/>
                <a:ea typeface="Verdana"/>
              </a:rPr>
              <a:t>A csoport</a:t>
            </a:r>
          </a:p>
        </xdr:txBody>
      </xdr:sp>
      <xdr:sp macro="" textlink="">
        <xdr:nvSpPr>
          <xdr:cNvPr id="11440" name="Text Box 176">
            <a:extLst>
              <a:ext uri="{FF2B5EF4-FFF2-40B4-BE49-F238E27FC236}">
                <a16:creationId xmlns:a16="http://schemas.microsoft.com/office/drawing/2014/main" xmlns="" id="{00000000-0008-0000-0600-0000B02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194520106763" y="4743450"/>
            <a:ext cx="49" cy="0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0" tIns="0" rIns="0" bIns="0" anchor="t" upright="1"/>
          <a:lstStyle/>
          <a:p>
            <a:pPr algn="r" rtl="0">
              <a:defRPr sz="1000"/>
            </a:pPr>
            <a:r>
              <a:rPr lang="hu-HU" sz="700" b="0" i="1" u="none" strike="noStrike" baseline="0">
                <a:solidFill>
                  <a:srgbClr val="FFFFFF"/>
                </a:solidFill>
                <a:latin typeface="Verdana"/>
                <a:ea typeface="Verdana"/>
              </a:rPr>
              <a:t>Lapozás:</a:t>
            </a:r>
          </a:p>
        </xdr:txBody>
      </xdr:sp>
      <xdr:sp macro="" textlink="">
        <xdr:nvSpPr>
          <xdr:cNvPr id="11441" name="AutoShape 177">
            <a:hlinkClick xmlns:r="http://schemas.openxmlformats.org/officeDocument/2006/relationships" r:id="rId54" tooltip="B csoport"/>
            <a:extLst>
              <a:ext uri="{FF2B5EF4-FFF2-40B4-BE49-F238E27FC236}">
                <a16:creationId xmlns:a16="http://schemas.microsoft.com/office/drawing/2014/main" xmlns="" id="{00000000-0008-0000-0600-0000B12C0000}"/>
              </a:ext>
            </a:extLst>
          </xdr:cNvPr>
          <xdr:cNvSpPr>
            <a:spLocks noChangeArrowheads="1"/>
          </xdr:cNvSpPr>
        </xdr:nvSpPr>
        <xdr:spPr bwMode="auto">
          <a:xfrm>
            <a:off x="2868552367055" y="4743450"/>
            <a:ext cx="64" cy="0"/>
          </a:xfrm>
          <a:prstGeom prst="bevel">
            <a:avLst>
              <a:gd name="adj" fmla="val 12500"/>
            </a:avLst>
          </a:prstGeom>
          <a:gradFill rotWithShape="0">
            <a:gsLst>
              <a:gs pos="0">
                <a:srgbClr val="FFFFFF"/>
              </a:gs>
              <a:gs pos="100000">
                <a:srgbClr val="C0C0C0"/>
              </a:gs>
            </a:gsLst>
            <a:lin ang="5400000" scaled="1"/>
          </a:gradFill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000000"/>
                </a:solidFill>
                <a:latin typeface="Verdana"/>
                <a:ea typeface="Verdana"/>
              </a:rPr>
              <a:t>B csoport</a:t>
            </a:r>
          </a:p>
        </xdr:txBody>
      </xdr:sp>
      <xdr:sp macro="" textlink="">
        <xdr:nvSpPr>
          <xdr:cNvPr id="11442" name="AutoShape 178">
            <a:hlinkClick xmlns:r="http://schemas.openxmlformats.org/officeDocument/2006/relationships" r:id="rId55" tooltip="C csoport"/>
            <a:extLst>
              <a:ext uri="{FF2B5EF4-FFF2-40B4-BE49-F238E27FC236}">
                <a16:creationId xmlns:a16="http://schemas.microsoft.com/office/drawing/2014/main" xmlns="" id="{00000000-0008-0000-0600-0000B22C0000}"/>
              </a:ext>
            </a:extLst>
          </xdr:cNvPr>
          <xdr:cNvSpPr>
            <a:spLocks noChangeArrowheads="1"/>
          </xdr:cNvSpPr>
        </xdr:nvSpPr>
        <xdr:spPr bwMode="auto">
          <a:xfrm>
            <a:off x="-4948359977246" y="4743450"/>
            <a:ext cx="66" cy="0"/>
          </a:xfrm>
          <a:prstGeom prst="bevel">
            <a:avLst>
              <a:gd name="adj" fmla="val 12500"/>
            </a:avLst>
          </a:prstGeom>
          <a:gradFill rotWithShape="0">
            <a:gsLst>
              <a:gs pos="0">
                <a:srgbClr val="FFFFFF"/>
              </a:gs>
              <a:gs pos="100000">
                <a:srgbClr val="C0C0C0"/>
              </a:gs>
            </a:gsLst>
            <a:lin ang="5400000" scaled="1"/>
          </a:gradFill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000000"/>
                </a:solidFill>
                <a:latin typeface="Verdana"/>
                <a:ea typeface="Verdana"/>
              </a:rPr>
              <a:t>C csoport</a:t>
            </a:r>
          </a:p>
        </xdr:txBody>
      </xdr:sp>
      <xdr:sp macro="" textlink="">
        <xdr:nvSpPr>
          <xdr:cNvPr id="11443" name="AutoShape 179">
            <a:hlinkClick xmlns:r="http://schemas.openxmlformats.org/officeDocument/2006/relationships" r:id="rId56" tooltip="D csoport"/>
            <a:extLst>
              <a:ext uri="{FF2B5EF4-FFF2-40B4-BE49-F238E27FC236}">
                <a16:creationId xmlns:a16="http://schemas.microsoft.com/office/drawing/2014/main" xmlns="" id="{00000000-0008-0000-0600-0000B32C0000}"/>
              </a:ext>
            </a:extLst>
          </xdr:cNvPr>
          <xdr:cNvSpPr>
            <a:spLocks noChangeArrowheads="1"/>
          </xdr:cNvSpPr>
        </xdr:nvSpPr>
        <xdr:spPr bwMode="auto">
          <a:xfrm>
            <a:off x="-13995887624471" y="4743450"/>
            <a:ext cx="66" cy="0"/>
          </a:xfrm>
          <a:prstGeom prst="bevel">
            <a:avLst>
              <a:gd name="adj" fmla="val 12500"/>
            </a:avLst>
          </a:prstGeom>
          <a:gradFill rotWithShape="0">
            <a:gsLst>
              <a:gs pos="0">
                <a:srgbClr val="FFFFFF"/>
              </a:gs>
              <a:gs pos="100000">
                <a:srgbClr val="C0C0C0"/>
              </a:gs>
            </a:gsLst>
            <a:lin ang="5400000" scaled="1"/>
          </a:gradFill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000000"/>
                </a:solidFill>
                <a:latin typeface="Verdana"/>
                <a:ea typeface="Verdana"/>
              </a:rPr>
              <a:t>D csoport</a:t>
            </a:r>
          </a:p>
        </xdr:txBody>
      </xdr:sp>
      <xdr:sp macro="" textlink="">
        <xdr:nvSpPr>
          <xdr:cNvPr id="11444" name="AutoShape 180">
            <a:hlinkClick xmlns:r="http://schemas.openxmlformats.org/officeDocument/2006/relationships" r:id="rId57" tooltip="H csoport"/>
            <a:extLst>
              <a:ext uri="{FF2B5EF4-FFF2-40B4-BE49-F238E27FC236}">
                <a16:creationId xmlns:a16="http://schemas.microsoft.com/office/drawing/2014/main" xmlns="" id="{00000000-0008-0000-0600-0000B42C0000}"/>
              </a:ext>
            </a:extLst>
          </xdr:cNvPr>
          <xdr:cNvSpPr>
            <a:spLocks noChangeArrowheads="1"/>
          </xdr:cNvSpPr>
        </xdr:nvSpPr>
        <xdr:spPr bwMode="auto">
          <a:xfrm>
            <a:off x="-3852836106258" y="4743450"/>
            <a:ext cx="65" cy="0"/>
          </a:xfrm>
          <a:prstGeom prst="bevel">
            <a:avLst>
              <a:gd name="adj" fmla="val 12500"/>
            </a:avLst>
          </a:prstGeom>
          <a:gradFill rotWithShape="0">
            <a:gsLst>
              <a:gs pos="0">
                <a:srgbClr val="FFFFFF"/>
              </a:gs>
              <a:gs pos="100000">
                <a:srgbClr val="C0C0C0"/>
              </a:gs>
            </a:gsLst>
            <a:lin ang="5400000" scaled="1"/>
          </a:gradFill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000000"/>
                </a:solidFill>
                <a:latin typeface="Verdana"/>
                <a:ea typeface="Verdana"/>
              </a:rPr>
              <a:t>H csoport</a:t>
            </a:r>
          </a:p>
        </xdr:txBody>
      </xdr:sp>
      <xdr:sp macro="" textlink="">
        <xdr:nvSpPr>
          <xdr:cNvPr id="11445" name="AutoShape 181">
            <a:hlinkClick xmlns:r="http://schemas.openxmlformats.org/officeDocument/2006/relationships" r:id="rId58" tooltip="E csoport"/>
            <a:extLst>
              <a:ext uri="{FF2B5EF4-FFF2-40B4-BE49-F238E27FC236}">
                <a16:creationId xmlns:a16="http://schemas.microsoft.com/office/drawing/2014/main" xmlns="" id="{00000000-0008-0000-0600-0000B52C0000}"/>
              </a:ext>
            </a:extLst>
          </xdr:cNvPr>
          <xdr:cNvSpPr>
            <a:spLocks noChangeArrowheads="1"/>
          </xdr:cNvSpPr>
        </xdr:nvSpPr>
        <xdr:spPr bwMode="auto">
          <a:xfrm>
            <a:off x="25686610425" y="4743450"/>
            <a:ext cx="0" cy="0"/>
          </a:xfrm>
          <a:prstGeom prst="bevel">
            <a:avLst>
              <a:gd name="adj" fmla="val 12500"/>
            </a:avLst>
          </a:prstGeom>
          <a:gradFill rotWithShape="0">
            <a:gsLst>
              <a:gs pos="0">
                <a:srgbClr val="FFFFFF"/>
              </a:gs>
              <a:gs pos="100000">
                <a:srgbClr val="C0C0C0"/>
              </a:gs>
            </a:gsLst>
            <a:lin ang="5400000" scaled="1"/>
          </a:gradFill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000000"/>
                </a:solidFill>
                <a:latin typeface="Verdana"/>
                <a:ea typeface="Verdana"/>
              </a:rPr>
              <a:t>E csoport</a:t>
            </a:r>
          </a:p>
        </xdr:txBody>
      </xdr:sp>
      <xdr:sp macro="" textlink="">
        <xdr:nvSpPr>
          <xdr:cNvPr id="11446" name="AutoShape 182">
            <a:hlinkClick xmlns:r="http://schemas.openxmlformats.org/officeDocument/2006/relationships" r:id="rId59" tooltip="F csoport"/>
            <a:extLst>
              <a:ext uri="{FF2B5EF4-FFF2-40B4-BE49-F238E27FC236}">
                <a16:creationId xmlns:a16="http://schemas.microsoft.com/office/drawing/2014/main" xmlns="" id="{00000000-0008-0000-0600-0000B62C0000}"/>
              </a:ext>
            </a:extLst>
          </xdr:cNvPr>
          <xdr:cNvSpPr>
            <a:spLocks noChangeArrowheads="1"/>
          </xdr:cNvSpPr>
        </xdr:nvSpPr>
        <xdr:spPr bwMode="auto">
          <a:xfrm>
            <a:off x="13011652534205" y="4743450"/>
            <a:ext cx="64" cy="0"/>
          </a:xfrm>
          <a:prstGeom prst="bevel">
            <a:avLst>
              <a:gd name="adj" fmla="val 12500"/>
            </a:avLst>
          </a:prstGeom>
          <a:gradFill rotWithShape="0">
            <a:gsLst>
              <a:gs pos="0">
                <a:srgbClr val="FFFFFF"/>
              </a:gs>
              <a:gs pos="100000">
                <a:srgbClr val="C0C0C0"/>
              </a:gs>
            </a:gsLst>
            <a:lin ang="5400000" scaled="1"/>
          </a:gradFill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000000"/>
                </a:solidFill>
                <a:latin typeface="Verdana"/>
                <a:ea typeface="Verdana"/>
              </a:rPr>
              <a:t>F csoport</a:t>
            </a:r>
          </a:p>
        </xdr:txBody>
      </xdr:sp>
      <xdr:sp macro="" textlink="">
        <xdr:nvSpPr>
          <xdr:cNvPr id="11447" name="AutoShape 183">
            <a:hlinkClick xmlns:r="http://schemas.openxmlformats.org/officeDocument/2006/relationships" r:id="rId60" tooltip="G csoport"/>
            <a:extLst>
              <a:ext uri="{FF2B5EF4-FFF2-40B4-BE49-F238E27FC236}">
                <a16:creationId xmlns:a16="http://schemas.microsoft.com/office/drawing/2014/main" xmlns="" id="{00000000-0008-0000-0600-0000B72C0000}"/>
              </a:ext>
            </a:extLst>
          </xdr:cNvPr>
          <xdr:cNvSpPr>
            <a:spLocks noChangeArrowheads="1"/>
          </xdr:cNvSpPr>
        </xdr:nvSpPr>
        <xdr:spPr bwMode="auto">
          <a:xfrm>
            <a:off x="16540908745617" y="4743450"/>
            <a:ext cx="65" cy="0"/>
          </a:xfrm>
          <a:prstGeom prst="bevel">
            <a:avLst>
              <a:gd name="adj" fmla="val 12500"/>
            </a:avLst>
          </a:prstGeom>
          <a:gradFill rotWithShape="0">
            <a:gsLst>
              <a:gs pos="0">
                <a:srgbClr val="FFFFFF"/>
              </a:gs>
              <a:gs pos="100000">
                <a:srgbClr val="C0C0C0"/>
              </a:gs>
            </a:gsLst>
            <a:lin ang="5400000" scaled="1"/>
          </a:gradFill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000000"/>
                </a:solidFill>
                <a:latin typeface="Verdana"/>
                <a:ea typeface="Verdana"/>
              </a:rPr>
              <a:t>G csoport</a:t>
            </a:r>
          </a:p>
        </xdr:txBody>
      </xdr:sp>
    </xdr:grpSp>
    <xdr:clientData/>
  </xdr:twoCellAnchor>
  <xdr:twoCellAnchor>
    <xdr:from>
      <xdr:col>3</xdr:col>
      <xdr:colOff>0</xdr:colOff>
      <xdr:row>51</xdr:row>
      <xdr:rowOff>0</xdr:rowOff>
    </xdr:from>
    <xdr:to>
      <xdr:col>8</xdr:col>
      <xdr:colOff>2333625</xdr:colOff>
      <xdr:row>51</xdr:row>
      <xdr:rowOff>0</xdr:rowOff>
    </xdr:to>
    <xdr:grpSp>
      <xdr:nvGrpSpPr>
        <xdr:cNvPr id="7223" name="Group 550">
          <a:extLst>
            <a:ext uri="{FF2B5EF4-FFF2-40B4-BE49-F238E27FC236}">
              <a16:creationId xmlns:a16="http://schemas.microsoft.com/office/drawing/2014/main" xmlns="" id="{00000000-0008-0000-0600-0000371C0000}"/>
            </a:ext>
          </a:extLst>
        </xdr:cNvPr>
        <xdr:cNvGrpSpPr>
          <a:grpSpLocks/>
        </xdr:cNvGrpSpPr>
      </xdr:nvGrpSpPr>
      <xdr:grpSpPr bwMode="auto">
        <a:xfrm>
          <a:off x="2524125" y="9505950"/>
          <a:ext cx="5924550" cy="0"/>
          <a:chOff x="186" y="63"/>
          <a:chExt cx="580" cy="17"/>
        </a:xfrm>
      </xdr:grpSpPr>
      <xdr:sp macro="" textlink="">
        <xdr:nvSpPr>
          <xdr:cNvPr id="11815" name="AutoShape 551">
            <a:hlinkClick xmlns:r="http://schemas.openxmlformats.org/officeDocument/2006/relationships" r:id="rId53" tooltip="A csoport"/>
            <a:extLst>
              <a:ext uri="{FF2B5EF4-FFF2-40B4-BE49-F238E27FC236}">
                <a16:creationId xmlns:a16="http://schemas.microsoft.com/office/drawing/2014/main" xmlns="" id="{00000000-0008-0000-0600-0000272E0000}"/>
              </a:ext>
            </a:extLst>
          </xdr:cNvPr>
          <xdr:cNvSpPr>
            <a:spLocks noChangeArrowheads="1"/>
          </xdr:cNvSpPr>
        </xdr:nvSpPr>
        <xdr:spPr bwMode="auto">
          <a:xfrm>
            <a:off x="-660752483771" y="9505950"/>
            <a:ext cx="66" cy="0"/>
          </a:xfrm>
          <a:prstGeom prst="bevel">
            <a:avLst>
              <a:gd name="adj" fmla="val 12500"/>
            </a:avLst>
          </a:prstGeom>
          <a:gradFill rotWithShape="0">
            <a:gsLst>
              <a:gs pos="0">
                <a:srgbClr val="FFFFFF"/>
              </a:gs>
              <a:gs pos="100000">
                <a:srgbClr val="C0C0C0"/>
              </a:gs>
            </a:gsLst>
            <a:lin ang="5400000" scaled="1"/>
          </a:gradFill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000000"/>
                </a:solidFill>
                <a:latin typeface="Verdana"/>
                <a:ea typeface="Verdana"/>
              </a:rPr>
              <a:t>A csoport</a:t>
            </a:r>
          </a:p>
        </xdr:txBody>
      </xdr:sp>
      <xdr:sp macro="" textlink="">
        <xdr:nvSpPr>
          <xdr:cNvPr id="11816" name="Text Box 552">
            <a:extLst>
              <a:ext uri="{FF2B5EF4-FFF2-40B4-BE49-F238E27FC236}">
                <a16:creationId xmlns:a16="http://schemas.microsoft.com/office/drawing/2014/main" xmlns="" id="{00000000-0008-0000-0600-0000282E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194520106763" y="9505950"/>
            <a:ext cx="49" cy="0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0" tIns="0" rIns="0" bIns="0" anchor="t" upright="1"/>
          <a:lstStyle/>
          <a:p>
            <a:pPr algn="r" rtl="0">
              <a:defRPr sz="1000"/>
            </a:pPr>
            <a:r>
              <a:rPr lang="hu-HU" sz="700" b="0" i="1" u="none" strike="noStrike" baseline="0">
                <a:solidFill>
                  <a:srgbClr val="FFFFFF"/>
                </a:solidFill>
                <a:latin typeface="Verdana"/>
                <a:ea typeface="Verdana"/>
              </a:rPr>
              <a:t>Lapozás:</a:t>
            </a:r>
          </a:p>
        </xdr:txBody>
      </xdr:sp>
      <xdr:sp macro="" textlink="">
        <xdr:nvSpPr>
          <xdr:cNvPr id="11817" name="AutoShape 553">
            <a:hlinkClick xmlns:r="http://schemas.openxmlformats.org/officeDocument/2006/relationships" r:id="rId54" tooltip="B csoport"/>
            <a:extLst>
              <a:ext uri="{FF2B5EF4-FFF2-40B4-BE49-F238E27FC236}">
                <a16:creationId xmlns:a16="http://schemas.microsoft.com/office/drawing/2014/main" xmlns="" id="{00000000-0008-0000-0600-0000292E0000}"/>
              </a:ext>
            </a:extLst>
          </xdr:cNvPr>
          <xdr:cNvSpPr>
            <a:spLocks noChangeArrowheads="1"/>
          </xdr:cNvSpPr>
        </xdr:nvSpPr>
        <xdr:spPr bwMode="auto">
          <a:xfrm>
            <a:off x="2868552367055" y="9505950"/>
            <a:ext cx="64" cy="0"/>
          </a:xfrm>
          <a:prstGeom prst="bevel">
            <a:avLst>
              <a:gd name="adj" fmla="val 12500"/>
            </a:avLst>
          </a:prstGeom>
          <a:gradFill rotWithShape="0">
            <a:gsLst>
              <a:gs pos="0">
                <a:srgbClr val="FFFFFF"/>
              </a:gs>
              <a:gs pos="100000">
                <a:srgbClr val="C0C0C0"/>
              </a:gs>
            </a:gsLst>
            <a:lin ang="5400000" scaled="1"/>
          </a:gradFill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000000"/>
                </a:solidFill>
                <a:latin typeface="Verdana"/>
                <a:ea typeface="Verdana"/>
              </a:rPr>
              <a:t>B csoport</a:t>
            </a:r>
          </a:p>
        </xdr:txBody>
      </xdr:sp>
      <xdr:sp macro="" textlink="">
        <xdr:nvSpPr>
          <xdr:cNvPr id="11818" name="AutoShape 554">
            <a:hlinkClick xmlns:r="http://schemas.openxmlformats.org/officeDocument/2006/relationships" r:id="rId55" tooltip="C csoport"/>
            <a:extLst>
              <a:ext uri="{FF2B5EF4-FFF2-40B4-BE49-F238E27FC236}">
                <a16:creationId xmlns:a16="http://schemas.microsoft.com/office/drawing/2014/main" xmlns="" id="{00000000-0008-0000-0600-00002A2E0000}"/>
              </a:ext>
            </a:extLst>
          </xdr:cNvPr>
          <xdr:cNvSpPr>
            <a:spLocks noChangeArrowheads="1"/>
          </xdr:cNvSpPr>
        </xdr:nvSpPr>
        <xdr:spPr bwMode="auto">
          <a:xfrm>
            <a:off x="-4948359977246" y="9505950"/>
            <a:ext cx="66" cy="0"/>
          </a:xfrm>
          <a:prstGeom prst="bevel">
            <a:avLst>
              <a:gd name="adj" fmla="val 12500"/>
            </a:avLst>
          </a:prstGeom>
          <a:gradFill rotWithShape="0">
            <a:gsLst>
              <a:gs pos="0">
                <a:srgbClr val="FFFFFF"/>
              </a:gs>
              <a:gs pos="100000">
                <a:srgbClr val="C0C0C0"/>
              </a:gs>
            </a:gsLst>
            <a:lin ang="5400000" scaled="1"/>
          </a:gradFill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000000"/>
                </a:solidFill>
                <a:latin typeface="Verdana"/>
                <a:ea typeface="Verdana"/>
              </a:rPr>
              <a:t>C csoport</a:t>
            </a:r>
          </a:p>
        </xdr:txBody>
      </xdr:sp>
      <xdr:sp macro="" textlink="">
        <xdr:nvSpPr>
          <xdr:cNvPr id="11819" name="AutoShape 555">
            <a:hlinkClick xmlns:r="http://schemas.openxmlformats.org/officeDocument/2006/relationships" r:id="rId56" tooltip="D csoport"/>
            <a:extLst>
              <a:ext uri="{FF2B5EF4-FFF2-40B4-BE49-F238E27FC236}">
                <a16:creationId xmlns:a16="http://schemas.microsoft.com/office/drawing/2014/main" xmlns="" id="{00000000-0008-0000-0600-00002B2E0000}"/>
              </a:ext>
            </a:extLst>
          </xdr:cNvPr>
          <xdr:cNvSpPr>
            <a:spLocks noChangeArrowheads="1"/>
          </xdr:cNvSpPr>
        </xdr:nvSpPr>
        <xdr:spPr bwMode="auto">
          <a:xfrm>
            <a:off x="-13995887624471" y="9505950"/>
            <a:ext cx="66" cy="0"/>
          </a:xfrm>
          <a:prstGeom prst="bevel">
            <a:avLst>
              <a:gd name="adj" fmla="val 12500"/>
            </a:avLst>
          </a:prstGeom>
          <a:gradFill rotWithShape="0">
            <a:gsLst>
              <a:gs pos="0">
                <a:srgbClr val="FFFFFF"/>
              </a:gs>
              <a:gs pos="100000">
                <a:srgbClr val="C0C0C0"/>
              </a:gs>
            </a:gsLst>
            <a:lin ang="5400000" scaled="1"/>
          </a:gradFill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000000"/>
                </a:solidFill>
                <a:latin typeface="Verdana"/>
                <a:ea typeface="Verdana"/>
              </a:rPr>
              <a:t>D csoport</a:t>
            </a:r>
          </a:p>
        </xdr:txBody>
      </xdr:sp>
      <xdr:sp macro="" textlink="">
        <xdr:nvSpPr>
          <xdr:cNvPr id="11820" name="AutoShape 556">
            <a:hlinkClick xmlns:r="http://schemas.openxmlformats.org/officeDocument/2006/relationships" r:id="rId57" tooltip="H csoport"/>
            <a:extLst>
              <a:ext uri="{FF2B5EF4-FFF2-40B4-BE49-F238E27FC236}">
                <a16:creationId xmlns:a16="http://schemas.microsoft.com/office/drawing/2014/main" xmlns="" id="{00000000-0008-0000-0600-00002C2E0000}"/>
              </a:ext>
            </a:extLst>
          </xdr:cNvPr>
          <xdr:cNvSpPr>
            <a:spLocks noChangeArrowheads="1"/>
          </xdr:cNvSpPr>
        </xdr:nvSpPr>
        <xdr:spPr bwMode="auto">
          <a:xfrm>
            <a:off x="-3852836106258" y="9505950"/>
            <a:ext cx="65" cy="0"/>
          </a:xfrm>
          <a:prstGeom prst="bevel">
            <a:avLst>
              <a:gd name="adj" fmla="val 12500"/>
            </a:avLst>
          </a:prstGeom>
          <a:gradFill rotWithShape="0">
            <a:gsLst>
              <a:gs pos="0">
                <a:srgbClr val="FFFFFF"/>
              </a:gs>
              <a:gs pos="100000">
                <a:srgbClr val="C0C0C0"/>
              </a:gs>
            </a:gsLst>
            <a:lin ang="5400000" scaled="1"/>
          </a:gradFill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000000"/>
                </a:solidFill>
                <a:latin typeface="Verdana"/>
                <a:ea typeface="Verdana"/>
              </a:rPr>
              <a:t>H csoport</a:t>
            </a:r>
          </a:p>
        </xdr:txBody>
      </xdr:sp>
      <xdr:sp macro="" textlink="">
        <xdr:nvSpPr>
          <xdr:cNvPr id="11821" name="AutoShape 557">
            <a:hlinkClick xmlns:r="http://schemas.openxmlformats.org/officeDocument/2006/relationships" r:id="rId58" tooltip="E csoport"/>
            <a:extLst>
              <a:ext uri="{FF2B5EF4-FFF2-40B4-BE49-F238E27FC236}">
                <a16:creationId xmlns:a16="http://schemas.microsoft.com/office/drawing/2014/main" xmlns="" id="{00000000-0008-0000-0600-00002D2E0000}"/>
              </a:ext>
            </a:extLst>
          </xdr:cNvPr>
          <xdr:cNvSpPr>
            <a:spLocks noChangeArrowheads="1"/>
          </xdr:cNvSpPr>
        </xdr:nvSpPr>
        <xdr:spPr bwMode="auto">
          <a:xfrm>
            <a:off x="25686610425" y="9505950"/>
            <a:ext cx="0" cy="0"/>
          </a:xfrm>
          <a:prstGeom prst="bevel">
            <a:avLst>
              <a:gd name="adj" fmla="val 12500"/>
            </a:avLst>
          </a:prstGeom>
          <a:gradFill rotWithShape="0">
            <a:gsLst>
              <a:gs pos="0">
                <a:srgbClr val="FFFFFF"/>
              </a:gs>
              <a:gs pos="100000">
                <a:srgbClr val="C0C0C0"/>
              </a:gs>
            </a:gsLst>
            <a:lin ang="5400000" scaled="1"/>
          </a:gradFill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000000"/>
                </a:solidFill>
                <a:latin typeface="Verdana"/>
                <a:ea typeface="Verdana"/>
              </a:rPr>
              <a:t>E csoport</a:t>
            </a:r>
          </a:p>
        </xdr:txBody>
      </xdr:sp>
      <xdr:sp macro="" textlink="">
        <xdr:nvSpPr>
          <xdr:cNvPr id="11822" name="AutoShape 558">
            <a:hlinkClick xmlns:r="http://schemas.openxmlformats.org/officeDocument/2006/relationships" r:id="rId59" tooltip="F csoport"/>
            <a:extLst>
              <a:ext uri="{FF2B5EF4-FFF2-40B4-BE49-F238E27FC236}">
                <a16:creationId xmlns:a16="http://schemas.microsoft.com/office/drawing/2014/main" xmlns="" id="{00000000-0008-0000-0600-00002E2E0000}"/>
              </a:ext>
            </a:extLst>
          </xdr:cNvPr>
          <xdr:cNvSpPr>
            <a:spLocks noChangeArrowheads="1"/>
          </xdr:cNvSpPr>
        </xdr:nvSpPr>
        <xdr:spPr bwMode="auto">
          <a:xfrm>
            <a:off x="13011652534205" y="9505950"/>
            <a:ext cx="64" cy="0"/>
          </a:xfrm>
          <a:prstGeom prst="bevel">
            <a:avLst>
              <a:gd name="adj" fmla="val 12500"/>
            </a:avLst>
          </a:prstGeom>
          <a:gradFill rotWithShape="0">
            <a:gsLst>
              <a:gs pos="0">
                <a:srgbClr val="FFFFFF"/>
              </a:gs>
              <a:gs pos="100000">
                <a:srgbClr val="C0C0C0"/>
              </a:gs>
            </a:gsLst>
            <a:lin ang="5400000" scaled="1"/>
          </a:gradFill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000000"/>
                </a:solidFill>
                <a:latin typeface="Verdana"/>
                <a:ea typeface="Verdana"/>
              </a:rPr>
              <a:t>F csoport</a:t>
            </a:r>
          </a:p>
        </xdr:txBody>
      </xdr:sp>
      <xdr:sp macro="" textlink="">
        <xdr:nvSpPr>
          <xdr:cNvPr id="11823" name="AutoShape 559">
            <a:hlinkClick xmlns:r="http://schemas.openxmlformats.org/officeDocument/2006/relationships" r:id="rId60" tooltip="G csoport"/>
            <a:extLst>
              <a:ext uri="{FF2B5EF4-FFF2-40B4-BE49-F238E27FC236}">
                <a16:creationId xmlns:a16="http://schemas.microsoft.com/office/drawing/2014/main" xmlns="" id="{00000000-0008-0000-0600-00002F2E0000}"/>
              </a:ext>
            </a:extLst>
          </xdr:cNvPr>
          <xdr:cNvSpPr>
            <a:spLocks noChangeArrowheads="1"/>
          </xdr:cNvSpPr>
        </xdr:nvSpPr>
        <xdr:spPr bwMode="auto">
          <a:xfrm>
            <a:off x="16540908745617" y="9505950"/>
            <a:ext cx="65" cy="0"/>
          </a:xfrm>
          <a:prstGeom prst="bevel">
            <a:avLst>
              <a:gd name="adj" fmla="val 12500"/>
            </a:avLst>
          </a:prstGeom>
          <a:gradFill rotWithShape="0">
            <a:gsLst>
              <a:gs pos="0">
                <a:srgbClr val="FFFFFF"/>
              </a:gs>
              <a:gs pos="100000">
                <a:srgbClr val="C0C0C0"/>
              </a:gs>
            </a:gsLst>
            <a:lin ang="5400000" scaled="1"/>
          </a:gradFill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000000"/>
                </a:solidFill>
                <a:latin typeface="Verdana"/>
                <a:ea typeface="Verdana"/>
              </a:rPr>
              <a:t>G csoport</a:t>
            </a:r>
          </a:p>
        </xdr:txBody>
      </xdr:sp>
    </xdr:grpSp>
    <xdr:clientData/>
  </xdr:twoCellAnchor>
  <xdr:twoCellAnchor>
    <xdr:from>
      <xdr:col>3</xdr:col>
      <xdr:colOff>0</xdr:colOff>
      <xdr:row>76</xdr:row>
      <xdr:rowOff>0</xdr:rowOff>
    </xdr:from>
    <xdr:to>
      <xdr:col>8</xdr:col>
      <xdr:colOff>2333625</xdr:colOff>
      <xdr:row>76</xdr:row>
      <xdr:rowOff>0</xdr:rowOff>
    </xdr:to>
    <xdr:grpSp>
      <xdr:nvGrpSpPr>
        <xdr:cNvPr id="7224" name="Group 570">
          <a:extLst>
            <a:ext uri="{FF2B5EF4-FFF2-40B4-BE49-F238E27FC236}">
              <a16:creationId xmlns:a16="http://schemas.microsoft.com/office/drawing/2014/main" xmlns="" id="{00000000-0008-0000-0600-0000381C0000}"/>
            </a:ext>
          </a:extLst>
        </xdr:cNvPr>
        <xdr:cNvGrpSpPr>
          <a:grpSpLocks/>
        </xdr:cNvGrpSpPr>
      </xdr:nvGrpSpPr>
      <xdr:grpSpPr bwMode="auto">
        <a:xfrm>
          <a:off x="2524125" y="14268450"/>
          <a:ext cx="5924550" cy="0"/>
          <a:chOff x="186" y="63"/>
          <a:chExt cx="580" cy="17"/>
        </a:xfrm>
      </xdr:grpSpPr>
      <xdr:sp macro="" textlink="">
        <xdr:nvSpPr>
          <xdr:cNvPr id="11835" name="AutoShape 571">
            <a:hlinkClick xmlns:r="http://schemas.openxmlformats.org/officeDocument/2006/relationships" r:id="rId53" tooltip="A csoport"/>
            <a:extLst>
              <a:ext uri="{FF2B5EF4-FFF2-40B4-BE49-F238E27FC236}">
                <a16:creationId xmlns:a16="http://schemas.microsoft.com/office/drawing/2014/main" xmlns="" id="{00000000-0008-0000-0600-00003B2E0000}"/>
              </a:ext>
            </a:extLst>
          </xdr:cNvPr>
          <xdr:cNvSpPr>
            <a:spLocks noChangeArrowheads="1"/>
          </xdr:cNvSpPr>
        </xdr:nvSpPr>
        <xdr:spPr bwMode="auto">
          <a:xfrm>
            <a:off x="-660752483771" y="14268450"/>
            <a:ext cx="66" cy="0"/>
          </a:xfrm>
          <a:prstGeom prst="bevel">
            <a:avLst>
              <a:gd name="adj" fmla="val 12500"/>
            </a:avLst>
          </a:prstGeom>
          <a:gradFill rotWithShape="0">
            <a:gsLst>
              <a:gs pos="0">
                <a:srgbClr val="FFFFFF"/>
              </a:gs>
              <a:gs pos="100000">
                <a:srgbClr val="C0C0C0"/>
              </a:gs>
            </a:gsLst>
            <a:lin ang="5400000" scaled="1"/>
          </a:gradFill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000000"/>
                </a:solidFill>
                <a:latin typeface="Verdana"/>
                <a:ea typeface="Verdana"/>
              </a:rPr>
              <a:t>A csoport</a:t>
            </a:r>
          </a:p>
        </xdr:txBody>
      </xdr:sp>
      <xdr:sp macro="" textlink="">
        <xdr:nvSpPr>
          <xdr:cNvPr id="11836" name="Text Box 572">
            <a:extLst>
              <a:ext uri="{FF2B5EF4-FFF2-40B4-BE49-F238E27FC236}">
                <a16:creationId xmlns:a16="http://schemas.microsoft.com/office/drawing/2014/main" xmlns="" id="{00000000-0008-0000-0600-00003C2E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194520106763" y="14268450"/>
            <a:ext cx="49" cy="0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0" tIns="0" rIns="0" bIns="0" anchor="t" upright="1"/>
          <a:lstStyle/>
          <a:p>
            <a:pPr algn="r" rtl="0">
              <a:defRPr sz="1000"/>
            </a:pPr>
            <a:r>
              <a:rPr lang="hu-HU" sz="700" b="0" i="1" u="none" strike="noStrike" baseline="0">
                <a:solidFill>
                  <a:srgbClr val="FFFFFF"/>
                </a:solidFill>
                <a:latin typeface="Verdana"/>
                <a:ea typeface="Verdana"/>
              </a:rPr>
              <a:t>Lapozás:</a:t>
            </a:r>
          </a:p>
        </xdr:txBody>
      </xdr:sp>
      <xdr:sp macro="" textlink="">
        <xdr:nvSpPr>
          <xdr:cNvPr id="11837" name="AutoShape 573">
            <a:hlinkClick xmlns:r="http://schemas.openxmlformats.org/officeDocument/2006/relationships" r:id="rId54" tooltip="B csoport"/>
            <a:extLst>
              <a:ext uri="{FF2B5EF4-FFF2-40B4-BE49-F238E27FC236}">
                <a16:creationId xmlns:a16="http://schemas.microsoft.com/office/drawing/2014/main" xmlns="" id="{00000000-0008-0000-0600-00003D2E0000}"/>
              </a:ext>
            </a:extLst>
          </xdr:cNvPr>
          <xdr:cNvSpPr>
            <a:spLocks noChangeArrowheads="1"/>
          </xdr:cNvSpPr>
        </xdr:nvSpPr>
        <xdr:spPr bwMode="auto">
          <a:xfrm>
            <a:off x="2868552367055" y="14268450"/>
            <a:ext cx="64" cy="0"/>
          </a:xfrm>
          <a:prstGeom prst="bevel">
            <a:avLst>
              <a:gd name="adj" fmla="val 12500"/>
            </a:avLst>
          </a:prstGeom>
          <a:gradFill rotWithShape="0">
            <a:gsLst>
              <a:gs pos="0">
                <a:srgbClr val="FFFFFF"/>
              </a:gs>
              <a:gs pos="100000">
                <a:srgbClr val="C0C0C0"/>
              </a:gs>
            </a:gsLst>
            <a:lin ang="5400000" scaled="1"/>
          </a:gradFill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000000"/>
                </a:solidFill>
                <a:latin typeface="Verdana"/>
                <a:ea typeface="Verdana"/>
              </a:rPr>
              <a:t>B csoport</a:t>
            </a:r>
          </a:p>
        </xdr:txBody>
      </xdr:sp>
      <xdr:sp macro="" textlink="">
        <xdr:nvSpPr>
          <xdr:cNvPr id="11838" name="AutoShape 574">
            <a:hlinkClick xmlns:r="http://schemas.openxmlformats.org/officeDocument/2006/relationships" r:id="rId55" tooltip="C csoport"/>
            <a:extLst>
              <a:ext uri="{FF2B5EF4-FFF2-40B4-BE49-F238E27FC236}">
                <a16:creationId xmlns:a16="http://schemas.microsoft.com/office/drawing/2014/main" xmlns="" id="{00000000-0008-0000-0600-00003E2E0000}"/>
              </a:ext>
            </a:extLst>
          </xdr:cNvPr>
          <xdr:cNvSpPr>
            <a:spLocks noChangeArrowheads="1"/>
          </xdr:cNvSpPr>
        </xdr:nvSpPr>
        <xdr:spPr bwMode="auto">
          <a:xfrm>
            <a:off x="-4948359977246" y="14268450"/>
            <a:ext cx="66" cy="0"/>
          </a:xfrm>
          <a:prstGeom prst="bevel">
            <a:avLst>
              <a:gd name="adj" fmla="val 12500"/>
            </a:avLst>
          </a:prstGeom>
          <a:gradFill rotWithShape="0">
            <a:gsLst>
              <a:gs pos="0">
                <a:srgbClr val="FFFFFF"/>
              </a:gs>
              <a:gs pos="100000">
                <a:srgbClr val="C0C0C0"/>
              </a:gs>
            </a:gsLst>
            <a:lin ang="5400000" scaled="1"/>
          </a:gradFill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000000"/>
                </a:solidFill>
                <a:latin typeface="Verdana"/>
                <a:ea typeface="Verdana"/>
              </a:rPr>
              <a:t>C csoport</a:t>
            </a:r>
          </a:p>
        </xdr:txBody>
      </xdr:sp>
      <xdr:sp macro="" textlink="">
        <xdr:nvSpPr>
          <xdr:cNvPr id="11839" name="AutoShape 575">
            <a:hlinkClick xmlns:r="http://schemas.openxmlformats.org/officeDocument/2006/relationships" r:id="rId56" tooltip="D csoport"/>
            <a:extLst>
              <a:ext uri="{FF2B5EF4-FFF2-40B4-BE49-F238E27FC236}">
                <a16:creationId xmlns:a16="http://schemas.microsoft.com/office/drawing/2014/main" xmlns="" id="{00000000-0008-0000-0600-00003F2E0000}"/>
              </a:ext>
            </a:extLst>
          </xdr:cNvPr>
          <xdr:cNvSpPr>
            <a:spLocks noChangeArrowheads="1"/>
          </xdr:cNvSpPr>
        </xdr:nvSpPr>
        <xdr:spPr bwMode="auto">
          <a:xfrm>
            <a:off x="-13995887624471" y="14268450"/>
            <a:ext cx="66" cy="0"/>
          </a:xfrm>
          <a:prstGeom prst="bevel">
            <a:avLst>
              <a:gd name="adj" fmla="val 12500"/>
            </a:avLst>
          </a:prstGeom>
          <a:gradFill rotWithShape="0">
            <a:gsLst>
              <a:gs pos="0">
                <a:srgbClr val="FFFFFF"/>
              </a:gs>
              <a:gs pos="100000">
                <a:srgbClr val="C0C0C0"/>
              </a:gs>
            </a:gsLst>
            <a:lin ang="5400000" scaled="1"/>
          </a:gradFill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000000"/>
                </a:solidFill>
                <a:latin typeface="Verdana"/>
                <a:ea typeface="Verdana"/>
              </a:rPr>
              <a:t>D csoport</a:t>
            </a:r>
          </a:p>
        </xdr:txBody>
      </xdr:sp>
      <xdr:sp macro="" textlink="">
        <xdr:nvSpPr>
          <xdr:cNvPr id="11840" name="AutoShape 576">
            <a:hlinkClick xmlns:r="http://schemas.openxmlformats.org/officeDocument/2006/relationships" r:id="rId57" tooltip="H csoport"/>
            <a:extLst>
              <a:ext uri="{FF2B5EF4-FFF2-40B4-BE49-F238E27FC236}">
                <a16:creationId xmlns:a16="http://schemas.microsoft.com/office/drawing/2014/main" xmlns="" id="{00000000-0008-0000-0600-0000402E0000}"/>
              </a:ext>
            </a:extLst>
          </xdr:cNvPr>
          <xdr:cNvSpPr>
            <a:spLocks noChangeArrowheads="1"/>
          </xdr:cNvSpPr>
        </xdr:nvSpPr>
        <xdr:spPr bwMode="auto">
          <a:xfrm>
            <a:off x="-3852836106258" y="14268450"/>
            <a:ext cx="65" cy="0"/>
          </a:xfrm>
          <a:prstGeom prst="bevel">
            <a:avLst>
              <a:gd name="adj" fmla="val 12500"/>
            </a:avLst>
          </a:prstGeom>
          <a:gradFill rotWithShape="0">
            <a:gsLst>
              <a:gs pos="0">
                <a:srgbClr val="FFFFFF"/>
              </a:gs>
              <a:gs pos="100000">
                <a:srgbClr val="C0C0C0"/>
              </a:gs>
            </a:gsLst>
            <a:lin ang="5400000" scaled="1"/>
          </a:gradFill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000000"/>
                </a:solidFill>
                <a:latin typeface="Verdana"/>
                <a:ea typeface="Verdana"/>
              </a:rPr>
              <a:t>H csoport</a:t>
            </a:r>
          </a:p>
        </xdr:txBody>
      </xdr:sp>
      <xdr:sp macro="" textlink="">
        <xdr:nvSpPr>
          <xdr:cNvPr id="11841" name="AutoShape 577">
            <a:hlinkClick xmlns:r="http://schemas.openxmlformats.org/officeDocument/2006/relationships" r:id="rId58" tooltip="E csoport"/>
            <a:extLst>
              <a:ext uri="{FF2B5EF4-FFF2-40B4-BE49-F238E27FC236}">
                <a16:creationId xmlns:a16="http://schemas.microsoft.com/office/drawing/2014/main" xmlns="" id="{00000000-0008-0000-0600-0000412E0000}"/>
              </a:ext>
            </a:extLst>
          </xdr:cNvPr>
          <xdr:cNvSpPr>
            <a:spLocks noChangeArrowheads="1"/>
          </xdr:cNvSpPr>
        </xdr:nvSpPr>
        <xdr:spPr bwMode="auto">
          <a:xfrm>
            <a:off x="25686610425" y="14268450"/>
            <a:ext cx="0" cy="0"/>
          </a:xfrm>
          <a:prstGeom prst="bevel">
            <a:avLst>
              <a:gd name="adj" fmla="val 12500"/>
            </a:avLst>
          </a:prstGeom>
          <a:gradFill rotWithShape="0">
            <a:gsLst>
              <a:gs pos="0">
                <a:srgbClr val="FFFFFF"/>
              </a:gs>
              <a:gs pos="100000">
                <a:srgbClr val="C0C0C0"/>
              </a:gs>
            </a:gsLst>
            <a:lin ang="5400000" scaled="1"/>
          </a:gradFill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000000"/>
                </a:solidFill>
                <a:latin typeface="Verdana"/>
                <a:ea typeface="Verdana"/>
              </a:rPr>
              <a:t>E csoport</a:t>
            </a:r>
          </a:p>
        </xdr:txBody>
      </xdr:sp>
      <xdr:sp macro="" textlink="">
        <xdr:nvSpPr>
          <xdr:cNvPr id="11842" name="AutoShape 578">
            <a:hlinkClick xmlns:r="http://schemas.openxmlformats.org/officeDocument/2006/relationships" r:id="rId59" tooltip="F csoport"/>
            <a:extLst>
              <a:ext uri="{FF2B5EF4-FFF2-40B4-BE49-F238E27FC236}">
                <a16:creationId xmlns:a16="http://schemas.microsoft.com/office/drawing/2014/main" xmlns="" id="{00000000-0008-0000-0600-0000422E0000}"/>
              </a:ext>
            </a:extLst>
          </xdr:cNvPr>
          <xdr:cNvSpPr>
            <a:spLocks noChangeArrowheads="1"/>
          </xdr:cNvSpPr>
        </xdr:nvSpPr>
        <xdr:spPr bwMode="auto">
          <a:xfrm>
            <a:off x="13011652534205" y="14268450"/>
            <a:ext cx="64" cy="0"/>
          </a:xfrm>
          <a:prstGeom prst="bevel">
            <a:avLst>
              <a:gd name="adj" fmla="val 12500"/>
            </a:avLst>
          </a:prstGeom>
          <a:gradFill rotWithShape="0">
            <a:gsLst>
              <a:gs pos="0">
                <a:srgbClr val="FFFFFF"/>
              </a:gs>
              <a:gs pos="100000">
                <a:srgbClr val="C0C0C0"/>
              </a:gs>
            </a:gsLst>
            <a:lin ang="5400000" scaled="1"/>
          </a:gradFill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000000"/>
                </a:solidFill>
                <a:latin typeface="Verdana"/>
                <a:ea typeface="Verdana"/>
              </a:rPr>
              <a:t>F csoport</a:t>
            </a:r>
          </a:p>
        </xdr:txBody>
      </xdr:sp>
      <xdr:sp macro="" textlink="">
        <xdr:nvSpPr>
          <xdr:cNvPr id="11843" name="AutoShape 579">
            <a:hlinkClick xmlns:r="http://schemas.openxmlformats.org/officeDocument/2006/relationships" r:id="rId60" tooltip="G csoport"/>
            <a:extLst>
              <a:ext uri="{FF2B5EF4-FFF2-40B4-BE49-F238E27FC236}">
                <a16:creationId xmlns:a16="http://schemas.microsoft.com/office/drawing/2014/main" xmlns="" id="{00000000-0008-0000-0600-0000432E0000}"/>
              </a:ext>
            </a:extLst>
          </xdr:cNvPr>
          <xdr:cNvSpPr>
            <a:spLocks noChangeArrowheads="1"/>
          </xdr:cNvSpPr>
        </xdr:nvSpPr>
        <xdr:spPr bwMode="auto">
          <a:xfrm>
            <a:off x="16540908745617" y="14268450"/>
            <a:ext cx="65" cy="0"/>
          </a:xfrm>
          <a:prstGeom prst="bevel">
            <a:avLst>
              <a:gd name="adj" fmla="val 12500"/>
            </a:avLst>
          </a:prstGeom>
          <a:gradFill rotWithShape="0">
            <a:gsLst>
              <a:gs pos="0">
                <a:srgbClr val="FFFFFF"/>
              </a:gs>
              <a:gs pos="100000">
                <a:srgbClr val="C0C0C0"/>
              </a:gs>
            </a:gsLst>
            <a:lin ang="5400000" scaled="1"/>
          </a:gradFill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000000"/>
                </a:solidFill>
                <a:latin typeface="Verdana"/>
                <a:ea typeface="Verdana"/>
              </a:rPr>
              <a:t>G csoport</a:t>
            </a:r>
          </a:p>
        </xdr:txBody>
      </xdr:sp>
    </xdr:grpSp>
    <xdr:clientData/>
  </xdr:twoCellAnchor>
  <xdr:twoCellAnchor>
    <xdr:from>
      <xdr:col>3</xdr:col>
      <xdr:colOff>0</xdr:colOff>
      <xdr:row>101</xdr:row>
      <xdr:rowOff>0</xdr:rowOff>
    </xdr:from>
    <xdr:to>
      <xdr:col>8</xdr:col>
      <xdr:colOff>2333625</xdr:colOff>
      <xdr:row>101</xdr:row>
      <xdr:rowOff>0</xdr:rowOff>
    </xdr:to>
    <xdr:grpSp>
      <xdr:nvGrpSpPr>
        <xdr:cNvPr id="7225" name="Group 590">
          <a:extLst>
            <a:ext uri="{FF2B5EF4-FFF2-40B4-BE49-F238E27FC236}">
              <a16:creationId xmlns:a16="http://schemas.microsoft.com/office/drawing/2014/main" xmlns="" id="{00000000-0008-0000-0600-0000391C0000}"/>
            </a:ext>
          </a:extLst>
        </xdr:cNvPr>
        <xdr:cNvGrpSpPr>
          <a:grpSpLocks/>
        </xdr:cNvGrpSpPr>
      </xdr:nvGrpSpPr>
      <xdr:grpSpPr bwMode="auto">
        <a:xfrm>
          <a:off x="2524125" y="19030950"/>
          <a:ext cx="5924550" cy="0"/>
          <a:chOff x="186" y="63"/>
          <a:chExt cx="580" cy="17"/>
        </a:xfrm>
      </xdr:grpSpPr>
      <xdr:sp macro="" textlink="">
        <xdr:nvSpPr>
          <xdr:cNvPr id="11855" name="AutoShape 591">
            <a:hlinkClick xmlns:r="http://schemas.openxmlformats.org/officeDocument/2006/relationships" r:id="rId53" tooltip="A csoport"/>
            <a:extLst>
              <a:ext uri="{FF2B5EF4-FFF2-40B4-BE49-F238E27FC236}">
                <a16:creationId xmlns:a16="http://schemas.microsoft.com/office/drawing/2014/main" xmlns="" id="{00000000-0008-0000-0600-00004F2E0000}"/>
              </a:ext>
            </a:extLst>
          </xdr:cNvPr>
          <xdr:cNvSpPr>
            <a:spLocks noChangeArrowheads="1"/>
          </xdr:cNvSpPr>
        </xdr:nvSpPr>
        <xdr:spPr bwMode="auto">
          <a:xfrm>
            <a:off x="-660752483771" y="19030950"/>
            <a:ext cx="66" cy="0"/>
          </a:xfrm>
          <a:prstGeom prst="bevel">
            <a:avLst>
              <a:gd name="adj" fmla="val 12500"/>
            </a:avLst>
          </a:prstGeom>
          <a:gradFill rotWithShape="0">
            <a:gsLst>
              <a:gs pos="0">
                <a:srgbClr val="FFFFFF"/>
              </a:gs>
              <a:gs pos="100000">
                <a:srgbClr val="C0C0C0"/>
              </a:gs>
            </a:gsLst>
            <a:lin ang="5400000" scaled="1"/>
          </a:gradFill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000000"/>
                </a:solidFill>
                <a:latin typeface="Verdana"/>
                <a:ea typeface="Verdana"/>
              </a:rPr>
              <a:t>A csoport</a:t>
            </a:r>
          </a:p>
        </xdr:txBody>
      </xdr:sp>
      <xdr:sp macro="" textlink="">
        <xdr:nvSpPr>
          <xdr:cNvPr id="11856" name="Text Box 592">
            <a:extLst>
              <a:ext uri="{FF2B5EF4-FFF2-40B4-BE49-F238E27FC236}">
                <a16:creationId xmlns:a16="http://schemas.microsoft.com/office/drawing/2014/main" xmlns="" id="{00000000-0008-0000-0600-0000502E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194520106763" y="19030950"/>
            <a:ext cx="49" cy="0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0" tIns="0" rIns="0" bIns="0" anchor="t" upright="1"/>
          <a:lstStyle/>
          <a:p>
            <a:pPr algn="r" rtl="0">
              <a:defRPr sz="1000"/>
            </a:pPr>
            <a:r>
              <a:rPr lang="hu-HU" sz="700" b="0" i="1" u="none" strike="noStrike" baseline="0">
                <a:solidFill>
                  <a:srgbClr val="FFFFFF"/>
                </a:solidFill>
                <a:latin typeface="Verdana"/>
                <a:ea typeface="Verdana"/>
              </a:rPr>
              <a:t>Lapozás:</a:t>
            </a:r>
          </a:p>
        </xdr:txBody>
      </xdr:sp>
      <xdr:sp macro="" textlink="">
        <xdr:nvSpPr>
          <xdr:cNvPr id="11857" name="AutoShape 593">
            <a:hlinkClick xmlns:r="http://schemas.openxmlformats.org/officeDocument/2006/relationships" r:id="rId54" tooltip="B csoport"/>
            <a:extLst>
              <a:ext uri="{FF2B5EF4-FFF2-40B4-BE49-F238E27FC236}">
                <a16:creationId xmlns:a16="http://schemas.microsoft.com/office/drawing/2014/main" xmlns="" id="{00000000-0008-0000-0600-0000512E0000}"/>
              </a:ext>
            </a:extLst>
          </xdr:cNvPr>
          <xdr:cNvSpPr>
            <a:spLocks noChangeArrowheads="1"/>
          </xdr:cNvSpPr>
        </xdr:nvSpPr>
        <xdr:spPr bwMode="auto">
          <a:xfrm>
            <a:off x="2868552367055" y="19030950"/>
            <a:ext cx="64" cy="0"/>
          </a:xfrm>
          <a:prstGeom prst="bevel">
            <a:avLst>
              <a:gd name="adj" fmla="val 12500"/>
            </a:avLst>
          </a:prstGeom>
          <a:gradFill rotWithShape="0">
            <a:gsLst>
              <a:gs pos="0">
                <a:srgbClr val="FFFFFF"/>
              </a:gs>
              <a:gs pos="100000">
                <a:srgbClr val="C0C0C0"/>
              </a:gs>
            </a:gsLst>
            <a:lin ang="5400000" scaled="1"/>
          </a:gradFill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000000"/>
                </a:solidFill>
                <a:latin typeface="Verdana"/>
                <a:ea typeface="Verdana"/>
              </a:rPr>
              <a:t>B csoport</a:t>
            </a:r>
          </a:p>
        </xdr:txBody>
      </xdr:sp>
      <xdr:sp macro="" textlink="">
        <xdr:nvSpPr>
          <xdr:cNvPr id="11858" name="AutoShape 594">
            <a:hlinkClick xmlns:r="http://schemas.openxmlformats.org/officeDocument/2006/relationships" r:id="rId55" tooltip="C csoport"/>
            <a:extLst>
              <a:ext uri="{FF2B5EF4-FFF2-40B4-BE49-F238E27FC236}">
                <a16:creationId xmlns:a16="http://schemas.microsoft.com/office/drawing/2014/main" xmlns="" id="{00000000-0008-0000-0600-0000522E0000}"/>
              </a:ext>
            </a:extLst>
          </xdr:cNvPr>
          <xdr:cNvSpPr>
            <a:spLocks noChangeArrowheads="1"/>
          </xdr:cNvSpPr>
        </xdr:nvSpPr>
        <xdr:spPr bwMode="auto">
          <a:xfrm>
            <a:off x="-4948359977246" y="19030950"/>
            <a:ext cx="66" cy="0"/>
          </a:xfrm>
          <a:prstGeom prst="bevel">
            <a:avLst>
              <a:gd name="adj" fmla="val 12500"/>
            </a:avLst>
          </a:prstGeom>
          <a:gradFill rotWithShape="0">
            <a:gsLst>
              <a:gs pos="0">
                <a:srgbClr val="FFFFFF"/>
              </a:gs>
              <a:gs pos="100000">
                <a:srgbClr val="C0C0C0"/>
              </a:gs>
            </a:gsLst>
            <a:lin ang="5400000" scaled="1"/>
          </a:gradFill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000000"/>
                </a:solidFill>
                <a:latin typeface="Verdana"/>
                <a:ea typeface="Verdana"/>
              </a:rPr>
              <a:t>C csoport</a:t>
            </a:r>
          </a:p>
        </xdr:txBody>
      </xdr:sp>
      <xdr:sp macro="" textlink="">
        <xdr:nvSpPr>
          <xdr:cNvPr id="11859" name="AutoShape 595">
            <a:hlinkClick xmlns:r="http://schemas.openxmlformats.org/officeDocument/2006/relationships" r:id="rId56" tooltip="D csoport"/>
            <a:extLst>
              <a:ext uri="{FF2B5EF4-FFF2-40B4-BE49-F238E27FC236}">
                <a16:creationId xmlns:a16="http://schemas.microsoft.com/office/drawing/2014/main" xmlns="" id="{00000000-0008-0000-0600-0000532E0000}"/>
              </a:ext>
            </a:extLst>
          </xdr:cNvPr>
          <xdr:cNvSpPr>
            <a:spLocks noChangeArrowheads="1"/>
          </xdr:cNvSpPr>
        </xdr:nvSpPr>
        <xdr:spPr bwMode="auto">
          <a:xfrm>
            <a:off x="-13995887624471" y="19030950"/>
            <a:ext cx="66" cy="0"/>
          </a:xfrm>
          <a:prstGeom prst="bevel">
            <a:avLst>
              <a:gd name="adj" fmla="val 12500"/>
            </a:avLst>
          </a:prstGeom>
          <a:gradFill rotWithShape="0">
            <a:gsLst>
              <a:gs pos="0">
                <a:srgbClr val="FFFFFF"/>
              </a:gs>
              <a:gs pos="100000">
                <a:srgbClr val="C0C0C0"/>
              </a:gs>
            </a:gsLst>
            <a:lin ang="5400000" scaled="1"/>
          </a:gradFill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000000"/>
                </a:solidFill>
                <a:latin typeface="Verdana"/>
                <a:ea typeface="Verdana"/>
              </a:rPr>
              <a:t>D csoport</a:t>
            </a:r>
          </a:p>
        </xdr:txBody>
      </xdr:sp>
      <xdr:sp macro="" textlink="">
        <xdr:nvSpPr>
          <xdr:cNvPr id="11860" name="AutoShape 596">
            <a:hlinkClick xmlns:r="http://schemas.openxmlformats.org/officeDocument/2006/relationships" r:id="rId57" tooltip="H csoport"/>
            <a:extLst>
              <a:ext uri="{FF2B5EF4-FFF2-40B4-BE49-F238E27FC236}">
                <a16:creationId xmlns:a16="http://schemas.microsoft.com/office/drawing/2014/main" xmlns="" id="{00000000-0008-0000-0600-0000542E0000}"/>
              </a:ext>
            </a:extLst>
          </xdr:cNvPr>
          <xdr:cNvSpPr>
            <a:spLocks noChangeArrowheads="1"/>
          </xdr:cNvSpPr>
        </xdr:nvSpPr>
        <xdr:spPr bwMode="auto">
          <a:xfrm>
            <a:off x="-3852836106258" y="19030950"/>
            <a:ext cx="65" cy="0"/>
          </a:xfrm>
          <a:prstGeom prst="bevel">
            <a:avLst>
              <a:gd name="adj" fmla="val 12500"/>
            </a:avLst>
          </a:prstGeom>
          <a:gradFill rotWithShape="0">
            <a:gsLst>
              <a:gs pos="0">
                <a:srgbClr val="FFFFFF"/>
              </a:gs>
              <a:gs pos="100000">
                <a:srgbClr val="C0C0C0"/>
              </a:gs>
            </a:gsLst>
            <a:lin ang="5400000" scaled="1"/>
          </a:gradFill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000000"/>
                </a:solidFill>
                <a:latin typeface="Verdana"/>
                <a:ea typeface="Verdana"/>
              </a:rPr>
              <a:t>H csoport</a:t>
            </a:r>
          </a:p>
        </xdr:txBody>
      </xdr:sp>
      <xdr:sp macro="" textlink="">
        <xdr:nvSpPr>
          <xdr:cNvPr id="11861" name="AutoShape 597">
            <a:hlinkClick xmlns:r="http://schemas.openxmlformats.org/officeDocument/2006/relationships" r:id="rId58" tooltip="E csoport"/>
            <a:extLst>
              <a:ext uri="{FF2B5EF4-FFF2-40B4-BE49-F238E27FC236}">
                <a16:creationId xmlns:a16="http://schemas.microsoft.com/office/drawing/2014/main" xmlns="" id="{00000000-0008-0000-0600-0000552E0000}"/>
              </a:ext>
            </a:extLst>
          </xdr:cNvPr>
          <xdr:cNvSpPr>
            <a:spLocks noChangeArrowheads="1"/>
          </xdr:cNvSpPr>
        </xdr:nvSpPr>
        <xdr:spPr bwMode="auto">
          <a:xfrm>
            <a:off x="25686610425" y="19030950"/>
            <a:ext cx="0" cy="0"/>
          </a:xfrm>
          <a:prstGeom prst="bevel">
            <a:avLst>
              <a:gd name="adj" fmla="val 12500"/>
            </a:avLst>
          </a:prstGeom>
          <a:gradFill rotWithShape="0">
            <a:gsLst>
              <a:gs pos="0">
                <a:srgbClr val="FFFFFF"/>
              </a:gs>
              <a:gs pos="100000">
                <a:srgbClr val="C0C0C0"/>
              </a:gs>
            </a:gsLst>
            <a:lin ang="5400000" scaled="1"/>
          </a:gradFill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000000"/>
                </a:solidFill>
                <a:latin typeface="Verdana"/>
                <a:ea typeface="Verdana"/>
              </a:rPr>
              <a:t>E csoport</a:t>
            </a:r>
          </a:p>
        </xdr:txBody>
      </xdr:sp>
      <xdr:sp macro="" textlink="">
        <xdr:nvSpPr>
          <xdr:cNvPr id="11862" name="AutoShape 598">
            <a:hlinkClick xmlns:r="http://schemas.openxmlformats.org/officeDocument/2006/relationships" r:id="rId59" tooltip="F csoport"/>
            <a:extLst>
              <a:ext uri="{FF2B5EF4-FFF2-40B4-BE49-F238E27FC236}">
                <a16:creationId xmlns:a16="http://schemas.microsoft.com/office/drawing/2014/main" xmlns="" id="{00000000-0008-0000-0600-0000562E0000}"/>
              </a:ext>
            </a:extLst>
          </xdr:cNvPr>
          <xdr:cNvSpPr>
            <a:spLocks noChangeArrowheads="1"/>
          </xdr:cNvSpPr>
        </xdr:nvSpPr>
        <xdr:spPr bwMode="auto">
          <a:xfrm>
            <a:off x="13011652534205" y="19030950"/>
            <a:ext cx="64" cy="0"/>
          </a:xfrm>
          <a:prstGeom prst="bevel">
            <a:avLst>
              <a:gd name="adj" fmla="val 12500"/>
            </a:avLst>
          </a:prstGeom>
          <a:gradFill rotWithShape="0">
            <a:gsLst>
              <a:gs pos="0">
                <a:srgbClr val="FFFFFF"/>
              </a:gs>
              <a:gs pos="100000">
                <a:srgbClr val="C0C0C0"/>
              </a:gs>
            </a:gsLst>
            <a:lin ang="5400000" scaled="1"/>
          </a:gradFill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000000"/>
                </a:solidFill>
                <a:latin typeface="Verdana"/>
                <a:ea typeface="Verdana"/>
              </a:rPr>
              <a:t>F csoport</a:t>
            </a:r>
          </a:p>
        </xdr:txBody>
      </xdr:sp>
      <xdr:sp macro="" textlink="">
        <xdr:nvSpPr>
          <xdr:cNvPr id="11863" name="AutoShape 599">
            <a:hlinkClick xmlns:r="http://schemas.openxmlformats.org/officeDocument/2006/relationships" r:id="rId60" tooltip="G csoport"/>
            <a:extLst>
              <a:ext uri="{FF2B5EF4-FFF2-40B4-BE49-F238E27FC236}">
                <a16:creationId xmlns:a16="http://schemas.microsoft.com/office/drawing/2014/main" xmlns="" id="{00000000-0008-0000-0600-0000572E0000}"/>
              </a:ext>
            </a:extLst>
          </xdr:cNvPr>
          <xdr:cNvSpPr>
            <a:spLocks noChangeArrowheads="1"/>
          </xdr:cNvSpPr>
        </xdr:nvSpPr>
        <xdr:spPr bwMode="auto">
          <a:xfrm>
            <a:off x="16540908745617" y="19030950"/>
            <a:ext cx="65" cy="0"/>
          </a:xfrm>
          <a:prstGeom prst="bevel">
            <a:avLst>
              <a:gd name="adj" fmla="val 12500"/>
            </a:avLst>
          </a:prstGeom>
          <a:gradFill rotWithShape="0">
            <a:gsLst>
              <a:gs pos="0">
                <a:srgbClr val="FFFFFF"/>
              </a:gs>
              <a:gs pos="100000">
                <a:srgbClr val="C0C0C0"/>
              </a:gs>
            </a:gsLst>
            <a:lin ang="5400000" scaled="1"/>
          </a:gradFill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000000"/>
                </a:solidFill>
                <a:latin typeface="Verdana"/>
                <a:ea typeface="Verdana"/>
              </a:rPr>
              <a:t>G csoport</a:t>
            </a:r>
          </a:p>
        </xdr:txBody>
      </xdr:sp>
    </xdr:grpSp>
    <xdr:clientData/>
  </xdr:twoCellAnchor>
  <xdr:twoCellAnchor>
    <xdr:from>
      <xdr:col>3</xdr:col>
      <xdr:colOff>0</xdr:colOff>
      <xdr:row>126</xdr:row>
      <xdr:rowOff>0</xdr:rowOff>
    </xdr:from>
    <xdr:to>
      <xdr:col>8</xdr:col>
      <xdr:colOff>2333625</xdr:colOff>
      <xdr:row>126</xdr:row>
      <xdr:rowOff>0</xdr:rowOff>
    </xdr:to>
    <xdr:grpSp>
      <xdr:nvGrpSpPr>
        <xdr:cNvPr id="7226" name="Group 610">
          <a:extLst>
            <a:ext uri="{FF2B5EF4-FFF2-40B4-BE49-F238E27FC236}">
              <a16:creationId xmlns:a16="http://schemas.microsoft.com/office/drawing/2014/main" xmlns="" id="{00000000-0008-0000-0600-00003A1C0000}"/>
            </a:ext>
          </a:extLst>
        </xdr:cNvPr>
        <xdr:cNvGrpSpPr>
          <a:grpSpLocks/>
        </xdr:cNvGrpSpPr>
      </xdr:nvGrpSpPr>
      <xdr:grpSpPr bwMode="auto">
        <a:xfrm>
          <a:off x="2524125" y="23793450"/>
          <a:ext cx="5924550" cy="0"/>
          <a:chOff x="186" y="63"/>
          <a:chExt cx="580" cy="17"/>
        </a:xfrm>
      </xdr:grpSpPr>
      <xdr:sp macro="" textlink="">
        <xdr:nvSpPr>
          <xdr:cNvPr id="11875" name="AutoShape 611">
            <a:hlinkClick xmlns:r="http://schemas.openxmlformats.org/officeDocument/2006/relationships" r:id="rId53" tooltip="A csoport"/>
            <a:extLst>
              <a:ext uri="{FF2B5EF4-FFF2-40B4-BE49-F238E27FC236}">
                <a16:creationId xmlns:a16="http://schemas.microsoft.com/office/drawing/2014/main" xmlns="" id="{00000000-0008-0000-0600-0000632E0000}"/>
              </a:ext>
            </a:extLst>
          </xdr:cNvPr>
          <xdr:cNvSpPr>
            <a:spLocks noChangeArrowheads="1"/>
          </xdr:cNvSpPr>
        </xdr:nvSpPr>
        <xdr:spPr bwMode="auto">
          <a:xfrm>
            <a:off x="-660752483771" y="23793450"/>
            <a:ext cx="66" cy="0"/>
          </a:xfrm>
          <a:prstGeom prst="bevel">
            <a:avLst>
              <a:gd name="adj" fmla="val 12500"/>
            </a:avLst>
          </a:prstGeom>
          <a:gradFill rotWithShape="0">
            <a:gsLst>
              <a:gs pos="0">
                <a:srgbClr val="FFFFFF"/>
              </a:gs>
              <a:gs pos="100000">
                <a:srgbClr val="C0C0C0"/>
              </a:gs>
            </a:gsLst>
            <a:lin ang="5400000" scaled="1"/>
          </a:gradFill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000000"/>
                </a:solidFill>
                <a:latin typeface="Verdana"/>
                <a:ea typeface="Verdana"/>
              </a:rPr>
              <a:t>A csoport</a:t>
            </a:r>
          </a:p>
        </xdr:txBody>
      </xdr:sp>
      <xdr:sp macro="" textlink="">
        <xdr:nvSpPr>
          <xdr:cNvPr id="11876" name="Text Box 612">
            <a:extLst>
              <a:ext uri="{FF2B5EF4-FFF2-40B4-BE49-F238E27FC236}">
                <a16:creationId xmlns:a16="http://schemas.microsoft.com/office/drawing/2014/main" xmlns="" id="{00000000-0008-0000-0600-0000642E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194520106763" y="23793450"/>
            <a:ext cx="49" cy="0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0" tIns="0" rIns="0" bIns="0" anchor="t" upright="1"/>
          <a:lstStyle/>
          <a:p>
            <a:pPr algn="r" rtl="0">
              <a:defRPr sz="1000"/>
            </a:pPr>
            <a:r>
              <a:rPr lang="hu-HU" sz="700" b="0" i="1" u="none" strike="noStrike" baseline="0">
                <a:solidFill>
                  <a:srgbClr val="FFFFFF"/>
                </a:solidFill>
                <a:latin typeface="Verdana"/>
                <a:ea typeface="Verdana"/>
              </a:rPr>
              <a:t>Lapozás:</a:t>
            </a:r>
          </a:p>
        </xdr:txBody>
      </xdr:sp>
      <xdr:sp macro="" textlink="">
        <xdr:nvSpPr>
          <xdr:cNvPr id="11877" name="AutoShape 613">
            <a:hlinkClick xmlns:r="http://schemas.openxmlformats.org/officeDocument/2006/relationships" r:id="rId54" tooltip="B csoport"/>
            <a:extLst>
              <a:ext uri="{FF2B5EF4-FFF2-40B4-BE49-F238E27FC236}">
                <a16:creationId xmlns:a16="http://schemas.microsoft.com/office/drawing/2014/main" xmlns="" id="{00000000-0008-0000-0600-0000652E0000}"/>
              </a:ext>
            </a:extLst>
          </xdr:cNvPr>
          <xdr:cNvSpPr>
            <a:spLocks noChangeArrowheads="1"/>
          </xdr:cNvSpPr>
        </xdr:nvSpPr>
        <xdr:spPr bwMode="auto">
          <a:xfrm>
            <a:off x="2868552367055" y="23793450"/>
            <a:ext cx="64" cy="0"/>
          </a:xfrm>
          <a:prstGeom prst="bevel">
            <a:avLst>
              <a:gd name="adj" fmla="val 12500"/>
            </a:avLst>
          </a:prstGeom>
          <a:gradFill rotWithShape="0">
            <a:gsLst>
              <a:gs pos="0">
                <a:srgbClr val="FFFFFF"/>
              </a:gs>
              <a:gs pos="100000">
                <a:srgbClr val="C0C0C0"/>
              </a:gs>
            </a:gsLst>
            <a:lin ang="5400000" scaled="1"/>
          </a:gradFill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000000"/>
                </a:solidFill>
                <a:latin typeface="Verdana"/>
                <a:ea typeface="Verdana"/>
              </a:rPr>
              <a:t>B csoport</a:t>
            </a:r>
          </a:p>
        </xdr:txBody>
      </xdr:sp>
      <xdr:sp macro="" textlink="">
        <xdr:nvSpPr>
          <xdr:cNvPr id="11878" name="AutoShape 614">
            <a:hlinkClick xmlns:r="http://schemas.openxmlformats.org/officeDocument/2006/relationships" r:id="rId55" tooltip="C csoport"/>
            <a:extLst>
              <a:ext uri="{FF2B5EF4-FFF2-40B4-BE49-F238E27FC236}">
                <a16:creationId xmlns:a16="http://schemas.microsoft.com/office/drawing/2014/main" xmlns="" id="{00000000-0008-0000-0600-0000662E0000}"/>
              </a:ext>
            </a:extLst>
          </xdr:cNvPr>
          <xdr:cNvSpPr>
            <a:spLocks noChangeArrowheads="1"/>
          </xdr:cNvSpPr>
        </xdr:nvSpPr>
        <xdr:spPr bwMode="auto">
          <a:xfrm>
            <a:off x="-4948359977246" y="23793450"/>
            <a:ext cx="66" cy="0"/>
          </a:xfrm>
          <a:prstGeom prst="bevel">
            <a:avLst>
              <a:gd name="adj" fmla="val 12500"/>
            </a:avLst>
          </a:prstGeom>
          <a:gradFill rotWithShape="0">
            <a:gsLst>
              <a:gs pos="0">
                <a:srgbClr val="FFFFFF"/>
              </a:gs>
              <a:gs pos="100000">
                <a:srgbClr val="C0C0C0"/>
              </a:gs>
            </a:gsLst>
            <a:lin ang="5400000" scaled="1"/>
          </a:gradFill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000000"/>
                </a:solidFill>
                <a:latin typeface="Verdana"/>
                <a:ea typeface="Verdana"/>
              </a:rPr>
              <a:t>C csoport</a:t>
            </a:r>
          </a:p>
        </xdr:txBody>
      </xdr:sp>
      <xdr:sp macro="" textlink="">
        <xdr:nvSpPr>
          <xdr:cNvPr id="11879" name="AutoShape 615">
            <a:hlinkClick xmlns:r="http://schemas.openxmlformats.org/officeDocument/2006/relationships" r:id="rId56" tooltip="D csoport"/>
            <a:extLst>
              <a:ext uri="{FF2B5EF4-FFF2-40B4-BE49-F238E27FC236}">
                <a16:creationId xmlns:a16="http://schemas.microsoft.com/office/drawing/2014/main" xmlns="" id="{00000000-0008-0000-0600-0000672E0000}"/>
              </a:ext>
            </a:extLst>
          </xdr:cNvPr>
          <xdr:cNvSpPr>
            <a:spLocks noChangeArrowheads="1"/>
          </xdr:cNvSpPr>
        </xdr:nvSpPr>
        <xdr:spPr bwMode="auto">
          <a:xfrm>
            <a:off x="-13995887624471" y="23793450"/>
            <a:ext cx="66" cy="0"/>
          </a:xfrm>
          <a:prstGeom prst="bevel">
            <a:avLst>
              <a:gd name="adj" fmla="val 12500"/>
            </a:avLst>
          </a:prstGeom>
          <a:gradFill rotWithShape="0">
            <a:gsLst>
              <a:gs pos="0">
                <a:srgbClr val="FFFFFF"/>
              </a:gs>
              <a:gs pos="100000">
                <a:srgbClr val="C0C0C0"/>
              </a:gs>
            </a:gsLst>
            <a:lin ang="5400000" scaled="1"/>
          </a:gradFill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000000"/>
                </a:solidFill>
                <a:latin typeface="Verdana"/>
                <a:ea typeface="Verdana"/>
              </a:rPr>
              <a:t>D csoport</a:t>
            </a:r>
          </a:p>
        </xdr:txBody>
      </xdr:sp>
      <xdr:sp macro="" textlink="">
        <xdr:nvSpPr>
          <xdr:cNvPr id="11880" name="AutoShape 616">
            <a:hlinkClick xmlns:r="http://schemas.openxmlformats.org/officeDocument/2006/relationships" r:id="rId57" tooltip="H csoport"/>
            <a:extLst>
              <a:ext uri="{FF2B5EF4-FFF2-40B4-BE49-F238E27FC236}">
                <a16:creationId xmlns:a16="http://schemas.microsoft.com/office/drawing/2014/main" xmlns="" id="{00000000-0008-0000-0600-0000682E0000}"/>
              </a:ext>
            </a:extLst>
          </xdr:cNvPr>
          <xdr:cNvSpPr>
            <a:spLocks noChangeArrowheads="1"/>
          </xdr:cNvSpPr>
        </xdr:nvSpPr>
        <xdr:spPr bwMode="auto">
          <a:xfrm>
            <a:off x="-3852836106258" y="23793450"/>
            <a:ext cx="65" cy="0"/>
          </a:xfrm>
          <a:prstGeom prst="bevel">
            <a:avLst>
              <a:gd name="adj" fmla="val 12500"/>
            </a:avLst>
          </a:prstGeom>
          <a:gradFill rotWithShape="0">
            <a:gsLst>
              <a:gs pos="0">
                <a:srgbClr val="FFFFFF"/>
              </a:gs>
              <a:gs pos="100000">
                <a:srgbClr val="C0C0C0"/>
              </a:gs>
            </a:gsLst>
            <a:lin ang="5400000" scaled="1"/>
          </a:gradFill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000000"/>
                </a:solidFill>
                <a:latin typeface="Verdana"/>
                <a:ea typeface="Verdana"/>
              </a:rPr>
              <a:t>H csoport</a:t>
            </a:r>
          </a:p>
        </xdr:txBody>
      </xdr:sp>
      <xdr:sp macro="" textlink="">
        <xdr:nvSpPr>
          <xdr:cNvPr id="11881" name="AutoShape 617">
            <a:hlinkClick xmlns:r="http://schemas.openxmlformats.org/officeDocument/2006/relationships" r:id="rId58" tooltip="E csoport"/>
            <a:extLst>
              <a:ext uri="{FF2B5EF4-FFF2-40B4-BE49-F238E27FC236}">
                <a16:creationId xmlns:a16="http://schemas.microsoft.com/office/drawing/2014/main" xmlns="" id="{00000000-0008-0000-0600-0000692E0000}"/>
              </a:ext>
            </a:extLst>
          </xdr:cNvPr>
          <xdr:cNvSpPr>
            <a:spLocks noChangeArrowheads="1"/>
          </xdr:cNvSpPr>
        </xdr:nvSpPr>
        <xdr:spPr bwMode="auto">
          <a:xfrm>
            <a:off x="25686610425" y="23793450"/>
            <a:ext cx="0" cy="0"/>
          </a:xfrm>
          <a:prstGeom prst="bevel">
            <a:avLst>
              <a:gd name="adj" fmla="val 12500"/>
            </a:avLst>
          </a:prstGeom>
          <a:gradFill rotWithShape="0">
            <a:gsLst>
              <a:gs pos="0">
                <a:srgbClr val="FFFFFF"/>
              </a:gs>
              <a:gs pos="100000">
                <a:srgbClr val="C0C0C0"/>
              </a:gs>
            </a:gsLst>
            <a:lin ang="5400000" scaled="1"/>
          </a:gradFill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000000"/>
                </a:solidFill>
                <a:latin typeface="Verdana"/>
                <a:ea typeface="Verdana"/>
              </a:rPr>
              <a:t>E csoport</a:t>
            </a:r>
          </a:p>
        </xdr:txBody>
      </xdr:sp>
      <xdr:sp macro="" textlink="">
        <xdr:nvSpPr>
          <xdr:cNvPr id="11882" name="AutoShape 618">
            <a:hlinkClick xmlns:r="http://schemas.openxmlformats.org/officeDocument/2006/relationships" r:id="rId59" tooltip="F csoport"/>
            <a:extLst>
              <a:ext uri="{FF2B5EF4-FFF2-40B4-BE49-F238E27FC236}">
                <a16:creationId xmlns:a16="http://schemas.microsoft.com/office/drawing/2014/main" xmlns="" id="{00000000-0008-0000-0600-00006A2E0000}"/>
              </a:ext>
            </a:extLst>
          </xdr:cNvPr>
          <xdr:cNvSpPr>
            <a:spLocks noChangeArrowheads="1"/>
          </xdr:cNvSpPr>
        </xdr:nvSpPr>
        <xdr:spPr bwMode="auto">
          <a:xfrm>
            <a:off x="13011652534205" y="23793450"/>
            <a:ext cx="64" cy="0"/>
          </a:xfrm>
          <a:prstGeom prst="bevel">
            <a:avLst>
              <a:gd name="adj" fmla="val 12500"/>
            </a:avLst>
          </a:prstGeom>
          <a:gradFill rotWithShape="0">
            <a:gsLst>
              <a:gs pos="0">
                <a:srgbClr val="FFFFFF"/>
              </a:gs>
              <a:gs pos="100000">
                <a:srgbClr val="C0C0C0"/>
              </a:gs>
            </a:gsLst>
            <a:lin ang="5400000" scaled="1"/>
          </a:gradFill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000000"/>
                </a:solidFill>
                <a:latin typeface="Verdana"/>
                <a:ea typeface="Verdana"/>
              </a:rPr>
              <a:t>F csoport</a:t>
            </a:r>
          </a:p>
        </xdr:txBody>
      </xdr:sp>
      <xdr:sp macro="" textlink="">
        <xdr:nvSpPr>
          <xdr:cNvPr id="11883" name="AutoShape 619">
            <a:hlinkClick xmlns:r="http://schemas.openxmlformats.org/officeDocument/2006/relationships" r:id="rId60" tooltip="G csoport"/>
            <a:extLst>
              <a:ext uri="{FF2B5EF4-FFF2-40B4-BE49-F238E27FC236}">
                <a16:creationId xmlns:a16="http://schemas.microsoft.com/office/drawing/2014/main" xmlns="" id="{00000000-0008-0000-0600-00006B2E0000}"/>
              </a:ext>
            </a:extLst>
          </xdr:cNvPr>
          <xdr:cNvSpPr>
            <a:spLocks noChangeArrowheads="1"/>
          </xdr:cNvSpPr>
        </xdr:nvSpPr>
        <xdr:spPr bwMode="auto">
          <a:xfrm>
            <a:off x="16540908745617" y="23793450"/>
            <a:ext cx="65" cy="0"/>
          </a:xfrm>
          <a:prstGeom prst="bevel">
            <a:avLst>
              <a:gd name="adj" fmla="val 12500"/>
            </a:avLst>
          </a:prstGeom>
          <a:gradFill rotWithShape="0">
            <a:gsLst>
              <a:gs pos="0">
                <a:srgbClr val="FFFFFF"/>
              </a:gs>
              <a:gs pos="100000">
                <a:srgbClr val="C0C0C0"/>
              </a:gs>
            </a:gsLst>
            <a:lin ang="5400000" scaled="1"/>
          </a:gradFill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000000"/>
                </a:solidFill>
                <a:latin typeface="Verdana"/>
                <a:ea typeface="Verdana"/>
              </a:rPr>
              <a:t>G csoport</a:t>
            </a:r>
          </a:p>
        </xdr:txBody>
      </xdr:sp>
    </xdr:grpSp>
    <xdr:clientData/>
  </xdr:twoCellAnchor>
  <xdr:twoCellAnchor>
    <xdr:from>
      <xdr:col>3</xdr:col>
      <xdr:colOff>0</xdr:colOff>
      <xdr:row>151</xdr:row>
      <xdr:rowOff>0</xdr:rowOff>
    </xdr:from>
    <xdr:to>
      <xdr:col>8</xdr:col>
      <xdr:colOff>2333625</xdr:colOff>
      <xdr:row>151</xdr:row>
      <xdr:rowOff>0</xdr:rowOff>
    </xdr:to>
    <xdr:grpSp>
      <xdr:nvGrpSpPr>
        <xdr:cNvPr id="7227" name="Group 630">
          <a:extLst>
            <a:ext uri="{FF2B5EF4-FFF2-40B4-BE49-F238E27FC236}">
              <a16:creationId xmlns:a16="http://schemas.microsoft.com/office/drawing/2014/main" xmlns="" id="{00000000-0008-0000-0600-00003B1C0000}"/>
            </a:ext>
          </a:extLst>
        </xdr:cNvPr>
        <xdr:cNvGrpSpPr>
          <a:grpSpLocks/>
        </xdr:cNvGrpSpPr>
      </xdr:nvGrpSpPr>
      <xdr:grpSpPr bwMode="auto">
        <a:xfrm>
          <a:off x="2524125" y="28555950"/>
          <a:ext cx="5924550" cy="0"/>
          <a:chOff x="186" y="63"/>
          <a:chExt cx="580" cy="17"/>
        </a:xfrm>
      </xdr:grpSpPr>
      <xdr:sp macro="" textlink="">
        <xdr:nvSpPr>
          <xdr:cNvPr id="11895" name="AutoShape 631">
            <a:hlinkClick xmlns:r="http://schemas.openxmlformats.org/officeDocument/2006/relationships" r:id="rId53" tooltip="A csoport"/>
            <a:extLst>
              <a:ext uri="{FF2B5EF4-FFF2-40B4-BE49-F238E27FC236}">
                <a16:creationId xmlns:a16="http://schemas.microsoft.com/office/drawing/2014/main" xmlns="" id="{00000000-0008-0000-0600-0000772E0000}"/>
              </a:ext>
            </a:extLst>
          </xdr:cNvPr>
          <xdr:cNvSpPr>
            <a:spLocks noChangeArrowheads="1"/>
          </xdr:cNvSpPr>
        </xdr:nvSpPr>
        <xdr:spPr bwMode="auto">
          <a:xfrm>
            <a:off x="-660752483771" y="28555950"/>
            <a:ext cx="66" cy="0"/>
          </a:xfrm>
          <a:prstGeom prst="bevel">
            <a:avLst>
              <a:gd name="adj" fmla="val 12500"/>
            </a:avLst>
          </a:prstGeom>
          <a:gradFill rotWithShape="0">
            <a:gsLst>
              <a:gs pos="0">
                <a:srgbClr val="FFFFFF"/>
              </a:gs>
              <a:gs pos="100000">
                <a:srgbClr val="C0C0C0"/>
              </a:gs>
            </a:gsLst>
            <a:lin ang="5400000" scaled="1"/>
          </a:gradFill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000000"/>
                </a:solidFill>
                <a:latin typeface="Verdana"/>
                <a:ea typeface="Verdana"/>
              </a:rPr>
              <a:t>A csoport</a:t>
            </a:r>
          </a:p>
        </xdr:txBody>
      </xdr:sp>
      <xdr:sp macro="" textlink="">
        <xdr:nvSpPr>
          <xdr:cNvPr id="11896" name="Text Box 632">
            <a:extLst>
              <a:ext uri="{FF2B5EF4-FFF2-40B4-BE49-F238E27FC236}">
                <a16:creationId xmlns:a16="http://schemas.microsoft.com/office/drawing/2014/main" xmlns="" id="{00000000-0008-0000-0600-0000782E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194520106763" y="28555950"/>
            <a:ext cx="49" cy="0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0" tIns="0" rIns="0" bIns="0" anchor="t" upright="1"/>
          <a:lstStyle/>
          <a:p>
            <a:pPr algn="r" rtl="0">
              <a:defRPr sz="1000"/>
            </a:pPr>
            <a:r>
              <a:rPr lang="hu-HU" sz="700" b="0" i="1" u="none" strike="noStrike" baseline="0">
                <a:solidFill>
                  <a:srgbClr val="FFFFFF"/>
                </a:solidFill>
                <a:latin typeface="Verdana"/>
                <a:ea typeface="Verdana"/>
              </a:rPr>
              <a:t>Lapozás:</a:t>
            </a:r>
          </a:p>
        </xdr:txBody>
      </xdr:sp>
      <xdr:sp macro="" textlink="">
        <xdr:nvSpPr>
          <xdr:cNvPr id="11897" name="AutoShape 633">
            <a:hlinkClick xmlns:r="http://schemas.openxmlformats.org/officeDocument/2006/relationships" r:id="rId54" tooltip="B csoport"/>
            <a:extLst>
              <a:ext uri="{FF2B5EF4-FFF2-40B4-BE49-F238E27FC236}">
                <a16:creationId xmlns:a16="http://schemas.microsoft.com/office/drawing/2014/main" xmlns="" id="{00000000-0008-0000-0600-0000792E0000}"/>
              </a:ext>
            </a:extLst>
          </xdr:cNvPr>
          <xdr:cNvSpPr>
            <a:spLocks noChangeArrowheads="1"/>
          </xdr:cNvSpPr>
        </xdr:nvSpPr>
        <xdr:spPr bwMode="auto">
          <a:xfrm>
            <a:off x="2868552367055" y="28555950"/>
            <a:ext cx="64" cy="0"/>
          </a:xfrm>
          <a:prstGeom prst="bevel">
            <a:avLst>
              <a:gd name="adj" fmla="val 12500"/>
            </a:avLst>
          </a:prstGeom>
          <a:gradFill rotWithShape="0">
            <a:gsLst>
              <a:gs pos="0">
                <a:srgbClr val="FFFFFF"/>
              </a:gs>
              <a:gs pos="100000">
                <a:srgbClr val="C0C0C0"/>
              </a:gs>
            </a:gsLst>
            <a:lin ang="5400000" scaled="1"/>
          </a:gradFill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000000"/>
                </a:solidFill>
                <a:latin typeface="Verdana"/>
                <a:ea typeface="Verdana"/>
              </a:rPr>
              <a:t>B csoport</a:t>
            </a:r>
          </a:p>
        </xdr:txBody>
      </xdr:sp>
      <xdr:sp macro="" textlink="">
        <xdr:nvSpPr>
          <xdr:cNvPr id="11898" name="AutoShape 634">
            <a:hlinkClick xmlns:r="http://schemas.openxmlformats.org/officeDocument/2006/relationships" r:id="rId55" tooltip="C csoport"/>
            <a:extLst>
              <a:ext uri="{FF2B5EF4-FFF2-40B4-BE49-F238E27FC236}">
                <a16:creationId xmlns:a16="http://schemas.microsoft.com/office/drawing/2014/main" xmlns="" id="{00000000-0008-0000-0600-00007A2E0000}"/>
              </a:ext>
            </a:extLst>
          </xdr:cNvPr>
          <xdr:cNvSpPr>
            <a:spLocks noChangeArrowheads="1"/>
          </xdr:cNvSpPr>
        </xdr:nvSpPr>
        <xdr:spPr bwMode="auto">
          <a:xfrm>
            <a:off x="-4948359977246" y="28555950"/>
            <a:ext cx="66" cy="0"/>
          </a:xfrm>
          <a:prstGeom prst="bevel">
            <a:avLst>
              <a:gd name="adj" fmla="val 12500"/>
            </a:avLst>
          </a:prstGeom>
          <a:gradFill rotWithShape="0">
            <a:gsLst>
              <a:gs pos="0">
                <a:srgbClr val="FFFFFF"/>
              </a:gs>
              <a:gs pos="100000">
                <a:srgbClr val="C0C0C0"/>
              </a:gs>
            </a:gsLst>
            <a:lin ang="5400000" scaled="1"/>
          </a:gradFill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000000"/>
                </a:solidFill>
                <a:latin typeface="Verdana"/>
                <a:ea typeface="Verdana"/>
              </a:rPr>
              <a:t>C csoport</a:t>
            </a:r>
          </a:p>
        </xdr:txBody>
      </xdr:sp>
      <xdr:sp macro="" textlink="">
        <xdr:nvSpPr>
          <xdr:cNvPr id="11899" name="AutoShape 635">
            <a:hlinkClick xmlns:r="http://schemas.openxmlformats.org/officeDocument/2006/relationships" r:id="rId56" tooltip="D csoport"/>
            <a:extLst>
              <a:ext uri="{FF2B5EF4-FFF2-40B4-BE49-F238E27FC236}">
                <a16:creationId xmlns:a16="http://schemas.microsoft.com/office/drawing/2014/main" xmlns="" id="{00000000-0008-0000-0600-00007B2E0000}"/>
              </a:ext>
            </a:extLst>
          </xdr:cNvPr>
          <xdr:cNvSpPr>
            <a:spLocks noChangeArrowheads="1"/>
          </xdr:cNvSpPr>
        </xdr:nvSpPr>
        <xdr:spPr bwMode="auto">
          <a:xfrm>
            <a:off x="-13995887624471" y="28555950"/>
            <a:ext cx="66" cy="0"/>
          </a:xfrm>
          <a:prstGeom prst="bevel">
            <a:avLst>
              <a:gd name="adj" fmla="val 12500"/>
            </a:avLst>
          </a:prstGeom>
          <a:gradFill rotWithShape="0">
            <a:gsLst>
              <a:gs pos="0">
                <a:srgbClr val="FFFFFF"/>
              </a:gs>
              <a:gs pos="100000">
                <a:srgbClr val="C0C0C0"/>
              </a:gs>
            </a:gsLst>
            <a:lin ang="5400000" scaled="1"/>
          </a:gradFill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000000"/>
                </a:solidFill>
                <a:latin typeface="Verdana"/>
                <a:ea typeface="Verdana"/>
              </a:rPr>
              <a:t>D csoport</a:t>
            </a:r>
          </a:p>
        </xdr:txBody>
      </xdr:sp>
      <xdr:sp macro="" textlink="">
        <xdr:nvSpPr>
          <xdr:cNvPr id="11900" name="AutoShape 636">
            <a:hlinkClick xmlns:r="http://schemas.openxmlformats.org/officeDocument/2006/relationships" r:id="rId57" tooltip="H csoport"/>
            <a:extLst>
              <a:ext uri="{FF2B5EF4-FFF2-40B4-BE49-F238E27FC236}">
                <a16:creationId xmlns:a16="http://schemas.microsoft.com/office/drawing/2014/main" xmlns="" id="{00000000-0008-0000-0600-00007C2E0000}"/>
              </a:ext>
            </a:extLst>
          </xdr:cNvPr>
          <xdr:cNvSpPr>
            <a:spLocks noChangeArrowheads="1"/>
          </xdr:cNvSpPr>
        </xdr:nvSpPr>
        <xdr:spPr bwMode="auto">
          <a:xfrm>
            <a:off x="-3852836106258" y="28555950"/>
            <a:ext cx="65" cy="0"/>
          </a:xfrm>
          <a:prstGeom prst="bevel">
            <a:avLst>
              <a:gd name="adj" fmla="val 12500"/>
            </a:avLst>
          </a:prstGeom>
          <a:gradFill rotWithShape="0">
            <a:gsLst>
              <a:gs pos="0">
                <a:srgbClr val="FFFFFF"/>
              </a:gs>
              <a:gs pos="100000">
                <a:srgbClr val="C0C0C0"/>
              </a:gs>
            </a:gsLst>
            <a:lin ang="5400000" scaled="1"/>
          </a:gradFill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000000"/>
                </a:solidFill>
                <a:latin typeface="Verdana"/>
                <a:ea typeface="Verdana"/>
              </a:rPr>
              <a:t>H csoport</a:t>
            </a:r>
          </a:p>
        </xdr:txBody>
      </xdr:sp>
      <xdr:sp macro="" textlink="">
        <xdr:nvSpPr>
          <xdr:cNvPr id="11901" name="AutoShape 637">
            <a:hlinkClick xmlns:r="http://schemas.openxmlformats.org/officeDocument/2006/relationships" r:id="rId58" tooltip="E csoport"/>
            <a:extLst>
              <a:ext uri="{FF2B5EF4-FFF2-40B4-BE49-F238E27FC236}">
                <a16:creationId xmlns:a16="http://schemas.microsoft.com/office/drawing/2014/main" xmlns="" id="{00000000-0008-0000-0600-00007D2E0000}"/>
              </a:ext>
            </a:extLst>
          </xdr:cNvPr>
          <xdr:cNvSpPr>
            <a:spLocks noChangeArrowheads="1"/>
          </xdr:cNvSpPr>
        </xdr:nvSpPr>
        <xdr:spPr bwMode="auto">
          <a:xfrm>
            <a:off x="25686610425" y="28555950"/>
            <a:ext cx="0" cy="0"/>
          </a:xfrm>
          <a:prstGeom prst="bevel">
            <a:avLst>
              <a:gd name="adj" fmla="val 12500"/>
            </a:avLst>
          </a:prstGeom>
          <a:gradFill rotWithShape="0">
            <a:gsLst>
              <a:gs pos="0">
                <a:srgbClr val="FFFFFF"/>
              </a:gs>
              <a:gs pos="100000">
                <a:srgbClr val="C0C0C0"/>
              </a:gs>
            </a:gsLst>
            <a:lin ang="5400000" scaled="1"/>
          </a:gradFill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000000"/>
                </a:solidFill>
                <a:latin typeface="Verdana"/>
                <a:ea typeface="Verdana"/>
              </a:rPr>
              <a:t>E csoport</a:t>
            </a:r>
          </a:p>
        </xdr:txBody>
      </xdr:sp>
      <xdr:sp macro="" textlink="">
        <xdr:nvSpPr>
          <xdr:cNvPr id="11902" name="AutoShape 638">
            <a:hlinkClick xmlns:r="http://schemas.openxmlformats.org/officeDocument/2006/relationships" r:id="rId59" tooltip="F csoport"/>
            <a:extLst>
              <a:ext uri="{FF2B5EF4-FFF2-40B4-BE49-F238E27FC236}">
                <a16:creationId xmlns:a16="http://schemas.microsoft.com/office/drawing/2014/main" xmlns="" id="{00000000-0008-0000-0600-00007E2E0000}"/>
              </a:ext>
            </a:extLst>
          </xdr:cNvPr>
          <xdr:cNvSpPr>
            <a:spLocks noChangeArrowheads="1"/>
          </xdr:cNvSpPr>
        </xdr:nvSpPr>
        <xdr:spPr bwMode="auto">
          <a:xfrm>
            <a:off x="13011652534205" y="28555950"/>
            <a:ext cx="64" cy="0"/>
          </a:xfrm>
          <a:prstGeom prst="bevel">
            <a:avLst>
              <a:gd name="adj" fmla="val 12500"/>
            </a:avLst>
          </a:prstGeom>
          <a:gradFill rotWithShape="0">
            <a:gsLst>
              <a:gs pos="0">
                <a:srgbClr val="FFFFFF"/>
              </a:gs>
              <a:gs pos="100000">
                <a:srgbClr val="C0C0C0"/>
              </a:gs>
            </a:gsLst>
            <a:lin ang="5400000" scaled="1"/>
          </a:gradFill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000000"/>
                </a:solidFill>
                <a:latin typeface="Verdana"/>
                <a:ea typeface="Verdana"/>
              </a:rPr>
              <a:t>F csoport</a:t>
            </a:r>
          </a:p>
        </xdr:txBody>
      </xdr:sp>
      <xdr:sp macro="" textlink="">
        <xdr:nvSpPr>
          <xdr:cNvPr id="11903" name="AutoShape 639">
            <a:hlinkClick xmlns:r="http://schemas.openxmlformats.org/officeDocument/2006/relationships" r:id="rId60" tooltip="G csoport"/>
            <a:extLst>
              <a:ext uri="{FF2B5EF4-FFF2-40B4-BE49-F238E27FC236}">
                <a16:creationId xmlns:a16="http://schemas.microsoft.com/office/drawing/2014/main" xmlns="" id="{00000000-0008-0000-0600-00007F2E0000}"/>
              </a:ext>
            </a:extLst>
          </xdr:cNvPr>
          <xdr:cNvSpPr>
            <a:spLocks noChangeArrowheads="1"/>
          </xdr:cNvSpPr>
        </xdr:nvSpPr>
        <xdr:spPr bwMode="auto">
          <a:xfrm>
            <a:off x="16540908745617" y="28555950"/>
            <a:ext cx="65" cy="0"/>
          </a:xfrm>
          <a:prstGeom prst="bevel">
            <a:avLst>
              <a:gd name="adj" fmla="val 12500"/>
            </a:avLst>
          </a:prstGeom>
          <a:gradFill rotWithShape="0">
            <a:gsLst>
              <a:gs pos="0">
                <a:srgbClr val="FFFFFF"/>
              </a:gs>
              <a:gs pos="100000">
                <a:srgbClr val="C0C0C0"/>
              </a:gs>
            </a:gsLst>
            <a:lin ang="5400000" scaled="1"/>
          </a:gradFill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000000"/>
                </a:solidFill>
                <a:latin typeface="Verdana"/>
                <a:ea typeface="Verdana"/>
              </a:rPr>
              <a:t>G csoport</a:t>
            </a:r>
          </a:p>
        </xdr:txBody>
      </xdr:sp>
    </xdr:grpSp>
    <xdr:clientData/>
  </xdr:twoCellAnchor>
  <xdr:twoCellAnchor editAs="oneCell">
    <xdr:from>
      <xdr:col>11</xdr:col>
      <xdr:colOff>123825</xdr:colOff>
      <xdr:row>3</xdr:row>
      <xdr:rowOff>9525</xdr:rowOff>
    </xdr:from>
    <xdr:to>
      <xdr:col>13</xdr:col>
      <xdr:colOff>314325</xdr:colOff>
      <xdr:row>3</xdr:row>
      <xdr:rowOff>142875</xdr:rowOff>
    </xdr:to>
    <xdr:grpSp>
      <xdr:nvGrpSpPr>
        <xdr:cNvPr id="7228" name="Group 1363">
          <a:extLst>
            <a:ext uri="{FF2B5EF4-FFF2-40B4-BE49-F238E27FC236}">
              <a16:creationId xmlns:a16="http://schemas.microsoft.com/office/drawing/2014/main" xmlns="" id="{00000000-0008-0000-0600-00003C1C0000}"/>
            </a:ext>
          </a:extLst>
        </xdr:cNvPr>
        <xdr:cNvGrpSpPr>
          <a:grpSpLocks/>
        </xdr:cNvGrpSpPr>
      </xdr:nvGrpSpPr>
      <xdr:grpSpPr bwMode="auto">
        <a:xfrm>
          <a:off x="9048750" y="371475"/>
          <a:ext cx="2857500" cy="133350"/>
          <a:chOff x="950" y="39"/>
          <a:chExt cx="300" cy="14"/>
        </a:xfrm>
      </xdr:grpSpPr>
      <xdr:sp macro="" textlink="">
        <xdr:nvSpPr>
          <xdr:cNvPr id="11978" name="Text Box 714">
            <a:extLst>
              <a:ext uri="{FF2B5EF4-FFF2-40B4-BE49-F238E27FC236}">
                <a16:creationId xmlns:a16="http://schemas.microsoft.com/office/drawing/2014/main" xmlns="" id="{00000000-0008-0000-0600-0000CA2E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50" y="41"/>
            <a:ext cx="122" cy="11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r" rtl="0">
              <a:defRPr sz="1000"/>
            </a:pPr>
            <a:r>
              <a:rPr lang="hu-HU" sz="600" b="0" i="0" u="none" strike="noStrike" baseline="0">
                <a:solidFill>
                  <a:srgbClr val="FFFFFF"/>
                </a:solidFill>
                <a:latin typeface="Arial Unicode MS"/>
              </a:rPr>
              <a:t>LAPOZÁS KATTINTÁSSAL:</a:t>
            </a:r>
          </a:p>
        </xdr:txBody>
      </xdr:sp>
      <xdr:sp macro="" textlink="">
        <xdr:nvSpPr>
          <xdr:cNvPr id="22577" name="AutoShape 1073">
            <a:hlinkClick xmlns:r="http://schemas.openxmlformats.org/officeDocument/2006/relationships" r:id="rId61" tooltip="A csoport"/>
            <a:extLst>
              <a:ext uri="{FF2B5EF4-FFF2-40B4-BE49-F238E27FC236}">
                <a16:creationId xmlns:a16="http://schemas.microsoft.com/office/drawing/2014/main" xmlns="" id="{00000000-0008-0000-0600-000031580000}"/>
              </a:ext>
            </a:extLst>
          </xdr:cNvPr>
          <xdr:cNvSpPr>
            <a:spLocks noChangeArrowheads="1"/>
          </xdr:cNvSpPr>
        </xdr:nvSpPr>
        <xdr:spPr bwMode="auto">
          <a:xfrm>
            <a:off x="1082" y="39"/>
            <a:ext cx="23" cy="14"/>
          </a:xfrm>
          <a:prstGeom prst="homePlate">
            <a:avLst>
              <a:gd name="adj" fmla="val 0"/>
            </a:avLst>
          </a:prstGeom>
          <a:gradFill rotWithShape="0">
            <a:gsLst>
              <a:gs pos="0">
                <a:srgbClr val="009CB3"/>
              </a:gs>
              <a:gs pos="100000">
                <a:srgbClr val="005C68"/>
              </a:gs>
            </a:gsLst>
            <a:lin ang="5400000" scaled="1"/>
          </a:gradFill>
          <a:ln w="0" algn="ctr">
            <a:solidFill>
              <a:srgbClr val="D3D3D3"/>
            </a:solidFill>
            <a:miter lim="800000"/>
            <a:headEnd/>
            <a:tailEnd/>
          </a:ln>
          <a:effectLst>
            <a:outerShdw dist="35921" dir="2700000" algn="ctr" rotWithShape="0">
              <a:srgbClr val="333333">
                <a:alpha val="50000"/>
              </a:srgbClr>
            </a:outerShdw>
          </a:effectLst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FFFFFF"/>
                </a:solidFill>
                <a:latin typeface="Arial Unicode MS"/>
              </a:rPr>
              <a:t>A</a:t>
            </a:r>
          </a:p>
        </xdr:txBody>
      </xdr:sp>
      <xdr:sp macro="" textlink="">
        <xdr:nvSpPr>
          <xdr:cNvPr id="22578" name="AutoShape 1074">
            <a:hlinkClick xmlns:r="http://schemas.openxmlformats.org/officeDocument/2006/relationships" r:id="rId62" tooltip="B csoport"/>
            <a:extLst>
              <a:ext uri="{FF2B5EF4-FFF2-40B4-BE49-F238E27FC236}">
                <a16:creationId xmlns:a16="http://schemas.microsoft.com/office/drawing/2014/main" xmlns="" id="{00000000-0008-0000-0600-000032580000}"/>
              </a:ext>
            </a:extLst>
          </xdr:cNvPr>
          <xdr:cNvSpPr>
            <a:spLocks noChangeArrowheads="1"/>
          </xdr:cNvSpPr>
        </xdr:nvSpPr>
        <xdr:spPr bwMode="auto">
          <a:xfrm>
            <a:off x="1111" y="39"/>
            <a:ext cx="23" cy="14"/>
          </a:xfrm>
          <a:prstGeom prst="homePlate">
            <a:avLst>
              <a:gd name="adj" fmla="val 0"/>
            </a:avLst>
          </a:prstGeom>
          <a:gradFill rotWithShape="0">
            <a:gsLst>
              <a:gs pos="0">
                <a:srgbClr val="9475E1"/>
              </a:gs>
              <a:gs pos="100000">
                <a:srgbClr val="523973"/>
              </a:gs>
            </a:gsLst>
            <a:lin ang="5400000" scaled="1"/>
          </a:gradFill>
          <a:ln w="0" algn="ctr">
            <a:solidFill>
              <a:srgbClr val="D3D3D3"/>
            </a:solidFill>
            <a:miter lim="800000"/>
            <a:headEnd/>
            <a:tailEnd/>
          </a:ln>
          <a:effectLst>
            <a:outerShdw dist="35921" dir="2700000" algn="ctr" rotWithShape="0">
              <a:srgbClr val="333333">
                <a:alpha val="50000"/>
              </a:srgbClr>
            </a:outerShdw>
          </a:effectLst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FFFFFF"/>
                </a:solidFill>
                <a:latin typeface="Arial Unicode MS"/>
              </a:rPr>
              <a:t>B</a:t>
            </a:r>
          </a:p>
        </xdr:txBody>
      </xdr:sp>
      <xdr:sp macro="" textlink="">
        <xdr:nvSpPr>
          <xdr:cNvPr id="22579" name="AutoShape 1075">
            <a:hlinkClick xmlns:r="http://schemas.openxmlformats.org/officeDocument/2006/relationships" r:id="rId63" tooltip="C csoport"/>
            <a:extLst>
              <a:ext uri="{FF2B5EF4-FFF2-40B4-BE49-F238E27FC236}">
                <a16:creationId xmlns:a16="http://schemas.microsoft.com/office/drawing/2014/main" xmlns="" id="{00000000-0008-0000-0600-000033580000}"/>
              </a:ext>
            </a:extLst>
          </xdr:cNvPr>
          <xdr:cNvSpPr>
            <a:spLocks noChangeArrowheads="1"/>
          </xdr:cNvSpPr>
        </xdr:nvSpPr>
        <xdr:spPr bwMode="auto">
          <a:xfrm>
            <a:off x="1140" y="39"/>
            <a:ext cx="23" cy="14"/>
          </a:xfrm>
          <a:prstGeom prst="homePlate">
            <a:avLst>
              <a:gd name="adj" fmla="val 0"/>
            </a:avLst>
          </a:prstGeom>
          <a:gradFill rotWithShape="0">
            <a:gsLst>
              <a:gs pos="0">
                <a:srgbClr val="F99F27"/>
              </a:gs>
              <a:gs pos="100000">
                <a:srgbClr val="9C3B0B"/>
              </a:gs>
            </a:gsLst>
            <a:lin ang="5400000" scaled="1"/>
          </a:gradFill>
          <a:ln w="0" algn="ctr">
            <a:solidFill>
              <a:srgbClr val="D3D3D3"/>
            </a:solidFill>
            <a:miter lim="800000"/>
            <a:headEnd/>
            <a:tailEnd/>
          </a:ln>
          <a:effectLst>
            <a:outerShdw dist="35921" dir="2700000" algn="ctr" rotWithShape="0">
              <a:srgbClr val="333333">
                <a:alpha val="50000"/>
              </a:srgbClr>
            </a:outerShdw>
          </a:effectLst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FFFFFF"/>
                </a:solidFill>
                <a:latin typeface="Arial Unicode MS"/>
              </a:rPr>
              <a:t>C</a:t>
            </a:r>
          </a:p>
        </xdr:txBody>
      </xdr:sp>
      <xdr:sp macro="" textlink="">
        <xdr:nvSpPr>
          <xdr:cNvPr id="22580" name="AutoShape 1076">
            <a:hlinkClick xmlns:r="http://schemas.openxmlformats.org/officeDocument/2006/relationships" r:id="rId64" tooltip="D csoport"/>
            <a:extLst>
              <a:ext uri="{FF2B5EF4-FFF2-40B4-BE49-F238E27FC236}">
                <a16:creationId xmlns:a16="http://schemas.microsoft.com/office/drawing/2014/main" xmlns="" id="{00000000-0008-0000-0600-000034580000}"/>
              </a:ext>
            </a:extLst>
          </xdr:cNvPr>
          <xdr:cNvSpPr>
            <a:spLocks noChangeArrowheads="1"/>
          </xdr:cNvSpPr>
        </xdr:nvSpPr>
        <xdr:spPr bwMode="auto">
          <a:xfrm>
            <a:off x="1169" y="39"/>
            <a:ext cx="23" cy="14"/>
          </a:xfrm>
          <a:prstGeom prst="homePlate">
            <a:avLst>
              <a:gd name="adj" fmla="val 0"/>
            </a:avLst>
          </a:prstGeom>
          <a:gradFill rotWithShape="0">
            <a:gsLst>
              <a:gs pos="0">
                <a:srgbClr val="ADCE35"/>
              </a:gs>
              <a:gs pos="100000">
                <a:srgbClr val="005000"/>
              </a:gs>
            </a:gsLst>
            <a:lin ang="5400000" scaled="1"/>
          </a:gradFill>
          <a:ln w="0" algn="ctr">
            <a:solidFill>
              <a:srgbClr val="D3D3D3"/>
            </a:solidFill>
            <a:miter lim="800000"/>
            <a:headEnd/>
            <a:tailEnd/>
          </a:ln>
          <a:effectLst>
            <a:outerShdw dist="35921" dir="2700000" algn="ctr" rotWithShape="0">
              <a:srgbClr val="333333">
                <a:alpha val="50000"/>
              </a:srgbClr>
            </a:outerShdw>
          </a:effectLst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FFFFFF"/>
                </a:solidFill>
                <a:latin typeface="Arial Unicode MS"/>
              </a:rPr>
              <a:t>D</a:t>
            </a:r>
          </a:p>
        </xdr:txBody>
      </xdr:sp>
      <xdr:sp macro="" textlink="">
        <xdr:nvSpPr>
          <xdr:cNvPr id="22581" name="AutoShape 1077">
            <a:hlinkClick xmlns:r="http://schemas.openxmlformats.org/officeDocument/2006/relationships" r:id="rId65" tooltip="F csoport"/>
            <a:extLst>
              <a:ext uri="{FF2B5EF4-FFF2-40B4-BE49-F238E27FC236}">
                <a16:creationId xmlns:a16="http://schemas.microsoft.com/office/drawing/2014/main" xmlns="" id="{00000000-0008-0000-0600-000035580000}"/>
              </a:ext>
            </a:extLst>
          </xdr:cNvPr>
          <xdr:cNvSpPr>
            <a:spLocks noChangeArrowheads="1"/>
          </xdr:cNvSpPr>
        </xdr:nvSpPr>
        <xdr:spPr bwMode="auto">
          <a:xfrm>
            <a:off x="1227" y="39"/>
            <a:ext cx="23" cy="14"/>
          </a:xfrm>
          <a:prstGeom prst="homePlate">
            <a:avLst>
              <a:gd name="adj" fmla="val 0"/>
            </a:avLst>
          </a:prstGeom>
          <a:gradFill rotWithShape="0">
            <a:gsLst>
              <a:gs pos="0">
                <a:srgbClr val="8C126F"/>
              </a:gs>
              <a:gs pos="100000">
                <a:srgbClr val="3A082E"/>
              </a:gs>
            </a:gsLst>
            <a:lin ang="5400000" scaled="1"/>
          </a:gradFill>
          <a:ln w="0" algn="ctr">
            <a:solidFill>
              <a:srgbClr val="D3D3D3"/>
            </a:solidFill>
            <a:miter lim="800000"/>
            <a:headEnd/>
            <a:tailEnd/>
          </a:ln>
          <a:effectLst>
            <a:outerShdw dist="35921" dir="2700000" algn="ctr" rotWithShape="0">
              <a:srgbClr val="333333">
                <a:alpha val="50000"/>
              </a:srgbClr>
            </a:outerShdw>
          </a:effectLst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FFFFFF"/>
                </a:solidFill>
                <a:latin typeface="Arial Unicode MS"/>
              </a:rPr>
              <a:t>F</a:t>
            </a:r>
          </a:p>
        </xdr:txBody>
      </xdr:sp>
      <xdr:sp macro="" textlink="">
        <xdr:nvSpPr>
          <xdr:cNvPr id="22582" name="AutoShape 1078">
            <a:hlinkClick xmlns:r="http://schemas.openxmlformats.org/officeDocument/2006/relationships" r:id="rId66" tooltip="E csoport"/>
            <a:extLst>
              <a:ext uri="{FF2B5EF4-FFF2-40B4-BE49-F238E27FC236}">
                <a16:creationId xmlns:a16="http://schemas.microsoft.com/office/drawing/2014/main" xmlns="" id="{00000000-0008-0000-0600-000036580000}"/>
              </a:ext>
            </a:extLst>
          </xdr:cNvPr>
          <xdr:cNvSpPr>
            <a:spLocks noChangeArrowheads="1"/>
          </xdr:cNvSpPr>
        </xdr:nvSpPr>
        <xdr:spPr bwMode="auto">
          <a:xfrm>
            <a:off x="1198" y="39"/>
            <a:ext cx="23" cy="14"/>
          </a:xfrm>
          <a:prstGeom prst="homePlate">
            <a:avLst>
              <a:gd name="adj" fmla="val 0"/>
            </a:avLst>
          </a:prstGeom>
          <a:gradFill rotWithShape="0">
            <a:gsLst>
              <a:gs pos="0">
                <a:srgbClr val="EE2959"/>
              </a:gs>
              <a:gs pos="100000">
                <a:srgbClr val="8C081D"/>
              </a:gs>
            </a:gsLst>
            <a:lin ang="5400000" scaled="1"/>
          </a:gradFill>
          <a:ln w="0" algn="ctr">
            <a:solidFill>
              <a:srgbClr val="D3D3D3"/>
            </a:solidFill>
            <a:miter lim="800000"/>
            <a:headEnd/>
            <a:tailEnd/>
          </a:ln>
          <a:effectLst>
            <a:outerShdw dist="35921" dir="2700000" algn="ctr" rotWithShape="0">
              <a:srgbClr val="333333">
                <a:alpha val="50000"/>
              </a:srgbClr>
            </a:outerShdw>
          </a:effectLst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hu-HU" sz="700" b="1" i="0" u="none" strike="noStrike" baseline="0">
                <a:solidFill>
                  <a:srgbClr val="FFFFFF"/>
                </a:solidFill>
                <a:latin typeface="Arial Unicode MS"/>
              </a:rPr>
              <a:t>E</a:t>
            </a:r>
          </a:p>
        </xdr:txBody>
      </xdr:sp>
    </xdr:grpSp>
    <xdr:clientData/>
  </xdr:twoCellAnchor>
  <xdr:twoCellAnchor editAs="oneCell">
    <xdr:from>
      <xdr:col>2</xdr:col>
      <xdr:colOff>1800225</xdr:colOff>
      <xdr:row>67</xdr:row>
      <xdr:rowOff>66675</xdr:rowOff>
    </xdr:from>
    <xdr:to>
      <xdr:col>2</xdr:col>
      <xdr:colOff>2257425</xdr:colOff>
      <xdr:row>67</xdr:row>
      <xdr:rowOff>361950</xdr:rowOff>
    </xdr:to>
    <xdr:pic>
      <xdr:nvPicPr>
        <xdr:cNvPr id="7229" name="Picture 1262">
          <a:extLst>
            <a:ext uri="{FF2B5EF4-FFF2-40B4-BE49-F238E27FC236}">
              <a16:creationId xmlns:a16="http://schemas.microsoft.com/office/drawing/2014/main" xmlns="" id="{00000000-0008-0000-0600-00003D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12582525"/>
          <a:ext cx="457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1276350</xdr:colOff>
      <xdr:row>67</xdr:row>
      <xdr:rowOff>0</xdr:rowOff>
    </xdr:from>
    <xdr:to>
      <xdr:col>2</xdr:col>
      <xdr:colOff>1666875</xdr:colOff>
      <xdr:row>67</xdr:row>
      <xdr:rowOff>390525</xdr:rowOff>
    </xdr:to>
    <xdr:pic>
      <xdr:nvPicPr>
        <xdr:cNvPr id="7230" name="Picture 1263" descr="Ukraine">
          <a:extLst>
            <a:ext uri="{FF2B5EF4-FFF2-40B4-BE49-F238E27FC236}">
              <a16:creationId xmlns:a16="http://schemas.microsoft.com/office/drawing/2014/main" xmlns="" id="{00000000-0008-0000-0600-00003E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12515850"/>
          <a:ext cx="3905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228600</xdr:colOff>
      <xdr:row>30</xdr:row>
      <xdr:rowOff>0</xdr:rowOff>
    </xdr:from>
    <xdr:to>
      <xdr:col>9</xdr:col>
      <xdr:colOff>9525</xdr:colOff>
      <xdr:row>30</xdr:row>
      <xdr:rowOff>190500</xdr:rowOff>
    </xdr:to>
    <xdr:sp macro="" textlink="">
      <xdr:nvSpPr>
        <xdr:cNvPr id="22858" name="Text Box 1354">
          <a:extLst>
            <a:ext uri="{FF2B5EF4-FFF2-40B4-BE49-F238E27FC236}">
              <a16:creationId xmlns:a16="http://schemas.microsoft.com/office/drawing/2014/main" xmlns="" id="{00000000-0008-0000-0600-00004A590000}"/>
            </a:ext>
          </a:extLst>
        </xdr:cNvPr>
        <xdr:cNvSpPr txBox="1">
          <a:spLocks noChangeArrowheads="1"/>
        </xdr:cNvSpPr>
      </xdr:nvSpPr>
      <xdr:spPr bwMode="auto">
        <a:xfrm>
          <a:off x="2990850" y="5829300"/>
          <a:ext cx="5467350" cy="190500"/>
        </a:xfrm>
        <a:prstGeom prst="rect">
          <a:avLst/>
        </a:prstGeom>
        <a:gradFill rotWithShape="0">
          <a:gsLst>
            <a:gs pos="0">
              <a:srgbClr val="9475E1"/>
            </a:gs>
            <a:gs pos="100000">
              <a:srgbClr val="523973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/>
      </xdr:spPr>
      <xdr:txBody>
        <a:bodyPr vertOverflow="clip" wrap="square" lIns="14400" tIns="0" rIns="0" bIns="0" anchor="ctr" upright="1"/>
        <a:lstStyle/>
        <a:p>
          <a:pPr algn="ctr" rtl="0">
            <a:defRPr sz="1000"/>
          </a:pPr>
          <a:r>
            <a:rPr lang="hu-HU" sz="800" b="1" i="0" u="none" strike="noStrike" baseline="0">
              <a:solidFill>
                <a:srgbClr val="FFFFFF"/>
              </a:solidFill>
              <a:latin typeface="Arial Unicode MS"/>
            </a:rPr>
            <a:t>B CSOPORT</a:t>
          </a:r>
        </a:p>
      </xdr:txBody>
    </xdr:sp>
    <xdr:clientData/>
  </xdr:twoCellAnchor>
  <xdr:twoCellAnchor>
    <xdr:from>
      <xdr:col>4</xdr:col>
      <xdr:colOff>228600</xdr:colOff>
      <xdr:row>55</xdr:row>
      <xdr:rowOff>0</xdr:rowOff>
    </xdr:from>
    <xdr:to>
      <xdr:col>9</xdr:col>
      <xdr:colOff>9525</xdr:colOff>
      <xdr:row>55</xdr:row>
      <xdr:rowOff>190500</xdr:rowOff>
    </xdr:to>
    <xdr:sp macro="" textlink="">
      <xdr:nvSpPr>
        <xdr:cNvPr id="22860" name="Text Box 1356">
          <a:extLst>
            <a:ext uri="{FF2B5EF4-FFF2-40B4-BE49-F238E27FC236}">
              <a16:creationId xmlns:a16="http://schemas.microsoft.com/office/drawing/2014/main" xmlns="" id="{00000000-0008-0000-0600-00004C590000}"/>
            </a:ext>
          </a:extLst>
        </xdr:cNvPr>
        <xdr:cNvSpPr txBox="1">
          <a:spLocks noChangeArrowheads="1"/>
        </xdr:cNvSpPr>
      </xdr:nvSpPr>
      <xdr:spPr bwMode="auto">
        <a:xfrm>
          <a:off x="2990850" y="10991850"/>
          <a:ext cx="5467350" cy="190500"/>
        </a:xfrm>
        <a:prstGeom prst="rect">
          <a:avLst/>
        </a:prstGeom>
        <a:gradFill rotWithShape="0">
          <a:gsLst>
            <a:gs pos="0">
              <a:srgbClr val="F99F27"/>
            </a:gs>
            <a:gs pos="100000">
              <a:srgbClr val="9C3B0B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/>
      </xdr:spPr>
      <xdr:txBody>
        <a:bodyPr vertOverflow="clip" wrap="square" lIns="14400" tIns="0" rIns="0" bIns="0" anchor="ctr" upright="1"/>
        <a:lstStyle/>
        <a:p>
          <a:pPr algn="ctr" rtl="0">
            <a:defRPr sz="1000"/>
          </a:pPr>
          <a:r>
            <a:rPr lang="hu-HU" sz="800" b="1" i="0" u="none" strike="noStrike" baseline="0">
              <a:solidFill>
                <a:srgbClr val="FFFFFF"/>
              </a:solidFill>
              <a:latin typeface="Arial Unicode MS"/>
            </a:rPr>
            <a:t>C CSOPORT</a:t>
          </a:r>
        </a:p>
      </xdr:txBody>
    </xdr:sp>
    <xdr:clientData/>
  </xdr:twoCellAnchor>
  <xdr:twoCellAnchor>
    <xdr:from>
      <xdr:col>4</xdr:col>
      <xdr:colOff>228600</xdr:colOff>
      <xdr:row>80</xdr:row>
      <xdr:rowOff>0</xdr:rowOff>
    </xdr:from>
    <xdr:to>
      <xdr:col>9</xdr:col>
      <xdr:colOff>9525</xdr:colOff>
      <xdr:row>80</xdr:row>
      <xdr:rowOff>190500</xdr:rowOff>
    </xdr:to>
    <xdr:sp macro="" textlink="">
      <xdr:nvSpPr>
        <xdr:cNvPr id="22862" name="Text Box 1358">
          <a:extLst>
            <a:ext uri="{FF2B5EF4-FFF2-40B4-BE49-F238E27FC236}">
              <a16:creationId xmlns:a16="http://schemas.microsoft.com/office/drawing/2014/main" xmlns="" id="{00000000-0008-0000-0600-00004E590000}"/>
            </a:ext>
          </a:extLst>
        </xdr:cNvPr>
        <xdr:cNvSpPr txBox="1">
          <a:spLocks noChangeArrowheads="1"/>
        </xdr:cNvSpPr>
      </xdr:nvSpPr>
      <xdr:spPr bwMode="auto">
        <a:xfrm>
          <a:off x="2990850" y="16154400"/>
          <a:ext cx="5467350" cy="190500"/>
        </a:xfrm>
        <a:prstGeom prst="rect">
          <a:avLst/>
        </a:prstGeom>
        <a:gradFill rotWithShape="0">
          <a:gsLst>
            <a:gs pos="0">
              <a:srgbClr val="ADCE35"/>
            </a:gs>
            <a:gs pos="100000">
              <a:srgbClr val="005000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/>
      </xdr:spPr>
      <xdr:txBody>
        <a:bodyPr vertOverflow="clip" wrap="square" lIns="14400" tIns="0" rIns="0" bIns="0" anchor="ctr" upright="1"/>
        <a:lstStyle/>
        <a:p>
          <a:pPr algn="ctr" rtl="0">
            <a:defRPr sz="1000"/>
          </a:pPr>
          <a:r>
            <a:rPr lang="hu-HU" sz="800" b="1" i="0" u="none" strike="noStrike" baseline="0">
              <a:solidFill>
                <a:srgbClr val="FFFFFF"/>
              </a:solidFill>
              <a:latin typeface="Arial Unicode MS"/>
            </a:rPr>
            <a:t>D CSOPORT</a:t>
          </a:r>
        </a:p>
      </xdr:txBody>
    </xdr:sp>
    <xdr:clientData/>
  </xdr:twoCellAnchor>
  <xdr:twoCellAnchor>
    <xdr:from>
      <xdr:col>4</xdr:col>
      <xdr:colOff>228600</xdr:colOff>
      <xdr:row>105</xdr:row>
      <xdr:rowOff>0</xdr:rowOff>
    </xdr:from>
    <xdr:to>
      <xdr:col>9</xdr:col>
      <xdr:colOff>9525</xdr:colOff>
      <xdr:row>105</xdr:row>
      <xdr:rowOff>190500</xdr:rowOff>
    </xdr:to>
    <xdr:sp macro="" textlink="">
      <xdr:nvSpPr>
        <xdr:cNvPr id="22864" name="Text Box 1360">
          <a:extLst>
            <a:ext uri="{FF2B5EF4-FFF2-40B4-BE49-F238E27FC236}">
              <a16:creationId xmlns:a16="http://schemas.microsoft.com/office/drawing/2014/main" xmlns="" id="{00000000-0008-0000-0600-000050590000}"/>
            </a:ext>
          </a:extLst>
        </xdr:cNvPr>
        <xdr:cNvSpPr txBox="1">
          <a:spLocks noChangeArrowheads="1"/>
        </xdr:cNvSpPr>
      </xdr:nvSpPr>
      <xdr:spPr bwMode="auto">
        <a:xfrm>
          <a:off x="2990850" y="21316950"/>
          <a:ext cx="5467350" cy="190500"/>
        </a:xfrm>
        <a:prstGeom prst="rect">
          <a:avLst/>
        </a:prstGeom>
        <a:gradFill rotWithShape="0">
          <a:gsLst>
            <a:gs pos="0">
              <a:srgbClr val="EE2959"/>
            </a:gs>
            <a:gs pos="100000">
              <a:srgbClr val="8C081D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/>
      </xdr:spPr>
      <xdr:txBody>
        <a:bodyPr vertOverflow="clip" wrap="square" lIns="14400" tIns="0" rIns="0" bIns="0" anchor="ctr" upright="1"/>
        <a:lstStyle/>
        <a:p>
          <a:pPr algn="ctr" rtl="0">
            <a:defRPr sz="1000"/>
          </a:pPr>
          <a:r>
            <a:rPr lang="hu-HU" sz="800" b="1" i="0" u="none" strike="noStrike" baseline="0">
              <a:solidFill>
                <a:srgbClr val="FFFFFF"/>
              </a:solidFill>
              <a:latin typeface="Arial Unicode MS"/>
            </a:rPr>
            <a:t>E CSOPORT</a:t>
          </a:r>
        </a:p>
      </xdr:txBody>
    </xdr:sp>
    <xdr:clientData/>
  </xdr:twoCellAnchor>
  <xdr:twoCellAnchor>
    <xdr:from>
      <xdr:col>4</xdr:col>
      <xdr:colOff>228600</xdr:colOff>
      <xdr:row>130</xdr:row>
      <xdr:rowOff>0</xdr:rowOff>
    </xdr:from>
    <xdr:to>
      <xdr:col>9</xdr:col>
      <xdr:colOff>9525</xdr:colOff>
      <xdr:row>130</xdr:row>
      <xdr:rowOff>190500</xdr:rowOff>
    </xdr:to>
    <xdr:sp macro="" textlink="">
      <xdr:nvSpPr>
        <xdr:cNvPr id="22866" name="Text Box 1362">
          <a:extLst>
            <a:ext uri="{FF2B5EF4-FFF2-40B4-BE49-F238E27FC236}">
              <a16:creationId xmlns:a16="http://schemas.microsoft.com/office/drawing/2014/main" xmlns="" id="{00000000-0008-0000-0600-000052590000}"/>
            </a:ext>
          </a:extLst>
        </xdr:cNvPr>
        <xdr:cNvSpPr txBox="1">
          <a:spLocks noChangeArrowheads="1"/>
        </xdr:cNvSpPr>
      </xdr:nvSpPr>
      <xdr:spPr bwMode="auto">
        <a:xfrm>
          <a:off x="2990850" y="26479500"/>
          <a:ext cx="5467350" cy="190500"/>
        </a:xfrm>
        <a:prstGeom prst="rect">
          <a:avLst/>
        </a:prstGeom>
        <a:gradFill rotWithShape="0">
          <a:gsLst>
            <a:gs pos="0">
              <a:srgbClr val="8C126F"/>
            </a:gs>
            <a:gs pos="100000">
              <a:srgbClr val="3A082E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/>
      </xdr:spPr>
      <xdr:txBody>
        <a:bodyPr vertOverflow="clip" wrap="square" lIns="14400" tIns="0" rIns="0" bIns="0" anchor="ctr" upright="1"/>
        <a:lstStyle/>
        <a:p>
          <a:pPr algn="ctr" rtl="0">
            <a:defRPr sz="1000"/>
          </a:pPr>
          <a:r>
            <a:rPr lang="hu-HU" sz="800" b="1" i="0" u="none" strike="noStrike" baseline="0">
              <a:solidFill>
                <a:srgbClr val="FFFFFF"/>
              </a:solidFill>
              <a:latin typeface="Arial Unicode MS"/>
            </a:rPr>
            <a:t>F CSOPORT</a:t>
          </a:r>
        </a:p>
      </xdr:txBody>
    </xdr:sp>
    <xdr:clientData/>
  </xdr:twoCellAnchor>
  <xdr:twoCellAnchor>
    <xdr:from>
      <xdr:col>6</xdr:col>
      <xdr:colOff>104775</xdr:colOff>
      <xdr:row>143</xdr:row>
      <xdr:rowOff>38100</xdr:rowOff>
    </xdr:from>
    <xdr:to>
      <xdr:col>6</xdr:col>
      <xdr:colOff>409575</xdr:colOff>
      <xdr:row>144</xdr:row>
      <xdr:rowOff>66675</xdr:rowOff>
    </xdr:to>
    <xdr:pic>
      <xdr:nvPicPr>
        <xdr:cNvPr id="7236" name="Picture 1376">
          <a:extLst>
            <a:ext uri="{FF2B5EF4-FFF2-40B4-BE49-F238E27FC236}">
              <a16:creationId xmlns:a16="http://schemas.microsoft.com/office/drawing/2014/main" xmlns="" id="{00000000-0008-0000-0600-000044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" y="27270075"/>
          <a:ext cx="304800" cy="190500"/>
        </a:xfrm>
        <a:prstGeom prst="rect">
          <a:avLst/>
        </a:prstGeom>
        <a:noFill/>
        <a:ln w="9525" algn="ctr">
          <a:solidFill>
            <a:srgbClr val="C0C0C0"/>
          </a:solidFill>
          <a:miter lim="800000"/>
          <a:headEnd/>
          <a:tailEnd/>
        </a:ln>
        <a:effectLst>
          <a:outerShdw dist="53882" dir="2700000" algn="ctr" rotWithShape="0">
            <a:srgbClr val="333333">
              <a:alpha val="5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628650</xdr:colOff>
      <xdr:row>142</xdr:row>
      <xdr:rowOff>28575</xdr:rowOff>
    </xdr:from>
    <xdr:to>
      <xdr:col>6</xdr:col>
      <xdr:colOff>933450</xdr:colOff>
      <xdr:row>142</xdr:row>
      <xdr:rowOff>219075</xdr:rowOff>
    </xdr:to>
    <xdr:pic>
      <xdr:nvPicPr>
        <xdr:cNvPr id="7237" name="Picture 1377">
          <a:extLst>
            <a:ext uri="{FF2B5EF4-FFF2-40B4-BE49-F238E27FC236}">
              <a16:creationId xmlns:a16="http://schemas.microsoft.com/office/drawing/2014/main" xmlns="" id="{00000000-0008-0000-0600-000045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26831925"/>
          <a:ext cx="304800" cy="190500"/>
        </a:xfrm>
        <a:prstGeom prst="rect">
          <a:avLst/>
        </a:prstGeom>
        <a:noFill/>
        <a:ln w="9525" algn="ctr">
          <a:solidFill>
            <a:srgbClr val="C0C0C0"/>
          </a:solidFill>
          <a:miter lim="800000"/>
          <a:headEnd/>
          <a:tailEnd/>
        </a:ln>
        <a:effectLst>
          <a:outerShdw dist="53882" dir="2700000" algn="ctr" rotWithShape="0">
            <a:srgbClr val="333333">
              <a:alpha val="5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400050</xdr:colOff>
      <xdr:row>146</xdr:row>
      <xdr:rowOff>95250</xdr:rowOff>
    </xdr:from>
    <xdr:to>
      <xdr:col>5</xdr:col>
      <xdr:colOff>704850</xdr:colOff>
      <xdr:row>147</xdr:row>
      <xdr:rowOff>123825</xdr:rowOff>
    </xdr:to>
    <xdr:pic>
      <xdr:nvPicPr>
        <xdr:cNvPr id="7238" name="Picture 1378">
          <a:extLst>
            <a:ext uri="{FF2B5EF4-FFF2-40B4-BE49-F238E27FC236}">
              <a16:creationId xmlns:a16="http://schemas.microsoft.com/office/drawing/2014/main" xmlns="" id="{00000000-0008-0000-0600-000046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27813000"/>
          <a:ext cx="304800" cy="190500"/>
        </a:xfrm>
        <a:prstGeom prst="rect">
          <a:avLst/>
        </a:prstGeom>
        <a:noFill/>
        <a:ln w="9525" algn="ctr">
          <a:solidFill>
            <a:srgbClr val="C0C0C0"/>
          </a:solidFill>
          <a:miter lim="800000"/>
          <a:headEnd/>
          <a:tailEnd/>
        </a:ln>
        <a:effectLst>
          <a:outerShdw dist="53882" dir="2700000" algn="ctr" rotWithShape="0">
            <a:srgbClr val="333333">
              <a:alpha val="5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1285875</xdr:colOff>
      <xdr:row>116</xdr:row>
      <xdr:rowOff>190500</xdr:rowOff>
    </xdr:from>
    <xdr:to>
      <xdr:col>7</xdr:col>
      <xdr:colOff>228600</xdr:colOff>
      <xdr:row>117</xdr:row>
      <xdr:rowOff>114300</xdr:rowOff>
    </xdr:to>
    <xdr:pic>
      <xdr:nvPicPr>
        <xdr:cNvPr id="7239" name="Picture 1391">
          <a:extLst>
            <a:ext uri="{FF2B5EF4-FFF2-40B4-BE49-F238E27FC236}">
              <a16:creationId xmlns:a16="http://schemas.microsoft.com/office/drawing/2014/main" xmlns="" id="{00000000-0008-0000-0600-000047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21964650"/>
          <a:ext cx="304800" cy="190500"/>
        </a:xfrm>
        <a:prstGeom prst="rect">
          <a:avLst/>
        </a:prstGeom>
        <a:noFill/>
        <a:ln w="9525" algn="ctr">
          <a:solidFill>
            <a:srgbClr val="C0C0C0"/>
          </a:solidFill>
          <a:miter lim="800000"/>
          <a:headEnd/>
          <a:tailEnd/>
        </a:ln>
        <a:effectLst>
          <a:outerShdw dist="53882" dir="2700000" algn="ctr" rotWithShape="0">
            <a:srgbClr val="333333">
              <a:alpha val="5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781050</xdr:colOff>
      <xdr:row>111</xdr:row>
      <xdr:rowOff>76200</xdr:rowOff>
    </xdr:from>
    <xdr:to>
      <xdr:col>6</xdr:col>
      <xdr:colOff>1085850</xdr:colOff>
      <xdr:row>112</xdr:row>
      <xdr:rowOff>104775</xdr:rowOff>
    </xdr:to>
    <xdr:pic>
      <xdr:nvPicPr>
        <xdr:cNvPr id="7240" name="Picture 1392">
          <a:extLst>
            <a:ext uri="{FF2B5EF4-FFF2-40B4-BE49-F238E27FC236}">
              <a16:creationId xmlns:a16="http://schemas.microsoft.com/office/drawing/2014/main" xmlns="" id="{00000000-0008-0000-0600-000048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21135975"/>
          <a:ext cx="304800" cy="190500"/>
        </a:xfrm>
        <a:prstGeom prst="rect">
          <a:avLst/>
        </a:prstGeom>
        <a:noFill/>
        <a:ln w="9525" algn="ctr">
          <a:solidFill>
            <a:srgbClr val="C0C0C0"/>
          </a:solidFill>
          <a:miter lim="800000"/>
          <a:headEnd/>
          <a:tailEnd/>
        </a:ln>
        <a:effectLst>
          <a:outerShdw dist="53882" dir="2700000" algn="ctr" rotWithShape="0">
            <a:srgbClr val="333333">
              <a:alpha val="5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704850</xdr:colOff>
      <xdr:row>119</xdr:row>
      <xdr:rowOff>47625</xdr:rowOff>
    </xdr:from>
    <xdr:to>
      <xdr:col>5</xdr:col>
      <xdr:colOff>1009650</xdr:colOff>
      <xdr:row>120</xdr:row>
      <xdr:rowOff>76200</xdr:rowOff>
    </xdr:to>
    <xdr:pic>
      <xdr:nvPicPr>
        <xdr:cNvPr id="7241" name="Picture 1393">
          <a:extLst>
            <a:ext uri="{FF2B5EF4-FFF2-40B4-BE49-F238E27FC236}">
              <a16:creationId xmlns:a16="http://schemas.microsoft.com/office/drawing/2014/main" xmlns="" id="{00000000-0008-0000-0600-000049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22679025"/>
          <a:ext cx="304800" cy="190500"/>
        </a:xfrm>
        <a:prstGeom prst="rect">
          <a:avLst/>
        </a:prstGeom>
        <a:noFill/>
        <a:ln w="9525" algn="ctr">
          <a:solidFill>
            <a:srgbClr val="C0C0C0"/>
          </a:solidFill>
          <a:miter lim="800000"/>
          <a:headEnd/>
          <a:tailEnd/>
        </a:ln>
        <a:effectLst>
          <a:outerShdw dist="53882" dir="2700000" algn="ctr" rotWithShape="0">
            <a:srgbClr val="333333">
              <a:alpha val="5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857250</xdr:colOff>
      <xdr:row>91</xdr:row>
      <xdr:rowOff>209550</xdr:rowOff>
    </xdr:from>
    <xdr:to>
      <xdr:col>6</xdr:col>
      <xdr:colOff>1162050</xdr:colOff>
      <xdr:row>92</xdr:row>
      <xdr:rowOff>133350</xdr:rowOff>
    </xdr:to>
    <xdr:pic>
      <xdr:nvPicPr>
        <xdr:cNvPr id="7242" name="Picture 1400">
          <a:extLst>
            <a:ext uri="{FF2B5EF4-FFF2-40B4-BE49-F238E27FC236}">
              <a16:creationId xmlns:a16="http://schemas.microsoft.com/office/drawing/2014/main" xmlns="" id="{00000000-0008-0000-0600-00004A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17221200"/>
          <a:ext cx="304800" cy="190500"/>
        </a:xfrm>
        <a:prstGeom prst="rect">
          <a:avLst/>
        </a:prstGeom>
        <a:noFill/>
        <a:ln w="9525" algn="ctr">
          <a:solidFill>
            <a:srgbClr val="C0C0C0"/>
          </a:solidFill>
          <a:miter lim="800000"/>
          <a:headEnd/>
          <a:tailEnd/>
        </a:ln>
        <a:effectLst>
          <a:outerShdw dist="53882" dir="2700000" algn="ctr" rotWithShape="0">
            <a:srgbClr val="333333">
              <a:alpha val="5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800100</xdr:colOff>
      <xdr:row>95</xdr:row>
      <xdr:rowOff>66675</xdr:rowOff>
    </xdr:from>
    <xdr:to>
      <xdr:col>6</xdr:col>
      <xdr:colOff>1104900</xdr:colOff>
      <xdr:row>96</xdr:row>
      <xdr:rowOff>95250</xdr:rowOff>
    </xdr:to>
    <xdr:pic>
      <xdr:nvPicPr>
        <xdr:cNvPr id="7243" name="Picture 1401">
          <a:extLst>
            <a:ext uri="{FF2B5EF4-FFF2-40B4-BE49-F238E27FC236}">
              <a16:creationId xmlns:a16="http://schemas.microsoft.com/office/drawing/2014/main" xmlns="" id="{00000000-0008-0000-0600-00004B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18097500"/>
          <a:ext cx="304800" cy="190500"/>
        </a:xfrm>
        <a:prstGeom prst="rect">
          <a:avLst/>
        </a:prstGeom>
        <a:noFill/>
        <a:ln w="9525" algn="ctr">
          <a:solidFill>
            <a:srgbClr val="C0C0C0"/>
          </a:solidFill>
          <a:miter lim="800000"/>
          <a:headEnd/>
          <a:tailEnd/>
        </a:ln>
        <a:effectLst>
          <a:outerShdw dist="53882" dir="2700000" algn="ctr" rotWithShape="0">
            <a:srgbClr val="333333">
              <a:alpha val="5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76200</xdr:colOff>
      <xdr:row>91</xdr:row>
      <xdr:rowOff>19050</xdr:rowOff>
    </xdr:from>
    <xdr:to>
      <xdr:col>6</xdr:col>
      <xdr:colOff>381000</xdr:colOff>
      <xdr:row>91</xdr:row>
      <xdr:rowOff>209550</xdr:rowOff>
    </xdr:to>
    <xdr:pic>
      <xdr:nvPicPr>
        <xdr:cNvPr id="7244" name="Picture 1402">
          <a:extLst>
            <a:ext uri="{FF2B5EF4-FFF2-40B4-BE49-F238E27FC236}">
              <a16:creationId xmlns:a16="http://schemas.microsoft.com/office/drawing/2014/main" xmlns="" id="{00000000-0008-0000-0600-00004C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17030700"/>
          <a:ext cx="304800" cy="190500"/>
        </a:xfrm>
        <a:prstGeom prst="rect">
          <a:avLst/>
        </a:prstGeom>
        <a:noFill/>
        <a:ln w="9525" algn="ctr">
          <a:solidFill>
            <a:srgbClr val="C0C0C0"/>
          </a:solidFill>
          <a:miter lim="800000"/>
          <a:headEnd/>
          <a:tailEnd/>
        </a:ln>
        <a:effectLst>
          <a:outerShdw dist="53882" dir="2700000" algn="ctr" rotWithShape="0">
            <a:srgbClr val="333333">
              <a:alpha val="5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200025</xdr:colOff>
      <xdr:row>65</xdr:row>
      <xdr:rowOff>38100</xdr:rowOff>
    </xdr:from>
    <xdr:to>
      <xdr:col>6</xdr:col>
      <xdr:colOff>504825</xdr:colOff>
      <xdr:row>66</xdr:row>
      <xdr:rowOff>114300</xdr:rowOff>
    </xdr:to>
    <xdr:pic>
      <xdr:nvPicPr>
        <xdr:cNvPr id="7245" name="Picture 1405">
          <a:extLst>
            <a:ext uri="{FF2B5EF4-FFF2-40B4-BE49-F238E27FC236}">
              <a16:creationId xmlns:a16="http://schemas.microsoft.com/office/drawing/2014/main" xmlns="" id="{00000000-0008-0000-0600-00004D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12172950"/>
          <a:ext cx="304800" cy="190500"/>
        </a:xfrm>
        <a:prstGeom prst="rect">
          <a:avLst/>
        </a:prstGeom>
        <a:noFill/>
        <a:ln w="9525" algn="ctr">
          <a:solidFill>
            <a:srgbClr val="C0C0C0"/>
          </a:solidFill>
          <a:miter lim="800000"/>
          <a:headEnd/>
          <a:tailEnd/>
        </a:ln>
        <a:effectLst>
          <a:outerShdw dist="53882" dir="2700000" algn="ctr" rotWithShape="0">
            <a:srgbClr val="333333">
              <a:alpha val="5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762000</xdr:colOff>
      <xdr:row>67</xdr:row>
      <xdr:rowOff>142875</xdr:rowOff>
    </xdr:from>
    <xdr:to>
      <xdr:col>6</xdr:col>
      <xdr:colOff>1066800</xdr:colOff>
      <xdr:row>67</xdr:row>
      <xdr:rowOff>333375</xdr:rowOff>
    </xdr:to>
    <xdr:pic>
      <xdr:nvPicPr>
        <xdr:cNvPr id="7246" name="Picture 1406">
          <a:extLst>
            <a:ext uri="{FF2B5EF4-FFF2-40B4-BE49-F238E27FC236}">
              <a16:creationId xmlns:a16="http://schemas.microsoft.com/office/drawing/2014/main" xmlns="" id="{00000000-0008-0000-0600-00004E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4450" y="12658725"/>
          <a:ext cx="304800" cy="190500"/>
        </a:xfrm>
        <a:prstGeom prst="rect">
          <a:avLst/>
        </a:prstGeom>
        <a:noFill/>
        <a:ln w="9525" algn="ctr">
          <a:solidFill>
            <a:srgbClr val="C0C0C0"/>
          </a:solidFill>
          <a:miter lim="800000"/>
          <a:headEnd/>
          <a:tailEnd/>
        </a:ln>
        <a:effectLst>
          <a:outerShdw dist="53882" dir="2700000" algn="ctr" rotWithShape="0">
            <a:srgbClr val="333333">
              <a:alpha val="5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885825</xdr:colOff>
      <xdr:row>67</xdr:row>
      <xdr:rowOff>276225</xdr:rowOff>
    </xdr:from>
    <xdr:to>
      <xdr:col>7</xdr:col>
      <xdr:colOff>1190625</xdr:colOff>
      <xdr:row>68</xdr:row>
      <xdr:rowOff>38100</xdr:rowOff>
    </xdr:to>
    <xdr:pic>
      <xdr:nvPicPr>
        <xdr:cNvPr id="7247" name="Picture 1407">
          <a:extLst>
            <a:ext uri="{FF2B5EF4-FFF2-40B4-BE49-F238E27FC236}">
              <a16:creationId xmlns:a16="http://schemas.microsoft.com/office/drawing/2014/main" xmlns="" id="{00000000-0008-0000-0600-00004F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0350" y="12792075"/>
          <a:ext cx="304800" cy="190500"/>
        </a:xfrm>
        <a:prstGeom prst="rect">
          <a:avLst/>
        </a:prstGeom>
        <a:noFill/>
        <a:ln w="9525" algn="ctr">
          <a:solidFill>
            <a:srgbClr val="C0C0C0"/>
          </a:solidFill>
          <a:miter lim="800000"/>
          <a:headEnd/>
          <a:tailEnd/>
        </a:ln>
        <a:effectLst>
          <a:outerShdw dist="53882" dir="2700000" algn="ctr" rotWithShape="0">
            <a:srgbClr val="333333">
              <a:alpha val="5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104775</xdr:colOff>
      <xdr:row>37</xdr:row>
      <xdr:rowOff>85725</xdr:rowOff>
    </xdr:from>
    <xdr:to>
      <xdr:col>8</xdr:col>
      <xdr:colOff>409575</xdr:colOff>
      <xdr:row>38</xdr:row>
      <xdr:rowOff>114300</xdr:rowOff>
    </xdr:to>
    <xdr:pic>
      <xdr:nvPicPr>
        <xdr:cNvPr id="7248" name="Picture 1420">
          <a:extLst>
            <a:ext uri="{FF2B5EF4-FFF2-40B4-BE49-F238E27FC236}">
              <a16:creationId xmlns:a16="http://schemas.microsoft.com/office/drawing/2014/main" xmlns="" id="{00000000-0008-0000-0600-000050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7019925"/>
          <a:ext cx="304800" cy="190500"/>
        </a:xfrm>
        <a:prstGeom prst="rect">
          <a:avLst/>
        </a:prstGeom>
        <a:noFill/>
        <a:ln w="9525" algn="ctr">
          <a:solidFill>
            <a:srgbClr val="C0C0C0"/>
          </a:solidFill>
          <a:miter lim="800000"/>
          <a:headEnd/>
          <a:tailEnd/>
        </a:ln>
        <a:effectLst>
          <a:outerShdw dist="53882" dir="2700000" algn="ctr" rotWithShape="0">
            <a:srgbClr val="333333">
              <a:alpha val="5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1333500</xdr:colOff>
      <xdr:row>42</xdr:row>
      <xdr:rowOff>285750</xdr:rowOff>
    </xdr:from>
    <xdr:to>
      <xdr:col>6</xdr:col>
      <xdr:colOff>276225</xdr:colOff>
      <xdr:row>43</xdr:row>
      <xdr:rowOff>47625</xdr:rowOff>
    </xdr:to>
    <xdr:pic>
      <xdr:nvPicPr>
        <xdr:cNvPr id="7249" name="Picture 1421">
          <a:extLst>
            <a:ext uri="{FF2B5EF4-FFF2-40B4-BE49-F238E27FC236}">
              <a16:creationId xmlns:a16="http://schemas.microsoft.com/office/drawing/2014/main" xmlns="" id="{00000000-0008-0000-0600-00005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8039100"/>
          <a:ext cx="304800" cy="190500"/>
        </a:xfrm>
        <a:prstGeom prst="rect">
          <a:avLst/>
        </a:prstGeom>
        <a:noFill/>
        <a:ln w="9525" algn="ctr">
          <a:solidFill>
            <a:srgbClr val="C0C0C0"/>
          </a:solidFill>
          <a:miter lim="800000"/>
          <a:headEnd/>
          <a:tailEnd/>
        </a:ln>
        <a:effectLst>
          <a:outerShdw dist="53882" dir="2700000" algn="ctr" rotWithShape="0">
            <a:srgbClr val="333333">
              <a:alpha val="5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209550</xdr:colOff>
      <xdr:row>38</xdr:row>
      <xdr:rowOff>133350</xdr:rowOff>
    </xdr:from>
    <xdr:to>
      <xdr:col>6</xdr:col>
      <xdr:colOff>514350</xdr:colOff>
      <xdr:row>40</xdr:row>
      <xdr:rowOff>47625</xdr:rowOff>
    </xdr:to>
    <xdr:pic>
      <xdr:nvPicPr>
        <xdr:cNvPr id="7250" name="Picture 1422">
          <a:extLst>
            <a:ext uri="{FF2B5EF4-FFF2-40B4-BE49-F238E27FC236}">
              <a16:creationId xmlns:a16="http://schemas.microsoft.com/office/drawing/2014/main" xmlns="" id="{00000000-0008-0000-0600-000052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7229475"/>
          <a:ext cx="304800" cy="190500"/>
        </a:xfrm>
        <a:prstGeom prst="rect">
          <a:avLst/>
        </a:prstGeom>
        <a:noFill/>
        <a:ln w="9525" algn="ctr">
          <a:solidFill>
            <a:srgbClr val="C0C0C0"/>
          </a:solidFill>
          <a:miter lim="800000"/>
          <a:headEnd/>
          <a:tailEnd/>
        </a:ln>
        <a:effectLst>
          <a:outerShdw dist="53882" dir="2700000" algn="ctr" rotWithShape="0">
            <a:srgbClr val="333333">
              <a:alpha val="5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361950</xdr:colOff>
      <xdr:row>34</xdr:row>
      <xdr:rowOff>9525</xdr:rowOff>
    </xdr:from>
    <xdr:to>
      <xdr:col>7</xdr:col>
      <xdr:colOff>666750</xdr:colOff>
      <xdr:row>35</xdr:row>
      <xdr:rowOff>38100</xdr:rowOff>
    </xdr:to>
    <xdr:pic>
      <xdr:nvPicPr>
        <xdr:cNvPr id="7251" name="Picture 1423">
          <a:extLst>
            <a:ext uri="{FF2B5EF4-FFF2-40B4-BE49-F238E27FC236}">
              <a16:creationId xmlns:a16="http://schemas.microsoft.com/office/drawing/2014/main" xmlns="" id="{00000000-0008-0000-0600-000053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5" y="6457950"/>
          <a:ext cx="304800" cy="190500"/>
        </a:xfrm>
        <a:prstGeom prst="rect">
          <a:avLst/>
        </a:prstGeom>
        <a:noFill/>
        <a:ln w="9525" algn="ctr">
          <a:solidFill>
            <a:srgbClr val="C0C0C0"/>
          </a:solidFill>
          <a:miter lim="800000"/>
          <a:headEnd/>
          <a:tailEnd/>
        </a:ln>
        <a:effectLst>
          <a:outerShdw dist="53882" dir="2700000" algn="ctr" rotWithShape="0">
            <a:srgbClr val="333333">
              <a:alpha val="5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838200</xdr:colOff>
      <xdr:row>21</xdr:row>
      <xdr:rowOff>9525</xdr:rowOff>
    </xdr:from>
    <xdr:to>
      <xdr:col>6</xdr:col>
      <xdr:colOff>1143000</xdr:colOff>
      <xdr:row>22</xdr:row>
      <xdr:rowOff>38100</xdr:rowOff>
    </xdr:to>
    <xdr:pic>
      <xdr:nvPicPr>
        <xdr:cNvPr id="7252" name="Picture 1424">
          <a:extLst>
            <a:ext uri="{FF2B5EF4-FFF2-40B4-BE49-F238E27FC236}">
              <a16:creationId xmlns:a16="http://schemas.microsoft.com/office/drawing/2014/main" xmlns="" id="{00000000-0008-0000-0600-000054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0" y="3914775"/>
          <a:ext cx="304800" cy="190500"/>
        </a:xfrm>
        <a:prstGeom prst="rect">
          <a:avLst/>
        </a:prstGeom>
        <a:noFill/>
        <a:ln w="9525" algn="ctr">
          <a:solidFill>
            <a:srgbClr val="C0C0C0"/>
          </a:solidFill>
          <a:miter lim="800000"/>
          <a:headEnd/>
          <a:tailEnd/>
        </a:ln>
        <a:effectLst>
          <a:outerShdw dist="53882" dir="2700000" algn="ctr" rotWithShape="0">
            <a:srgbClr val="333333">
              <a:alpha val="5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990600</xdr:colOff>
      <xdr:row>22</xdr:row>
      <xdr:rowOff>104775</xdr:rowOff>
    </xdr:from>
    <xdr:to>
      <xdr:col>7</xdr:col>
      <xdr:colOff>1295400</xdr:colOff>
      <xdr:row>23</xdr:row>
      <xdr:rowOff>133350</xdr:rowOff>
    </xdr:to>
    <xdr:pic>
      <xdr:nvPicPr>
        <xdr:cNvPr id="7253" name="Picture 1425">
          <a:extLst>
            <a:ext uri="{FF2B5EF4-FFF2-40B4-BE49-F238E27FC236}">
              <a16:creationId xmlns:a16="http://schemas.microsoft.com/office/drawing/2014/main" xmlns="" id="{00000000-0008-0000-0600-000055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5125" y="4171950"/>
          <a:ext cx="304800" cy="190500"/>
        </a:xfrm>
        <a:prstGeom prst="rect">
          <a:avLst/>
        </a:prstGeom>
        <a:noFill/>
        <a:ln w="9525" algn="ctr">
          <a:solidFill>
            <a:srgbClr val="C0C0C0"/>
          </a:solidFill>
          <a:miter lim="800000"/>
          <a:headEnd/>
          <a:tailEnd/>
        </a:ln>
        <a:effectLst>
          <a:outerShdw dist="53882" dir="2700000" algn="ctr" rotWithShape="0">
            <a:srgbClr val="333333">
              <a:alpha val="5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1314450</xdr:colOff>
      <xdr:row>16</xdr:row>
      <xdr:rowOff>0</xdr:rowOff>
    </xdr:from>
    <xdr:to>
      <xdr:col>6</xdr:col>
      <xdr:colOff>257175</xdr:colOff>
      <xdr:row>16</xdr:row>
      <xdr:rowOff>190500</xdr:rowOff>
    </xdr:to>
    <xdr:pic>
      <xdr:nvPicPr>
        <xdr:cNvPr id="7254" name="Picture 1426">
          <a:extLst>
            <a:ext uri="{FF2B5EF4-FFF2-40B4-BE49-F238E27FC236}">
              <a16:creationId xmlns:a16="http://schemas.microsoft.com/office/drawing/2014/main" xmlns="" id="{00000000-0008-0000-0600-000056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2724150"/>
          <a:ext cx="304800" cy="190500"/>
        </a:xfrm>
        <a:prstGeom prst="rect">
          <a:avLst/>
        </a:prstGeom>
        <a:noFill/>
        <a:ln w="9525" algn="ctr">
          <a:solidFill>
            <a:srgbClr val="C0C0C0"/>
          </a:solidFill>
          <a:miter lim="800000"/>
          <a:headEnd/>
          <a:tailEnd/>
        </a:ln>
        <a:effectLst>
          <a:outerShdw dist="53882" dir="2700000" algn="ctr" rotWithShape="0">
            <a:srgbClr val="333333">
              <a:alpha val="5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171450</xdr:colOff>
      <xdr:row>17</xdr:row>
      <xdr:rowOff>381000</xdr:rowOff>
    </xdr:from>
    <xdr:to>
      <xdr:col>6</xdr:col>
      <xdr:colOff>476250</xdr:colOff>
      <xdr:row>18</xdr:row>
      <xdr:rowOff>142875</xdr:rowOff>
    </xdr:to>
    <xdr:pic>
      <xdr:nvPicPr>
        <xdr:cNvPr id="7255" name="Picture 1427">
          <a:extLst>
            <a:ext uri="{FF2B5EF4-FFF2-40B4-BE49-F238E27FC236}">
              <a16:creationId xmlns:a16="http://schemas.microsoft.com/office/drawing/2014/main" xmlns="" id="{00000000-0008-0000-0600-000057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3371850"/>
          <a:ext cx="304800" cy="190500"/>
        </a:xfrm>
        <a:prstGeom prst="rect">
          <a:avLst/>
        </a:prstGeom>
        <a:noFill/>
        <a:ln w="9525" algn="ctr">
          <a:solidFill>
            <a:srgbClr val="C0C0C0"/>
          </a:solidFill>
          <a:miter lim="800000"/>
          <a:headEnd/>
          <a:tailEnd/>
        </a:ln>
        <a:effectLst>
          <a:outerShdw dist="53882" dir="2700000" algn="ctr" rotWithShape="0">
            <a:srgbClr val="333333">
              <a:alpha val="5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400050</xdr:colOff>
      <xdr:row>3</xdr:row>
      <xdr:rowOff>0</xdr:rowOff>
    </xdr:to>
    <xdr:grpSp>
      <xdr:nvGrpSpPr>
        <xdr:cNvPr id="7256" name="Csoportba foglalás 2">
          <a:extLst>
            <a:ext uri="{FF2B5EF4-FFF2-40B4-BE49-F238E27FC236}">
              <a16:creationId xmlns:a16="http://schemas.microsoft.com/office/drawing/2014/main" xmlns="" id="{00000000-0008-0000-0600-0000581C0000}"/>
            </a:ext>
          </a:extLst>
        </xdr:cNvPr>
        <xdr:cNvGrpSpPr>
          <a:grpSpLocks/>
        </xdr:cNvGrpSpPr>
      </xdr:nvGrpSpPr>
      <xdr:grpSpPr bwMode="auto">
        <a:xfrm>
          <a:off x="0" y="0"/>
          <a:ext cx="11991975" cy="361950"/>
          <a:chOff x="0" y="0"/>
          <a:chExt cx="11991975" cy="364644"/>
        </a:xfrm>
      </xdr:grpSpPr>
      <xdr:pic>
        <xdr:nvPicPr>
          <xdr:cNvPr id="7261" name="Picture 1711">
            <a:extLst>
              <a:ext uri="{FF2B5EF4-FFF2-40B4-BE49-F238E27FC236}">
                <a16:creationId xmlns:a16="http://schemas.microsoft.com/office/drawing/2014/main" xmlns="" id="{00000000-0008-0000-0600-00005D1C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1991975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1168" name="AutoShape 1712">
            <a:hlinkClick xmlns:r="http://schemas.openxmlformats.org/officeDocument/2006/relationships" r:id="rId71" tooltip="Tippjáték"/>
            <a:extLst>
              <a:ext uri="{FF2B5EF4-FFF2-40B4-BE49-F238E27FC236}">
                <a16:creationId xmlns:a16="http://schemas.microsoft.com/office/drawing/2014/main" xmlns="" id="{00000000-0008-0000-0600-0000B0520000}"/>
              </a:ext>
            </a:extLst>
          </xdr:cNvPr>
          <xdr:cNvSpPr>
            <a:spLocks noChangeArrowheads="1"/>
          </xdr:cNvSpPr>
        </xdr:nvSpPr>
        <xdr:spPr bwMode="auto">
          <a:xfrm>
            <a:off x="107537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TIPPJÁTÉK</a:t>
            </a:r>
          </a:p>
        </xdr:txBody>
      </xdr:sp>
      <xdr:sp macro="" textlink="">
        <xdr:nvSpPr>
          <xdr:cNvPr id="21169" name="AutoShape 1713">
            <a:hlinkClick xmlns:r="http://schemas.openxmlformats.org/officeDocument/2006/relationships" r:id="rId72" tooltip="Használati ismertető"/>
            <a:extLst>
              <a:ext uri="{FF2B5EF4-FFF2-40B4-BE49-F238E27FC236}">
                <a16:creationId xmlns:a16="http://schemas.microsoft.com/office/drawing/2014/main" xmlns="" id="{00000000-0008-0000-0600-0000B1520000}"/>
              </a:ext>
            </a:extLst>
          </xdr:cNvPr>
          <xdr:cNvSpPr>
            <a:spLocks noChangeArrowheads="1"/>
          </xdr:cNvSpPr>
        </xdr:nvSpPr>
        <xdr:spPr bwMode="auto">
          <a:xfrm>
            <a:off x="11553825" y="19192"/>
            <a:ext cx="438150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SÚGÓ</a:t>
            </a:r>
          </a:p>
        </xdr:txBody>
      </xdr:sp>
      <xdr:pic>
        <xdr:nvPicPr>
          <xdr:cNvPr id="7264" name="Picture 1725" descr="NS-logo_szurke">
            <a:hlinkClick xmlns:r="http://schemas.openxmlformats.org/officeDocument/2006/relationships" r:id="rId73" tooltip="További szurkolói füzetek a Nemzeti Sport honlapján"/>
            <a:extLst>
              <a:ext uri="{FF2B5EF4-FFF2-40B4-BE49-F238E27FC236}">
                <a16:creationId xmlns:a16="http://schemas.microsoft.com/office/drawing/2014/main" xmlns="" id="{00000000-0008-0000-0600-0000601C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4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1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7625" y="38384"/>
            <a:ext cx="704850" cy="287877"/>
          </a:xfrm>
          <a:prstGeom prst="rect">
            <a:avLst/>
          </a:prstGeom>
          <a:noFill/>
          <a:ln>
            <a:noFill/>
          </a:ln>
          <a:effectLst>
            <a:outerShdw dist="35921" dir="2700000" algn="ctr" rotWithShape="0">
              <a:srgbClr val="333333"/>
            </a:outerShdw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265" name="Picture 1726">
            <a:extLst>
              <a:ext uri="{FF2B5EF4-FFF2-40B4-BE49-F238E27FC236}">
                <a16:creationId xmlns:a16="http://schemas.microsoft.com/office/drawing/2014/main" xmlns="" id="{00000000-0008-0000-0600-0000611C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419350" y="38384"/>
            <a:ext cx="981075" cy="287877"/>
          </a:xfrm>
          <a:prstGeom prst="rect">
            <a:avLst/>
          </a:prstGeom>
          <a:noFill/>
          <a:ln>
            <a:noFill/>
          </a:ln>
          <a:effectLst>
            <a:outerShdw dist="35921" dir="2700000" algn="ctr" rotWithShape="0">
              <a:srgbClr val="333333"/>
            </a:outerShdw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1183" name="AutoShape 1727">
            <a:hlinkClick xmlns:r="http://schemas.openxmlformats.org/officeDocument/2006/relationships" r:id="rId76" tooltip="A csoportok állása"/>
            <a:extLst>
              <a:ext uri="{FF2B5EF4-FFF2-40B4-BE49-F238E27FC236}">
                <a16:creationId xmlns:a16="http://schemas.microsoft.com/office/drawing/2014/main" xmlns="" id="{00000000-0008-0000-0600-0000BF520000}"/>
              </a:ext>
            </a:extLst>
          </xdr:cNvPr>
          <xdr:cNvSpPr>
            <a:spLocks noChangeArrowheads="1"/>
          </xdr:cNvSpPr>
        </xdr:nvSpPr>
        <xdr:spPr bwMode="auto">
          <a:xfrm>
            <a:off x="43529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TABELLÁK</a:t>
            </a:r>
          </a:p>
        </xdr:txBody>
      </xdr:sp>
      <xdr:sp macro="" textlink="">
        <xdr:nvSpPr>
          <xdr:cNvPr id="7267" name="AutoShape 1436">
            <a:extLst>
              <a:ext uri="{FF2B5EF4-FFF2-40B4-BE49-F238E27FC236}">
                <a16:creationId xmlns:a16="http://schemas.microsoft.com/office/drawing/2014/main" xmlns="" id="{00000000-0008-0000-0600-0000631C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9815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757" name="AutoShape 1729">
            <a:hlinkClick xmlns:r="http://schemas.openxmlformats.org/officeDocument/2006/relationships" r:id="rId77" tooltip="Eredmények rögzítése"/>
            <a:extLst>
              <a:ext uri="{FF2B5EF4-FFF2-40B4-BE49-F238E27FC236}">
                <a16:creationId xmlns:a16="http://schemas.microsoft.com/office/drawing/2014/main" xmlns="" id="{00000000-0008-0000-0600-00009D640000}"/>
              </a:ext>
            </a:extLst>
          </xdr:cNvPr>
          <xdr:cNvSpPr>
            <a:spLocks noChangeArrowheads="1"/>
          </xdr:cNvSpPr>
        </xdr:nvSpPr>
        <xdr:spPr bwMode="auto">
          <a:xfrm>
            <a:off x="35528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EREDMÉNYEK</a:t>
            </a:r>
          </a:p>
        </xdr:txBody>
      </xdr:sp>
      <xdr:sp macro="" textlink="">
        <xdr:nvSpPr>
          <xdr:cNvPr id="7269" name="AutoShape 1436">
            <a:extLst>
              <a:ext uri="{FF2B5EF4-FFF2-40B4-BE49-F238E27FC236}">
                <a16:creationId xmlns:a16="http://schemas.microsoft.com/office/drawing/2014/main" xmlns="" id="{00000000-0008-0000-0600-0000651C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1814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187" name="AutoShape 1731">
            <a:hlinkClick xmlns:r="http://schemas.openxmlformats.org/officeDocument/2006/relationships" r:id="rId78" tooltip="A legjobb 16 csapat párosításának megtekintése"/>
            <a:extLst>
              <a:ext uri="{FF2B5EF4-FFF2-40B4-BE49-F238E27FC236}">
                <a16:creationId xmlns:a16="http://schemas.microsoft.com/office/drawing/2014/main" xmlns="" id="{00000000-0008-0000-0600-0000C3520000}"/>
              </a:ext>
            </a:extLst>
          </xdr:cNvPr>
          <xdr:cNvSpPr>
            <a:spLocks noChangeArrowheads="1"/>
          </xdr:cNvSpPr>
        </xdr:nvSpPr>
        <xdr:spPr bwMode="auto">
          <a:xfrm>
            <a:off x="51530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ÁGRAJZ</a:t>
            </a:r>
          </a:p>
        </xdr:txBody>
      </xdr:sp>
      <xdr:sp macro="" textlink="">
        <xdr:nvSpPr>
          <xdr:cNvPr id="21188" name="AutoShape 1732">
            <a:hlinkClick xmlns:r="http://schemas.openxmlformats.org/officeDocument/2006/relationships" r:id="rId79" tooltip="Az Európa-bajnokság végeredménye"/>
            <a:extLst>
              <a:ext uri="{FF2B5EF4-FFF2-40B4-BE49-F238E27FC236}">
                <a16:creationId xmlns:a16="http://schemas.microsoft.com/office/drawing/2014/main" xmlns="" id="{00000000-0008-0000-0600-0000C4520000}"/>
              </a:ext>
            </a:extLst>
          </xdr:cNvPr>
          <xdr:cNvSpPr>
            <a:spLocks noChangeArrowheads="1"/>
          </xdr:cNvSpPr>
        </xdr:nvSpPr>
        <xdr:spPr bwMode="auto">
          <a:xfrm>
            <a:off x="59531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RANGSOR</a:t>
            </a:r>
          </a:p>
        </xdr:txBody>
      </xdr:sp>
      <xdr:sp macro="" textlink="">
        <xdr:nvSpPr>
          <xdr:cNvPr id="21189" name="AutoShape 1733">
            <a:hlinkClick xmlns:r="http://schemas.openxmlformats.org/officeDocument/2006/relationships" r:id="rId80" tooltip="Gólszerzők rögzítése"/>
            <a:extLst>
              <a:ext uri="{FF2B5EF4-FFF2-40B4-BE49-F238E27FC236}">
                <a16:creationId xmlns:a16="http://schemas.microsoft.com/office/drawing/2014/main" xmlns="" id="{00000000-0008-0000-0600-0000C5520000}"/>
              </a:ext>
            </a:extLst>
          </xdr:cNvPr>
          <xdr:cNvSpPr>
            <a:spLocks noChangeArrowheads="1"/>
          </xdr:cNvSpPr>
        </xdr:nvSpPr>
        <xdr:spPr bwMode="auto">
          <a:xfrm>
            <a:off x="67532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GÓLSZERZŐK</a:t>
            </a:r>
          </a:p>
        </xdr:txBody>
      </xdr:sp>
      <xdr:sp macro="" textlink="">
        <xdr:nvSpPr>
          <xdr:cNvPr id="21190" name="AutoShape 1734">
            <a:hlinkClick xmlns:r="http://schemas.openxmlformats.org/officeDocument/2006/relationships" r:id="rId81" tooltip="Góllövőlista megtekintése"/>
            <a:extLst>
              <a:ext uri="{FF2B5EF4-FFF2-40B4-BE49-F238E27FC236}">
                <a16:creationId xmlns:a16="http://schemas.microsoft.com/office/drawing/2014/main" xmlns="" id="{00000000-0008-0000-0600-0000C6520000}"/>
              </a:ext>
            </a:extLst>
          </xdr:cNvPr>
          <xdr:cNvSpPr>
            <a:spLocks noChangeArrowheads="1"/>
          </xdr:cNvSpPr>
        </xdr:nvSpPr>
        <xdr:spPr bwMode="auto">
          <a:xfrm>
            <a:off x="75533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GÓLLÖVŐ</a:t>
            </a:r>
          </a:p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LISTA</a:t>
            </a:r>
          </a:p>
        </xdr:txBody>
      </xdr:sp>
      <xdr:sp macro="" textlink="">
        <xdr:nvSpPr>
          <xdr:cNvPr id="25763" name="AutoShape 1735">
            <a:hlinkClick xmlns:r="http://schemas.openxmlformats.org/officeDocument/2006/relationships" r:id="rId82" tooltip="A csoportok beosztása"/>
            <a:extLst>
              <a:ext uri="{FF2B5EF4-FFF2-40B4-BE49-F238E27FC236}">
                <a16:creationId xmlns:a16="http://schemas.microsoft.com/office/drawing/2014/main" xmlns="" id="{00000000-0008-0000-0600-0000A3640000}"/>
              </a:ext>
            </a:extLst>
          </xdr:cNvPr>
          <xdr:cNvSpPr>
            <a:spLocks noChangeArrowheads="1"/>
          </xdr:cNvSpPr>
        </xdr:nvSpPr>
        <xdr:spPr bwMode="auto">
          <a:xfrm>
            <a:off x="83534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10F3E">
                  <a:alpha val="56000"/>
                </a:srgbClr>
              </a:gs>
              <a:gs pos="100000">
                <a:srgbClr val="009CB3">
                  <a:alpha val="56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FAB65C"/>
                </a:solidFill>
                <a:latin typeface="Arial Unicode MS"/>
              </a:rPr>
              <a:t>CSOPORTOK</a:t>
            </a:r>
          </a:p>
        </xdr:txBody>
      </xdr:sp>
      <xdr:sp macro="" textlink="">
        <xdr:nvSpPr>
          <xdr:cNvPr id="21192" name="AutoShape 1736">
            <a:hlinkClick xmlns:r="http://schemas.openxmlformats.org/officeDocument/2006/relationships" r:id="rId83" tooltip="A csapatok összeállítása"/>
            <a:extLst>
              <a:ext uri="{FF2B5EF4-FFF2-40B4-BE49-F238E27FC236}">
                <a16:creationId xmlns:a16="http://schemas.microsoft.com/office/drawing/2014/main" xmlns="" id="{00000000-0008-0000-0600-0000C8520000}"/>
              </a:ext>
            </a:extLst>
          </xdr:cNvPr>
          <xdr:cNvSpPr>
            <a:spLocks noChangeArrowheads="1"/>
          </xdr:cNvSpPr>
        </xdr:nvSpPr>
        <xdr:spPr bwMode="auto">
          <a:xfrm>
            <a:off x="91535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CSAPATOK</a:t>
            </a:r>
          </a:p>
        </xdr:txBody>
      </xdr:sp>
      <xdr:sp macro="" textlink="">
        <xdr:nvSpPr>
          <xdr:cNvPr id="21193" name="AutoShape 1737">
            <a:hlinkClick xmlns:r="http://schemas.openxmlformats.org/officeDocument/2006/relationships" r:id="rId84" tooltip="Helyszínek és stadionok"/>
            <a:extLst>
              <a:ext uri="{FF2B5EF4-FFF2-40B4-BE49-F238E27FC236}">
                <a16:creationId xmlns:a16="http://schemas.microsoft.com/office/drawing/2014/main" xmlns="" id="{00000000-0008-0000-0600-0000C9520000}"/>
              </a:ext>
            </a:extLst>
          </xdr:cNvPr>
          <xdr:cNvSpPr>
            <a:spLocks noChangeArrowheads="1"/>
          </xdr:cNvSpPr>
        </xdr:nvSpPr>
        <xdr:spPr bwMode="auto">
          <a:xfrm>
            <a:off x="99536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HELYSZÍNEK</a:t>
            </a:r>
          </a:p>
        </xdr:txBody>
      </xdr:sp>
      <xdr:sp macro="" textlink="">
        <xdr:nvSpPr>
          <xdr:cNvPr id="7277" name="AutoShape 1436">
            <a:extLst>
              <a:ext uri="{FF2B5EF4-FFF2-40B4-BE49-F238E27FC236}">
                <a16:creationId xmlns:a16="http://schemas.microsoft.com/office/drawing/2014/main" xmlns="" id="{00000000-0008-0000-0600-00006D1C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97821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78" name="AutoShape 1436">
            <a:extLst>
              <a:ext uri="{FF2B5EF4-FFF2-40B4-BE49-F238E27FC236}">
                <a16:creationId xmlns:a16="http://schemas.microsoft.com/office/drawing/2014/main" xmlns="" id="{00000000-0008-0000-0600-00006E1C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13823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79" name="AutoShape 1436">
            <a:extLst>
              <a:ext uri="{FF2B5EF4-FFF2-40B4-BE49-F238E27FC236}">
                <a16:creationId xmlns:a16="http://schemas.microsoft.com/office/drawing/2014/main" xmlns="" id="{00000000-0008-0000-0600-00006F1C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5822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80" name="AutoShape 1436">
            <a:extLst>
              <a:ext uri="{FF2B5EF4-FFF2-40B4-BE49-F238E27FC236}">
                <a16:creationId xmlns:a16="http://schemas.microsoft.com/office/drawing/2014/main" xmlns="" id="{00000000-0008-0000-0600-0000701C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73818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81" name="AutoShape 1436">
            <a:extLst>
              <a:ext uri="{FF2B5EF4-FFF2-40B4-BE49-F238E27FC236}">
                <a16:creationId xmlns:a16="http://schemas.microsoft.com/office/drawing/2014/main" xmlns="" id="{00000000-0008-0000-0600-0000711C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89820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FAB65C"/>
              </a:gs>
              <a:gs pos="100000">
                <a:srgbClr val="333333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82" name="AutoShape 1436">
            <a:extLst>
              <a:ext uri="{FF2B5EF4-FFF2-40B4-BE49-F238E27FC236}">
                <a16:creationId xmlns:a16="http://schemas.microsoft.com/office/drawing/2014/main" xmlns="" id="{00000000-0008-0000-0600-0000721C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5817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83" name="AutoShape 1436">
            <a:extLst>
              <a:ext uri="{FF2B5EF4-FFF2-40B4-BE49-F238E27FC236}">
                <a16:creationId xmlns:a16="http://schemas.microsoft.com/office/drawing/2014/main" xmlns="" id="{00000000-0008-0000-0600-0000731C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7816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84" name="AutoShape 1436">
            <a:extLst>
              <a:ext uri="{FF2B5EF4-FFF2-40B4-BE49-F238E27FC236}">
                <a16:creationId xmlns:a16="http://schemas.microsoft.com/office/drawing/2014/main" xmlns="" id="{00000000-0008-0000-0600-0000741C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1830050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85" name="AutoShape 1436">
            <a:extLst>
              <a:ext uri="{FF2B5EF4-FFF2-40B4-BE49-F238E27FC236}">
                <a16:creationId xmlns:a16="http://schemas.microsoft.com/office/drawing/2014/main" xmlns="" id="{00000000-0008-0000-0600-0000751C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81819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pic>
        <xdr:nvPicPr>
          <xdr:cNvPr id="7286" name="Kép 1">
            <a:hlinkClick xmlns:r="http://schemas.openxmlformats.org/officeDocument/2006/relationships" r:id="rId85" tooltip="Mail to Gyworks"/>
            <a:extLst>
              <a:ext uri="{FF2B5EF4-FFF2-40B4-BE49-F238E27FC236}">
                <a16:creationId xmlns:a16="http://schemas.microsoft.com/office/drawing/2014/main" xmlns="" id="{00000000-0008-0000-0600-0000761C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6300" y="47625"/>
            <a:ext cx="1383912" cy="31701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6</xdr:col>
      <xdr:colOff>1209675</xdr:colOff>
      <xdr:row>72</xdr:row>
      <xdr:rowOff>76200</xdr:rowOff>
    </xdr:from>
    <xdr:to>
      <xdr:col>7</xdr:col>
      <xdr:colOff>152400</xdr:colOff>
      <xdr:row>73</xdr:row>
      <xdr:rowOff>104775</xdr:rowOff>
    </xdr:to>
    <xdr:pic>
      <xdr:nvPicPr>
        <xdr:cNvPr id="7257" name="Picture 500">
          <a:extLst>
            <a:ext uri="{FF2B5EF4-FFF2-40B4-BE49-F238E27FC236}">
              <a16:creationId xmlns:a16="http://schemas.microsoft.com/office/drawing/2014/main" xmlns="" id="{00000000-0008-0000-0600-0000591C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13668375"/>
          <a:ext cx="304800" cy="190500"/>
        </a:xfrm>
        <a:prstGeom prst="rect">
          <a:avLst/>
        </a:prstGeom>
        <a:noFill/>
        <a:ln w="9525" algn="ctr">
          <a:solidFill>
            <a:srgbClr val="C0C0C0"/>
          </a:solidFill>
          <a:miter lim="800000"/>
          <a:headEnd/>
          <a:tailEnd/>
        </a:ln>
        <a:effectLst>
          <a:outerShdw dist="53882" dir="2700000" algn="ctr" rotWithShape="0">
            <a:srgbClr val="333333">
              <a:alpha val="5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723900</xdr:colOff>
      <xdr:row>86</xdr:row>
      <xdr:rowOff>95250</xdr:rowOff>
    </xdr:from>
    <xdr:to>
      <xdr:col>5</xdr:col>
      <xdr:colOff>1028700</xdr:colOff>
      <xdr:row>87</xdr:row>
      <xdr:rowOff>123825</xdr:rowOff>
    </xdr:to>
    <xdr:pic>
      <xdr:nvPicPr>
        <xdr:cNvPr id="7258" name="Picture 625">
          <a:extLst>
            <a:ext uri="{FF2B5EF4-FFF2-40B4-BE49-F238E27FC236}">
              <a16:creationId xmlns:a16="http://schemas.microsoft.com/office/drawing/2014/main" xmlns="" id="{00000000-0008-0000-0600-00005A1C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4275" y="16392525"/>
          <a:ext cx="304800" cy="190500"/>
        </a:xfrm>
        <a:prstGeom prst="rect">
          <a:avLst/>
        </a:prstGeom>
        <a:noFill/>
        <a:ln w="9525" algn="ctr">
          <a:solidFill>
            <a:srgbClr val="C0C0C0"/>
          </a:solidFill>
          <a:miter lim="800000"/>
          <a:headEnd/>
          <a:tailEnd/>
        </a:ln>
        <a:effectLst>
          <a:outerShdw dist="53882" dir="2700000" algn="ctr" rotWithShape="0">
            <a:srgbClr val="333333">
              <a:alpha val="5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118</xdr:row>
      <xdr:rowOff>76200</xdr:rowOff>
    </xdr:from>
    <xdr:to>
      <xdr:col>7</xdr:col>
      <xdr:colOff>485775</xdr:colOff>
      <xdr:row>119</xdr:row>
      <xdr:rowOff>104775</xdr:rowOff>
    </xdr:to>
    <xdr:pic>
      <xdr:nvPicPr>
        <xdr:cNvPr id="7259" name="Picture 582">
          <a:extLst>
            <a:ext uri="{FF2B5EF4-FFF2-40B4-BE49-F238E27FC236}">
              <a16:creationId xmlns:a16="http://schemas.microsoft.com/office/drawing/2014/main" xmlns="" id="{00000000-0008-0000-0600-00005B1C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22545675"/>
          <a:ext cx="304800" cy="190500"/>
        </a:xfrm>
        <a:prstGeom prst="rect">
          <a:avLst/>
        </a:prstGeom>
        <a:noFill/>
        <a:ln w="9525" algn="ctr">
          <a:solidFill>
            <a:srgbClr val="C0C0C0"/>
          </a:solidFill>
          <a:miter lim="800000"/>
          <a:headEnd/>
          <a:tailEnd/>
        </a:ln>
        <a:effectLst>
          <a:outerShdw dist="53882" dir="2700000" algn="ctr" rotWithShape="0">
            <a:srgbClr val="333333">
              <a:alpha val="5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144</xdr:row>
      <xdr:rowOff>95250</xdr:rowOff>
    </xdr:from>
    <xdr:to>
      <xdr:col>7</xdr:col>
      <xdr:colOff>485775</xdr:colOff>
      <xdr:row>145</xdr:row>
      <xdr:rowOff>123825</xdr:rowOff>
    </xdr:to>
    <xdr:pic>
      <xdr:nvPicPr>
        <xdr:cNvPr id="7260" name="Picture 1253">
          <a:extLst>
            <a:ext uri="{FF2B5EF4-FFF2-40B4-BE49-F238E27FC236}">
              <a16:creationId xmlns:a16="http://schemas.microsoft.com/office/drawing/2014/main" xmlns="" id="{00000000-0008-0000-0600-00005C1C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27489150"/>
          <a:ext cx="304800" cy="190500"/>
        </a:xfrm>
        <a:prstGeom prst="rect">
          <a:avLst/>
        </a:prstGeom>
        <a:noFill/>
        <a:ln w="9525" algn="ctr">
          <a:solidFill>
            <a:srgbClr val="C0C0C0"/>
          </a:solidFill>
          <a:miter lim="800000"/>
          <a:headEnd/>
          <a:tailEnd/>
        </a:ln>
        <a:effectLst>
          <a:outerShdw dist="53882" dir="2700000" algn="ctr" rotWithShape="0">
            <a:srgbClr val="333333">
              <a:alpha val="5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806</xdr:row>
      <xdr:rowOff>0</xdr:rowOff>
    </xdr:from>
    <xdr:to>
      <xdr:col>2</xdr:col>
      <xdr:colOff>466725</xdr:colOff>
      <xdr:row>808</xdr:row>
      <xdr:rowOff>9525</xdr:rowOff>
    </xdr:to>
    <xdr:pic>
      <xdr:nvPicPr>
        <xdr:cNvPr id="8193" name="Picture 1253">
          <a:extLst>
            <a:ext uri="{FF2B5EF4-FFF2-40B4-BE49-F238E27FC236}">
              <a16:creationId xmlns:a16="http://schemas.microsoft.com/office/drawing/2014/main" xmlns="" id="{00000000-0008-0000-0700-000001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97288350"/>
          <a:ext cx="457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766</xdr:row>
      <xdr:rowOff>0</xdr:rowOff>
    </xdr:from>
    <xdr:to>
      <xdr:col>2</xdr:col>
      <xdr:colOff>466725</xdr:colOff>
      <xdr:row>768</xdr:row>
      <xdr:rowOff>9525</xdr:rowOff>
    </xdr:to>
    <xdr:pic>
      <xdr:nvPicPr>
        <xdr:cNvPr id="8194" name="Picture 582">
          <a:extLst>
            <a:ext uri="{FF2B5EF4-FFF2-40B4-BE49-F238E27FC236}">
              <a16:creationId xmlns:a16="http://schemas.microsoft.com/office/drawing/2014/main" xmlns="" id="{00000000-0008-0000-0700-000002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92459175"/>
          <a:ext cx="457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565</xdr:row>
      <xdr:rowOff>66675</xdr:rowOff>
    </xdr:from>
    <xdr:to>
      <xdr:col>2</xdr:col>
      <xdr:colOff>466725</xdr:colOff>
      <xdr:row>568</xdr:row>
      <xdr:rowOff>9525</xdr:rowOff>
    </xdr:to>
    <xdr:pic>
      <xdr:nvPicPr>
        <xdr:cNvPr id="8195" name="Picture 625">
          <a:extLst>
            <a:ext uri="{FF2B5EF4-FFF2-40B4-BE49-F238E27FC236}">
              <a16:creationId xmlns:a16="http://schemas.microsoft.com/office/drawing/2014/main" xmlns="" id="{00000000-0008-0000-0700-000003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8313300"/>
          <a:ext cx="457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446</xdr:row>
      <xdr:rowOff>0</xdr:rowOff>
    </xdr:from>
    <xdr:to>
      <xdr:col>2</xdr:col>
      <xdr:colOff>466725</xdr:colOff>
      <xdr:row>448</xdr:row>
      <xdr:rowOff>9525</xdr:rowOff>
    </xdr:to>
    <xdr:pic>
      <xdr:nvPicPr>
        <xdr:cNvPr id="8196" name="Picture 500">
          <a:extLst>
            <a:ext uri="{FF2B5EF4-FFF2-40B4-BE49-F238E27FC236}">
              <a16:creationId xmlns:a16="http://schemas.microsoft.com/office/drawing/2014/main" xmlns="" id="{00000000-0008-0000-0700-000004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3825775"/>
          <a:ext cx="457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6</xdr:row>
      <xdr:rowOff>0</xdr:rowOff>
    </xdr:from>
    <xdr:to>
      <xdr:col>2</xdr:col>
      <xdr:colOff>466725</xdr:colOff>
      <xdr:row>8</xdr:row>
      <xdr:rowOff>9525</xdr:rowOff>
    </xdr:to>
    <xdr:pic>
      <xdr:nvPicPr>
        <xdr:cNvPr id="8197" name="Picture 1217">
          <a:extLst>
            <a:ext uri="{FF2B5EF4-FFF2-40B4-BE49-F238E27FC236}">
              <a16:creationId xmlns:a16="http://schemas.microsoft.com/office/drawing/2014/main" xmlns="" id="{00000000-0008-0000-0700-000005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704850"/>
          <a:ext cx="457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926</xdr:row>
      <xdr:rowOff>0</xdr:rowOff>
    </xdr:from>
    <xdr:to>
      <xdr:col>2</xdr:col>
      <xdr:colOff>466725</xdr:colOff>
      <xdr:row>928</xdr:row>
      <xdr:rowOff>9525</xdr:rowOff>
    </xdr:to>
    <xdr:pic>
      <xdr:nvPicPr>
        <xdr:cNvPr id="8198" name="Picture 1239">
          <a:extLst>
            <a:ext uri="{FF2B5EF4-FFF2-40B4-BE49-F238E27FC236}">
              <a16:creationId xmlns:a16="http://schemas.microsoft.com/office/drawing/2014/main" xmlns="" id="{00000000-0008-0000-0700-000006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11775875"/>
          <a:ext cx="457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886</xdr:row>
      <xdr:rowOff>0</xdr:rowOff>
    </xdr:from>
    <xdr:to>
      <xdr:col>2</xdr:col>
      <xdr:colOff>466725</xdr:colOff>
      <xdr:row>888</xdr:row>
      <xdr:rowOff>9525</xdr:rowOff>
    </xdr:to>
    <xdr:pic>
      <xdr:nvPicPr>
        <xdr:cNvPr id="8199" name="Picture 1216">
          <a:extLst>
            <a:ext uri="{FF2B5EF4-FFF2-40B4-BE49-F238E27FC236}">
              <a16:creationId xmlns:a16="http://schemas.microsoft.com/office/drawing/2014/main" xmlns="" id="{00000000-0008-0000-0700-000007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06946700"/>
          <a:ext cx="457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846</xdr:row>
      <xdr:rowOff>0</xdr:rowOff>
    </xdr:from>
    <xdr:to>
      <xdr:col>2</xdr:col>
      <xdr:colOff>466725</xdr:colOff>
      <xdr:row>848</xdr:row>
      <xdr:rowOff>9525</xdr:rowOff>
    </xdr:to>
    <xdr:pic>
      <xdr:nvPicPr>
        <xdr:cNvPr id="8200" name="Picture 1257">
          <a:extLst>
            <a:ext uri="{FF2B5EF4-FFF2-40B4-BE49-F238E27FC236}">
              <a16:creationId xmlns:a16="http://schemas.microsoft.com/office/drawing/2014/main" xmlns="" id="{00000000-0008-0000-0700-000008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02117525"/>
          <a:ext cx="457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726</xdr:row>
      <xdr:rowOff>0</xdr:rowOff>
    </xdr:from>
    <xdr:to>
      <xdr:col>2</xdr:col>
      <xdr:colOff>466725</xdr:colOff>
      <xdr:row>728</xdr:row>
      <xdr:rowOff>9525</xdr:rowOff>
    </xdr:to>
    <xdr:pic>
      <xdr:nvPicPr>
        <xdr:cNvPr id="8201" name="Picture 1244">
          <a:extLst>
            <a:ext uri="{FF2B5EF4-FFF2-40B4-BE49-F238E27FC236}">
              <a16:creationId xmlns:a16="http://schemas.microsoft.com/office/drawing/2014/main" xmlns="" id="{00000000-0008-0000-0700-000009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87630000"/>
          <a:ext cx="457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686</xdr:row>
      <xdr:rowOff>0</xdr:rowOff>
    </xdr:from>
    <xdr:to>
      <xdr:col>2</xdr:col>
      <xdr:colOff>466725</xdr:colOff>
      <xdr:row>688</xdr:row>
      <xdr:rowOff>9525</xdr:rowOff>
    </xdr:to>
    <xdr:pic>
      <xdr:nvPicPr>
        <xdr:cNvPr id="8202" name="Picture 1254">
          <a:extLst>
            <a:ext uri="{FF2B5EF4-FFF2-40B4-BE49-F238E27FC236}">
              <a16:creationId xmlns:a16="http://schemas.microsoft.com/office/drawing/2014/main" xmlns="" id="{00000000-0008-0000-0700-00000A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82800825"/>
          <a:ext cx="457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646</xdr:row>
      <xdr:rowOff>0</xdr:rowOff>
    </xdr:from>
    <xdr:to>
      <xdr:col>2</xdr:col>
      <xdr:colOff>466725</xdr:colOff>
      <xdr:row>648</xdr:row>
      <xdr:rowOff>9525</xdr:rowOff>
    </xdr:to>
    <xdr:pic>
      <xdr:nvPicPr>
        <xdr:cNvPr id="8203" name="Picture 1247">
          <a:extLst>
            <a:ext uri="{FF2B5EF4-FFF2-40B4-BE49-F238E27FC236}">
              <a16:creationId xmlns:a16="http://schemas.microsoft.com/office/drawing/2014/main" xmlns="" id="{00000000-0008-0000-0700-00000B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77971650"/>
          <a:ext cx="457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526</xdr:row>
      <xdr:rowOff>0</xdr:rowOff>
    </xdr:from>
    <xdr:to>
      <xdr:col>2</xdr:col>
      <xdr:colOff>466725</xdr:colOff>
      <xdr:row>528</xdr:row>
      <xdr:rowOff>9525</xdr:rowOff>
    </xdr:to>
    <xdr:pic>
      <xdr:nvPicPr>
        <xdr:cNvPr id="8204" name="Picture 1252">
          <a:extLst>
            <a:ext uri="{FF2B5EF4-FFF2-40B4-BE49-F238E27FC236}">
              <a16:creationId xmlns:a16="http://schemas.microsoft.com/office/drawing/2014/main" xmlns="" id="{00000000-0008-0000-0700-00000C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3484125"/>
          <a:ext cx="457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606</xdr:row>
      <xdr:rowOff>0</xdr:rowOff>
    </xdr:from>
    <xdr:to>
      <xdr:col>2</xdr:col>
      <xdr:colOff>466725</xdr:colOff>
      <xdr:row>608</xdr:row>
      <xdr:rowOff>9525</xdr:rowOff>
    </xdr:to>
    <xdr:pic>
      <xdr:nvPicPr>
        <xdr:cNvPr id="8205" name="Picture 1253">
          <a:extLst>
            <a:ext uri="{FF2B5EF4-FFF2-40B4-BE49-F238E27FC236}">
              <a16:creationId xmlns:a16="http://schemas.microsoft.com/office/drawing/2014/main" xmlns="" id="{00000000-0008-0000-0700-00000D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73142475"/>
          <a:ext cx="457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486</xdr:row>
      <xdr:rowOff>0</xdr:rowOff>
    </xdr:from>
    <xdr:to>
      <xdr:col>2</xdr:col>
      <xdr:colOff>466725</xdr:colOff>
      <xdr:row>488</xdr:row>
      <xdr:rowOff>9525</xdr:rowOff>
    </xdr:to>
    <xdr:pic>
      <xdr:nvPicPr>
        <xdr:cNvPr id="8206" name="Picture 1229">
          <a:extLst>
            <a:ext uri="{FF2B5EF4-FFF2-40B4-BE49-F238E27FC236}">
              <a16:creationId xmlns:a16="http://schemas.microsoft.com/office/drawing/2014/main" xmlns="" id="{00000000-0008-0000-0700-00000E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8654950"/>
          <a:ext cx="457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406</xdr:row>
      <xdr:rowOff>0</xdr:rowOff>
    </xdr:from>
    <xdr:to>
      <xdr:col>2</xdr:col>
      <xdr:colOff>466725</xdr:colOff>
      <xdr:row>408</xdr:row>
      <xdr:rowOff>9525</xdr:rowOff>
    </xdr:to>
    <xdr:pic>
      <xdr:nvPicPr>
        <xdr:cNvPr id="8207" name="Picture 1241">
          <a:extLst>
            <a:ext uri="{FF2B5EF4-FFF2-40B4-BE49-F238E27FC236}">
              <a16:creationId xmlns:a16="http://schemas.microsoft.com/office/drawing/2014/main" xmlns="" id="{00000000-0008-0000-0700-00000F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996600"/>
          <a:ext cx="457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326</xdr:row>
      <xdr:rowOff>0</xdr:rowOff>
    </xdr:from>
    <xdr:to>
      <xdr:col>2</xdr:col>
      <xdr:colOff>466725</xdr:colOff>
      <xdr:row>328</xdr:row>
      <xdr:rowOff>9525</xdr:rowOff>
    </xdr:to>
    <xdr:pic>
      <xdr:nvPicPr>
        <xdr:cNvPr id="8208" name="Picture 1237">
          <a:extLst>
            <a:ext uri="{FF2B5EF4-FFF2-40B4-BE49-F238E27FC236}">
              <a16:creationId xmlns:a16="http://schemas.microsoft.com/office/drawing/2014/main" xmlns="" id="{00000000-0008-0000-0700-000010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9338250"/>
          <a:ext cx="457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286</xdr:row>
      <xdr:rowOff>0</xdr:rowOff>
    </xdr:from>
    <xdr:to>
      <xdr:col>2</xdr:col>
      <xdr:colOff>466725</xdr:colOff>
      <xdr:row>288</xdr:row>
      <xdr:rowOff>9525</xdr:rowOff>
    </xdr:to>
    <xdr:pic>
      <xdr:nvPicPr>
        <xdr:cNvPr id="8209" name="Picture 1231">
          <a:extLst>
            <a:ext uri="{FF2B5EF4-FFF2-40B4-BE49-F238E27FC236}">
              <a16:creationId xmlns:a16="http://schemas.microsoft.com/office/drawing/2014/main" xmlns="" id="{00000000-0008-0000-0700-000011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4509075"/>
          <a:ext cx="457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246</xdr:row>
      <xdr:rowOff>0</xdr:rowOff>
    </xdr:from>
    <xdr:to>
      <xdr:col>2</xdr:col>
      <xdr:colOff>466725</xdr:colOff>
      <xdr:row>248</xdr:row>
      <xdr:rowOff>9525</xdr:rowOff>
    </xdr:to>
    <xdr:pic>
      <xdr:nvPicPr>
        <xdr:cNvPr id="8210" name="Picture 1236">
          <a:extLst>
            <a:ext uri="{FF2B5EF4-FFF2-40B4-BE49-F238E27FC236}">
              <a16:creationId xmlns:a16="http://schemas.microsoft.com/office/drawing/2014/main" xmlns="" id="{00000000-0008-0000-0700-000012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9679900"/>
          <a:ext cx="457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206</xdr:row>
      <xdr:rowOff>0</xdr:rowOff>
    </xdr:from>
    <xdr:to>
      <xdr:col>2</xdr:col>
      <xdr:colOff>466725</xdr:colOff>
      <xdr:row>208</xdr:row>
      <xdr:rowOff>9525</xdr:rowOff>
    </xdr:to>
    <xdr:pic>
      <xdr:nvPicPr>
        <xdr:cNvPr id="8211" name="Picture 1233">
          <a:extLst>
            <a:ext uri="{FF2B5EF4-FFF2-40B4-BE49-F238E27FC236}">
              <a16:creationId xmlns:a16="http://schemas.microsoft.com/office/drawing/2014/main" xmlns="" id="{00000000-0008-0000-0700-000013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4850725"/>
          <a:ext cx="457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166</xdr:row>
      <xdr:rowOff>0</xdr:rowOff>
    </xdr:from>
    <xdr:to>
      <xdr:col>2</xdr:col>
      <xdr:colOff>466725</xdr:colOff>
      <xdr:row>168</xdr:row>
      <xdr:rowOff>9525</xdr:rowOff>
    </xdr:to>
    <xdr:pic>
      <xdr:nvPicPr>
        <xdr:cNvPr id="8212" name="Picture 1227">
          <a:extLst>
            <a:ext uri="{FF2B5EF4-FFF2-40B4-BE49-F238E27FC236}">
              <a16:creationId xmlns:a16="http://schemas.microsoft.com/office/drawing/2014/main" xmlns="" id="{00000000-0008-0000-0700-000014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0021550"/>
          <a:ext cx="457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86</xdr:row>
      <xdr:rowOff>0</xdr:rowOff>
    </xdr:from>
    <xdr:to>
      <xdr:col>2</xdr:col>
      <xdr:colOff>466725</xdr:colOff>
      <xdr:row>88</xdr:row>
      <xdr:rowOff>9525</xdr:rowOff>
    </xdr:to>
    <xdr:pic>
      <xdr:nvPicPr>
        <xdr:cNvPr id="8213" name="Picture 1225">
          <a:extLst>
            <a:ext uri="{FF2B5EF4-FFF2-40B4-BE49-F238E27FC236}">
              <a16:creationId xmlns:a16="http://schemas.microsoft.com/office/drawing/2014/main" xmlns="" id="{00000000-0008-0000-0700-000015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0363200"/>
          <a:ext cx="457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46</xdr:row>
      <xdr:rowOff>0</xdr:rowOff>
    </xdr:from>
    <xdr:to>
      <xdr:col>2</xdr:col>
      <xdr:colOff>466725</xdr:colOff>
      <xdr:row>48</xdr:row>
      <xdr:rowOff>9525</xdr:rowOff>
    </xdr:to>
    <xdr:pic>
      <xdr:nvPicPr>
        <xdr:cNvPr id="8214" name="Picture 1222">
          <a:extLst>
            <a:ext uri="{FF2B5EF4-FFF2-40B4-BE49-F238E27FC236}">
              <a16:creationId xmlns:a16="http://schemas.microsoft.com/office/drawing/2014/main" xmlns="" id="{00000000-0008-0000-0700-000016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534025"/>
          <a:ext cx="457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366</xdr:row>
      <xdr:rowOff>0</xdr:rowOff>
    </xdr:from>
    <xdr:to>
      <xdr:col>2</xdr:col>
      <xdr:colOff>466725</xdr:colOff>
      <xdr:row>368</xdr:row>
      <xdr:rowOff>9525</xdr:rowOff>
    </xdr:to>
    <xdr:pic>
      <xdr:nvPicPr>
        <xdr:cNvPr id="8215" name="Picture 1126">
          <a:extLst>
            <a:ext uri="{FF2B5EF4-FFF2-40B4-BE49-F238E27FC236}">
              <a16:creationId xmlns:a16="http://schemas.microsoft.com/office/drawing/2014/main" xmlns="" id="{00000000-0008-0000-0700-000017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4167425"/>
          <a:ext cx="4572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126</xdr:row>
      <xdr:rowOff>0</xdr:rowOff>
    </xdr:from>
    <xdr:to>
      <xdr:col>2</xdr:col>
      <xdr:colOff>466725</xdr:colOff>
      <xdr:row>128</xdr:row>
      <xdr:rowOff>9525</xdr:rowOff>
    </xdr:to>
    <xdr:pic>
      <xdr:nvPicPr>
        <xdr:cNvPr id="8216" name="Picture 1122">
          <a:extLst>
            <a:ext uri="{FF2B5EF4-FFF2-40B4-BE49-F238E27FC236}">
              <a16:creationId xmlns:a16="http://schemas.microsoft.com/office/drawing/2014/main" xmlns="" id="{00000000-0008-0000-0700-000018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5192375"/>
          <a:ext cx="457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31</xdr:row>
      <xdr:rowOff>19050</xdr:rowOff>
    </xdr:from>
    <xdr:to>
      <xdr:col>2</xdr:col>
      <xdr:colOff>466725</xdr:colOff>
      <xdr:row>37</xdr:row>
      <xdr:rowOff>114300</xdr:rowOff>
    </xdr:to>
    <xdr:sp macro="" textlink="">
      <xdr:nvSpPr>
        <xdr:cNvPr id="16284" name="Text Box 924">
          <a:extLst>
            <a:ext uri="{FF2B5EF4-FFF2-40B4-BE49-F238E27FC236}">
              <a16:creationId xmlns:a16="http://schemas.microsoft.com/office/drawing/2014/main" xmlns="" id="{00000000-0008-0000-0700-00009C3F0000}"/>
            </a:ext>
          </a:extLst>
        </xdr:cNvPr>
        <xdr:cNvSpPr txBox="1">
          <a:spLocks noChangeArrowheads="1"/>
        </xdr:cNvSpPr>
      </xdr:nvSpPr>
      <xdr:spPr bwMode="auto">
        <a:xfrm>
          <a:off x="295275" y="4295775"/>
          <a:ext cx="457200" cy="295275"/>
        </a:xfrm>
        <a:prstGeom prst="rect">
          <a:avLst/>
        </a:prstGeom>
        <a:gradFill rotWithShape="0">
          <a:gsLst>
            <a:gs pos="0">
              <a:srgbClr val="009CB3"/>
            </a:gs>
            <a:gs pos="100000">
              <a:srgbClr val="005C68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algn="ctr" rtl="1">
            <a:defRPr sz="1000"/>
          </a:pPr>
          <a:r>
            <a:rPr lang="hu-HU" sz="1400" b="1" i="0" u="none" strike="noStrike" baseline="0">
              <a:solidFill>
                <a:srgbClr val="FFFFFF"/>
              </a:solidFill>
              <a:latin typeface="Arial Unicode MS"/>
            </a:rPr>
            <a:t>A</a:t>
          </a:r>
        </a:p>
      </xdr:txBody>
    </xdr:sp>
    <xdr:clientData/>
  </xdr:twoCellAnchor>
  <xdr:twoCellAnchor editAs="oneCell">
    <xdr:from>
      <xdr:col>13</xdr:col>
      <xdr:colOff>57150</xdr:colOff>
      <xdr:row>3</xdr:row>
      <xdr:rowOff>28575</xdr:rowOff>
    </xdr:from>
    <xdr:to>
      <xdr:col>23</xdr:col>
      <xdr:colOff>133350</xdr:colOff>
      <xdr:row>3</xdr:row>
      <xdr:rowOff>142875</xdr:rowOff>
    </xdr:to>
    <xdr:grpSp>
      <xdr:nvGrpSpPr>
        <xdr:cNvPr id="8218" name="Csoportba foglalás 1">
          <a:extLst>
            <a:ext uri="{FF2B5EF4-FFF2-40B4-BE49-F238E27FC236}">
              <a16:creationId xmlns:a16="http://schemas.microsoft.com/office/drawing/2014/main" xmlns="" id="{00000000-0008-0000-0700-00001A200000}"/>
            </a:ext>
          </a:extLst>
        </xdr:cNvPr>
        <xdr:cNvGrpSpPr>
          <a:grpSpLocks/>
        </xdr:cNvGrpSpPr>
      </xdr:nvGrpSpPr>
      <xdr:grpSpPr bwMode="auto">
        <a:xfrm>
          <a:off x="5934075" y="390525"/>
          <a:ext cx="6010275" cy="114300"/>
          <a:chOff x="5934075" y="390525"/>
          <a:chExt cx="6010275" cy="114300"/>
        </a:xfrm>
      </xdr:grpSpPr>
      <xdr:pic>
        <xdr:nvPicPr>
          <xdr:cNvPr id="8269" name="Picture 1253">
            <a:hlinkClick xmlns:r="http://schemas.openxmlformats.org/officeDocument/2006/relationships" r:id="rId25" tooltip="Magyarország válogatottja"/>
            <a:extLst>
              <a:ext uri="{FF2B5EF4-FFF2-40B4-BE49-F238E27FC236}">
                <a16:creationId xmlns:a16="http://schemas.microsoft.com/office/drawing/2014/main" xmlns="" id="{00000000-0008-0000-0700-00004D2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182350" y="390525"/>
            <a:ext cx="161652" cy="1044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270" name="Picture 582">
            <a:hlinkClick xmlns:r="http://schemas.openxmlformats.org/officeDocument/2006/relationships" r:id="rId26" tooltip="Szlovákia válogatottja"/>
            <a:extLst>
              <a:ext uri="{FF2B5EF4-FFF2-40B4-BE49-F238E27FC236}">
                <a16:creationId xmlns:a16="http://schemas.microsoft.com/office/drawing/2014/main" xmlns="" id="{00000000-0008-0000-0700-00004E2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984708" y="390527"/>
            <a:ext cx="160615" cy="1044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271" name="Picture 625">
            <a:hlinkClick xmlns:r="http://schemas.openxmlformats.org/officeDocument/2006/relationships" r:id="rId27" tooltip="Skócia válogatottja"/>
            <a:extLst>
              <a:ext uri="{FF2B5EF4-FFF2-40B4-BE49-F238E27FC236}">
                <a16:creationId xmlns:a16="http://schemas.microsoft.com/office/drawing/2014/main" xmlns="" id="{00000000-0008-0000-0700-00004F2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84582" y="390526"/>
            <a:ext cx="160615" cy="1044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272" name="Picture 500">
            <a:hlinkClick xmlns:r="http://schemas.openxmlformats.org/officeDocument/2006/relationships" r:id="rId28" tooltip="Észak-Macedónia válogatottja"/>
            <a:extLst>
              <a:ext uri="{FF2B5EF4-FFF2-40B4-BE49-F238E27FC236}">
                <a16:creationId xmlns:a16="http://schemas.microsoft.com/office/drawing/2014/main" xmlns="" id="{00000000-0008-0000-0700-0000502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4508" y="390525"/>
            <a:ext cx="160615" cy="1044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273" name="Picture 1258">
            <a:hlinkClick xmlns:r="http://schemas.openxmlformats.org/officeDocument/2006/relationships" r:id="rId29" tooltip="Törökország válogatottja"/>
            <a:extLst>
              <a:ext uri="{FF2B5EF4-FFF2-40B4-BE49-F238E27FC236}">
                <a16:creationId xmlns:a16="http://schemas.microsoft.com/office/drawing/2014/main" xmlns="" id="{00000000-0008-0000-0700-0000512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81850" y="390525"/>
            <a:ext cx="161925" cy="104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274" name="Picture 1259">
            <a:hlinkClick xmlns:r="http://schemas.openxmlformats.org/officeDocument/2006/relationships" r:id="rId30" tooltip="Olaszország válogatottja"/>
            <a:extLst>
              <a:ext uri="{FF2B5EF4-FFF2-40B4-BE49-F238E27FC236}">
                <a16:creationId xmlns:a16="http://schemas.microsoft.com/office/drawing/2014/main" xmlns="" id="{00000000-0008-0000-0700-0000522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381875" y="390525"/>
            <a:ext cx="161925" cy="104775"/>
          </a:xfrm>
          <a:prstGeom prst="rect">
            <a:avLst/>
          </a:prstGeom>
          <a:noFill/>
          <a:ln w="3175" algn="ctr">
            <a:solidFill>
              <a:srgbClr val="80808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275" name="Picture 1260">
            <a:hlinkClick xmlns:r="http://schemas.openxmlformats.org/officeDocument/2006/relationships" r:id="rId31" tooltip="Wales válogatottja"/>
            <a:extLst>
              <a:ext uri="{FF2B5EF4-FFF2-40B4-BE49-F238E27FC236}">
                <a16:creationId xmlns:a16="http://schemas.microsoft.com/office/drawing/2014/main" xmlns="" id="{00000000-0008-0000-0700-0000532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581900" y="390525"/>
            <a:ext cx="161925" cy="104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276" name="Picture 1261">
            <a:hlinkClick xmlns:r="http://schemas.openxmlformats.org/officeDocument/2006/relationships" r:id="rId32" tooltip="Belgium válogatottja"/>
            <a:extLst>
              <a:ext uri="{FF2B5EF4-FFF2-40B4-BE49-F238E27FC236}">
                <a16:creationId xmlns:a16="http://schemas.microsoft.com/office/drawing/2014/main" xmlns="" id="{00000000-0008-0000-0700-0000542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382000" y="390525"/>
            <a:ext cx="161925" cy="104775"/>
          </a:xfrm>
          <a:prstGeom prst="rect">
            <a:avLst/>
          </a:prstGeom>
          <a:noFill/>
          <a:ln w="3175" algn="ctr">
            <a:solidFill>
              <a:srgbClr val="80808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277" name="Picture 1262">
            <a:hlinkClick xmlns:r="http://schemas.openxmlformats.org/officeDocument/2006/relationships" r:id="rId33" tooltip="Oroszország válogatottja"/>
            <a:extLst>
              <a:ext uri="{FF2B5EF4-FFF2-40B4-BE49-F238E27FC236}">
                <a16:creationId xmlns:a16="http://schemas.microsoft.com/office/drawing/2014/main" xmlns="" id="{00000000-0008-0000-0700-0000552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582025" y="390525"/>
            <a:ext cx="161925" cy="104775"/>
          </a:xfrm>
          <a:prstGeom prst="rect">
            <a:avLst/>
          </a:prstGeom>
          <a:noFill/>
          <a:ln w="3175" algn="ctr">
            <a:solidFill>
              <a:srgbClr val="80808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278" name="Picture 1273">
            <a:hlinkClick xmlns:r="http://schemas.openxmlformats.org/officeDocument/2006/relationships" r:id="rId34" tooltip="Dánia válogatottja"/>
            <a:extLst>
              <a:ext uri="{FF2B5EF4-FFF2-40B4-BE49-F238E27FC236}">
                <a16:creationId xmlns:a16="http://schemas.microsoft.com/office/drawing/2014/main" xmlns="" id="{00000000-0008-0000-0700-0000562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81950" y="390525"/>
            <a:ext cx="161925" cy="104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279" name="Picture 1274">
            <a:hlinkClick xmlns:r="http://schemas.openxmlformats.org/officeDocument/2006/relationships" r:id="rId35" tooltip="Finnország válogatottja"/>
            <a:extLst>
              <a:ext uri="{FF2B5EF4-FFF2-40B4-BE49-F238E27FC236}">
                <a16:creationId xmlns:a16="http://schemas.microsoft.com/office/drawing/2014/main" xmlns="" id="{00000000-0008-0000-0700-0000572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181975" y="390525"/>
            <a:ext cx="161925" cy="104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280" name="Picture 1275">
            <a:hlinkClick xmlns:r="http://schemas.openxmlformats.org/officeDocument/2006/relationships" r:id="rId36" tooltip="Hollandia válogatottja"/>
            <a:extLst>
              <a:ext uri="{FF2B5EF4-FFF2-40B4-BE49-F238E27FC236}">
                <a16:creationId xmlns:a16="http://schemas.microsoft.com/office/drawing/2014/main" xmlns="" id="{00000000-0008-0000-0700-0000582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82050" y="390525"/>
            <a:ext cx="161925" cy="104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281" name="Picture 1263">
            <a:hlinkClick xmlns:r="http://schemas.openxmlformats.org/officeDocument/2006/relationships" r:id="rId37" tooltip="Ausztria válogatottja"/>
            <a:extLst>
              <a:ext uri="{FF2B5EF4-FFF2-40B4-BE49-F238E27FC236}">
                <a16:creationId xmlns:a16="http://schemas.microsoft.com/office/drawing/2014/main" xmlns="" id="{00000000-0008-0000-0700-0000592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182100" y="390525"/>
            <a:ext cx="161925" cy="104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282" name="Picture 1264">
            <a:hlinkClick xmlns:r="http://schemas.openxmlformats.org/officeDocument/2006/relationships" r:id="rId38" tooltip="Anglia válogatottja"/>
            <a:extLst>
              <a:ext uri="{FF2B5EF4-FFF2-40B4-BE49-F238E27FC236}">
                <a16:creationId xmlns:a16="http://schemas.microsoft.com/office/drawing/2014/main" xmlns="" id="{00000000-0008-0000-0700-00005A2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82150" y="390525"/>
            <a:ext cx="161925" cy="104775"/>
          </a:xfrm>
          <a:prstGeom prst="rect">
            <a:avLst/>
          </a:prstGeom>
          <a:noFill/>
          <a:ln w="3175" algn="ctr">
            <a:solidFill>
              <a:srgbClr val="80808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283" name="Picture 1265">
            <a:hlinkClick xmlns:r="http://schemas.openxmlformats.org/officeDocument/2006/relationships" r:id="rId39" tooltip="Horvátország válogatottja"/>
            <a:extLst>
              <a:ext uri="{FF2B5EF4-FFF2-40B4-BE49-F238E27FC236}">
                <a16:creationId xmlns:a16="http://schemas.microsoft.com/office/drawing/2014/main" xmlns="" id="{00000000-0008-0000-0700-00005B2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782175" y="390525"/>
            <a:ext cx="161925" cy="104775"/>
          </a:xfrm>
          <a:prstGeom prst="rect">
            <a:avLst/>
          </a:prstGeom>
          <a:noFill/>
          <a:ln w="3175" algn="ctr">
            <a:solidFill>
              <a:srgbClr val="80808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284" name="Picture 1266">
            <a:hlinkClick xmlns:r="http://schemas.openxmlformats.org/officeDocument/2006/relationships" r:id="rId40" tooltip="Csehország válogatottja"/>
            <a:extLst>
              <a:ext uri="{FF2B5EF4-FFF2-40B4-BE49-F238E27FC236}">
                <a16:creationId xmlns:a16="http://schemas.microsoft.com/office/drawing/2014/main" xmlns="" id="{00000000-0008-0000-0700-00005C2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182225" y="390525"/>
            <a:ext cx="161925" cy="104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285" name="Picture 1267">
            <a:hlinkClick xmlns:r="http://schemas.openxmlformats.org/officeDocument/2006/relationships" r:id="rId41" tooltip="Spanyolország válogatottja"/>
            <a:extLst>
              <a:ext uri="{FF2B5EF4-FFF2-40B4-BE49-F238E27FC236}">
                <a16:creationId xmlns:a16="http://schemas.microsoft.com/office/drawing/2014/main" xmlns="" id="{00000000-0008-0000-0700-00005D2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82250" y="390525"/>
            <a:ext cx="161925" cy="104775"/>
          </a:xfrm>
          <a:prstGeom prst="rect">
            <a:avLst/>
          </a:prstGeom>
          <a:noFill/>
          <a:ln w="3175" algn="ctr">
            <a:solidFill>
              <a:srgbClr val="80808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286" name="Picture 1268">
            <a:hlinkClick xmlns:r="http://schemas.openxmlformats.org/officeDocument/2006/relationships" r:id="rId43" tooltip="Svédország válogatottja"/>
            <a:extLst>
              <a:ext uri="{FF2B5EF4-FFF2-40B4-BE49-F238E27FC236}">
                <a16:creationId xmlns:a16="http://schemas.microsoft.com/office/drawing/2014/main" xmlns="" id="{00000000-0008-0000-0700-00005E2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582275" y="390525"/>
            <a:ext cx="161925" cy="104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287" name="Picture 1269">
            <a:hlinkClick xmlns:r="http://schemas.openxmlformats.org/officeDocument/2006/relationships" r:id="rId44" tooltip="Lengyelország válogatottja"/>
            <a:extLst>
              <a:ext uri="{FF2B5EF4-FFF2-40B4-BE49-F238E27FC236}">
                <a16:creationId xmlns:a16="http://schemas.microsoft.com/office/drawing/2014/main" xmlns="" id="{00000000-0008-0000-0700-00005F2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782300" y="390525"/>
            <a:ext cx="161925" cy="104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288" name="Picture 1270">
            <a:hlinkClick xmlns:r="http://schemas.openxmlformats.org/officeDocument/2006/relationships" r:id="rId45" tooltip="Portugália válogatottja"/>
            <a:extLst>
              <a:ext uri="{FF2B5EF4-FFF2-40B4-BE49-F238E27FC236}">
                <a16:creationId xmlns:a16="http://schemas.microsoft.com/office/drawing/2014/main" xmlns="" id="{00000000-0008-0000-0700-0000602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82375" y="390525"/>
            <a:ext cx="161925" cy="104775"/>
          </a:xfrm>
          <a:prstGeom prst="rect">
            <a:avLst/>
          </a:prstGeom>
          <a:noFill/>
          <a:ln w="3175" algn="ctr">
            <a:solidFill>
              <a:srgbClr val="80808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289" name="Picture 1271">
            <a:hlinkClick xmlns:r="http://schemas.openxmlformats.org/officeDocument/2006/relationships" r:id="rId46" tooltip="Franciaország válogatottja"/>
            <a:extLst>
              <a:ext uri="{FF2B5EF4-FFF2-40B4-BE49-F238E27FC236}">
                <a16:creationId xmlns:a16="http://schemas.microsoft.com/office/drawing/2014/main" xmlns="" id="{00000000-0008-0000-0700-0000612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582400" y="390525"/>
            <a:ext cx="161925" cy="104775"/>
          </a:xfrm>
          <a:prstGeom prst="rect">
            <a:avLst/>
          </a:prstGeom>
          <a:noFill/>
          <a:ln w="3175" algn="ctr">
            <a:solidFill>
              <a:srgbClr val="80808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290" name="Picture 1272">
            <a:hlinkClick xmlns:r="http://schemas.openxmlformats.org/officeDocument/2006/relationships" r:id="rId47" tooltip="Németország válogatottja"/>
            <a:extLst>
              <a:ext uri="{FF2B5EF4-FFF2-40B4-BE49-F238E27FC236}">
                <a16:creationId xmlns:a16="http://schemas.microsoft.com/office/drawing/2014/main" xmlns="" id="{00000000-0008-0000-0700-0000622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782425" y="390525"/>
            <a:ext cx="161925" cy="104775"/>
          </a:xfrm>
          <a:prstGeom prst="rect">
            <a:avLst/>
          </a:prstGeom>
          <a:noFill/>
          <a:ln w="3175" algn="ctr">
            <a:solidFill>
              <a:srgbClr val="80808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291" name="Picture 983">
            <a:hlinkClick xmlns:r="http://schemas.openxmlformats.org/officeDocument/2006/relationships" r:id="rId48" tooltip="Ukrajna válogatottja"/>
            <a:extLst>
              <a:ext uri="{FF2B5EF4-FFF2-40B4-BE49-F238E27FC236}">
                <a16:creationId xmlns:a16="http://schemas.microsoft.com/office/drawing/2014/main" xmlns="" id="{00000000-0008-0000-0700-0000632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982075" y="390525"/>
            <a:ext cx="161925" cy="104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292" name="Picture 992">
            <a:hlinkClick xmlns:r="http://schemas.openxmlformats.org/officeDocument/2006/relationships" r:id="rId49" tooltip="Svájc válogatottja"/>
            <a:extLst>
              <a:ext uri="{FF2B5EF4-FFF2-40B4-BE49-F238E27FC236}">
                <a16:creationId xmlns:a16="http://schemas.microsoft.com/office/drawing/2014/main" xmlns="" id="{00000000-0008-0000-0700-0000642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781925" y="390525"/>
            <a:ext cx="161925" cy="104775"/>
          </a:xfrm>
          <a:prstGeom prst="rect">
            <a:avLst/>
          </a:prstGeom>
          <a:noFill/>
          <a:ln w="3175" algn="ctr">
            <a:solidFill>
              <a:srgbClr val="80808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3705" name="Text Box 1177">
            <a:extLst>
              <a:ext uri="{FF2B5EF4-FFF2-40B4-BE49-F238E27FC236}">
                <a16:creationId xmlns:a16="http://schemas.microsoft.com/office/drawing/2014/main" xmlns="" id="{00000000-0008-0000-0700-0000995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5934075" y="390525"/>
            <a:ext cx="1162050" cy="114300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wrap="square" lIns="0" tIns="0" rIns="0" bIns="0" anchor="ctr" upright="1"/>
          <a:lstStyle/>
          <a:p>
            <a:pPr algn="r" rtl="0">
              <a:defRPr sz="1000"/>
            </a:pPr>
            <a:r>
              <a:rPr lang="hu-HU" sz="600" b="0" i="0" u="none" strike="noStrike" baseline="0">
                <a:solidFill>
                  <a:srgbClr val="FFFFFF"/>
                </a:solidFill>
                <a:latin typeface="Arial Unicode MS"/>
              </a:rPr>
              <a:t>LAPOZÁS KATTINTÁSSAL: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23</xdr:col>
      <xdr:colOff>180975</xdr:colOff>
      <xdr:row>3</xdr:row>
      <xdr:rowOff>0</xdr:rowOff>
    </xdr:to>
    <xdr:grpSp>
      <xdr:nvGrpSpPr>
        <xdr:cNvPr id="8219" name="Csoportba foglalás 2">
          <a:extLst>
            <a:ext uri="{FF2B5EF4-FFF2-40B4-BE49-F238E27FC236}">
              <a16:creationId xmlns:a16="http://schemas.microsoft.com/office/drawing/2014/main" xmlns="" id="{00000000-0008-0000-0700-00001B200000}"/>
            </a:ext>
          </a:extLst>
        </xdr:cNvPr>
        <xdr:cNvGrpSpPr>
          <a:grpSpLocks/>
        </xdr:cNvGrpSpPr>
      </xdr:nvGrpSpPr>
      <xdr:grpSpPr bwMode="auto">
        <a:xfrm>
          <a:off x="0" y="0"/>
          <a:ext cx="11991975" cy="361950"/>
          <a:chOff x="0" y="0"/>
          <a:chExt cx="11991975" cy="364644"/>
        </a:xfrm>
      </xdr:grpSpPr>
      <xdr:pic>
        <xdr:nvPicPr>
          <xdr:cNvPr id="8243" name="Picture 1711">
            <a:extLst>
              <a:ext uri="{FF2B5EF4-FFF2-40B4-BE49-F238E27FC236}">
                <a16:creationId xmlns:a16="http://schemas.microsoft.com/office/drawing/2014/main" xmlns="" id="{00000000-0008-0000-0700-0000332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1991975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1168" name="AutoShape 1712">
            <a:hlinkClick xmlns:r="http://schemas.openxmlformats.org/officeDocument/2006/relationships" r:id="rId51" tooltip="Tippjáték"/>
            <a:extLst>
              <a:ext uri="{FF2B5EF4-FFF2-40B4-BE49-F238E27FC236}">
                <a16:creationId xmlns:a16="http://schemas.microsoft.com/office/drawing/2014/main" xmlns="" id="{00000000-0008-0000-0700-0000B0520000}"/>
              </a:ext>
            </a:extLst>
          </xdr:cNvPr>
          <xdr:cNvSpPr>
            <a:spLocks noChangeArrowheads="1"/>
          </xdr:cNvSpPr>
        </xdr:nvSpPr>
        <xdr:spPr bwMode="auto">
          <a:xfrm>
            <a:off x="107537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TIPPJÁTÉK</a:t>
            </a:r>
          </a:p>
        </xdr:txBody>
      </xdr:sp>
      <xdr:sp macro="" textlink="">
        <xdr:nvSpPr>
          <xdr:cNvPr id="21169" name="AutoShape 1713">
            <a:hlinkClick xmlns:r="http://schemas.openxmlformats.org/officeDocument/2006/relationships" r:id="rId52" tooltip="Használati ismertető"/>
            <a:extLst>
              <a:ext uri="{FF2B5EF4-FFF2-40B4-BE49-F238E27FC236}">
                <a16:creationId xmlns:a16="http://schemas.microsoft.com/office/drawing/2014/main" xmlns="" id="{00000000-0008-0000-0700-0000B1520000}"/>
              </a:ext>
            </a:extLst>
          </xdr:cNvPr>
          <xdr:cNvSpPr>
            <a:spLocks noChangeArrowheads="1"/>
          </xdr:cNvSpPr>
        </xdr:nvSpPr>
        <xdr:spPr bwMode="auto">
          <a:xfrm>
            <a:off x="11553825" y="19192"/>
            <a:ext cx="438150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SÚGÓ</a:t>
            </a:r>
          </a:p>
        </xdr:txBody>
      </xdr:sp>
      <xdr:pic>
        <xdr:nvPicPr>
          <xdr:cNvPr id="8246" name="Picture 1725" descr="NS-logo_szurke">
            <a:hlinkClick xmlns:r="http://schemas.openxmlformats.org/officeDocument/2006/relationships" r:id="rId53" tooltip="További szurkolói füzetek a Nemzeti Sport honlapján"/>
            <a:extLst>
              <a:ext uri="{FF2B5EF4-FFF2-40B4-BE49-F238E27FC236}">
                <a16:creationId xmlns:a16="http://schemas.microsoft.com/office/drawing/2014/main" xmlns="" id="{00000000-0008-0000-0700-0000362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4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1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7625" y="38384"/>
            <a:ext cx="704850" cy="287877"/>
          </a:xfrm>
          <a:prstGeom prst="rect">
            <a:avLst/>
          </a:prstGeom>
          <a:noFill/>
          <a:ln>
            <a:noFill/>
          </a:ln>
          <a:effectLst>
            <a:outerShdw dist="35921" dir="2700000" algn="ctr" rotWithShape="0">
              <a:srgbClr val="333333"/>
            </a:outerShdw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247" name="Picture 1726">
            <a:extLst>
              <a:ext uri="{FF2B5EF4-FFF2-40B4-BE49-F238E27FC236}">
                <a16:creationId xmlns:a16="http://schemas.microsoft.com/office/drawing/2014/main" xmlns="" id="{00000000-0008-0000-0700-0000372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419350" y="38384"/>
            <a:ext cx="981075" cy="287877"/>
          </a:xfrm>
          <a:prstGeom prst="rect">
            <a:avLst/>
          </a:prstGeom>
          <a:noFill/>
          <a:ln>
            <a:noFill/>
          </a:ln>
          <a:effectLst>
            <a:outerShdw dist="35921" dir="2700000" algn="ctr" rotWithShape="0">
              <a:srgbClr val="333333"/>
            </a:outerShdw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1183" name="AutoShape 1727">
            <a:hlinkClick xmlns:r="http://schemas.openxmlformats.org/officeDocument/2006/relationships" r:id="rId56" tooltip="A csoportok állása"/>
            <a:extLst>
              <a:ext uri="{FF2B5EF4-FFF2-40B4-BE49-F238E27FC236}">
                <a16:creationId xmlns:a16="http://schemas.microsoft.com/office/drawing/2014/main" xmlns="" id="{00000000-0008-0000-0700-0000BF520000}"/>
              </a:ext>
            </a:extLst>
          </xdr:cNvPr>
          <xdr:cNvSpPr>
            <a:spLocks noChangeArrowheads="1"/>
          </xdr:cNvSpPr>
        </xdr:nvSpPr>
        <xdr:spPr bwMode="auto">
          <a:xfrm>
            <a:off x="43529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TABELLÁK</a:t>
            </a:r>
          </a:p>
        </xdr:txBody>
      </xdr:sp>
      <xdr:sp macro="" textlink="">
        <xdr:nvSpPr>
          <xdr:cNvPr id="8249" name="AutoShape 1436">
            <a:extLst>
              <a:ext uri="{FF2B5EF4-FFF2-40B4-BE49-F238E27FC236}">
                <a16:creationId xmlns:a16="http://schemas.microsoft.com/office/drawing/2014/main" xmlns="" id="{00000000-0008-0000-0700-0000392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9815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6732" name="AutoShape 1729">
            <a:hlinkClick xmlns:r="http://schemas.openxmlformats.org/officeDocument/2006/relationships" r:id="rId57" tooltip="Eredmények rögzítése"/>
            <a:extLst>
              <a:ext uri="{FF2B5EF4-FFF2-40B4-BE49-F238E27FC236}">
                <a16:creationId xmlns:a16="http://schemas.microsoft.com/office/drawing/2014/main" xmlns="" id="{00000000-0008-0000-0700-00006C680000}"/>
              </a:ext>
            </a:extLst>
          </xdr:cNvPr>
          <xdr:cNvSpPr>
            <a:spLocks noChangeArrowheads="1"/>
          </xdr:cNvSpPr>
        </xdr:nvSpPr>
        <xdr:spPr bwMode="auto">
          <a:xfrm>
            <a:off x="35528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EREDMÉNYEK</a:t>
            </a:r>
          </a:p>
        </xdr:txBody>
      </xdr:sp>
      <xdr:sp macro="" textlink="">
        <xdr:nvSpPr>
          <xdr:cNvPr id="8251" name="AutoShape 1436">
            <a:extLst>
              <a:ext uri="{FF2B5EF4-FFF2-40B4-BE49-F238E27FC236}">
                <a16:creationId xmlns:a16="http://schemas.microsoft.com/office/drawing/2014/main" xmlns="" id="{00000000-0008-0000-0700-00003B2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1814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187" name="AutoShape 1731">
            <a:hlinkClick xmlns:r="http://schemas.openxmlformats.org/officeDocument/2006/relationships" r:id="rId58" tooltip="A legjobb 16 csapat párosításának megtekintése"/>
            <a:extLst>
              <a:ext uri="{FF2B5EF4-FFF2-40B4-BE49-F238E27FC236}">
                <a16:creationId xmlns:a16="http://schemas.microsoft.com/office/drawing/2014/main" xmlns="" id="{00000000-0008-0000-0700-0000C3520000}"/>
              </a:ext>
            </a:extLst>
          </xdr:cNvPr>
          <xdr:cNvSpPr>
            <a:spLocks noChangeArrowheads="1"/>
          </xdr:cNvSpPr>
        </xdr:nvSpPr>
        <xdr:spPr bwMode="auto">
          <a:xfrm>
            <a:off x="51530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ÁGRAJZ</a:t>
            </a:r>
          </a:p>
        </xdr:txBody>
      </xdr:sp>
      <xdr:sp macro="" textlink="">
        <xdr:nvSpPr>
          <xdr:cNvPr id="21188" name="AutoShape 1732">
            <a:hlinkClick xmlns:r="http://schemas.openxmlformats.org/officeDocument/2006/relationships" r:id="rId59" tooltip="Az Európa-bajnokság végeredménye"/>
            <a:extLst>
              <a:ext uri="{FF2B5EF4-FFF2-40B4-BE49-F238E27FC236}">
                <a16:creationId xmlns:a16="http://schemas.microsoft.com/office/drawing/2014/main" xmlns="" id="{00000000-0008-0000-0700-0000C4520000}"/>
              </a:ext>
            </a:extLst>
          </xdr:cNvPr>
          <xdr:cNvSpPr>
            <a:spLocks noChangeArrowheads="1"/>
          </xdr:cNvSpPr>
        </xdr:nvSpPr>
        <xdr:spPr bwMode="auto">
          <a:xfrm>
            <a:off x="59531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RANGSOR</a:t>
            </a:r>
          </a:p>
        </xdr:txBody>
      </xdr:sp>
      <xdr:sp macro="" textlink="">
        <xdr:nvSpPr>
          <xdr:cNvPr id="21189" name="AutoShape 1733">
            <a:hlinkClick xmlns:r="http://schemas.openxmlformats.org/officeDocument/2006/relationships" r:id="rId60" tooltip="Gólszerzők rögzítése"/>
            <a:extLst>
              <a:ext uri="{FF2B5EF4-FFF2-40B4-BE49-F238E27FC236}">
                <a16:creationId xmlns:a16="http://schemas.microsoft.com/office/drawing/2014/main" xmlns="" id="{00000000-0008-0000-0700-0000C5520000}"/>
              </a:ext>
            </a:extLst>
          </xdr:cNvPr>
          <xdr:cNvSpPr>
            <a:spLocks noChangeArrowheads="1"/>
          </xdr:cNvSpPr>
        </xdr:nvSpPr>
        <xdr:spPr bwMode="auto">
          <a:xfrm>
            <a:off x="67532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GÓLSZERZŐK</a:t>
            </a:r>
          </a:p>
        </xdr:txBody>
      </xdr:sp>
      <xdr:sp macro="" textlink="">
        <xdr:nvSpPr>
          <xdr:cNvPr id="21190" name="AutoShape 1734">
            <a:hlinkClick xmlns:r="http://schemas.openxmlformats.org/officeDocument/2006/relationships" r:id="rId61" tooltip="Góllövőlista megtekintése"/>
            <a:extLst>
              <a:ext uri="{FF2B5EF4-FFF2-40B4-BE49-F238E27FC236}">
                <a16:creationId xmlns:a16="http://schemas.microsoft.com/office/drawing/2014/main" xmlns="" id="{00000000-0008-0000-0700-0000C6520000}"/>
              </a:ext>
            </a:extLst>
          </xdr:cNvPr>
          <xdr:cNvSpPr>
            <a:spLocks noChangeArrowheads="1"/>
          </xdr:cNvSpPr>
        </xdr:nvSpPr>
        <xdr:spPr bwMode="auto">
          <a:xfrm>
            <a:off x="75533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GÓLLÖVŐ</a:t>
            </a:r>
          </a:p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LISTA</a:t>
            </a:r>
          </a:p>
        </xdr:txBody>
      </xdr:sp>
      <xdr:sp macro="" textlink="">
        <xdr:nvSpPr>
          <xdr:cNvPr id="21191" name="AutoShape 1735">
            <a:hlinkClick xmlns:r="http://schemas.openxmlformats.org/officeDocument/2006/relationships" r:id="rId62" tooltip="A csoportok beosztása"/>
            <a:extLst>
              <a:ext uri="{FF2B5EF4-FFF2-40B4-BE49-F238E27FC236}">
                <a16:creationId xmlns:a16="http://schemas.microsoft.com/office/drawing/2014/main" xmlns="" id="{00000000-0008-0000-0700-0000C7520000}"/>
              </a:ext>
            </a:extLst>
          </xdr:cNvPr>
          <xdr:cNvSpPr>
            <a:spLocks noChangeArrowheads="1"/>
          </xdr:cNvSpPr>
        </xdr:nvSpPr>
        <xdr:spPr bwMode="auto">
          <a:xfrm>
            <a:off x="83534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CSOPORTOK</a:t>
            </a:r>
          </a:p>
        </xdr:txBody>
      </xdr:sp>
      <xdr:sp macro="" textlink="">
        <xdr:nvSpPr>
          <xdr:cNvPr id="26739" name="AutoShape 1736">
            <a:hlinkClick xmlns:r="http://schemas.openxmlformats.org/officeDocument/2006/relationships" r:id="rId63" tooltip="A csapatok összeállítása"/>
            <a:extLst>
              <a:ext uri="{FF2B5EF4-FFF2-40B4-BE49-F238E27FC236}">
                <a16:creationId xmlns:a16="http://schemas.microsoft.com/office/drawing/2014/main" xmlns="" id="{00000000-0008-0000-0700-000073680000}"/>
              </a:ext>
            </a:extLst>
          </xdr:cNvPr>
          <xdr:cNvSpPr>
            <a:spLocks noChangeArrowheads="1"/>
          </xdr:cNvSpPr>
        </xdr:nvSpPr>
        <xdr:spPr bwMode="auto">
          <a:xfrm>
            <a:off x="91535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10F3E">
                  <a:alpha val="56000"/>
                </a:srgbClr>
              </a:gs>
              <a:gs pos="100000">
                <a:srgbClr val="009CB3">
                  <a:alpha val="56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FAB65C"/>
                </a:solidFill>
                <a:latin typeface="Arial Unicode MS"/>
              </a:rPr>
              <a:t>CSAPATOK</a:t>
            </a:r>
          </a:p>
        </xdr:txBody>
      </xdr:sp>
      <xdr:sp macro="" textlink="">
        <xdr:nvSpPr>
          <xdr:cNvPr id="21193" name="AutoShape 1737">
            <a:hlinkClick xmlns:r="http://schemas.openxmlformats.org/officeDocument/2006/relationships" r:id="rId64" tooltip="Helyszínek és stadionok"/>
            <a:extLst>
              <a:ext uri="{FF2B5EF4-FFF2-40B4-BE49-F238E27FC236}">
                <a16:creationId xmlns:a16="http://schemas.microsoft.com/office/drawing/2014/main" xmlns="" id="{00000000-0008-0000-0700-0000C9520000}"/>
              </a:ext>
            </a:extLst>
          </xdr:cNvPr>
          <xdr:cNvSpPr>
            <a:spLocks noChangeArrowheads="1"/>
          </xdr:cNvSpPr>
        </xdr:nvSpPr>
        <xdr:spPr bwMode="auto">
          <a:xfrm>
            <a:off x="99536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HELYSZÍNEK</a:t>
            </a:r>
          </a:p>
        </xdr:txBody>
      </xdr:sp>
      <xdr:sp macro="" textlink="">
        <xdr:nvSpPr>
          <xdr:cNvPr id="8259" name="AutoShape 1436">
            <a:extLst>
              <a:ext uri="{FF2B5EF4-FFF2-40B4-BE49-F238E27FC236}">
                <a16:creationId xmlns:a16="http://schemas.microsoft.com/office/drawing/2014/main" xmlns="" id="{00000000-0008-0000-0700-0000432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97821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FAB65C"/>
              </a:gs>
              <a:gs pos="100000">
                <a:srgbClr val="333333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260" name="AutoShape 1436">
            <a:extLst>
              <a:ext uri="{FF2B5EF4-FFF2-40B4-BE49-F238E27FC236}">
                <a16:creationId xmlns:a16="http://schemas.microsoft.com/office/drawing/2014/main" xmlns="" id="{00000000-0008-0000-0700-0000442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13823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261" name="AutoShape 1436">
            <a:extLst>
              <a:ext uri="{FF2B5EF4-FFF2-40B4-BE49-F238E27FC236}">
                <a16:creationId xmlns:a16="http://schemas.microsoft.com/office/drawing/2014/main" xmlns="" id="{00000000-0008-0000-0700-0000452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5822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262" name="AutoShape 1436">
            <a:extLst>
              <a:ext uri="{FF2B5EF4-FFF2-40B4-BE49-F238E27FC236}">
                <a16:creationId xmlns:a16="http://schemas.microsoft.com/office/drawing/2014/main" xmlns="" id="{00000000-0008-0000-0700-0000462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73818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263" name="AutoShape 1436">
            <a:extLst>
              <a:ext uri="{FF2B5EF4-FFF2-40B4-BE49-F238E27FC236}">
                <a16:creationId xmlns:a16="http://schemas.microsoft.com/office/drawing/2014/main" xmlns="" id="{00000000-0008-0000-0700-0000472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89820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264" name="AutoShape 1436">
            <a:extLst>
              <a:ext uri="{FF2B5EF4-FFF2-40B4-BE49-F238E27FC236}">
                <a16:creationId xmlns:a16="http://schemas.microsoft.com/office/drawing/2014/main" xmlns="" id="{00000000-0008-0000-0700-0000482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5817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265" name="AutoShape 1436">
            <a:extLst>
              <a:ext uri="{FF2B5EF4-FFF2-40B4-BE49-F238E27FC236}">
                <a16:creationId xmlns:a16="http://schemas.microsoft.com/office/drawing/2014/main" xmlns="" id="{00000000-0008-0000-0700-0000492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7816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266" name="AutoShape 1436">
            <a:extLst>
              <a:ext uri="{FF2B5EF4-FFF2-40B4-BE49-F238E27FC236}">
                <a16:creationId xmlns:a16="http://schemas.microsoft.com/office/drawing/2014/main" xmlns="" id="{00000000-0008-0000-0700-00004A2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1830050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267" name="AutoShape 1436">
            <a:extLst>
              <a:ext uri="{FF2B5EF4-FFF2-40B4-BE49-F238E27FC236}">
                <a16:creationId xmlns:a16="http://schemas.microsoft.com/office/drawing/2014/main" xmlns="" id="{00000000-0008-0000-0700-00004B2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81819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pic>
        <xdr:nvPicPr>
          <xdr:cNvPr id="8268" name="Kép 1">
            <a:hlinkClick xmlns:r="http://schemas.openxmlformats.org/officeDocument/2006/relationships" r:id="rId65" tooltip="Mail to Gyworks"/>
            <a:extLst>
              <a:ext uri="{FF2B5EF4-FFF2-40B4-BE49-F238E27FC236}">
                <a16:creationId xmlns:a16="http://schemas.microsoft.com/office/drawing/2014/main" xmlns="" id="{00000000-0008-0000-0700-00004C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6300" y="47625"/>
            <a:ext cx="1383912" cy="31701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oneCellAnchor>
    <xdr:from>
      <xdr:col>2</xdr:col>
      <xdr:colOff>9525</xdr:colOff>
      <xdr:row>71</xdr:row>
      <xdr:rowOff>19050</xdr:rowOff>
    </xdr:from>
    <xdr:ext cx="457200" cy="295275"/>
    <xdr:sp macro="" textlink="">
      <xdr:nvSpPr>
        <xdr:cNvPr id="247" name="Text Box 924">
          <a:extLst>
            <a:ext uri="{FF2B5EF4-FFF2-40B4-BE49-F238E27FC236}">
              <a16:creationId xmlns:a16="http://schemas.microsoft.com/office/drawing/2014/main" xmlns="" id="{00000000-0008-0000-0700-0000F7000000}"/>
            </a:ext>
          </a:extLst>
        </xdr:cNvPr>
        <xdr:cNvSpPr txBox="1">
          <a:spLocks noChangeArrowheads="1"/>
        </xdr:cNvSpPr>
      </xdr:nvSpPr>
      <xdr:spPr bwMode="auto">
        <a:xfrm>
          <a:off x="295275" y="9124950"/>
          <a:ext cx="457200" cy="295275"/>
        </a:xfrm>
        <a:prstGeom prst="rect">
          <a:avLst/>
        </a:prstGeom>
        <a:gradFill rotWithShape="0">
          <a:gsLst>
            <a:gs pos="0">
              <a:srgbClr val="009CB3"/>
            </a:gs>
            <a:gs pos="100000">
              <a:srgbClr val="005C68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algn="ctr" rtl="1">
            <a:defRPr sz="1000"/>
          </a:pPr>
          <a:r>
            <a:rPr lang="hu-HU" sz="1400" b="1" i="0" u="none" strike="noStrike" baseline="0">
              <a:solidFill>
                <a:srgbClr val="FFFFFF"/>
              </a:solidFill>
              <a:latin typeface="Arial Unicode MS"/>
            </a:rPr>
            <a:t>A</a:t>
          </a:r>
        </a:p>
      </xdr:txBody>
    </xdr:sp>
    <xdr:clientData/>
  </xdr:oneCellAnchor>
  <xdr:oneCellAnchor>
    <xdr:from>
      <xdr:col>2</xdr:col>
      <xdr:colOff>9525</xdr:colOff>
      <xdr:row>111</xdr:row>
      <xdr:rowOff>19050</xdr:rowOff>
    </xdr:from>
    <xdr:ext cx="457200" cy="295275"/>
    <xdr:sp macro="" textlink="">
      <xdr:nvSpPr>
        <xdr:cNvPr id="249" name="Text Box 924">
          <a:extLst>
            <a:ext uri="{FF2B5EF4-FFF2-40B4-BE49-F238E27FC236}">
              <a16:creationId xmlns:a16="http://schemas.microsoft.com/office/drawing/2014/main" xmlns="" id="{00000000-0008-0000-0700-0000F9000000}"/>
            </a:ext>
          </a:extLst>
        </xdr:cNvPr>
        <xdr:cNvSpPr txBox="1">
          <a:spLocks noChangeArrowheads="1"/>
        </xdr:cNvSpPr>
      </xdr:nvSpPr>
      <xdr:spPr bwMode="auto">
        <a:xfrm>
          <a:off x="295275" y="13954125"/>
          <a:ext cx="457200" cy="295275"/>
        </a:xfrm>
        <a:prstGeom prst="rect">
          <a:avLst/>
        </a:prstGeom>
        <a:gradFill rotWithShape="0">
          <a:gsLst>
            <a:gs pos="0">
              <a:srgbClr val="009CB3"/>
            </a:gs>
            <a:gs pos="100000">
              <a:srgbClr val="005C68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algn="ctr" rtl="1">
            <a:defRPr sz="1000"/>
          </a:pPr>
          <a:r>
            <a:rPr lang="hu-HU" sz="1400" b="1" i="0" u="none" strike="noStrike" baseline="0">
              <a:solidFill>
                <a:srgbClr val="FFFFFF"/>
              </a:solidFill>
              <a:latin typeface="Arial Unicode MS"/>
            </a:rPr>
            <a:t>A</a:t>
          </a:r>
        </a:p>
      </xdr:txBody>
    </xdr:sp>
    <xdr:clientData/>
  </xdr:oneCellAnchor>
  <xdr:oneCellAnchor>
    <xdr:from>
      <xdr:col>2</xdr:col>
      <xdr:colOff>9525</xdr:colOff>
      <xdr:row>151</xdr:row>
      <xdr:rowOff>19050</xdr:rowOff>
    </xdr:from>
    <xdr:ext cx="457200" cy="295275"/>
    <xdr:sp macro="" textlink="">
      <xdr:nvSpPr>
        <xdr:cNvPr id="251" name="Text Box 924">
          <a:extLst>
            <a:ext uri="{FF2B5EF4-FFF2-40B4-BE49-F238E27FC236}">
              <a16:creationId xmlns:a16="http://schemas.microsoft.com/office/drawing/2014/main" xmlns="" id="{00000000-0008-0000-0700-0000FB000000}"/>
            </a:ext>
          </a:extLst>
        </xdr:cNvPr>
        <xdr:cNvSpPr txBox="1">
          <a:spLocks noChangeArrowheads="1"/>
        </xdr:cNvSpPr>
      </xdr:nvSpPr>
      <xdr:spPr bwMode="auto">
        <a:xfrm>
          <a:off x="295275" y="18783300"/>
          <a:ext cx="457200" cy="295275"/>
        </a:xfrm>
        <a:prstGeom prst="rect">
          <a:avLst/>
        </a:prstGeom>
        <a:gradFill rotWithShape="0">
          <a:gsLst>
            <a:gs pos="0">
              <a:srgbClr val="009CB3"/>
            </a:gs>
            <a:gs pos="100000">
              <a:srgbClr val="005C68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algn="ctr" rtl="1">
            <a:defRPr sz="1000"/>
          </a:pPr>
          <a:r>
            <a:rPr lang="hu-HU" sz="1400" b="1" i="0" u="none" strike="noStrike" baseline="0">
              <a:solidFill>
                <a:srgbClr val="FFFFFF"/>
              </a:solidFill>
              <a:latin typeface="Arial Unicode MS"/>
            </a:rPr>
            <a:t>A</a:t>
          </a:r>
        </a:p>
      </xdr:txBody>
    </xdr:sp>
    <xdr:clientData/>
  </xdr:oneCellAnchor>
  <xdr:oneCellAnchor>
    <xdr:from>
      <xdr:col>2</xdr:col>
      <xdr:colOff>9525</xdr:colOff>
      <xdr:row>191</xdr:row>
      <xdr:rowOff>19050</xdr:rowOff>
    </xdr:from>
    <xdr:ext cx="457200" cy="295275"/>
    <xdr:sp macro="" textlink="">
      <xdr:nvSpPr>
        <xdr:cNvPr id="253" name="Text Box 924">
          <a:extLst>
            <a:ext uri="{FF2B5EF4-FFF2-40B4-BE49-F238E27FC236}">
              <a16:creationId xmlns:a16="http://schemas.microsoft.com/office/drawing/2014/main" xmlns="" id="{00000000-0008-0000-0700-0000FD000000}"/>
            </a:ext>
          </a:extLst>
        </xdr:cNvPr>
        <xdr:cNvSpPr txBox="1">
          <a:spLocks noChangeArrowheads="1"/>
        </xdr:cNvSpPr>
      </xdr:nvSpPr>
      <xdr:spPr bwMode="auto">
        <a:xfrm>
          <a:off x="295275" y="23612475"/>
          <a:ext cx="457200" cy="295275"/>
        </a:xfrm>
        <a:prstGeom prst="rect">
          <a:avLst/>
        </a:prstGeom>
        <a:gradFill rotWithShape="0">
          <a:gsLst>
            <a:gs pos="0">
              <a:srgbClr val="9475E1"/>
            </a:gs>
            <a:gs pos="100000">
              <a:srgbClr val="523973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0">
            <a:defRPr sz="1000"/>
          </a:pPr>
          <a:r>
            <a:rPr lang="hu-HU" sz="14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B</a:t>
          </a:r>
        </a:p>
      </xdr:txBody>
    </xdr:sp>
    <xdr:clientData/>
  </xdr:oneCellAnchor>
  <xdr:oneCellAnchor>
    <xdr:from>
      <xdr:col>2</xdr:col>
      <xdr:colOff>9525</xdr:colOff>
      <xdr:row>231</xdr:row>
      <xdr:rowOff>19050</xdr:rowOff>
    </xdr:from>
    <xdr:ext cx="457200" cy="295275"/>
    <xdr:sp macro="" textlink="">
      <xdr:nvSpPr>
        <xdr:cNvPr id="255" name="Text Box 924">
          <a:extLst>
            <a:ext uri="{FF2B5EF4-FFF2-40B4-BE49-F238E27FC236}">
              <a16:creationId xmlns:a16="http://schemas.microsoft.com/office/drawing/2014/main" xmlns="" id="{00000000-0008-0000-0700-0000FF000000}"/>
            </a:ext>
          </a:extLst>
        </xdr:cNvPr>
        <xdr:cNvSpPr txBox="1">
          <a:spLocks noChangeArrowheads="1"/>
        </xdr:cNvSpPr>
      </xdr:nvSpPr>
      <xdr:spPr bwMode="auto">
        <a:xfrm>
          <a:off x="295275" y="28441650"/>
          <a:ext cx="457200" cy="295275"/>
        </a:xfrm>
        <a:prstGeom prst="rect">
          <a:avLst/>
        </a:prstGeom>
        <a:gradFill rotWithShape="0">
          <a:gsLst>
            <a:gs pos="0">
              <a:srgbClr val="9475E1"/>
            </a:gs>
            <a:gs pos="100000">
              <a:srgbClr val="523973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1">
            <a:defRPr sz="1000"/>
          </a:pPr>
          <a:r>
            <a:rPr lang="hu-HU" sz="14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B</a:t>
          </a:r>
        </a:p>
      </xdr:txBody>
    </xdr:sp>
    <xdr:clientData/>
  </xdr:oneCellAnchor>
  <xdr:oneCellAnchor>
    <xdr:from>
      <xdr:col>2</xdr:col>
      <xdr:colOff>9525</xdr:colOff>
      <xdr:row>271</xdr:row>
      <xdr:rowOff>19050</xdr:rowOff>
    </xdr:from>
    <xdr:ext cx="457200" cy="295275"/>
    <xdr:sp macro="" textlink="">
      <xdr:nvSpPr>
        <xdr:cNvPr id="257" name="Text Box 924">
          <a:extLst>
            <a:ext uri="{FF2B5EF4-FFF2-40B4-BE49-F238E27FC236}">
              <a16:creationId xmlns:a16="http://schemas.microsoft.com/office/drawing/2014/main" xmlns="" id="{00000000-0008-0000-0700-000001010000}"/>
            </a:ext>
          </a:extLst>
        </xdr:cNvPr>
        <xdr:cNvSpPr txBox="1">
          <a:spLocks noChangeArrowheads="1"/>
        </xdr:cNvSpPr>
      </xdr:nvSpPr>
      <xdr:spPr bwMode="auto">
        <a:xfrm>
          <a:off x="295275" y="33270825"/>
          <a:ext cx="457200" cy="295275"/>
        </a:xfrm>
        <a:prstGeom prst="rect">
          <a:avLst/>
        </a:prstGeom>
        <a:gradFill rotWithShape="0">
          <a:gsLst>
            <a:gs pos="0">
              <a:srgbClr val="9475E1"/>
            </a:gs>
            <a:gs pos="100000">
              <a:srgbClr val="523973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1">
            <a:defRPr sz="1000"/>
          </a:pPr>
          <a:r>
            <a:rPr lang="hu-HU" sz="14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B</a:t>
          </a:r>
        </a:p>
      </xdr:txBody>
    </xdr:sp>
    <xdr:clientData/>
  </xdr:oneCellAnchor>
  <xdr:oneCellAnchor>
    <xdr:from>
      <xdr:col>2</xdr:col>
      <xdr:colOff>9525</xdr:colOff>
      <xdr:row>311</xdr:row>
      <xdr:rowOff>19050</xdr:rowOff>
    </xdr:from>
    <xdr:ext cx="457200" cy="295275"/>
    <xdr:sp macro="" textlink="">
      <xdr:nvSpPr>
        <xdr:cNvPr id="259" name="Text Box 924">
          <a:extLst>
            <a:ext uri="{FF2B5EF4-FFF2-40B4-BE49-F238E27FC236}">
              <a16:creationId xmlns:a16="http://schemas.microsoft.com/office/drawing/2014/main" xmlns="" id="{00000000-0008-0000-0700-000003010000}"/>
            </a:ext>
          </a:extLst>
        </xdr:cNvPr>
        <xdr:cNvSpPr txBox="1">
          <a:spLocks noChangeArrowheads="1"/>
        </xdr:cNvSpPr>
      </xdr:nvSpPr>
      <xdr:spPr bwMode="auto">
        <a:xfrm>
          <a:off x="295275" y="38100000"/>
          <a:ext cx="457200" cy="295275"/>
        </a:xfrm>
        <a:prstGeom prst="rect">
          <a:avLst/>
        </a:prstGeom>
        <a:gradFill rotWithShape="0">
          <a:gsLst>
            <a:gs pos="0">
              <a:srgbClr val="9475E1"/>
            </a:gs>
            <a:gs pos="100000">
              <a:srgbClr val="523973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1">
            <a:defRPr sz="1000"/>
          </a:pPr>
          <a:r>
            <a:rPr lang="hu-HU" sz="14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B</a:t>
          </a:r>
        </a:p>
      </xdr:txBody>
    </xdr:sp>
    <xdr:clientData/>
  </xdr:oneCellAnchor>
  <xdr:oneCellAnchor>
    <xdr:from>
      <xdr:col>2</xdr:col>
      <xdr:colOff>9525</xdr:colOff>
      <xdr:row>351</xdr:row>
      <xdr:rowOff>19050</xdr:rowOff>
    </xdr:from>
    <xdr:ext cx="457200" cy="295275"/>
    <xdr:sp macro="" textlink="">
      <xdr:nvSpPr>
        <xdr:cNvPr id="261" name="Text Box 924">
          <a:extLst>
            <a:ext uri="{FF2B5EF4-FFF2-40B4-BE49-F238E27FC236}">
              <a16:creationId xmlns:a16="http://schemas.microsoft.com/office/drawing/2014/main" xmlns="" id="{00000000-0008-0000-0700-000005010000}"/>
            </a:ext>
          </a:extLst>
        </xdr:cNvPr>
        <xdr:cNvSpPr txBox="1">
          <a:spLocks noChangeArrowheads="1"/>
        </xdr:cNvSpPr>
      </xdr:nvSpPr>
      <xdr:spPr bwMode="auto">
        <a:xfrm>
          <a:off x="295275" y="42929175"/>
          <a:ext cx="457200" cy="295275"/>
        </a:xfrm>
        <a:prstGeom prst="rect">
          <a:avLst/>
        </a:prstGeom>
        <a:gradFill rotWithShape="0">
          <a:gsLst>
            <a:gs pos="0">
              <a:srgbClr val="F99F27"/>
            </a:gs>
            <a:gs pos="100000">
              <a:srgbClr val="9C3B0B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1">
            <a:defRPr sz="1000"/>
          </a:pPr>
          <a:r>
            <a:rPr lang="hu-HU" sz="14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C</a:t>
          </a:r>
        </a:p>
      </xdr:txBody>
    </xdr:sp>
    <xdr:clientData/>
  </xdr:oneCellAnchor>
  <xdr:oneCellAnchor>
    <xdr:from>
      <xdr:col>2</xdr:col>
      <xdr:colOff>9525</xdr:colOff>
      <xdr:row>391</xdr:row>
      <xdr:rowOff>19050</xdr:rowOff>
    </xdr:from>
    <xdr:ext cx="457200" cy="295275"/>
    <xdr:sp macro="" textlink="">
      <xdr:nvSpPr>
        <xdr:cNvPr id="263" name="Text Box 924">
          <a:extLst>
            <a:ext uri="{FF2B5EF4-FFF2-40B4-BE49-F238E27FC236}">
              <a16:creationId xmlns:a16="http://schemas.microsoft.com/office/drawing/2014/main" xmlns="" id="{00000000-0008-0000-0700-000007010000}"/>
            </a:ext>
          </a:extLst>
        </xdr:cNvPr>
        <xdr:cNvSpPr txBox="1">
          <a:spLocks noChangeArrowheads="1"/>
        </xdr:cNvSpPr>
      </xdr:nvSpPr>
      <xdr:spPr bwMode="auto">
        <a:xfrm>
          <a:off x="295275" y="47758350"/>
          <a:ext cx="457200" cy="295275"/>
        </a:xfrm>
        <a:prstGeom prst="rect">
          <a:avLst/>
        </a:prstGeom>
        <a:gradFill rotWithShape="0">
          <a:gsLst>
            <a:gs pos="0">
              <a:srgbClr val="F99F27"/>
            </a:gs>
            <a:gs pos="100000">
              <a:srgbClr val="9C3B0B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1">
            <a:defRPr sz="1000"/>
          </a:pPr>
          <a:r>
            <a:rPr lang="hu-HU" sz="14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C</a:t>
          </a:r>
        </a:p>
      </xdr:txBody>
    </xdr:sp>
    <xdr:clientData/>
  </xdr:oneCellAnchor>
  <xdr:oneCellAnchor>
    <xdr:from>
      <xdr:col>2</xdr:col>
      <xdr:colOff>9525</xdr:colOff>
      <xdr:row>431</xdr:row>
      <xdr:rowOff>19050</xdr:rowOff>
    </xdr:from>
    <xdr:ext cx="457200" cy="295275"/>
    <xdr:sp macro="" textlink="">
      <xdr:nvSpPr>
        <xdr:cNvPr id="265" name="Text Box 924">
          <a:extLst>
            <a:ext uri="{FF2B5EF4-FFF2-40B4-BE49-F238E27FC236}">
              <a16:creationId xmlns:a16="http://schemas.microsoft.com/office/drawing/2014/main" xmlns="" id="{00000000-0008-0000-0700-000009010000}"/>
            </a:ext>
          </a:extLst>
        </xdr:cNvPr>
        <xdr:cNvSpPr txBox="1">
          <a:spLocks noChangeArrowheads="1"/>
        </xdr:cNvSpPr>
      </xdr:nvSpPr>
      <xdr:spPr bwMode="auto">
        <a:xfrm>
          <a:off x="295275" y="52587525"/>
          <a:ext cx="457200" cy="295275"/>
        </a:xfrm>
        <a:prstGeom prst="rect">
          <a:avLst/>
        </a:prstGeom>
        <a:gradFill rotWithShape="0">
          <a:gsLst>
            <a:gs pos="0">
              <a:srgbClr val="F99F27"/>
            </a:gs>
            <a:gs pos="100000">
              <a:srgbClr val="9C3B0B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1">
            <a:defRPr sz="1000"/>
          </a:pPr>
          <a:r>
            <a:rPr lang="hu-HU" sz="14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C</a:t>
          </a:r>
        </a:p>
      </xdr:txBody>
    </xdr:sp>
    <xdr:clientData/>
  </xdr:oneCellAnchor>
  <xdr:oneCellAnchor>
    <xdr:from>
      <xdr:col>2</xdr:col>
      <xdr:colOff>9525</xdr:colOff>
      <xdr:row>471</xdr:row>
      <xdr:rowOff>19050</xdr:rowOff>
    </xdr:from>
    <xdr:ext cx="457200" cy="295275"/>
    <xdr:sp macro="" textlink="">
      <xdr:nvSpPr>
        <xdr:cNvPr id="267" name="Text Box 924">
          <a:extLst>
            <a:ext uri="{FF2B5EF4-FFF2-40B4-BE49-F238E27FC236}">
              <a16:creationId xmlns:a16="http://schemas.microsoft.com/office/drawing/2014/main" xmlns="" id="{00000000-0008-0000-0700-00000B010000}"/>
            </a:ext>
          </a:extLst>
        </xdr:cNvPr>
        <xdr:cNvSpPr txBox="1">
          <a:spLocks noChangeArrowheads="1"/>
        </xdr:cNvSpPr>
      </xdr:nvSpPr>
      <xdr:spPr bwMode="auto">
        <a:xfrm>
          <a:off x="295275" y="57416700"/>
          <a:ext cx="457200" cy="295275"/>
        </a:xfrm>
        <a:prstGeom prst="rect">
          <a:avLst/>
        </a:prstGeom>
        <a:gradFill rotWithShape="0">
          <a:gsLst>
            <a:gs pos="0">
              <a:srgbClr val="F99F27"/>
            </a:gs>
            <a:gs pos="100000">
              <a:srgbClr val="9C3B0B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1">
            <a:defRPr sz="1000"/>
          </a:pPr>
          <a:r>
            <a:rPr lang="hu-HU" sz="14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C</a:t>
          </a:r>
        </a:p>
      </xdr:txBody>
    </xdr:sp>
    <xdr:clientData/>
  </xdr:oneCellAnchor>
  <xdr:oneCellAnchor>
    <xdr:from>
      <xdr:col>2</xdr:col>
      <xdr:colOff>9525</xdr:colOff>
      <xdr:row>511</xdr:row>
      <xdr:rowOff>19050</xdr:rowOff>
    </xdr:from>
    <xdr:ext cx="457200" cy="295275"/>
    <xdr:sp macro="" textlink="">
      <xdr:nvSpPr>
        <xdr:cNvPr id="269" name="Text Box 924">
          <a:extLst>
            <a:ext uri="{FF2B5EF4-FFF2-40B4-BE49-F238E27FC236}">
              <a16:creationId xmlns:a16="http://schemas.microsoft.com/office/drawing/2014/main" xmlns="" id="{00000000-0008-0000-0700-00000D010000}"/>
            </a:ext>
          </a:extLst>
        </xdr:cNvPr>
        <xdr:cNvSpPr txBox="1">
          <a:spLocks noChangeArrowheads="1"/>
        </xdr:cNvSpPr>
      </xdr:nvSpPr>
      <xdr:spPr bwMode="auto">
        <a:xfrm>
          <a:off x="295275" y="62245875"/>
          <a:ext cx="457200" cy="295275"/>
        </a:xfrm>
        <a:prstGeom prst="rect">
          <a:avLst/>
        </a:prstGeom>
        <a:gradFill rotWithShape="0">
          <a:gsLst>
            <a:gs pos="0">
              <a:srgbClr val="ADCE35"/>
            </a:gs>
            <a:gs pos="100000">
              <a:srgbClr val="005000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1">
            <a:defRPr sz="1000"/>
          </a:pPr>
          <a:r>
            <a:rPr lang="hu-HU" sz="14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D</a:t>
          </a:r>
        </a:p>
      </xdr:txBody>
    </xdr:sp>
    <xdr:clientData/>
  </xdr:oneCellAnchor>
  <xdr:oneCellAnchor>
    <xdr:from>
      <xdr:col>2</xdr:col>
      <xdr:colOff>9525</xdr:colOff>
      <xdr:row>551</xdr:row>
      <xdr:rowOff>19050</xdr:rowOff>
    </xdr:from>
    <xdr:ext cx="457200" cy="295275"/>
    <xdr:sp macro="" textlink="">
      <xdr:nvSpPr>
        <xdr:cNvPr id="271" name="Text Box 924">
          <a:extLst>
            <a:ext uri="{FF2B5EF4-FFF2-40B4-BE49-F238E27FC236}">
              <a16:creationId xmlns:a16="http://schemas.microsoft.com/office/drawing/2014/main" xmlns="" id="{00000000-0008-0000-0700-00000F010000}"/>
            </a:ext>
          </a:extLst>
        </xdr:cNvPr>
        <xdr:cNvSpPr txBox="1">
          <a:spLocks noChangeArrowheads="1"/>
        </xdr:cNvSpPr>
      </xdr:nvSpPr>
      <xdr:spPr bwMode="auto">
        <a:xfrm>
          <a:off x="295275" y="67075050"/>
          <a:ext cx="457200" cy="295275"/>
        </a:xfrm>
        <a:prstGeom prst="rect">
          <a:avLst/>
        </a:prstGeom>
        <a:gradFill rotWithShape="0">
          <a:gsLst>
            <a:gs pos="0">
              <a:srgbClr val="ADCE35"/>
            </a:gs>
            <a:gs pos="100000">
              <a:srgbClr val="005000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1">
            <a:defRPr sz="1000"/>
          </a:pPr>
          <a:r>
            <a:rPr lang="hu-HU" sz="14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D</a:t>
          </a:r>
        </a:p>
      </xdr:txBody>
    </xdr:sp>
    <xdr:clientData/>
  </xdr:oneCellAnchor>
  <xdr:oneCellAnchor>
    <xdr:from>
      <xdr:col>2</xdr:col>
      <xdr:colOff>9525</xdr:colOff>
      <xdr:row>591</xdr:row>
      <xdr:rowOff>19050</xdr:rowOff>
    </xdr:from>
    <xdr:ext cx="457200" cy="295275"/>
    <xdr:sp macro="" textlink="">
      <xdr:nvSpPr>
        <xdr:cNvPr id="273" name="Text Box 924">
          <a:extLst>
            <a:ext uri="{FF2B5EF4-FFF2-40B4-BE49-F238E27FC236}">
              <a16:creationId xmlns:a16="http://schemas.microsoft.com/office/drawing/2014/main" xmlns="" id="{00000000-0008-0000-0700-000011010000}"/>
            </a:ext>
          </a:extLst>
        </xdr:cNvPr>
        <xdr:cNvSpPr txBox="1">
          <a:spLocks noChangeArrowheads="1"/>
        </xdr:cNvSpPr>
      </xdr:nvSpPr>
      <xdr:spPr bwMode="auto">
        <a:xfrm>
          <a:off x="295275" y="71904225"/>
          <a:ext cx="457200" cy="295275"/>
        </a:xfrm>
        <a:prstGeom prst="rect">
          <a:avLst/>
        </a:prstGeom>
        <a:gradFill rotWithShape="0">
          <a:gsLst>
            <a:gs pos="0">
              <a:srgbClr val="ADCE35"/>
            </a:gs>
            <a:gs pos="100000">
              <a:srgbClr val="005000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1">
            <a:defRPr sz="1000"/>
          </a:pPr>
          <a:r>
            <a:rPr lang="hu-HU" sz="14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D</a:t>
          </a:r>
        </a:p>
      </xdr:txBody>
    </xdr:sp>
    <xdr:clientData/>
  </xdr:oneCellAnchor>
  <xdr:oneCellAnchor>
    <xdr:from>
      <xdr:col>2</xdr:col>
      <xdr:colOff>9525</xdr:colOff>
      <xdr:row>631</xdr:row>
      <xdr:rowOff>19050</xdr:rowOff>
    </xdr:from>
    <xdr:ext cx="457200" cy="295275"/>
    <xdr:sp macro="" textlink="">
      <xdr:nvSpPr>
        <xdr:cNvPr id="275" name="Text Box 924">
          <a:extLst>
            <a:ext uri="{FF2B5EF4-FFF2-40B4-BE49-F238E27FC236}">
              <a16:creationId xmlns:a16="http://schemas.microsoft.com/office/drawing/2014/main" xmlns="" id="{00000000-0008-0000-0700-000013010000}"/>
            </a:ext>
          </a:extLst>
        </xdr:cNvPr>
        <xdr:cNvSpPr txBox="1">
          <a:spLocks noChangeArrowheads="1"/>
        </xdr:cNvSpPr>
      </xdr:nvSpPr>
      <xdr:spPr bwMode="auto">
        <a:xfrm>
          <a:off x="295275" y="76733400"/>
          <a:ext cx="457200" cy="295275"/>
        </a:xfrm>
        <a:prstGeom prst="rect">
          <a:avLst/>
        </a:prstGeom>
        <a:gradFill rotWithShape="0">
          <a:gsLst>
            <a:gs pos="0">
              <a:srgbClr val="ADCE35"/>
            </a:gs>
            <a:gs pos="100000">
              <a:srgbClr val="005000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1">
            <a:defRPr sz="1000"/>
          </a:pPr>
          <a:r>
            <a:rPr lang="hu-HU" sz="14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D</a:t>
          </a:r>
        </a:p>
      </xdr:txBody>
    </xdr:sp>
    <xdr:clientData/>
  </xdr:oneCellAnchor>
  <xdr:oneCellAnchor>
    <xdr:from>
      <xdr:col>2</xdr:col>
      <xdr:colOff>9525</xdr:colOff>
      <xdr:row>671</xdr:row>
      <xdr:rowOff>19050</xdr:rowOff>
    </xdr:from>
    <xdr:ext cx="457200" cy="295275"/>
    <xdr:sp macro="" textlink="">
      <xdr:nvSpPr>
        <xdr:cNvPr id="277" name="Text Box 924">
          <a:extLst>
            <a:ext uri="{FF2B5EF4-FFF2-40B4-BE49-F238E27FC236}">
              <a16:creationId xmlns:a16="http://schemas.microsoft.com/office/drawing/2014/main" xmlns="" id="{00000000-0008-0000-0700-000015010000}"/>
            </a:ext>
          </a:extLst>
        </xdr:cNvPr>
        <xdr:cNvSpPr txBox="1">
          <a:spLocks noChangeArrowheads="1"/>
        </xdr:cNvSpPr>
      </xdr:nvSpPr>
      <xdr:spPr bwMode="auto">
        <a:xfrm>
          <a:off x="295275" y="81562575"/>
          <a:ext cx="457200" cy="295275"/>
        </a:xfrm>
        <a:prstGeom prst="rect">
          <a:avLst/>
        </a:prstGeom>
        <a:gradFill rotWithShape="0">
          <a:gsLst>
            <a:gs pos="0">
              <a:srgbClr val="EE2959"/>
            </a:gs>
            <a:gs pos="100000">
              <a:srgbClr val="8C081D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0">
            <a:defRPr sz="1000"/>
          </a:pPr>
          <a:r>
            <a:rPr lang="hu-HU" sz="14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E</a:t>
          </a:r>
        </a:p>
      </xdr:txBody>
    </xdr:sp>
    <xdr:clientData/>
  </xdr:oneCellAnchor>
  <xdr:oneCellAnchor>
    <xdr:from>
      <xdr:col>2</xdr:col>
      <xdr:colOff>9525</xdr:colOff>
      <xdr:row>711</xdr:row>
      <xdr:rowOff>19050</xdr:rowOff>
    </xdr:from>
    <xdr:ext cx="457200" cy="295275"/>
    <xdr:sp macro="" textlink="">
      <xdr:nvSpPr>
        <xdr:cNvPr id="279" name="Text Box 924">
          <a:extLst>
            <a:ext uri="{FF2B5EF4-FFF2-40B4-BE49-F238E27FC236}">
              <a16:creationId xmlns:a16="http://schemas.microsoft.com/office/drawing/2014/main" xmlns="" id="{00000000-0008-0000-0700-000017010000}"/>
            </a:ext>
          </a:extLst>
        </xdr:cNvPr>
        <xdr:cNvSpPr txBox="1">
          <a:spLocks noChangeArrowheads="1"/>
        </xdr:cNvSpPr>
      </xdr:nvSpPr>
      <xdr:spPr bwMode="auto">
        <a:xfrm>
          <a:off x="295275" y="86391750"/>
          <a:ext cx="457200" cy="295275"/>
        </a:xfrm>
        <a:prstGeom prst="rect">
          <a:avLst/>
        </a:prstGeom>
        <a:gradFill rotWithShape="0">
          <a:gsLst>
            <a:gs pos="0">
              <a:srgbClr val="EE2959"/>
            </a:gs>
            <a:gs pos="100000">
              <a:srgbClr val="8C081D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1">
            <a:defRPr sz="1000"/>
          </a:pPr>
          <a:r>
            <a:rPr lang="hu-HU" sz="14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E</a:t>
          </a:r>
        </a:p>
      </xdr:txBody>
    </xdr:sp>
    <xdr:clientData/>
  </xdr:oneCellAnchor>
  <xdr:oneCellAnchor>
    <xdr:from>
      <xdr:col>2</xdr:col>
      <xdr:colOff>9525</xdr:colOff>
      <xdr:row>751</xdr:row>
      <xdr:rowOff>19050</xdr:rowOff>
    </xdr:from>
    <xdr:ext cx="457200" cy="295275"/>
    <xdr:sp macro="" textlink="">
      <xdr:nvSpPr>
        <xdr:cNvPr id="281" name="Text Box 924">
          <a:extLst>
            <a:ext uri="{FF2B5EF4-FFF2-40B4-BE49-F238E27FC236}">
              <a16:creationId xmlns:a16="http://schemas.microsoft.com/office/drawing/2014/main" xmlns="" id="{00000000-0008-0000-0700-000019010000}"/>
            </a:ext>
          </a:extLst>
        </xdr:cNvPr>
        <xdr:cNvSpPr txBox="1">
          <a:spLocks noChangeArrowheads="1"/>
        </xdr:cNvSpPr>
      </xdr:nvSpPr>
      <xdr:spPr bwMode="auto">
        <a:xfrm>
          <a:off x="295275" y="91220925"/>
          <a:ext cx="457200" cy="295275"/>
        </a:xfrm>
        <a:prstGeom prst="rect">
          <a:avLst/>
        </a:prstGeom>
        <a:gradFill rotWithShape="0">
          <a:gsLst>
            <a:gs pos="0">
              <a:srgbClr val="EE2959"/>
            </a:gs>
            <a:gs pos="100000">
              <a:srgbClr val="8C081D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1">
            <a:defRPr sz="1000"/>
          </a:pPr>
          <a:r>
            <a:rPr lang="hu-HU" sz="14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E</a:t>
          </a:r>
        </a:p>
      </xdr:txBody>
    </xdr:sp>
    <xdr:clientData/>
  </xdr:oneCellAnchor>
  <xdr:oneCellAnchor>
    <xdr:from>
      <xdr:col>2</xdr:col>
      <xdr:colOff>9525</xdr:colOff>
      <xdr:row>791</xdr:row>
      <xdr:rowOff>19050</xdr:rowOff>
    </xdr:from>
    <xdr:ext cx="457200" cy="295275"/>
    <xdr:sp macro="" textlink="">
      <xdr:nvSpPr>
        <xdr:cNvPr id="283" name="Text Box 924">
          <a:extLst>
            <a:ext uri="{FF2B5EF4-FFF2-40B4-BE49-F238E27FC236}">
              <a16:creationId xmlns:a16="http://schemas.microsoft.com/office/drawing/2014/main" xmlns="" id="{00000000-0008-0000-0700-00001B010000}"/>
            </a:ext>
          </a:extLst>
        </xdr:cNvPr>
        <xdr:cNvSpPr txBox="1">
          <a:spLocks noChangeArrowheads="1"/>
        </xdr:cNvSpPr>
      </xdr:nvSpPr>
      <xdr:spPr bwMode="auto">
        <a:xfrm>
          <a:off x="295275" y="96050100"/>
          <a:ext cx="457200" cy="295275"/>
        </a:xfrm>
        <a:prstGeom prst="rect">
          <a:avLst/>
        </a:prstGeom>
        <a:gradFill rotWithShape="0">
          <a:gsLst>
            <a:gs pos="0">
              <a:srgbClr val="EE2959"/>
            </a:gs>
            <a:gs pos="100000">
              <a:srgbClr val="8C081D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1">
            <a:defRPr sz="1000"/>
          </a:pPr>
          <a:r>
            <a:rPr lang="hu-HU" sz="14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E</a:t>
          </a:r>
        </a:p>
      </xdr:txBody>
    </xdr:sp>
    <xdr:clientData/>
  </xdr:oneCellAnchor>
  <xdr:oneCellAnchor>
    <xdr:from>
      <xdr:col>2</xdr:col>
      <xdr:colOff>9525</xdr:colOff>
      <xdr:row>831</xdr:row>
      <xdr:rowOff>19050</xdr:rowOff>
    </xdr:from>
    <xdr:ext cx="457200" cy="295275"/>
    <xdr:sp macro="" textlink="">
      <xdr:nvSpPr>
        <xdr:cNvPr id="285" name="Text Box 924">
          <a:extLst>
            <a:ext uri="{FF2B5EF4-FFF2-40B4-BE49-F238E27FC236}">
              <a16:creationId xmlns:a16="http://schemas.microsoft.com/office/drawing/2014/main" xmlns="" id="{00000000-0008-0000-0700-00001D010000}"/>
            </a:ext>
          </a:extLst>
        </xdr:cNvPr>
        <xdr:cNvSpPr txBox="1">
          <a:spLocks noChangeArrowheads="1"/>
        </xdr:cNvSpPr>
      </xdr:nvSpPr>
      <xdr:spPr bwMode="auto">
        <a:xfrm>
          <a:off x="295275" y="100879275"/>
          <a:ext cx="457200" cy="295275"/>
        </a:xfrm>
        <a:prstGeom prst="rect">
          <a:avLst/>
        </a:prstGeom>
        <a:gradFill rotWithShape="0">
          <a:gsLst>
            <a:gs pos="0">
              <a:srgbClr val="8C126F"/>
            </a:gs>
            <a:gs pos="100000">
              <a:srgbClr val="3A082E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0">
            <a:defRPr sz="1000"/>
          </a:pPr>
          <a:r>
            <a:rPr lang="hu-HU" sz="14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F</a:t>
          </a:r>
        </a:p>
      </xdr:txBody>
    </xdr:sp>
    <xdr:clientData/>
  </xdr:oneCellAnchor>
  <xdr:oneCellAnchor>
    <xdr:from>
      <xdr:col>2</xdr:col>
      <xdr:colOff>9525</xdr:colOff>
      <xdr:row>871</xdr:row>
      <xdr:rowOff>19050</xdr:rowOff>
    </xdr:from>
    <xdr:ext cx="457200" cy="295275"/>
    <xdr:sp macro="" textlink="">
      <xdr:nvSpPr>
        <xdr:cNvPr id="287" name="Text Box 924">
          <a:extLst>
            <a:ext uri="{FF2B5EF4-FFF2-40B4-BE49-F238E27FC236}">
              <a16:creationId xmlns:a16="http://schemas.microsoft.com/office/drawing/2014/main" xmlns="" id="{00000000-0008-0000-0700-00001F010000}"/>
            </a:ext>
          </a:extLst>
        </xdr:cNvPr>
        <xdr:cNvSpPr txBox="1">
          <a:spLocks noChangeArrowheads="1"/>
        </xdr:cNvSpPr>
      </xdr:nvSpPr>
      <xdr:spPr bwMode="auto">
        <a:xfrm>
          <a:off x="295275" y="105708450"/>
          <a:ext cx="457200" cy="295275"/>
        </a:xfrm>
        <a:prstGeom prst="rect">
          <a:avLst/>
        </a:prstGeom>
        <a:gradFill rotWithShape="0">
          <a:gsLst>
            <a:gs pos="0">
              <a:srgbClr val="8C126F"/>
            </a:gs>
            <a:gs pos="100000">
              <a:srgbClr val="3A082E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1">
            <a:defRPr sz="1000"/>
          </a:pPr>
          <a:r>
            <a:rPr lang="hu-HU" sz="14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F</a:t>
          </a:r>
        </a:p>
      </xdr:txBody>
    </xdr:sp>
    <xdr:clientData/>
  </xdr:oneCellAnchor>
  <xdr:oneCellAnchor>
    <xdr:from>
      <xdr:col>2</xdr:col>
      <xdr:colOff>9525</xdr:colOff>
      <xdr:row>911</xdr:row>
      <xdr:rowOff>19050</xdr:rowOff>
    </xdr:from>
    <xdr:ext cx="457200" cy="295275"/>
    <xdr:sp macro="" textlink="">
      <xdr:nvSpPr>
        <xdr:cNvPr id="289" name="Text Box 924">
          <a:extLst>
            <a:ext uri="{FF2B5EF4-FFF2-40B4-BE49-F238E27FC236}">
              <a16:creationId xmlns:a16="http://schemas.microsoft.com/office/drawing/2014/main" xmlns="" id="{00000000-0008-0000-0700-000021010000}"/>
            </a:ext>
          </a:extLst>
        </xdr:cNvPr>
        <xdr:cNvSpPr txBox="1">
          <a:spLocks noChangeArrowheads="1"/>
        </xdr:cNvSpPr>
      </xdr:nvSpPr>
      <xdr:spPr bwMode="auto">
        <a:xfrm>
          <a:off x="295275" y="110537625"/>
          <a:ext cx="457200" cy="295275"/>
        </a:xfrm>
        <a:prstGeom prst="rect">
          <a:avLst/>
        </a:prstGeom>
        <a:gradFill rotWithShape="0">
          <a:gsLst>
            <a:gs pos="0">
              <a:srgbClr val="8C126F"/>
            </a:gs>
            <a:gs pos="100000">
              <a:srgbClr val="3A082E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1">
            <a:defRPr sz="1000"/>
          </a:pPr>
          <a:r>
            <a:rPr lang="hu-HU" sz="14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F</a:t>
          </a:r>
        </a:p>
      </xdr:txBody>
    </xdr:sp>
    <xdr:clientData/>
  </xdr:oneCellAnchor>
  <xdr:oneCellAnchor>
    <xdr:from>
      <xdr:col>2</xdr:col>
      <xdr:colOff>9525</xdr:colOff>
      <xdr:row>951</xdr:row>
      <xdr:rowOff>19050</xdr:rowOff>
    </xdr:from>
    <xdr:ext cx="457200" cy="295275"/>
    <xdr:sp macro="" textlink="">
      <xdr:nvSpPr>
        <xdr:cNvPr id="291" name="Text Box 924">
          <a:extLst>
            <a:ext uri="{FF2B5EF4-FFF2-40B4-BE49-F238E27FC236}">
              <a16:creationId xmlns:a16="http://schemas.microsoft.com/office/drawing/2014/main" xmlns="" id="{00000000-0008-0000-0700-000023010000}"/>
            </a:ext>
          </a:extLst>
        </xdr:cNvPr>
        <xdr:cNvSpPr txBox="1">
          <a:spLocks noChangeArrowheads="1"/>
        </xdr:cNvSpPr>
      </xdr:nvSpPr>
      <xdr:spPr bwMode="auto">
        <a:xfrm>
          <a:off x="295275" y="115366800"/>
          <a:ext cx="457200" cy="295275"/>
        </a:xfrm>
        <a:prstGeom prst="rect">
          <a:avLst/>
        </a:prstGeom>
        <a:gradFill rotWithShape="0">
          <a:gsLst>
            <a:gs pos="0">
              <a:srgbClr val="8C126F"/>
            </a:gs>
            <a:gs pos="100000">
              <a:srgbClr val="3A082E"/>
            </a:gs>
          </a:gsLst>
          <a:lin ang="5400000" scaled="1"/>
        </a:gradFill>
        <a:ln w="0" algn="ctr">
          <a:solidFill>
            <a:srgbClr val="D3D3D3"/>
          </a:solidFill>
          <a:miter lim="800000"/>
          <a:headEnd/>
          <a:tailEnd/>
        </a:ln>
        <a:effectLst>
          <a:outerShdw dist="35921" dir="2700000" algn="ctr" rotWithShape="0">
            <a:srgbClr val="333333">
              <a:alpha val="50000"/>
            </a:srgbClr>
          </a:outerShdw>
        </a:effectLst>
      </xdr:spPr>
      <xdr:txBody>
        <a:bodyPr vertOverflow="clip" wrap="square" lIns="0" tIns="0" rIns="0" bIns="0" anchor="ctr" upright="1"/>
        <a:lstStyle/>
        <a:p>
          <a:pPr marL="0" indent="0" algn="ctr" rtl="1">
            <a:defRPr sz="1000"/>
          </a:pPr>
          <a:r>
            <a:rPr lang="hu-HU" sz="1400" b="1" i="0" u="none" strike="noStrike" baseline="0">
              <a:solidFill>
                <a:srgbClr val="FFFFFF"/>
              </a:solidFill>
              <a:latin typeface="Arial Unicode MS"/>
              <a:ea typeface="+mn-ea"/>
              <a:cs typeface="+mn-cs"/>
            </a:rPr>
            <a:t>F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104775</xdr:colOff>
      <xdr:row>416</xdr:row>
      <xdr:rowOff>3791</xdr:rowOff>
    </xdr:from>
    <xdr:to>
      <xdr:col>21</xdr:col>
      <xdr:colOff>219075</xdr:colOff>
      <xdr:row>428</xdr:row>
      <xdr:rowOff>19031</xdr:rowOff>
    </xdr:to>
    <xdr:pic>
      <xdr:nvPicPr>
        <xdr:cNvPr id="9299" name="Kép 9298">
          <a:extLst>
            <a:ext uri="{FF2B5EF4-FFF2-40B4-BE49-F238E27FC236}">
              <a16:creationId xmlns:a16="http://schemas.microsoft.com/office/drawing/2014/main" xmlns="" id="{00000000-0008-0000-0800-000053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9300" y="63230741"/>
          <a:ext cx="6019800" cy="199644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419</xdr:row>
      <xdr:rowOff>57151</xdr:rowOff>
    </xdr:from>
    <xdr:to>
      <xdr:col>6</xdr:col>
      <xdr:colOff>990600</xdr:colOff>
      <xdr:row>428</xdr:row>
      <xdr:rowOff>1906</xdr:rowOff>
    </xdr:to>
    <xdr:pic>
      <xdr:nvPicPr>
        <xdr:cNvPr id="9297" name="Kép 9296">
          <a:extLst>
            <a:ext uri="{FF2B5EF4-FFF2-40B4-BE49-F238E27FC236}">
              <a16:creationId xmlns:a16="http://schemas.microsoft.com/office/drawing/2014/main" xmlns="" id="{00000000-0008-0000-0800-000051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7175" y="63807976"/>
          <a:ext cx="3086100" cy="1402080"/>
        </a:xfrm>
        <a:prstGeom prst="rect">
          <a:avLst/>
        </a:prstGeom>
      </xdr:spPr>
    </xdr:pic>
    <xdr:clientData/>
  </xdr:twoCellAnchor>
  <xdr:twoCellAnchor editAs="oneCell">
    <xdr:from>
      <xdr:col>15</xdr:col>
      <xdr:colOff>600075</xdr:colOff>
      <xdr:row>569</xdr:row>
      <xdr:rowOff>66675</xdr:rowOff>
    </xdr:from>
    <xdr:to>
      <xdr:col>21</xdr:col>
      <xdr:colOff>238125</xdr:colOff>
      <xdr:row>578</xdr:row>
      <xdr:rowOff>0</xdr:rowOff>
    </xdr:to>
    <xdr:pic>
      <xdr:nvPicPr>
        <xdr:cNvPr id="9217" name="Picture 3877">
          <a:extLst>
            <a:ext uri="{FF2B5EF4-FFF2-40B4-BE49-F238E27FC236}">
              <a16:creationId xmlns:a16="http://schemas.microsoft.com/office/drawing/2014/main" xmlns="" id="{00000000-0008-0000-0800-00000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8275" y="86620350"/>
          <a:ext cx="2809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390525</xdr:colOff>
      <xdr:row>569</xdr:row>
      <xdr:rowOff>66675</xdr:rowOff>
    </xdr:from>
    <xdr:to>
      <xdr:col>15</xdr:col>
      <xdr:colOff>466725</xdr:colOff>
      <xdr:row>578</xdr:row>
      <xdr:rowOff>0</xdr:rowOff>
    </xdr:to>
    <xdr:pic>
      <xdr:nvPicPr>
        <xdr:cNvPr id="9218" name="Picture 3879">
          <a:extLst>
            <a:ext uri="{FF2B5EF4-FFF2-40B4-BE49-F238E27FC236}">
              <a16:creationId xmlns:a16="http://schemas.microsoft.com/office/drawing/2014/main" xmlns="" id="{00000000-0008-0000-0800-000002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86620350"/>
          <a:ext cx="2809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828675</xdr:colOff>
      <xdr:row>569</xdr:row>
      <xdr:rowOff>66675</xdr:rowOff>
    </xdr:from>
    <xdr:to>
      <xdr:col>10</xdr:col>
      <xdr:colOff>266700</xdr:colOff>
      <xdr:row>578</xdr:row>
      <xdr:rowOff>0</xdr:rowOff>
    </xdr:to>
    <xdr:pic>
      <xdr:nvPicPr>
        <xdr:cNvPr id="9219" name="Picture 3880">
          <a:extLst>
            <a:ext uri="{FF2B5EF4-FFF2-40B4-BE49-F238E27FC236}">
              <a16:creationId xmlns:a16="http://schemas.microsoft.com/office/drawing/2014/main" xmlns="" id="{00000000-0008-0000-0800-00000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1350" y="86620350"/>
          <a:ext cx="2809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569</xdr:row>
      <xdr:rowOff>66675</xdr:rowOff>
    </xdr:from>
    <xdr:to>
      <xdr:col>6</xdr:col>
      <xdr:colOff>704850</xdr:colOff>
      <xdr:row>578</xdr:row>
      <xdr:rowOff>0</xdr:rowOff>
    </xdr:to>
    <xdr:pic>
      <xdr:nvPicPr>
        <xdr:cNvPr id="9220" name="Picture 3881">
          <a:extLst>
            <a:ext uri="{FF2B5EF4-FFF2-40B4-BE49-F238E27FC236}">
              <a16:creationId xmlns:a16="http://schemas.microsoft.com/office/drawing/2014/main" xmlns="" id="{00000000-0008-0000-0800-000004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86620350"/>
          <a:ext cx="2809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600075</xdr:colOff>
      <xdr:row>562</xdr:row>
      <xdr:rowOff>152400</xdr:rowOff>
    </xdr:from>
    <xdr:to>
      <xdr:col>21</xdr:col>
      <xdr:colOff>238125</xdr:colOff>
      <xdr:row>568</xdr:row>
      <xdr:rowOff>95250</xdr:rowOff>
    </xdr:to>
    <xdr:pic>
      <xdr:nvPicPr>
        <xdr:cNvPr id="9221" name="Picture 3878">
          <a:extLst>
            <a:ext uri="{FF2B5EF4-FFF2-40B4-BE49-F238E27FC236}">
              <a16:creationId xmlns:a16="http://schemas.microsoft.com/office/drawing/2014/main" xmlns="" id="{00000000-0008-0000-0800-00000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088"/>
        <a:stretch>
          <a:fillRect/>
        </a:stretch>
      </xdr:blipFill>
      <xdr:spPr bwMode="auto">
        <a:xfrm>
          <a:off x="9058275" y="85458300"/>
          <a:ext cx="280987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600075</xdr:colOff>
      <xdr:row>555</xdr:row>
      <xdr:rowOff>28575</xdr:rowOff>
    </xdr:from>
    <xdr:to>
      <xdr:col>21</xdr:col>
      <xdr:colOff>238125</xdr:colOff>
      <xdr:row>562</xdr:row>
      <xdr:rowOff>19050</xdr:rowOff>
    </xdr:to>
    <xdr:pic>
      <xdr:nvPicPr>
        <xdr:cNvPr id="9222" name="Picture 3882">
          <a:extLst>
            <a:ext uri="{FF2B5EF4-FFF2-40B4-BE49-F238E27FC236}">
              <a16:creationId xmlns:a16="http://schemas.microsoft.com/office/drawing/2014/main" xmlns="" id="{00000000-0008-0000-0800-00000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92" b="16931"/>
        <a:stretch>
          <a:fillRect/>
        </a:stretch>
      </xdr:blipFill>
      <xdr:spPr bwMode="auto">
        <a:xfrm>
          <a:off x="9058275" y="84248625"/>
          <a:ext cx="28098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828675</xdr:colOff>
      <xdr:row>519</xdr:row>
      <xdr:rowOff>66675</xdr:rowOff>
    </xdr:from>
    <xdr:to>
      <xdr:col>10</xdr:col>
      <xdr:colOff>266700</xdr:colOff>
      <xdr:row>528</xdr:row>
      <xdr:rowOff>0</xdr:rowOff>
    </xdr:to>
    <xdr:pic>
      <xdr:nvPicPr>
        <xdr:cNvPr id="9223" name="Picture 3967">
          <a:extLst>
            <a:ext uri="{FF2B5EF4-FFF2-40B4-BE49-F238E27FC236}">
              <a16:creationId xmlns:a16="http://schemas.microsoft.com/office/drawing/2014/main" xmlns="" id="{00000000-0008-0000-0800-000007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1350" y="79019400"/>
          <a:ext cx="2809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600075</xdr:colOff>
      <xdr:row>519</xdr:row>
      <xdr:rowOff>66675</xdr:rowOff>
    </xdr:from>
    <xdr:to>
      <xdr:col>21</xdr:col>
      <xdr:colOff>238125</xdr:colOff>
      <xdr:row>528</xdr:row>
      <xdr:rowOff>0</xdr:rowOff>
    </xdr:to>
    <xdr:pic>
      <xdr:nvPicPr>
        <xdr:cNvPr id="9224" name="Picture 3969">
          <a:extLst>
            <a:ext uri="{FF2B5EF4-FFF2-40B4-BE49-F238E27FC236}">
              <a16:creationId xmlns:a16="http://schemas.microsoft.com/office/drawing/2014/main" xmlns="" id="{00000000-0008-0000-0800-000008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8275" y="79019400"/>
          <a:ext cx="2809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519</xdr:row>
      <xdr:rowOff>66675</xdr:rowOff>
    </xdr:from>
    <xdr:to>
      <xdr:col>6</xdr:col>
      <xdr:colOff>704850</xdr:colOff>
      <xdr:row>528</xdr:row>
      <xdr:rowOff>0</xdr:rowOff>
    </xdr:to>
    <xdr:pic>
      <xdr:nvPicPr>
        <xdr:cNvPr id="9225" name="Picture 3970">
          <a:extLst>
            <a:ext uri="{FF2B5EF4-FFF2-40B4-BE49-F238E27FC236}">
              <a16:creationId xmlns:a16="http://schemas.microsoft.com/office/drawing/2014/main" xmlns="" id="{00000000-0008-0000-0800-000009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79019400"/>
          <a:ext cx="2809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390525</xdr:colOff>
      <xdr:row>519</xdr:row>
      <xdr:rowOff>66675</xdr:rowOff>
    </xdr:from>
    <xdr:to>
      <xdr:col>15</xdr:col>
      <xdr:colOff>466725</xdr:colOff>
      <xdr:row>528</xdr:row>
      <xdr:rowOff>0</xdr:rowOff>
    </xdr:to>
    <xdr:pic>
      <xdr:nvPicPr>
        <xdr:cNvPr id="9226" name="Picture 3971">
          <a:extLst>
            <a:ext uri="{FF2B5EF4-FFF2-40B4-BE49-F238E27FC236}">
              <a16:creationId xmlns:a16="http://schemas.microsoft.com/office/drawing/2014/main" xmlns="" id="{00000000-0008-0000-0800-00000A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79019400"/>
          <a:ext cx="2809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600075</xdr:colOff>
      <xdr:row>512</xdr:row>
      <xdr:rowOff>152400</xdr:rowOff>
    </xdr:from>
    <xdr:to>
      <xdr:col>21</xdr:col>
      <xdr:colOff>238125</xdr:colOff>
      <xdr:row>518</xdr:row>
      <xdr:rowOff>85725</xdr:rowOff>
    </xdr:to>
    <xdr:pic>
      <xdr:nvPicPr>
        <xdr:cNvPr id="9227" name="Picture 3968">
          <a:extLst>
            <a:ext uri="{FF2B5EF4-FFF2-40B4-BE49-F238E27FC236}">
              <a16:creationId xmlns:a16="http://schemas.microsoft.com/office/drawing/2014/main" xmlns="" id="{00000000-0008-0000-0800-00000B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543"/>
        <a:stretch>
          <a:fillRect/>
        </a:stretch>
      </xdr:blipFill>
      <xdr:spPr bwMode="auto">
        <a:xfrm>
          <a:off x="9058275" y="77857350"/>
          <a:ext cx="28098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390525</xdr:colOff>
      <xdr:row>469</xdr:row>
      <xdr:rowOff>66675</xdr:rowOff>
    </xdr:from>
    <xdr:to>
      <xdr:col>15</xdr:col>
      <xdr:colOff>466725</xdr:colOff>
      <xdr:row>478</xdr:row>
      <xdr:rowOff>0</xdr:rowOff>
    </xdr:to>
    <xdr:pic>
      <xdr:nvPicPr>
        <xdr:cNvPr id="9228" name="Picture 3911">
          <a:extLst>
            <a:ext uri="{FF2B5EF4-FFF2-40B4-BE49-F238E27FC236}">
              <a16:creationId xmlns:a16="http://schemas.microsoft.com/office/drawing/2014/main" xmlns="" id="{00000000-0008-0000-0800-00000C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71418450"/>
          <a:ext cx="2809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469</xdr:row>
      <xdr:rowOff>66675</xdr:rowOff>
    </xdr:from>
    <xdr:to>
      <xdr:col>6</xdr:col>
      <xdr:colOff>704850</xdr:colOff>
      <xdr:row>478</xdr:row>
      <xdr:rowOff>0</xdr:rowOff>
    </xdr:to>
    <xdr:pic>
      <xdr:nvPicPr>
        <xdr:cNvPr id="9229" name="Picture 3912">
          <a:extLst>
            <a:ext uri="{FF2B5EF4-FFF2-40B4-BE49-F238E27FC236}">
              <a16:creationId xmlns:a16="http://schemas.microsoft.com/office/drawing/2014/main" xmlns="" id="{00000000-0008-0000-0800-00000D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71418450"/>
          <a:ext cx="2809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600075</xdr:colOff>
      <xdr:row>469</xdr:row>
      <xdr:rowOff>66675</xdr:rowOff>
    </xdr:from>
    <xdr:to>
      <xdr:col>21</xdr:col>
      <xdr:colOff>238125</xdr:colOff>
      <xdr:row>478</xdr:row>
      <xdr:rowOff>0</xdr:rowOff>
    </xdr:to>
    <xdr:pic>
      <xdr:nvPicPr>
        <xdr:cNvPr id="9230" name="Picture 3914">
          <a:extLst>
            <a:ext uri="{FF2B5EF4-FFF2-40B4-BE49-F238E27FC236}">
              <a16:creationId xmlns:a16="http://schemas.microsoft.com/office/drawing/2014/main" xmlns="" id="{00000000-0008-0000-0800-00000E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8275" y="71418450"/>
          <a:ext cx="2809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828675</xdr:colOff>
      <xdr:row>469</xdr:row>
      <xdr:rowOff>66675</xdr:rowOff>
    </xdr:from>
    <xdr:to>
      <xdr:col>10</xdr:col>
      <xdr:colOff>266700</xdr:colOff>
      <xdr:row>478</xdr:row>
      <xdr:rowOff>0</xdr:rowOff>
    </xdr:to>
    <xdr:pic>
      <xdr:nvPicPr>
        <xdr:cNvPr id="9231" name="Picture 3913">
          <a:extLst>
            <a:ext uri="{FF2B5EF4-FFF2-40B4-BE49-F238E27FC236}">
              <a16:creationId xmlns:a16="http://schemas.microsoft.com/office/drawing/2014/main" xmlns="" id="{00000000-0008-0000-0800-00000F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1350" y="71418450"/>
          <a:ext cx="2809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600075</xdr:colOff>
      <xdr:row>462</xdr:row>
      <xdr:rowOff>114300</xdr:rowOff>
    </xdr:from>
    <xdr:to>
      <xdr:col>21</xdr:col>
      <xdr:colOff>238125</xdr:colOff>
      <xdr:row>468</xdr:row>
      <xdr:rowOff>104775</xdr:rowOff>
    </xdr:to>
    <xdr:pic>
      <xdr:nvPicPr>
        <xdr:cNvPr id="9232" name="Picture 3915">
          <a:extLst>
            <a:ext uri="{FF2B5EF4-FFF2-40B4-BE49-F238E27FC236}">
              <a16:creationId xmlns:a16="http://schemas.microsoft.com/office/drawing/2014/main" xmlns="" id="{00000000-0008-0000-0800-000010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2423"/>
        <a:stretch>
          <a:fillRect/>
        </a:stretch>
      </xdr:blipFill>
      <xdr:spPr bwMode="auto">
        <a:xfrm>
          <a:off x="9058275" y="70218300"/>
          <a:ext cx="28098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369</xdr:row>
      <xdr:rowOff>66675</xdr:rowOff>
    </xdr:from>
    <xdr:to>
      <xdr:col>6</xdr:col>
      <xdr:colOff>704850</xdr:colOff>
      <xdr:row>378</xdr:row>
      <xdr:rowOff>0</xdr:rowOff>
    </xdr:to>
    <xdr:pic>
      <xdr:nvPicPr>
        <xdr:cNvPr id="9238" name="Picture 3934">
          <a:extLst>
            <a:ext uri="{FF2B5EF4-FFF2-40B4-BE49-F238E27FC236}">
              <a16:creationId xmlns:a16="http://schemas.microsoft.com/office/drawing/2014/main" xmlns="" id="{00000000-0008-0000-0800-00001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6216550"/>
          <a:ext cx="2809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390525</xdr:colOff>
      <xdr:row>369</xdr:row>
      <xdr:rowOff>66675</xdr:rowOff>
    </xdr:from>
    <xdr:to>
      <xdr:col>15</xdr:col>
      <xdr:colOff>466725</xdr:colOff>
      <xdr:row>378</xdr:row>
      <xdr:rowOff>0</xdr:rowOff>
    </xdr:to>
    <xdr:pic>
      <xdr:nvPicPr>
        <xdr:cNvPr id="9239" name="Picture 3935">
          <a:extLst>
            <a:ext uri="{FF2B5EF4-FFF2-40B4-BE49-F238E27FC236}">
              <a16:creationId xmlns:a16="http://schemas.microsoft.com/office/drawing/2014/main" xmlns="" id="{00000000-0008-0000-0800-000017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56216550"/>
          <a:ext cx="2809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600075</xdr:colOff>
      <xdr:row>369</xdr:row>
      <xdr:rowOff>66675</xdr:rowOff>
    </xdr:from>
    <xdr:to>
      <xdr:col>21</xdr:col>
      <xdr:colOff>238125</xdr:colOff>
      <xdr:row>378</xdr:row>
      <xdr:rowOff>0</xdr:rowOff>
    </xdr:to>
    <xdr:pic>
      <xdr:nvPicPr>
        <xdr:cNvPr id="9240" name="Picture 3936">
          <a:extLst>
            <a:ext uri="{FF2B5EF4-FFF2-40B4-BE49-F238E27FC236}">
              <a16:creationId xmlns:a16="http://schemas.microsoft.com/office/drawing/2014/main" xmlns="" id="{00000000-0008-0000-0800-000018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8275" y="56216550"/>
          <a:ext cx="2809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828675</xdr:colOff>
      <xdr:row>369</xdr:row>
      <xdr:rowOff>66675</xdr:rowOff>
    </xdr:from>
    <xdr:to>
      <xdr:col>10</xdr:col>
      <xdr:colOff>266700</xdr:colOff>
      <xdr:row>378</xdr:row>
      <xdr:rowOff>0</xdr:rowOff>
    </xdr:to>
    <xdr:pic>
      <xdr:nvPicPr>
        <xdr:cNvPr id="9241" name="Picture 3937">
          <a:extLst>
            <a:ext uri="{FF2B5EF4-FFF2-40B4-BE49-F238E27FC236}">
              <a16:creationId xmlns:a16="http://schemas.microsoft.com/office/drawing/2014/main" xmlns="" id="{00000000-0008-0000-0800-000019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1350" y="56216550"/>
          <a:ext cx="2809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600075</xdr:colOff>
      <xdr:row>361</xdr:row>
      <xdr:rowOff>152400</xdr:rowOff>
    </xdr:from>
    <xdr:to>
      <xdr:col>21</xdr:col>
      <xdr:colOff>238125</xdr:colOff>
      <xdr:row>368</xdr:row>
      <xdr:rowOff>95250</xdr:rowOff>
    </xdr:to>
    <xdr:pic>
      <xdr:nvPicPr>
        <xdr:cNvPr id="9242" name="Picture 3938">
          <a:extLst>
            <a:ext uri="{FF2B5EF4-FFF2-40B4-BE49-F238E27FC236}">
              <a16:creationId xmlns:a16="http://schemas.microsoft.com/office/drawing/2014/main" xmlns="" id="{00000000-0008-0000-0800-00001A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813"/>
        <a:stretch>
          <a:fillRect/>
        </a:stretch>
      </xdr:blipFill>
      <xdr:spPr bwMode="auto">
        <a:xfrm>
          <a:off x="9058275" y="54873525"/>
          <a:ext cx="280987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319</xdr:row>
      <xdr:rowOff>0</xdr:rowOff>
    </xdr:from>
    <xdr:to>
      <xdr:col>6</xdr:col>
      <xdr:colOff>685800</xdr:colOff>
      <xdr:row>327</xdr:row>
      <xdr:rowOff>161925</xdr:rowOff>
    </xdr:to>
    <xdr:pic>
      <xdr:nvPicPr>
        <xdr:cNvPr id="9243" name="Picture 3949">
          <a:extLst>
            <a:ext uri="{FF2B5EF4-FFF2-40B4-BE49-F238E27FC236}">
              <a16:creationId xmlns:a16="http://schemas.microsoft.com/office/drawing/2014/main" xmlns="" id="{00000000-0008-0000-0800-00001B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8606075"/>
          <a:ext cx="2809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819150</xdr:colOff>
      <xdr:row>319</xdr:row>
      <xdr:rowOff>0</xdr:rowOff>
    </xdr:from>
    <xdr:to>
      <xdr:col>10</xdr:col>
      <xdr:colOff>257175</xdr:colOff>
      <xdr:row>327</xdr:row>
      <xdr:rowOff>161925</xdr:rowOff>
    </xdr:to>
    <xdr:pic>
      <xdr:nvPicPr>
        <xdr:cNvPr id="9244" name="Picture 3950">
          <a:extLst>
            <a:ext uri="{FF2B5EF4-FFF2-40B4-BE49-F238E27FC236}">
              <a16:creationId xmlns:a16="http://schemas.microsoft.com/office/drawing/2014/main" xmlns="" id="{00000000-0008-0000-0800-00001C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48606075"/>
          <a:ext cx="2809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390525</xdr:colOff>
      <xdr:row>319</xdr:row>
      <xdr:rowOff>0</xdr:rowOff>
    </xdr:from>
    <xdr:to>
      <xdr:col>15</xdr:col>
      <xdr:colOff>466725</xdr:colOff>
      <xdr:row>327</xdr:row>
      <xdr:rowOff>161925</xdr:rowOff>
    </xdr:to>
    <xdr:pic>
      <xdr:nvPicPr>
        <xdr:cNvPr id="9245" name="Picture 3951">
          <a:extLst>
            <a:ext uri="{FF2B5EF4-FFF2-40B4-BE49-F238E27FC236}">
              <a16:creationId xmlns:a16="http://schemas.microsoft.com/office/drawing/2014/main" xmlns="" id="{00000000-0008-0000-0800-00001D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8606075"/>
          <a:ext cx="2809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600075</xdr:colOff>
      <xdr:row>318</xdr:row>
      <xdr:rowOff>152400</xdr:rowOff>
    </xdr:from>
    <xdr:to>
      <xdr:col>21</xdr:col>
      <xdr:colOff>238125</xdr:colOff>
      <xdr:row>327</xdr:row>
      <xdr:rowOff>152400</xdr:rowOff>
    </xdr:to>
    <xdr:pic>
      <xdr:nvPicPr>
        <xdr:cNvPr id="9246" name="Picture 3952">
          <a:extLst>
            <a:ext uri="{FF2B5EF4-FFF2-40B4-BE49-F238E27FC236}">
              <a16:creationId xmlns:a16="http://schemas.microsoft.com/office/drawing/2014/main" xmlns="" id="{00000000-0008-0000-0800-00001E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8275" y="48596550"/>
          <a:ext cx="2809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600075</xdr:colOff>
      <xdr:row>312</xdr:row>
      <xdr:rowOff>57150</xdr:rowOff>
    </xdr:from>
    <xdr:to>
      <xdr:col>21</xdr:col>
      <xdr:colOff>238125</xdr:colOff>
      <xdr:row>318</xdr:row>
      <xdr:rowOff>38100</xdr:rowOff>
    </xdr:to>
    <xdr:pic>
      <xdr:nvPicPr>
        <xdr:cNvPr id="9247" name="Picture 3954">
          <a:extLst>
            <a:ext uri="{FF2B5EF4-FFF2-40B4-BE49-F238E27FC236}">
              <a16:creationId xmlns:a16="http://schemas.microsoft.com/office/drawing/2014/main" xmlns="" id="{00000000-0008-0000-0800-00001F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357" b="10751"/>
        <a:stretch>
          <a:fillRect/>
        </a:stretch>
      </xdr:blipFill>
      <xdr:spPr bwMode="auto">
        <a:xfrm>
          <a:off x="9058275" y="47415450"/>
          <a:ext cx="28098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590550</xdr:colOff>
      <xdr:row>262</xdr:row>
      <xdr:rowOff>114300</xdr:rowOff>
    </xdr:from>
    <xdr:to>
      <xdr:col>21</xdr:col>
      <xdr:colOff>228600</xdr:colOff>
      <xdr:row>268</xdr:row>
      <xdr:rowOff>104775</xdr:rowOff>
    </xdr:to>
    <xdr:pic>
      <xdr:nvPicPr>
        <xdr:cNvPr id="9248" name="Picture 3991">
          <a:extLst>
            <a:ext uri="{FF2B5EF4-FFF2-40B4-BE49-F238E27FC236}">
              <a16:creationId xmlns:a16="http://schemas.microsoft.com/office/drawing/2014/main" xmlns="" id="{00000000-0008-0000-0800-000020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807" b="17616"/>
        <a:stretch>
          <a:fillRect/>
        </a:stretch>
      </xdr:blipFill>
      <xdr:spPr bwMode="auto">
        <a:xfrm>
          <a:off x="9048750" y="39814500"/>
          <a:ext cx="28098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390525</xdr:colOff>
      <xdr:row>269</xdr:row>
      <xdr:rowOff>66675</xdr:rowOff>
    </xdr:from>
    <xdr:to>
      <xdr:col>15</xdr:col>
      <xdr:colOff>466725</xdr:colOff>
      <xdr:row>278</xdr:row>
      <xdr:rowOff>0</xdr:rowOff>
    </xdr:to>
    <xdr:pic>
      <xdr:nvPicPr>
        <xdr:cNvPr id="9249" name="Picture 3988">
          <a:extLst>
            <a:ext uri="{FF2B5EF4-FFF2-40B4-BE49-F238E27FC236}">
              <a16:creationId xmlns:a16="http://schemas.microsoft.com/office/drawing/2014/main" xmlns="" id="{00000000-0008-0000-0800-00002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41014650"/>
          <a:ext cx="2809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600075</xdr:colOff>
      <xdr:row>269</xdr:row>
      <xdr:rowOff>66675</xdr:rowOff>
    </xdr:from>
    <xdr:to>
      <xdr:col>21</xdr:col>
      <xdr:colOff>238125</xdr:colOff>
      <xdr:row>278</xdr:row>
      <xdr:rowOff>0</xdr:rowOff>
    </xdr:to>
    <xdr:pic>
      <xdr:nvPicPr>
        <xdr:cNvPr id="9250" name="Picture 3989">
          <a:extLst>
            <a:ext uri="{FF2B5EF4-FFF2-40B4-BE49-F238E27FC236}">
              <a16:creationId xmlns:a16="http://schemas.microsoft.com/office/drawing/2014/main" xmlns="" id="{00000000-0008-0000-0800-000022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lum contrast="1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8275" y="41014650"/>
          <a:ext cx="2809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828675</xdr:colOff>
      <xdr:row>269</xdr:row>
      <xdr:rowOff>66675</xdr:rowOff>
    </xdr:from>
    <xdr:to>
      <xdr:col>10</xdr:col>
      <xdr:colOff>266700</xdr:colOff>
      <xdr:row>278</xdr:row>
      <xdr:rowOff>0</xdr:rowOff>
    </xdr:to>
    <xdr:pic>
      <xdr:nvPicPr>
        <xdr:cNvPr id="9251" name="Picture 3990">
          <a:extLst>
            <a:ext uri="{FF2B5EF4-FFF2-40B4-BE49-F238E27FC236}">
              <a16:creationId xmlns:a16="http://schemas.microsoft.com/office/drawing/2014/main" xmlns="" id="{00000000-0008-0000-0800-00002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lum contrast="1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1350" y="41014650"/>
          <a:ext cx="2809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269</xdr:row>
      <xdr:rowOff>66675</xdr:rowOff>
    </xdr:from>
    <xdr:to>
      <xdr:col>6</xdr:col>
      <xdr:colOff>704850</xdr:colOff>
      <xdr:row>278</xdr:row>
      <xdr:rowOff>0</xdr:rowOff>
    </xdr:to>
    <xdr:pic>
      <xdr:nvPicPr>
        <xdr:cNvPr id="9252" name="Picture 3992">
          <a:extLst>
            <a:ext uri="{FF2B5EF4-FFF2-40B4-BE49-F238E27FC236}">
              <a16:creationId xmlns:a16="http://schemas.microsoft.com/office/drawing/2014/main" xmlns="" id="{00000000-0008-0000-0800-000024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41014650"/>
          <a:ext cx="2809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590550</xdr:colOff>
      <xdr:row>212</xdr:row>
      <xdr:rowOff>133350</xdr:rowOff>
    </xdr:from>
    <xdr:to>
      <xdr:col>21</xdr:col>
      <xdr:colOff>228600</xdr:colOff>
      <xdr:row>218</xdr:row>
      <xdr:rowOff>95250</xdr:rowOff>
    </xdr:to>
    <xdr:pic>
      <xdr:nvPicPr>
        <xdr:cNvPr id="9253" name="Picture 3830">
          <a:extLst>
            <a:ext uri="{FF2B5EF4-FFF2-40B4-BE49-F238E27FC236}">
              <a16:creationId xmlns:a16="http://schemas.microsoft.com/office/drawing/2014/main" xmlns="" id="{00000000-0008-0000-0800-00002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788" b="8691"/>
        <a:stretch>
          <a:fillRect/>
        </a:stretch>
      </xdr:blipFill>
      <xdr:spPr bwMode="auto">
        <a:xfrm>
          <a:off x="9048750" y="32232600"/>
          <a:ext cx="28098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219</xdr:row>
      <xdr:rowOff>66675</xdr:rowOff>
    </xdr:from>
    <xdr:to>
      <xdr:col>6</xdr:col>
      <xdr:colOff>685800</xdr:colOff>
      <xdr:row>228</xdr:row>
      <xdr:rowOff>0</xdr:rowOff>
    </xdr:to>
    <xdr:pic>
      <xdr:nvPicPr>
        <xdr:cNvPr id="9254" name="Picture 3833">
          <a:extLst>
            <a:ext uri="{FF2B5EF4-FFF2-40B4-BE49-F238E27FC236}">
              <a16:creationId xmlns:a16="http://schemas.microsoft.com/office/drawing/2014/main" xmlns="" id="{00000000-0008-0000-0800-00002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3413700"/>
          <a:ext cx="2809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390525</xdr:colOff>
      <xdr:row>219</xdr:row>
      <xdr:rowOff>66675</xdr:rowOff>
    </xdr:from>
    <xdr:to>
      <xdr:col>15</xdr:col>
      <xdr:colOff>466725</xdr:colOff>
      <xdr:row>228</xdr:row>
      <xdr:rowOff>0</xdr:rowOff>
    </xdr:to>
    <xdr:pic>
      <xdr:nvPicPr>
        <xdr:cNvPr id="9255" name="Picture 3828">
          <a:extLst>
            <a:ext uri="{FF2B5EF4-FFF2-40B4-BE49-F238E27FC236}">
              <a16:creationId xmlns:a16="http://schemas.microsoft.com/office/drawing/2014/main" xmlns="" id="{00000000-0008-0000-0800-000027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33413700"/>
          <a:ext cx="2809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600075</xdr:colOff>
      <xdr:row>219</xdr:row>
      <xdr:rowOff>66675</xdr:rowOff>
    </xdr:from>
    <xdr:to>
      <xdr:col>21</xdr:col>
      <xdr:colOff>238125</xdr:colOff>
      <xdr:row>228</xdr:row>
      <xdr:rowOff>0</xdr:rowOff>
    </xdr:to>
    <xdr:pic>
      <xdr:nvPicPr>
        <xdr:cNvPr id="9256" name="Picture 3829">
          <a:extLst>
            <a:ext uri="{FF2B5EF4-FFF2-40B4-BE49-F238E27FC236}">
              <a16:creationId xmlns:a16="http://schemas.microsoft.com/office/drawing/2014/main" xmlns="" id="{00000000-0008-0000-0800-000028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8275" y="33413700"/>
          <a:ext cx="2809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809625</xdr:colOff>
      <xdr:row>219</xdr:row>
      <xdr:rowOff>66675</xdr:rowOff>
    </xdr:from>
    <xdr:to>
      <xdr:col>10</xdr:col>
      <xdr:colOff>247650</xdr:colOff>
      <xdr:row>228</xdr:row>
      <xdr:rowOff>0</xdr:rowOff>
    </xdr:to>
    <xdr:pic>
      <xdr:nvPicPr>
        <xdr:cNvPr id="9257" name="Picture 3831">
          <a:extLst>
            <a:ext uri="{FF2B5EF4-FFF2-40B4-BE49-F238E27FC236}">
              <a16:creationId xmlns:a16="http://schemas.microsoft.com/office/drawing/2014/main" xmlns="" id="{00000000-0008-0000-0800-000029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2300" y="33413700"/>
          <a:ext cx="2809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600075</xdr:colOff>
      <xdr:row>169</xdr:row>
      <xdr:rowOff>57150</xdr:rowOff>
    </xdr:from>
    <xdr:to>
      <xdr:col>21</xdr:col>
      <xdr:colOff>238125</xdr:colOff>
      <xdr:row>177</xdr:row>
      <xdr:rowOff>161925</xdr:rowOff>
    </xdr:to>
    <xdr:pic>
      <xdr:nvPicPr>
        <xdr:cNvPr id="9258" name="Picture 3896">
          <a:extLst>
            <a:ext uri="{FF2B5EF4-FFF2-40B4-BE49-F238E27FC236}">
              <a16:creationId xmlns:a16="http://schemas.microsoft.com/office/drawing/2014/main" xmlns="" id="{00000000-0008-0000-0800-00002A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8275" y="25803225"/>
          <a:ext cx="2809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169</xdr:row>
      <xdr:rowOff>57150</xdr:rowOff>
    </xdr:from>
    <xdr:to>
      <xdr:col>6</xdr:col>
      <xdr:colOff>704850</xdr:colOff>
      <xdr:row>177</xdr:row>
      <xdr:rowOff>161925</xdr:rowOff>
    </xdr:to>
    <xdr:pic>
      <xdr:nvPicPr>
        <xdr:cNvPr id="9259" name="Picture 3894">
          <a:extLst>
            <a:ext uri="{FF2B5EF4-FFF2-40B4-BE49-F238E27FC236}">
              <a16:creationId xmlns:a16="http://schemas.microsoft.com/office/drawing/2014/main" xmlns="" id="{00000000-0008-0000-0800-00002B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5803225"/>
          <a:ext cx="2809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819150</xdr:colOff>
      <xdr:row>169</xdr:row>
      <xdr:rowOff>57150</xdr:rowOff>
    </xdr:from>
    <xdr:to>
      <xdr:col>10</xdr:col>
      <xdr:colOff>257175</xdr:colOff>
      <xdr:row>177</xdr:row>
      <xdr:rowOff>161925</xdr:rowOff>
    </xdr:to>
    <xdr:pic>
      <xdr:nvPicPr>
        <xdr:cNvPr id="9260" name="Picture 3897">
          <a:extLst>
            <a:ext uri="{FF2B5EF4-FFF2-40B4-BE49-F238E27FC236}">
              <a16:creationId xmlns:a16="http://schemas.microsoft.com/office/drawing/2014/main" xmlns="" id="{00000000-0008-0000-0800-00002C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25803225"/>
          <a:ext cx="2809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390525</xdr:colOff>
      <xdr:row>169</xdr:row>
      <xdr:rowOff>57150</xdr:rowOff>
    </xdr:from>
    <xdr:to>
      <xdr:col>15</xdr:col>
      <xdr:colOff>466725</xdr:colOff>
      <xdr:row>177</xdr:row>
      <xdr:rowOff>161925</xdr:rowOff>
    </xdr:to>
    <xdr:pic>
      <xdr:nvPicPr>
        <xdr:cNvPr id="9261" name="Picture 3898">
          <a:extLst>
            <a:ext uri="{FF2B5EF4-FFF2-40B4-BE49-F238E27FC236}">
              <a16:creationId xmlns:a16="http://schemas.microsoft.com/office/drawing/2014/main" xmlns="" id="{00000000-0008-0000-0800-00002D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25803225"/>
          <a:ext cx="2809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600075</xdr:colOff>
      <xdr:row>163</xdr:row>
      <xdr:rowOff>66675</xdr:rowOff>
    </xdr:from>
    <xdr:to>
      <xdr:col>21</xdr:col>
      <xdr:colOff>238125</xdr:colOff>
      <xdr:row>168</xdr:row>
      <xdr:rowOff>95250</xdr:rowOff>
    </xdr:to>
    <xdr:pic>
      <xdr:nvPicPr>
        <xdr:cNvPr id="9262" name="Picture 3895">
          <a:extLst>
            <a:ext uri="{FF2B5EF4-FFF2-40B4-BE49-F238E27FC236}">
              <a16:creationId xmlns:a16="http://schemas.microsoft.com/office/drawing/2014/main" xmlns="" id="{00000000-0008-0000-0800-00002E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552" b="25169"/>
        <a:stretch>
          <a:fillRect/>
        </a:stretch>
      </xdr:blipFill>
      <xdr:spPr bwMode="auto">
        <a:xfrm>
          <a:off x="9058275" y="24745950"/>
          <a:ext cx="28098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119</xdr:row>
      <xdr:rowOff>66675</xdr:rowOff>
    </xdr:from>
    <xdr:to>
      <xdr:col>6</xdr:col>
      <xdr:colOff>704850</xdr:colOff>
      <xdr:row>128</xdr:row>
      <xdr:rowOff>0</xdr:rowOff>
    </xdr:to>
    <xdr:pic>
      <xdr:nvPicPr>
        <xdr:cNvPr id="9263" name="Picture 4010">
          <a:extLst>
            <a:ext uri="{FF2B5EF4-FFF2-40B4-BE49-F238E27FC236}">
              <a16:creationId xmlns:a16="http://schemas.microsoft.com/office/drawing/2014/main" xmlns="" id="{00000000-0008-0000-0800-00002F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8211800"/>
          <a:ext cx="2809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600075</xdr:colOff>
      <xdr:row>119</xdr:row>
      <xdr:rowOff>66675</xdr:rowOff>
    </xdr:from>
    <xdr:to>
      <xdr:col>21</xdr:col>
      <xdr:colOff>238125</xdr:colOff>
      <xdr:row>128</xdr:row>
      <xdr:rowOff>0</xdr:rowOff>
    </xdr:to>
    <xdr:pic>
      <xdr:nvPicPr>
        <xdr:cNvPr id="9264" name="Picture 4004">
          <a:extLst>
            <a:ext uri="{FF2B5EF4-FFF2-40B4-BE49-F238E27FC236}">
              <a16:creationId xmlns:a16="http://schemas.microsoft.com/office/drawing/2014/main" xmlns="" id="{00000000-0008-0000-0800-000030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8275" y="18211800"/>
          <a:ext cx="2809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828675</xdr:colOff>
      <xdr:row>119</xdr:row>
      <xdr:rowOff>66675</xdr:rowOff>
    </xdr:from>
    <xdr:to>
      <xdr:col>10</xdr:col>
      <xdr:colOff>266700</xdr:colOff>
      <xdr:row>128</xdr:row>
      <xdr:rowOff>0</xdr:rowOff>
    </xdr:to>
    <xdr:pic>
      <xdr:nvPicPr>
        <xdr:cNvPr id="9265" name="Picture 4006">
          <a:extLst>
            <a:ext uri="{FF2B5EF4-FFF2-40B4-BE49-F238E27FC236}">
              <a16:creationId xmlns:a16="http://schemas.microsoft.com/office/drawing/2014/main" xmlns="" id="{00000000-0008-0000-0800-00003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1350" y="18211800"/>
          <a:ext cx="2809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390525</xdr:colOff>
      <xdr:row>119</xdr:row>
      <xdr:rowOff>66675</xdr:rowOff>
    </xdr:from>
    <xdr:to>
      <xdr:col>15</xdr:col>
      <xdr:colOff>466725</xdr:colOff>
      <xdr:row>128</xdr:row>
      <xdr:rowOff>0</xdr:rowOff>
    </xdr:to>
    <xdr:pic>
      <xdr:nvPicPr>
        <xdr:cNvPr id="9266" name="Picture 4007">
          <a:extLst>
            <a:ext uri="{FF2B5EF4-FFF2-40B4-BE49-F238E27FC236}">
              <a16:creationId xmlns:a16="http://schemas.microsoft.com/office/drawing/2014/main" xmlns="" id="{00000000-0008-0000-0800-000032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50" y="18211800"/>
          <a:ext cx="2809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819150</xdr:colOff>
      <xdr:row>19</xdr:row>
      <xdr:rowOff>57150</xdr:rowOff>
    </xdr:from>
    <xdr:to>
      <xdr:col>10</xdr:col>
      <xdr:colOff>257175</xdr:colOff>
      <xdr:row>28</xdr:row>
      <xdr:rowOff>9525</xdr:rowOff>
    </xdr:to>
    <xdr:pic>
      <xdr:nvPicPr>
        <xdr:cNvPr id="9267" name="Picture 3982">
          <a:extLst>
            <a:ext uri="{FF2B5EF4-FFF2-40B4-BE49-F238E27FC236}">
              <a16:creationId xmlns:a16="http://schemas.microsoft.com/office/drawing/2014/main" xmlns="" id="{00000000-0008-0000-0800-00003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3000375"/>
          <a:ext cx="28098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590550</xdr:colOff>
      <xdr:row>19</xdr:row>
      <xdr:rowOff>57150</xdr:rowOff>
    </xdr:from>
    <xdr:to>
      <xdr:col>21</xdr:col>
      <xdr:colOff>238125</xdr:colOff>
      <xdr:row>28</xdr:row>
      <xdr:rowOff>9525</xdr:rowOff>
    </xdr:to>
    <xdr:pic>
      <xdr:nvPicPr>
        <xdr:cNvPr id="9268" name="Picture 3983">
          <a:extLst>
            <a:ext uri="{FF2B5EF4-FFF2-40B4-BE49-F238E27FC236}">
              <a16:creationId xmlns:a16="http://schemas.microsoft.com/office/drawing/2014/main" xmlns="" id="{00000000-0008-0000-0800-000034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0" y="3000375"/>
          <a:ext cx="28194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19</xdr:row>
      <xdr:rowOff>57150</xdr:rowOff>
    </xdr:from>
    <xdr:to>
      <xdr:col>6</xdr:col>
      <xdr:colOff>695325</xdr:colOff>
      <xdr:row>28</xdr:row>
      <xdr:rowOff>9525</xdr:rowOff>
    </xdr:to>
    <xdr:pic>
      <xdr:nvPicPr>
        <xdr:cNvPr id="9269" name="Picture 3986">
          <a:extLst>
            <a:ext uri="{FF2B5EF4-FFF2-40B4-BE49-F238E27FC236}">
              <a16:creationId xmlns:a16="http://schemas.microsoft.com/office/drawing/2014/main" xmlns="" id="{00000000-0008-0000-0800-00003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000375"/>
          <a:ext cx="28098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381000</xdr:colOff>
      <xdr:row>19</xdr:row>
      <xdr:rowOff>57150</xdr:rowOff>
    </xdr:from>
    <xdr:to>
      <xdr:col>15</xdr:col>
      <xdr:colOff>466725</xdr:colOff>
      <xdr:row>28</xdr:row>
      <xdr:rowOff>0</xdr:rowOff>
    </xdr:to>
    <xdr:pic>
      <xdr:nvPicPr>
        <xdr:cNvPr id="9270" name="Picture 3987">
          <a:extLst>
            <a:ext uri="{FF2B5EF4-FFF2-40B4-BE49-F238E27FC236}">
              <a16:creationId xmlns:a16="http://schemas.microsoft.com/office/drawing/2014/main" xmlns="" id="{00000000-0008-0000-0800-00003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08" b="182"/>
        <a:stretch>
          <a:fillRect/>
        </a:stretch>
      </xdr:blipFill>
      <xdr:spPr bwMode="auto">
        <a:xfrm>
          <a:off x="6105525" y="3000375"/>
          <a:ext cx="281940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590550</xdr:colOff>
      <xdr:row>12</xdr:row>
      <xdr:rowOff>47625</xdr:rowOff>
    </xdr:from>
    <xdr:to>
      <xdr:col>21</xdr:col>
      <xdr:colOff>238125</xdr:colOff>
      <xdr:row>18</xdr:row>
      <xdr:rowOff>95250</xdr:rowOff>
    </xdr:to>
    <xdr:pic>
      <xdr:nvPicPr>
        <xdr:cNvPr id="9271" name="Picture 3985">
          <a:extLst>
            <a:ext uri="{FF2B5EF4-FFF2-40B4-BE49-F238E27FC236}">
              <a16:creationId xmlns:a16="http://schemas.microsoft.com/office/drawing/2014/main" xmlns="" id="{00000000-0008-0000-0800-000037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498"/>
        <a:stretch>
          <a:fillRect/>
        </a:stretch>
      </xdr:blipFill>
      <xdr:spPr bwMode="auto">
        <a:xfrm>
          <a:off x="9048750" y="1743075"/>
          <a:ext cx="28194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590550</xdr:colOff>
      <xdr:row>62</xdr:row>
      <xdr:rowOff>38100</xdr:rowOff>
    </xdr:from>
    <xdr:to>
      <xdr:col>21</xdr:col>
      <xdr:colOff>228600</xdr:colOff>
      <xdr:row>68</xdr:row>
      <xdr:rowOff>104775</xdr:rowOff>
    </xdr:to>
    <xdr:pic>
      <xdr:nvPicPr>
        <xdr:cNvPr id="9272" name="Picture 3748">
          <a:extLst>
            <a:ext uri="{FF2B5EF4-FFF2-40B4-BE49-F238E27FC236}">
              <a16:creationId xmlns:a16="http://schemas.microsoft.com/office/drawing/2014/main" xmlns="" id="{00000000-0008-0000-0800-000038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931"/>
        <a:stretch>
          <a:fillRect/>
        </a:stretch>
      </xdr:blipFill>
      <xdr:spPr bwMode="auto">
        <a:xfrm>
          <a:off x="9048750" y="9334500"/>
          <a:ext cx="28098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69</xdr:row>
      <xdr:rowOff>57150</xdr:rowOff>
    </xdr:from>
    <xdr:to>
      <xdr:col>6</xdr:col>
      <xdr:colOff>704850</xdr:colOff>
      <xdr:row>77</xdr:row>
      <xdr:rowOff>161925</xdr:rowOff>
    </xdr:to>
    <xdr:pic>
      <xdr:nvPicPr>
        <xdr:cNvPr id="9273" name="Picture 3745">
          <a:extLst>
            <a:ext uri="{FF2B5EF4-FFF2-40B4-BE49-F238E27FC236}">
              <a16:creationId xmlns:a16="http://schemas.microsoft.com/office/drawing/2014/main" xmlns="" id="{00000000-0008-0000-0800-000039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0601325"/>
          <a:ext cx="2809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828675</xdr:colOff>
      <xdr:row>69</xdr:row>
      <xdr:rowOff>57150</xdr:rowOff>
    </xdr:from>
    <xdr:to>
      <xdr:col>10</xdr:col>
      <xdr:colOff>266700</xdr:colOff>
      <xdr:row>77</xdr:row>
      <xdr:rowOff>161925</xdr:rowOff>
    </xdr:to>
    <xdr:pic>
      <xdr:nvPicPr>
        <xdr:cNvPr id="9274" name="Picture 3743">
          <a:extLst>
            <a:ext uri="{FF2B5EF4-FFF2-40B4-BE49-F238E27FC236}">
              <a16:creationId xmlns:a16="http://schemas.microsoft.com/office/drawing/2014/main" xmlns="" id="{00000000-0008-0000-0800-00003A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1350" y="10601325"/>
          <a:ext cx="2809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381000</xdr:colOff>
      <xdr:row>69</xdr:row>
      <xdr:rowOff>57150</xdr:rowOff>
    </xdr:from>
    <xdr:to>
      <xdr:col>15</xdr:col>
      <xdr:colOff>457200</xdr:colOff>
      <xdr:row>77</xdr:row>
      <xdr:rowOff>161925</xdr:rowOff>
    </xdr:to>
    <xdr:pic>
      <xdr:nvPicPr>
        <xdr:cNvPr id="9275" name="Picture 3744">
          <a:extLst>
            <a:ext uri="{FF2B5EF4-FFF2-40B4-BE49-F238E27FC236}">
              <a16:creationId xmlns:a16="http://schemas.microsoft.com/office/drawing/2014/main" xmlns="" id="{00000000-0008-0000-0800-00003B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10601325"/>
          <a:ext cx="2809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600075</xdr:colOff>
      <xdr:row>69</xdr:row>
      <xdr:rowOff>57150</xdr:rowOff>
    </xdr:from>
    <xdr:to>
      <xdr:col>21</xdr:col>
      <xdr:colOff>238125</xdr:colOff>
      <xdr:row>77</xdr:row>
      <xdr:rowOff>161925</xdr:rowOff>
    </xdr:to>
    <xdr:pic>
      <xdr:nvPicPr>
        <xdr:cNvPr id="9276" name="Picture 3746">
          <a:extLst>
            <a:ext uri="{FF2B5EF4-FFF2-40B4-BE49-F238E27FC236}">
              <a16:creationId xmlns:a16="http://schemas.microsoft.com/office/drawing/2014/main" xmlns="" id="{00000000-0008-0000-0800-00003C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8275" y="10601325"/>
          <a:ext cx="2809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333375</xdr:colOff>
      <xdr:row>3</xdr:row>
      <xdr:rowOff>0</xdr:rowOff>
    </xdr:from>
    <xdr:to>
      <xdr:col>21</xdr:col>
      <xdr:colOff>266700</xdr:colOff>
      <xdr:row>3</xdr:row>
      <xdr:rowOff>123825</xdr:rowOff>
    </xdr:to>
    <xdr:sp macro="" textlink="">
      <xdr:nvSpPr>
        <xdr:cNvPr id="18767" name="Text Box 1359">
          <a:extLst>
            <a:ext uri="{FF2B5EF4-FFF2-40B4-BE49-F238E27FC236}">
              <a16:creationId xmlns:a16="http://schemas.microsoft.com/office/drawing/2014/main" xmlns="" id="{00000000-0008-0000-0800-00004F490000}"/>
            </a:ext>
          </a:extLst>
        </xdr:cNvPr>
        <xdr:cNvSpPr txBox="1">
          <a:spLocks noChangeArrowheads="1"/>
        </xdr:cNvSpPr>
      </xdr:nvSpPr>
      <xdr:spPr bwMode="auto">
        <a:xfrm>
          <a:off x="7572375" y="361950"/>
          <a:ext cx="4324350" cy="12382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0" tIns="0" rIns="0" bIns="0" anchor="b" upright="1"/>
        <a:lstStyle/>
        <a:p>
          <a:pPr algn="r" rtl="0">
            <a:defRPr sz="1000"/>
          </a:pPr>
          <a:r>
            <a:rPr lang="hu-HU" sz="600" b="0" i="0" u="none" strike="noStrike" baseline="0">
              <a:solidFill>
                <a:srgbClr val="FFFFFF"/>
              </a:solidFill>
              <a:latin typeface="Arial Unicode MS"/>
            </a:rPr>
            <a:t>A HELYSZÍNEK KÖZÖTTI UGRÁSHOZ KATTINTSON A TÉRKÉPEN A VÁROSOK NEVEIRE </a:t>
          </a:r>
        </a:p>
      </xdr:txBody>
    </xdr:sp>
    <xdr:clientData/>
  </xdr:twoCellAnchor>
  <xdr:twoCellAnchor editAs="oneCell">
    <xdr:from>
      <xdr:col>1</xdr:col>
      <xdr:colOff>133350</xdr:colOff>
      <xdr:row>5</xdr:row>
      <xdr:rowOff>19050</xdr:rowOff>
    </xdr:from>
    <xdr:to>
      <xdr:col>16</xdr:col>
      <xdr:colOff>285750</xdr:colOff>
      <xdr:row>18</xdr:row>
      <xdr:rowOff>95250</xdr:rowOff>
    </xdr:to>
    <xdr:grpSp>
      <xdr:nvGrpSpPr>
        <xdr:cNvPr id="9278" name="Csoportba foglalás 2">
          <a:extLst>
            <a:ext uri="{FF2B5EF4-FFF2-40B4-BE49-F238E27FC236}">
              <a16:creationId xmlns:a16="http://schemas.microsoft.com/office/drawing/2014/main" xmlns="" id="{00000000-0008-0000-0800-00003E240000}"/>
            </a:ext>
          </a:extLst>
        </xdr:cNvPr>
        <xdr:cNvGrpSpPr>
          <a:grpSpLocks/>
        </xdr:cNvGrpSpPr>
      </xdr:nvGrpSpPr>
      <xdr:grpSpPr bwMode="auto">
        <a:xfrm>
          <a:off x="228600" y="628650"/>
          <a:ext cx="9124950" cy="2247900"/>
          <a:chOff x="228600" y="628650"/>
          <a:chExt cx="9124950" cy="2247900"/>
        </a:xfrm>
      </xdr:grpSpPr>
      <xdr:sp macro="" textlink="">
        <xdr:nvSpPr>
          <xdr:cNvPr id="9318" name="Rectangle 2568">
            <a:extLst>
              <a:ext uri="{FF2B5EF4-FFF2-40B4-BE49-F238E27FC236}">
                <a16:creationId xmlns:a16="http://schemas.microsoft.com/office/drawing/2014/main" xmlns="" id="{00000000-0008-0000-0800-000066240000}"/>
              </a:ext>
            </a:extLst>
          </xdr:cNvPr>
          <xdr:cNvSpPr>
            <a:spLocks noChangeArrowheads="1"/>
          </xdr:cNvSpPr>
        </xdr:nvSpPr>
        <xdr:spPr bwMode="auto">
          <a:xfrm>
            <a:off x="5743575" y="800100"/>
            <a:ext cx="3600450" cy="9525"/>
          </a:xfrm>
          <a:prstGeom prst="rect">
            <a:avLst/>
          </a:prstGeom>
          <a:gradFill rotWithShape="0">
            <a:gsLst>
              <a:gs pos="0">
                <a:srgbClr val="000000"/>
              </a:gs>
              <a:gs pos="100000">
                <a:srgbClr val="FFFFFF"/>
              </a:gs>
            </a:gsLst>
            <a:lin ang="0" scaled="1"/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319" name="Rectangle 2598">
            <a:extLst>
              <a:ext uri="{FF2B5EF4-FFF2-40B4-BE49-F238E27FC236}">
                <a16:creationId xmlns:a16="http://schemas.microsoft.com/office/drawing/2014/main" xmlns="" id="{00000000-0008-0000-0800-000067240000}"/>
              </a:ext>
            </a:extLst>
          </xdr:cNvPr>
          <xdr:cNvSpPr>
            <a:spLocks noChangeArrowheads="1"/>
          </xdr:cNvSpPr>
        </xdr:nvSpPr>
        <xdr:spPr bwMode="auto">
          <a:xfrm>
            <a:off x="5753100" y="1228725"/>
            <a:ext cx="3600450" cy="9525"/>
          </a:xfrm>
          <a:prstGeom prst="rect">
            <a:avLst/>
          </a:prstGeom>
          <a:gradFill rotWithShape="0">
            <a:gsLst>
              <a:gs pos="0">
                <a:srgbClr val="000000"/>
              </a:gs>
              <a:gs pos="100000">
                <a:srgbClr val="FFFFFF"/>
              </a:gs>
            </a:gsLst>
            <a:lin ang="0" scaled="1"/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grpSp>
        <xdr:nvGrpSpPr>
          <xdr:cNvPr id="9320" name="Csoportba foglalás 1">
            <a:extLst>
              <a:ext uri="{FF2B5EF4-FFF2-40B4-BE49-F238E27FC236}">
                <a16:creationId xmlns:a16="http://schemas.microsoft.com/office/drawing/2014/main" xmlns="" id="{00000000-0008-0000-0800-000068240000}"/>
              </a:ext>
            </a:extLst>
          </xdr:cNvPr>
          <xdr:cNvGrpSpPr>
            <a:grpSpLocks/>
          </xdr:cNvGrpSpPr>
        </xdr:nvGrpSpPr>
        <xdr:grpSpPr bwMode="auto">
          <a:xfrm>
            <a:off x="228600" y="628650"/>
            <a:ext cx="5391150" cy="2247900"/>
            <a:chOff x="228600" y="628650"/>
            <a:chExt cx="5391150" cy="2247900"/>
          </a:xfrm>
        </xdr:grpSpPr>
        <xdr:pic>
          <xdr:nvPicPr>
            <xdr:cNvPr id="9321" name="Picture 3068">
              <a:extLst>
                <a:ext uri="{FF2B5EF4-FFF2-40B4-BE49-F238E27FC236}">
                  <a16:creationId xmlns:a16="http://schemas.microsoft.com/office/drawing/2014/main" xmlns="" id="{00000000-0008-0000-0800-00006924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8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28600" y="628650"/>
              <a:ext cx="5391150" cy="22479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9507" name="AutoShape 2590">
              <a:hlinkClick xmlns:r="http://schemas.openxmlformats.org/officeDocument/2006/relationships" r:id="rId59" tooltip="Ugrás a helyszínre"/>
              <a:extLst>
                <a:ext uri="{FF2B5EF4-FFF2-40B4-BE49-F238E27FC236}">
                  <a16:creationId xmlns:a16="http://schemas.microsoft.com/office/drawing/2014/main" xmlns="" id="{00000000-0008-0000-0800-00002325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67627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1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GLASGOW</a:t>
              </a:r>
            </a:p>
          </xdr:txBody>
        </xdr:sp>
        <xdr:sp macro="" textlink="">
          <xdr:nvSpPr>
            <xdr:cNvPr id="9323" name="AutoShape 1436">
              <a:extLst>
                <a:ext uri="{FF2B5EF4-FFF2-40B4-BE49-F238E27FC236}">
                  <a16:creationId xmlns:a16="http://schemas.microsoft.com/office/drawing/2014/main" xmlns="" id="{00000000-0008-0000-0800-00006B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1047750" y="24860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508" name="AutoShape 3037">
              <a:hlinkClick xmlns:r="http://schemas.openxmlformats.org/officeDocument/2006/relationships" r:id="rId60" tooltip="Ugrás a helyszínre"/>
              <a:extLst>
                <a:ext uri="{FF2B5EF4-FFF2-40B4-BE49-F238E27FC236}">
                  <a16:creationId xmlns:a16="http://schemas.microsoft.com/office/drawing/2014/main" xmlns="" id="{00000000-0008-0000-0800-00002425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85725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DUBLIN</a:t>
              </a:r>
            </a:p>
          </xdr:txBody>
        </xdr:sp>
        <xdr:sp macro="" textlink="">
          <xdr:nvSpPr>
            <xdr:cNvPr id="9509" name="AutoShape 3038">
              <a:hlinkClick xmlns:r="http://schemas.openxmlformats.org/officeDocument/2006/relationships" r:id="rId61" tooltip="Ugrás a helyszínre"/>
              <a:extLst>
                <a:ext uri="{FF2B5EF4-FFF2-40B4-BE49-F238E27FC236}">
                  <a16:creationId xmlns:a16="http://schemas.microsoft.com/office/drawing/2014/main" xmlns="" id="{00000000-0008-0000-0800-00002525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103822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LONDON</a:t>
              </a:r>
            </a:p>
          </xdr:txBody>
        </xdr:sp>
        <xdr:sp macro="" textlink="">
          <xdr:nvSpPr>
            <xdr:cNvPr id="9527" name="AutoShape 3039">
              <a:hlinkClick xmlns:r="http://schemas.openxmlformats.org/officeDocument/2006/relationships" r:id="rId62" tooltip="Ugrás a helyszínre"/>
              <a:extLst>
                <a:ext uri="{FF2B5EF4-FFF2-40B4-BE49-F238E27FC236}">
                  <a16:creationId xmlns:a16="http://schemas.microsoft.com/office/drawing/2014/main" xmlns="" id="{00000000-0008-0000-0800-00003725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121920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AMSZTERDAM</a:t>
              </a:r>
            </a:p>
          </xdr:txBody>
        </xdr:sp>
        <xdr:sp macro="" textlink="">
          <xdr:nvSpPr>
            <xdr:cNvPr id="9528" name="AutoShape 3040">
              <a:hlinkClick xmlns:r="http://schemas.openxmlformats.org/officeDocument/2006/relationships" r:id="rId63" tooltip="Ugrás a helyszínre"/>
              <a:extLst>
                <a:ext uri="{FF2B5EF4-FFF2-40B4-BE49-F238E27FC236}">
                  <a16:creationId xmlns:a16="http://schemas.microsoft.com/office/drawing/2014/main" xmlns="" id="{00000000-0008-0000-0800-00003825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140017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SEVILLA</a:t>
              </a:r>
            </a:p>
          </xdr:txBody>
        </xdr:sp>
        <xdr:sp macro="" textlink="">
          <xdr:nvSpPr>
            <xdr:cNvPr id="22497" name="AutoShape 3041">
              <a:hlinkClick xmlns:r="http://schemas.openxmlformats.org/officeDocument/2006/relationships" r:id="rId64" tooltip="Ugrás a helyszínre"/>
              <a:extLst>
                <a:ext uri="{FF2B5EF4-FFF2-40B4-BE49-F238E27FC236}">
                  <a16:creationId xmlns:a16="http://schemas.microsoft.com/office/drawing/2014/main" xmlns="" id="{00000000-0008-0000-0800-0000E157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158115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B84B08"/>
                </a:gs>
                <a:gs pos="100000">
                  <a:srgbClr val="FAB65C"/>
                </a:gs>
              </a:gsLst>
              <a:lin ang="5400000" scaled="1"/>
            </a:gradFill>
            <a:ln w="0" algn="ctr">
              <a:solidFill>
                <a:srgbClr val="D3D3D3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000000"/>
                  </a:solidFill>
                  <a:latin typeface="Arial Unicode MS"/>
                </a:rPr>
                <a:t>RÓMA</a:t>
              </a:r>
            </a:p>
          </xdr:txBody>
        </xdr:sp>
        <xdr:sp macro="" textlink="">
          <xdr:nvSpPr>
            <xdr:cNvPr id="9329" name="AutoShape 1436">
              <a:extLst>
                <a:ext uri="{FF2B5EF4-FFF2-40B4-BE49-F238E27FC236}">
                  <a16:creationId xmlns:a16="http://schemas.microsoft.com/office/drawing/2014/main" xmlns="" id="{00000000-0008-0000-0800-000071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2486025" y="25622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FAB65C"/>
                </a:gs>
                <a:gs pos="100000">
                  <a:srgbClr val="B84B0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529" name="AutoShape 3061">
              <a:hlinkClick xmlns:r="http://schemas.openxmlformats.org/officeDocument/2006/relationships" r:id="rId65" tooltip="Ugrás a helyszínre"/>
              <a:extLst>
                <a:ext uri="{FF2B5EF4-FFF2-40B4-BE49-F238E27FC236}">
                  <a16:creationId xmlns:a16="http://schemas.microsoft.com/office/drawing/2014/main" xmlns="" id="{00000000-0008-0000-0800-00003925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67627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1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SZENTPÉTERVÁR</a:t>
              </a:r>
            </a:p>
          </xdr:txBody>
        </xdr:sp>
        <xdr:sp macro="" textlink="">
          <xdr:nvSpPr>
            <xdr:cNvPr id="9530" name="AutoShape 3062">
              <a:hlinkClick xmlns:r="http://schemas.openxmlformats.org/officeDocument/2006/relationships" r:id="rId66" tooltip="Ugrás a helyszínre"/>
              <a:extLst>
                <a:ext uri="{FF2B5EF4-FFF2-40B4-BE49-F238E27FC236}">
                  <a16:creationId xmlns:a16="http://schemas.microsoft.com/office/drawing/2014/main" xmlns="" id="{00000000-0008-0000-0800-00003A25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85725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KOPPENHÁGA</a:t>
              </a:r>
            </a:p>
          </xdr:txBody>
        </xdr:sp>
        <xdr:sp macro="" textlink="">
          <xdr:nvSpPr>
            <xdr:cNvPr id="9533" name="AutoShape 3063">
              <a:hlinkClick xmlns:r="http://schemas.openxmlformats.org/officeDocument/2006/relationships" r:id="rId67" tooltip="Ugrás a helyszínre"/>
              <a:extLst>
                <a:ext uri="{FF2B5EF4-FFF2-40B4-BE49-F238E27FC236}">
                  <a16:creationId xmlns:a16="http://schemas.microsoft.com/office/drawing/2014/main" xmlns="" id="{00000000-0008-0000-0800-00003D25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103822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MÜNCHEN</a:t>
              </a:r>
            </a:p>
          </xdr:txBody>
        </xdr:sp>
        <xdr:sp macro="" textlink="">
          <xdr:nvSpPr>
            <xdr:cNvPr id="9534" name="AutoShape 3064">
              <a:hlinkClick xmlns:r="http://schemas.openxmlformats.org/officeDocument/2006/relationships" r:id="rId68" tooltip="Ugrás a helyszínre"/>
              <a:extLst>
                <a:ext uri="{FF2B5EF4-FFF2-40B4-BE49-F238E27FC236}">
                  <a16:creationId xmlns:a16="http://schemas.microsoft.com/office/drawing/2014/main" xmlns="" id="{00000000-0008-0000-0800-00003E25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121920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BUDAPEST</a:t>
              </a:r>
            </a:p>
          </xdr:txBody>
        </xdr:sp>
        <xdr:sp macro="" textlink="">
          <xdr:nvSpPr>
            <xdr:cNvPr id="9535" name="AutoShape 3065">
              <a:hlinkClick xmlns:r="http://schemas.openxmlformats.org/officeDocument/2006/relationships" r:id="rId69" tooltip="Ugrás a helyszínre"/>
              <a:extLst>
                <a:ext uri="{FF2B5EF4-FFF2-40B4-BE49-F238E27FC236}">
                  <a16:creationId xmlns:a16="http://schemas.microsoft.com/office/drawing/2014/main" xmlns="" id="{00000000-0008-0000-0800-00003F25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140017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BUKAREST</a:t>
              </a:r>
            </a:p>
          </xdr:txBody>
        </xdr:sp>
        <xdr:sp macro="" textlink="">
          <xdr:nvSpPr>
            <xdr:cNvPr id="9293" name="AutoShape 3066">
              <a:hlinkClick xmlns:r="http://schemas.openxmlformats.org/officeDocument/2006/relationships" r:id="rId70" tooltip="Ugrás a helyszínre"/>
              <a:extLst>
                <a:ext uri="{FF2B5EF4-FFF2-40B4-BE49-F238E27FC236}">
                  <a16:creationId xmlns:a16="http://schemas.microsoft.com/office/drawing/2014/main" xmlns="" id="{00000000-0008-0000-0800-00004D24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158115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BAKU</a:t>
              </a:r>
            </a:p>
          </xdr:txBody>
        </xdr:sp>
        <xdr:sp macro="" textlink="">
          <xdr:nvSpPr>
            <xdr:cNvPr id="9336" name="AutoShape 1436">
              <a:extLst>
                <a:ext uri="{FF2B5EF4-FFF2-40B4-BE49-F238E27FC236}">
                  <a16:creationId xmlns:a16="http://schemas.microsoft.com/office/drawing/2014/main" xmlns="" id="{00000000-0008-0000-0800-000078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2257425" y="128587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337" name="AutoShape 1436">
              <a:extLst>
                <a:ext uri="{FF2B5EF4-FFF2-40B4-BE49-F238E27FC236}">
                  <a16:creationId xmlns:a16="http://schemas.microsoft.com/office/drawing/2014/main" xmlns="" id="{00000000-0008-0000-0800-000079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1876425" y="129540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338" name="AutoShape 1436">
              <a:extLst>
                <a:ext uri="{FF2B5EF4-FFF2-40B4-BE49-F238E27FC236}">
                  <a16:creationId xmlns:a16="http://schemas.microsoft.com/office/drawing/2014/main" xmlns="" id="{00000000-0008-0000-0800-00007A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1828800" y="7715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339" name="AutoShape 1436">
              <a:extLst>
                <a:ext uri="{FF2B5EF4-FFF2-40B4-BE49-F238E27FC236}">
                  <a16:creationId xmlns:a16="http://schemas.microsoft.com/office/drawing/2014/main" xmlns="" id="{00000000-0008-0000-0800-00007B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1581150" y="100965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340" name="AutoShape 1436">
              <a:extLst>
                <a:ext uri="{FF2B5EF4-FFF2-40B4-BE49-F238E27FC236}">
                  <a16:creationId xmlns:a16="http://schemas.microsoft.com/office/drawing/2014/main" xmlns="" id="{00000000-0008-0000-0800-00007C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3819525" y="70485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341" name="AutoShape 1436">
              <a:extLst>
                <a:ext uri="{FF2B5EF4-FFF2-40B4-BE49-F238E27FC236}">
                  <a16:creationId xmlns:a16="http://schemas.microsoft.com/office/drawing/2014/main" xmlns="" id="{00000000-0008-0000-0800-00007D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2790825" y="108585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342" name="AutoShape 1436">
              <a:extLst>
                <a:ext uri="{FF2B5EF4-FFF2-40B4-BE49-F238E27FC236}">
                  <a16:creationId xmlns:a16="http://schemas.microsoft.com/office/drawing/2014/main" xmlns="" id="{00000000-0008-0000-0800-00007E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3143250" y="201930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343" name="AutoShape 1436">
              <a:extLst>
                <a:ext uri="{FF2B5EF4-FFF2-40B4-BE49-F238E27FC236}">
                  <a16:creationId xmlns:a16="http://schemas.microsoft.com/office/drawing/2014/main" xmlns="" id="{00000000-0008-0000-0800-00007F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2552700" y="185737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344" name="AutoShape 1436">
              <a:extLst>
                <a:ext uri="{FF2B5EF4-FFF2-40B4-BE49-F238E27FC236}">
                  <a16:creationId xmlns:a16="http://schemas.microsoft.com/office/drawing/2014/main" xmlns="" id="{00000000-0008-0000-0800-000080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3638550" y="24098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345" name="AutoShape 1436">
              <a:extLst>
                <a:ext uri="{FF2B5EF4-FFF2-40B4-BE49-F238E27FC236}">
                  <a16:creationId xmlns:a16="http://schemas.microsoft.com/office/drawing/2014/main" xmlns="" id="{00000000-0008-0000-0800-000081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5295900" y="24479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22</xdr:col>
      <xdr:colOff>0</xdr:colOff>
      <xdr:row>3</xdr:row>
      <xdr:rowOff>0</xdr:rowOff>
    </xdr:to>
    <xdr:grpSp>
      <xdr:nvGrpSpPr>
        <xdr:cNvPr id="9279" name="Csoportba foglalás 2">
          <a:extLst>
            <a:ext uri="{FF2B5EF4-FFF2-40B4-BE49-F238E27FC236}">
              <a16:creationId xmlns:a16="http://schemas.microsoft.com/office/drawing/2014/main" xmlns="" id="{00000000-0008-0000-0800-00003F240000}"/>
            </a:ext>
          </a:extLst>
        </xdr:cNvPr>
        <xdr:cNvGrpSpPr>
          <a:grpSpLocks/>
        </xdr:cNvGrpSpPr>
      </xdr:nvGrpSpPr>
      <xdr:grpSpPr bwMode="auto">
        <a:xfrm>
          <a:off x="0" y="0"/>
          <a:ext cx="11991975" cy="361950"/>
          <a:chOff x="0" y="0"/>
          <a:chExt cx="11991975" cy="364644"/>
        </a:xfrm>
      </xdr:grpSpPr>
      <xdr:pic>
        <xdr:nvPicPr>
          <xdr:cNvPr id="9292" name="Picture 1711">
            <a:extLst>
              <a:ext uri="{FF2B5EF4-FFF2-40B4-BE49-F238E27FC236}">
                <a16:creationId xmlns:a16="http://schemas.microsoft.com/office/drawing/2014/main" xmlns="" id="{00000000-0008-0000-0800-00004C2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1991975" cy="361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1168" name="AutoShape 1712">
            <a:hlinkClick xmlns:r="http://schemas.openxmlformats.org/officeDocument/2006/relationships" r:id="rId72" tooltip="Tippjáték"/>
            <a:extLst>
              <a:ext uri="{FF2B5EF4-FFF2-40B4-BE49-F238E27FC236}">
                <a16:creationId xmlns:a16="http://schemas.microsoft.com/office/drawing/2014/main" xmlns="" id="{00000000-0008-0000-0800-0000B0520000}"/>
              </a:ext>
            </a:extLst>
          </xdr:cNvPr>
          <xdr:cNvSpPr>
            <a:spLocks noChangeArrowheads="1"/>
          </xdr:cNvSpPr>
        </xdr:nvSpPr>
        <xdr:spPr bwMode="auto">
          <a:xfrm>
            <a:off x="107537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TIPPJÁTÉK</a:t>
            </a:r>
          </a:p>
        </xdr:txBody>
      </xdr:sp>
      <xdr:sp macro="" textlink="">
        <xdr:nvSpPr>
          <xdr:cNvPr id="21169" name="AutoShape 1713">
            <a:hlinkClick xmlns:r="http://schemas.openxmlformats.org/officeDocument/2006/relationships" r:id="rId73" tooltip="Használati ismertető"/>
            <a:extLst>
              <a:ext uri="{FF2B5EF4-FFF2-40B4-BE49-F238E27FC236}">
                <a16:creationId xmlns:a16="http://schemas.microsoft.com/office/drawing/2014/main" xmlns="" id="{00000000-0008-0000-0800-0000B1520000}"/>
              </a:ext>
            </a:extLst>
          </xdr:cNvPr>
          <xdr:cNvSpPr>
            <a:spLocks noChangeArrowheads="1"/>
          </xdr:cNvSpPr>
        </xdr:nvSpPr>
        <xdr:spPr bwMode="auto">
          <a:xfrm>
            <a:off x="11553825" y="19192"/>
            <a:ext cx="438150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SÚGÓ</a:t>
            </a:r>
          </a:p>
        </xdr:txBody>
      </xdr:sp>
      <xdr:pic>
        <xdr:nvPicPr>
          <xdr:cNvPr id="9295" name="Picture 1725" descr="NS-logo_szurke">
            <a:hlinkClick xmlns:r="http://schemas.openxmlformats.org/officeDocument/2006/relationships" r:id="rId74" tooltip="További szurkolói füzetek a Nemzeti Sport honlapján"/>
            <a:extLst>
              <a:ext uri="{FF2B5EF4-FFF2-40B4-BE49-F238E27FC236}">
                <a16:creationId xmlns:a16="http://schemas.microsoft.com/office/drawing/2014/main" xmlns="" id="{00000000-0008-0000-0800-00004F2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5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12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7625" y="38384"/>
            <a:ext cx="704850" cy="287877"/>
          </a:xfrm>
          <a:prstGeom prst="rect">
            <a:avLst/>
          </a:prstGeom>
          <a:noFill/>
          <a:ln>
            <a:noFill/>
          </a:ln>
          <a:effectLst>
            <a:outerShdw dist="35921" dir="2700000" algn="ctr" rotWithShape="0">
              <a:srgbClr val="333333"/>
            </a:outerShdw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296" name="Picture 1726">
            <a:extLst>
              <a:ext uri="{FF2B5EF4-FFF2-40B4-BE49-F238E27FC236}">
                <a16:creationId xmlns:a16="http://schemas.microsoft.com/office/drawing/2014/main" xmlns="" id="{00000000-0008-0000-0800-0000502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419350" y="38384"/>
            <a:ext cx="981075" cy="287877"/>
          </a:xfrm>
          <a:prstGeom prst="rect">
            <a:avLst/>
          </a:prstGeom>
          <a:noFill/>
          <a:ln>
            <a:noFill/>
          </a:ln>
          <a:effectLst>
            <a:outerShdw dist="35921" dir="2700000" algn="ctr" rotWithShape="0">
              <a:srgbClr val="333333"/>
            </a:outerShdw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1183" name="AutoShape 1727">
            <a:hlinkClick xmlns:r="http://schemas.openxmlformats.org/officeDocument/2006/relationships" r:id="rId77" tooltip="A csoportok állása"/>
            <a:extLst>
              <a:ext uri="{FF2B5EF4-FFF2-40B4-BE49-F238E27FC236}">
                <a16:creationId xmlns:a16="http://schemas.microsoft.com/office/drawing/2014/main" xmlns="" id="{00000000-0008-0000-0800-0000BF520000}"/>
              </a:ext>
            </a:extLst>
          </xdr:cNvPr>
          <xdr:cNvSpPr>
            <a:spLocks noChangeArrowheads="1"/>
          </xdr:cNvSpPr>
        </xdr:nvSpPr>
        <xdr:spPr bwMode="auto">
          <a:xfrm>
            <a:off x="43529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TABELLÁK</a:t>
            </a:r>
          </a:p>
        </xdr:txBody>
      </xdr:sp>
      <xdr:sp macro="" textlink="">
        <xdr:nvSpPr>
          <xdr:cNvPr id="9298" name="AutoShape 1436">
            <a:extLst>
              <a:ext uri="{FF2B5EF4-FFF2-40B4-BE49-F238E27FC236}">
                <a16:creationId xmlns:a16="http://schemas.microsoft.com/office/drawing/2014/main" xmlns="" id="{00000000-0008-0000-0800-00005224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9815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066" name="AutoShape 1729">
            <a:hlinkClick xmlns:r="http://schemas.openxmlformats.org/officeDocument/2006/relationships" r:id="rId78" tooltip="Eredmények rögzítése"/>
            <a:extLst>
              <a:ext uri="{FF2B5EF4-FFF2-40B4-BE49-F238E27FC236}">
                <a16:creationId xmlns:a16="http://schemas.microsoft.com/office/drawing/2014/main" xmlns="" id="{00000000-0008-0000-0800-0000A26D0000}"/>
              </a:ext>
            </a:extLst>
          </xdr:cNvPr>
          <xdr:cNvSpPr>
            <a:spLocks noChangeArrowheads="1"/>
          </xdr:cNvSpPr>
        </xdr:nvSpPr>
        <xdr:spPr bwMode="auto">
          <a:xfrm>
            <a:off x="35528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EREDMÉNYEK</a:t>
            </a:r>
          </a:p>
        </xdr:txBody>
      </xdr:sp>
      <xdr:sp macro="" textlink="">
        <xdr:nvSpPr>
          <xdr:cNvPr id="9300" name="AutoShape 1436">
            <a:extLst>
              <a:ext uri="{FF2B5EF4-FFF2-40B4-BE49-F238E27FC236}">
                <a16:creationId xmlns:a16="http://schemas.microsoft.com/office/drawing/2014/main" xmlns="" id="{00000000-0008-0000-0800-00005424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41814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187" name="AutoShape 1731">
            <a:hlinkClick xmlns:r="http://schemas.openxmlformats.org/officeDocument/2006/relationships" r:id="rId79" tooltip="A legjobb 16 csapat párosításának megtekintése"/>
            <a:extLst>
              <a:ext uri="{FF2B5EF4-FFF2-40B4-BE49-F238E27FC236}">
                <a16:creationId xmlns:a16="http://schemas.microsoft.com/office/drawing/2014/main" xmlns="" id="{00000000-0008-0000-0800-0000C3520000}"/>
              </a:ext>
            </a:extLst>
          </xdr:cNvPr>
          <xdr:cNvSpPr>
            <a:spLocks noChangeArrowheads="1"/>
          </xdr:cNvSpPr>
        </xdr:nvSpPr>
        <xdr:spPr bwMode="auto">
          <a:xfrm>
            <a:off x="51530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ÁGRAJZ</a:t>
            </a:r>
          </a:p>
        </xdr:txBody>
      </xdr:sp>
      <xdr:sp macro="" textlink="">
        <xdr:nvSpPr>
          <xdr:cNvPr id="21188" name="AutoShape 1732">
            <a:hlinkClick xmlns:r="http://schemas.openxmlformats.org/officeDocument/2006/relationships" r:id="rId80" tooltip="Az Európa-bajnokság végeredménye"/>
            <a:extLst>
              <a:ext uri="{FF2B5EF4-FFF2-40B4-BE49-F238E27FC236}">
                <a16:creationId xmlns:a16="http://schemas.microsoft.com/office/drawing/2014/main" xmlns="" id="{00000000-0008-0000-0800-0000C4520000}"/>
              </a:ext>
            </a:extLst>
          </xdr:cNvPr>
          <xdr:cNvSpPr>
            <a:spLocks noChangeArrowheads="1"/>
          </xdr:cNvSpPr>
        </xdr:nvSpPr>
        <xdr:spPr bwMode="auto">
          <a:xfrm>
            <a:off x="59531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RANGSOR</a:t>
            </a:r>
          </a:p>
        </xdr:txBody>
      </xdr:sp>
      <xdr:sp macro="" textlink="">
        <xdr:nvSpPr>
          <xdr:cNvPr id="21189" name="AutoShape 1733">
            <a:hlinkClick xmlns:r="http://schemas.openxmlformats.org/officeDocument/2006/relationships" r:id="rId81" tooltip="Gólszerzők rögzítése"/>
            <a:extLst>
              <a:ext uri="{FF2B5EF4-FFF2-40B4-BE49-F238E27FC236}">
                <a16:creationId xmlns:a16="http://schemas.microsoft.com/office/drawing/2014/main" xmlns="" id="{00000000-0008-0000-0800-0000C5520000}"/>
              </a:ext>
            </a:extLst>
          </xdr:cNvPr>
          <xdr:cNvSpPr>
            <a:spLocks noChangeArrowheads="1"/>
          </xdr:cNvSpPr>
        </xdr:nvSpPr>
        <xdr:spPr bwMode="auto">
          <a:xfrm>
            <a:off x="67532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GÓLSZERZŐK</a:t>
            </a:r>
          </a:p>
        </xdr:txBody>
      </xdr:sp>
      <xdr:sp macro="" textlink="">
        <xdr:nvSpPr>
          <xdr:cNvPr id="21190" name="AutoShape 1734">
            <a:hlinkClick xmlns:r="http://schemas.openxmlformats.org/officeDocument/2006/relationships" r:id="rId82" tooltip="Góllövőlista megtekintése"/>
            <a:extLst>
              <a:ext uri="{FF2B5EF4-FFF2-40B4-BE49-F238E27FC236}">
                <a16:creationId xmlns:a16="http://schemas.microsoft.com/office/drawing/2014/main" xmlns="" id="{00000000-0008-0000-0800-0000C6520000}"/>
              </a:ext>
            </a:extLst>
          </xdr:cNvPr>
          <xdr:cNvSpPr>
            <a:spLocks noChangeArrowheads="1"/>
          </xdr:cNvSpPr>
        </xdr:nvSpPr>
        <xdr:spPr bwMode="auto">
          <a:xfrm>
            <a:off x="75533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GÓLLÖVŐ</a:t>
            </a:r>
          </a:p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LISTA</a:t>
            </a:r>
          </a:p>
        </xdr:txBody>
      </xdr:sp>
      <xdr:sp macro="" textlink="">
        <xdr:nvSpPr>
          <xdr:cNvPr id="21191" name="AutoShape 1735">
            <a:hlinkClick xmlns:r="http://schemas.openxmlformats.org/officeDocument/2006/relationships" r:id="rId83" tooltip="A csoportok beosztása"/>
            <a:extLst>
              <a:ext uri="{FF2B5EF4-FFF2-40B4-BE49-F238E27FC236}">
                <a16:creationId xmlns:a16="http://schemas.microsoft.com/office/drawing/2014/main" xmlns="" id="{00000000-0008-0000-0800-0000C7520000}"/>
              </a:ext>
            </a:extLst>
          </xdr:cNvPr>
          <xdr:cNvSpPr>
            <a:spLocks noChangeArrowheads="1"/>
          </xdr:cNvSpPr>
        </xdr:nvSpPr>
        <xdr:spPr bwMode="auto">
          <a:xfrm>
            <a:off x="83534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CSOPORTOK</a:t>
            </a:r>
          </a:p>
        </xdr:txBody>
      </xdr:sp>
      <xdr:sp macro="" textlink="">
        <xdr:nvSpPr>
          <xdr:cNvPr id="21192" name="AutoShape 1736">
            <a:hlinkClick xmlns:r="http://schemas.openxmlformats.org/officeDocument/2006/relationships" r:id="rId84" tooltip="A csapatok összeállítása"/>
            <a:extLst>
              <a:ext uri="{FF2B5EF4-FFF2-40B4-BE49-F238E27FC236}">
                <a16:creationId xmlns:a16="http://schemas.microsoft.com/office/drawing/2014/main" xmlns="" id="{00000000-0008-0000-0800-0000C8520000}"/>
              </a:ext>
            </a:extLst>
          </xdr:cNvPr>
          <xdr:cNvSpPr>
            <a:spLocks noChangeArrowheads="1"/>
          </xdr:cNvSpPr>
        </xdr:nvSpPr>
        <xdr:spPr bwMode="auto">
          <a:xfrm>
            <a:off x="91535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09CB3">
                  <a:alpha val="37000"/>
                </a:srgbClr>
              </a:gs>
              <a:gs pos="100000">
                <a:srgbClr val="000000">
                  <a:alpha val="37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 upright="1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94DEE8"/>
                </a:solidFill>
                <a:latin typeface="Arial Unicode MS"/>
              </a:rPr>
              <a:t>CSAPATOK</a:t>
            </a:r>
          </a:p>
        </xdr:txBody>
      </xdr:sp>
      <xdr:sp macro="" textlink="">
        <xdr:nvSpPr>
          <xdr:cNvPr id="28074" name="AutoShape 1737">
            <a:hlinkClick xmlns:r="http://schemas.openxmlformats.org/officeDocument/2006/relationships" r:id="rId85" tooltip="Helyszínek és stadionok"/>
            <a:extLst>
              <a:ext uri="{FF2B5EF4-FFF2-40B4-BE49-F238E27FC236}">
                <a16:creationId xmlns:a16="http://schemas.microsoft.com/office/drawing/2014/main" xmlns="" id="{00000000-0008-0000-0800-0000AA6D0000}"/>
              </a:ext>
            </a:extLst>
          </xdr:cNvPr>
          <xdr:cNvSpPr>
            <a:spLocks noChangeArrowheads="1"/>
          </xdr:cNvSpPr>
        </xdr:nvSpPr>
        <xdr:spPr bwMode="auto">
          <a:xfrm>
            <a:off x="9953625" y="19192"/>
            <a:ext cx="790575" cy="335856"/>
          </a:xfrm>
          <a:prstGeom prst="roundRect">
            <a:avLst>
              <a:gd name="adj" fmla="val 10000"/>
            </a:avLst>
          </a:prstGeom>
          <a:gradFill rotWithShape="1">
            <a:gsLst>
              <a:gs pos="0">
                <a:srgbClr val="010F3E">
                  <a:alpha val="56000"/>
                </a:srgbClr>
              </a:gs>
              <a:gs pos="100000">
                <a:srgbClr val="009CB3">
                  <a:alpha val="56000"/>
                </a:srgbClr>
              </a:gs>
            </a:gsLst>
            <a:lin ang="5400000" scaled="1"/>
          </a:gradFill>
          <a:ln w="0" algn="ctr">
            <a:solidFill>
              <a:srgbClr val="005C68"/>
            </a:solidFill>
            <a:round/>
            <a:headEnd/>
            <a:tailEnd/>
          </a:ln>
          <a:effectLst/>
        </xdr:spPr>
        <xdr:txBody>
          <a:bodyPr vertOverflow="clip" wrap="square" lIns="54000" tIns="36000" rIns="0" bIns="0" anchor="t"/>
          <a:lstStyle/>
          <a:p>
            <a:pPr algn="l" rtl="0">
              <a:defRPr sz="1000"/>
            </a:pPr>
            <a:r>
              <a:rPr lang="hu-HU" sz="600" b="1" i="0" u="none" strike="noStrike" baseline="0">
                <a:solidFill>
                  <a:srgbClr val="FAB65C"/>
                </a:solidFill>
                <a:latin typeface="Arial Unicode MS"/>
              </a:rPr>
              <a:t>HELYSZÍNEK</a:t>
            </a:r>
          </a:p>
        </xdr:txBody>
      </xdr:sp>
      <xdr:sp macro="" textlink="">
        <xdr:nvSpPr>
          <xdr:cNvPr id="9308" name="AutoShape 1436">
            <a:extLst>
              <a:ext uri="{FF2B5EF4-FFF2-40B4-BE49-F238E27FC236}">
                <a16:creationId xmlns:a16="http://schemas.microsoft.com/office/drawing/2014/main" xmlns="" id="{00000000-0008-0000-0800-00005C24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97821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309" name="AutoShape 1436">
            <a:extLst>
              <a:ext uri="{FF2B5EF4-FFF2-40B4-BE49-F238E27FC236}">
                <a16:creationId xmlns:a16="http://schemas.microsoft.com/office/drawing/2014/main" xmlns="" id="{00000000-0008-0000-0800-00005D24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13823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310" name="AutoShape 1436">
            <a:extLst>
              <a:ext uri="{FF2B5EF4-FFF2-40B4-BE49-F238E27FC236}">
                <a16:creationId xmlns:a16="http://schemas.microsoft.com/office/drawing/2014/main" xmlns="" id="{00000000-0008-0000-0800-00005E24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5822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FAB65C"/>
              </a:gs>
              <a:gs pos="100000">
                <a:srgbClr val="333333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311" name="AutoShape 1436">
            <a:extLst>
              <a:ext uri="{FF2B5EF4-FFF2-40B4-BE49-F238E27FC236}">
                <a16:creationId xmlns:a16="http://schemas.microsoft.com/office/drawing/2014/main" xmlns="" id="{00000000-0008-0000-0800-00005F24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73818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312" name="AutoShape 1436">
            <a:extLst>
              <a:ext uri="{FF2B5EF4-FFF2-40B4-BE49-F238E27FC236}">
                <a16:creationId xmlns:a16="http://schemas.microsoft.com/office/drawing/2014/main" xmlns="" id="{00000000-0008-0000-0800-00006024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89820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313" name="AutoShape 1436">
            <a:extLst>
              <a:ext uri="{FF2B5EF4-FFF2-40B4-BE49-F238E27FC236}">
                <a16:creationId xmlns:a16="http://schemas.microsoft.com/office/drawing/2014/main" xmlns="" id="{00000000-0008-0000-0800-00006124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65817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314" name="AutoShape 1436">
            <a:extLst>
              <a:ext uri="{FF2B5EF4-FFF2-40B4-BE49-F238E27FC236}">
                <a16:creationId xmlns:a16="http://schemas.microsoft.com/office/drawing/2014/main" xmlns="" id="{00000000-0008-0000-0800-00006224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57816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315" name="AutoShape 1436">
            <a:extLst>
              <a:ext uri="{FF2B5EF4-FFF2-40B4-BE49-F238E27FC236}">
                <a16:creationId xmlns:a16="http://schemas.microsoft.com/office/drawing/2014/main" xmlns="" id="{00000000-0008-0000-0800-00006324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1830050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316" name="AutoShape 1436">
            <a:extLst>
              <a:ext uri="{FF2B5EF4-FFF2-40B4-BE49-F238E27FC236}">
                <a16:creationId xmlns:a16="http://schemas.microsoft.com/office/drawing/2014/main" xmlns="" id="{00000000-0008-0000-0800-00006424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8181975" y="200025"/>
            <a:ext cx="104775" cy="104775"/>
          </a:xfrm>
          <a:prstGeom prst="flowChartConnector">
            <a:avLst/>
          </a:prstGeom>
          <a:gradFill rotWithShape="0">
            <a:gsLst>
              <a:gs pos="0">
                <a:srgbClr val="009CB3"/>
              </a:gs>
              <a:gs pos="100000">
                <a:srgbClr val="010F3E"/>
              </a:gs>
            </a:gsLst>
            <a:path path="shape">
              <a:fillToRect l="50000" t="50000" r="50000" b="50000"/>
            </a:path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pic>
        <xdr:nvPicPr>
          <xdr:cNvPr id="9317" name="Kép 1">
            <a:hlinkClick xmlns:r="http://schemas.openxmlformats.org/officeDocument/2006/relationships" r:id="rId86" tooltip="Mail to Gyworks"/>
            <a:extLst>
              <a:ext uri="{FF2B5EF4-FFF2-40B4-BE49-F238E27FC236}">
                <a16:creationId xmlns:a16="http://schemas.microsoft.com/office/drawing/2014/main" xmlns="" id="{00000000-0008-0000-0800-00006524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6300" y="47625"/>
            <a:ext cx="1383912" cy="31701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15</xdr:col>
      <xdr:colOff>590550</xdr:colOff>
      <xdr:row>55</xdr:row>
      <xdr:rowOff>28575</xdr:rowOff>
    </xdr:from>
    <xdr:to>
      <xdr:col>21</xdr:col>
      <xdr:colOff>228600</xdr:colOff>
      <xdr:row>61</xdr:row>
      <xdr:rowOff>114300</xdr:rowOff>
    </xdr:to>
    <xdr:pic>
      <xdr:nvPicPr>
        <xdr:cNvPr id="9280" name="Picture 3747">
          <a:extLst>
            <a:ext uri="{FF2B5EF4-FFF2-40B4-BE49-F238E27FC236}">
              <a16:creationId xmlns:a16="http://schemas.microsoft.com/office/drawing/2014/main" xmlns="" id="{00000000-0008-0000-0800-000040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368"/>
        <a:stretch>
          <a:fillRect/>
        </a:stretch>
      </xdr:blipFill>
      <xdr:spPr bwMode="auto">
        <a:xfrm>
          <a:off x="9048750" y="8239125"/>
          <a:ext cx="28098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590550</xdr:colOff>
      <xdr:row>5</xdr:row>
      <xdr:rowOff>19050</xdr:rowOff>
    </xdr:from>
    <xdr:to>
      <xdr:col>21</xdr:col>
      <xdr:colOff>238125</xdr:colOff>
      <xdr:row>11</xdr:row>
      <xdr:rowOff>114300</xdr:rowOff>
    </xdr:to>
    <xdr:pic>
      <xdr:nvPicPr>
        <xdr:cNvPr id="9281" name="Picture 3984">
          <a:extLst>
            <a:ext uri="{FF2B5EF4-FFF2-40B4-BE49-F238E27FC236}">
              <a16:creationId xmlns:a16="http://schemas.microsoft.com/office/drawing/2014/main" xmlns="" id="{00000000-0008-0000-0800-00004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82" b="10629"/>
        <a:stretch>
          <a:fillRect/>
        </a:stretch>
      </xdr:blipFill>
      <xdr:spPr bwMode="auto">
        <a:xfrm>
          <a:off x="9048750" y="628650"/>
          <a:ext cx="28194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590550</xdr:colOff>
      <xdr:row>112</xdr:row>
      <xdr:rowOff>9525</xdr:rowOff>
    </xdr:from>
    <xdr:to>
      <xdr:col>21</xdr:col>
      <xdr:colOff>228600</xdr:colOff>
      <xdr:row>118</xdr:row>
      <xdr:rowOff>104775</xdr:rowOff>
    </xdr:to>
    <xdr:pic>
      <xdr:nvPicPr>
        <xdr:cNvPr id="9282" name="Picture 4005">
          <a:extLst>
            <a:ext uri="{FF2B5EF4-FFF2-40B4-BE49-F238E27FC236}">
              <a16:creationId xmlns:a16="http://schemas.microsoft.com/office/drawing/2014/main" xmlns="" id="{00000000-0008-0000-0800-000042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" b="14871"/>
        <a:stretch>
          <a:fillRect/>
        </a:stretch>
      </xdr:blipFill>
      <xdr:spPr bwMode="auto">
        <a:xfrm>
          <a:off x="9048750" y="16906875"/>
          <a:ext cx="28098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590550</xdr:colOff>
      <xdr:row>105</xdr:row>
      <xdr:rowOff>28575</xdr:rowOff>
    </xdr:from>
    <xdr:to>
      <xdr:col>21</xdr:col>
      <xdr:colOff>228600</xdr:colOff>
      <xdr:row>111</xdr:row>
      <xdr:rowOff>76200</xdr:rowOff>
    </xdr:to>
    <xdr:pic>
      <xdr:nvPicPr>
        <xdr:cNvPr id="9283" name="Picture 4003">
          <a:extLst>
            <a:ext uri="{FF2B5EF4-FFF2-40B4-BE49-F238E27FC236}">
              <a16:creationId xmlns:a16="http://schemas.microsoft.com/office/drawing/2014/main" xmlns="" id="{00000000-0008-0000-0800-00004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580"/>
        <a:stretch>
          <a:fillRect/>
        </a:stretch>
      </xdr:blipFill>
      <xdr:spPr bwMode="auto">
        <a:xfrm>
          <a:off x="9048750" y="15840075"/>
          <a:ext cx="28098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600075</xdr:colOff>
      <xdr:row>155</xdr:row>
      <xdr:rowOff>28575</xdr:rowOff>
    </xdr:from>
    <xdr:to>
      <xdr:col>21</xdr:col>
      <xdr:colOff>238125</xdr:colOff>
      <xdr:row>162</xdr:row>
      <xdr:rowOff>123825</xdr:rowOff>
    </xdr:to>
    <xdr:pic>
      <xdr:nvPicPr>
        <xdr:cNvPr id="9284" name="Picture 3893">
          <a:extLst>
            <a:ext uri="{FF2B5EF4-FFF2-40B4-BE49-F238E27FC236}">
              <a16:creationId xmlns:a16="http://schemas.microsoft.com/office/drawing/2014/main" xmlns="" id="{00000000-0008-0000-0800-000044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4871"/>
        <a:stretch>
          <a:fillRect/>
        </a:stretch>
      </xdr:blipFill>
      <xdr:spPr bwMode="auto">
        <a:xfrm>
          <a:off x="9058275" y="23441025"/>
          <a:ext cx="28098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600075</xdr:colOff>
      <xdr:row>205</xdr:row>
      <xdr:rowOff>38100</xdr:rowOff>
    </xdr:from>
    <xdr:to>
      <xdr:col>21</xdr:col>
      <xdr:colOff>238125</xdr:colOff>
      <xdr:row>212</xdr:row>
      <xdr:rowOff>19050</xdr:rowOff>
    </xdr:to>
    <xdr:pic>
      <xdr:nvPicPr>
        <xdr:cNvPr id="9285" name="Picture 3832">
          <a:extLst>
            <a:ext uri="{FF2B5EF4-FFF2-40B4-BE49-F238E27FC236}">
              <a16:creationId xmlns:a16="http://schemas.microsoft.com/office/drawing/2014/main" xmlns="" id="{00000000-0008-0000-0800-00004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78" b="16931"/>
        <a:stretch>
          <a:fillRect/>
        </a:stretch>
      </xdr:blipFill>
      <xdr:spPr bwMode="auto">
        <a:xfrm>
          <a:off x="9058275" y="31051500"/>
          <a:ext cx="28098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600075</xdr:colOff>
      <xdr:row>255</xdr:row>
      <xdr:rowOff>19050</xdr:rowOff>
    </xdr:from>
    <xdr:to>
      <xdr:col>21</xdr:col>
      <xdr:colOff>238125</xdr:colOff>
      <xdr:row>262</xdr:row>
      <xdr:rowOff>0</xdr:rowOff>
    </xdr:to>
    <xdr:pic>
      <xdr:nvPicPr>
        <xdr:cNvPr id="9286" name="Picture 3993">
          <a:extLst>
            <a:ext uri="{FF2B5EF4-FFF2-40B4-BE49-F238E27FC236}">
              <a16:creationId xmlns:a16="http://schemas.microsoft.com/office/drawing/2014/main" xmlns="" id="{00000000-0008-0000-0800-00004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6865" b="16245"/>
        <a:stretch>
          <a:fillRect/>
        </a:stretch>
      </xdr:blipFill>
      <xdr:spPr bwMode="auto">
        <a:xfrm>
          <a:off x="9058275" y="38633400"/>
          <a:ext cx="28098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600075</xdr:colOff>
      <xdr:row>305</xdr:row>
      <xdr:rowOff>28575</xdr:rowOff>
    </xdr:from>
    <xdr:to>
      <xdr:col>21</xdr:col>
      <xdr:colOff>238125</xdr:colOff>
      <xdr:row>311</xdr:row>
      <xdr:rowOff>123825</xdr:rowOff>
    </xdr:to>
    <xdr:pic>
      <xdr:nvPicPr>
        <xdr:cNvPr id="9287" name="Picture 3953">
          <a:extLst>
            <a:ext uri="{FF2B5EF4-FFF2-40B4-BE49-F238E27FC236}">
              <a16:creationId xmlns:a16="http://schemas.microsoft.com/office/drawing/2014/main" xmlns="" id="{00000000-0008-0000-0800-000047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028" b="2"/>
        <a:stretch>
          <a:fillRect/>
        </a:stretch>
      </xdr:blipFill>
      <xdr:spPr bwMode="auto">
        <a:xfrm>
          <a:off x="9058275" y="46243875"/>
          <a:ext cx="28098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600075</xdr:colOff>
      <xdr:row>355</xdr:row>
      <xdr:rowOff>28575</xdr:rowOff>
    </xdr:from>
    <xdr:to>
      <xdr:col>21</xdr:col>
      <xdr:colOff>238125</xdr:colOff>
      <xdr:row>361</xdr:row>
      <xdr:rowOff>28575</xdr:rowOff>
    </xdr:to>
    <xdr:pic>
      <xdr:nvPicPr>
        <xdr:cNvPr id="9288" name="Picture 3932">
          <a:extLst>
            <a:ext uri="{FF2B5EF4-FFF2-40B4-BE49-F238E27FC236}">
              <a16:creationId xmlns:a16="http://schemas.microsoft.com/office/drawing/2014/main" xmlns="" id="{00000000-0008-0000-0800-000048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36" b="29800"/>
        <a:stretch>
          <a:fillRect/>
        </a:stretch>
      </xdr:blipFill>
      <xdr:spPr bwMode="auto">
        <a:xfrm>
          <a:off x="9058275" y="53844825"/>
          <a:ext cx="28098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600075</xdr:colOff>
      <xdr:row>505</xdr:row>
      <xdr:rowOff>28575</xdr:rowOff>
    </xdr:from>
    <xdr:to>
      <xdr:col>21</xdr:col>
      <xdr:colOff>238125</xdr:colOff>
      <xdr:row>512</xdr:row>
      <xdr:rowOff>28575</xdr:rowOff>
    </xdr:to>
    <xdr:pic>
      <xdr:nvPicPr>
        <xdr:cNvPr id="9289" name="Picture 3966">
          <a:extLst>
            <a:ext uri="{FF2B5EF4-FFF2-40B4-BE49-F238E27FC236}">
              <a16:creationId xmlns:a16="http://schemas.microsoft.com/office/drawing/2014/main" xmlns="" id="{00000000-0008-0000-0800-000049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103" b="6633"/>
        <a:stretch>
          <a:fillRect/>
        </a:stretch>
      </xdr:blipFill>
      <xdr:spPr bwMode="auto">
        <a:xfrm>
          <a:off x="9058275" y="76647675"/>
          <a:ext cx="28098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600075</xdr:colOff>
      <xdr:row>455</xdr:row>
      <xdr:rowOff>28575</xdr:rowOff>
    </xdr:from>
    <xdr:to>
      <xdr:col>21</xdr:col>
      <xdr:colOff>238125</xdr:colOff>
      <xdr:row>461</xdr:row>
      <xdr:rowOff>171450</xdr:rowOff>
    </xdr:to>
    <xdr:pic>
      <xdr:nvPicPr>
        <xdr:cNvPr id="9290" name="Picture 3916">
          <a:extLst>
            <a:ext uri="{FF2B5EF4-FFF2-40B4-BE49-F238E27FC236}">
              <a16:creationId xmlns:a16="http://schemas.microsoft.com/office/drawing/2014/main" xmlns="" id="{00000000-0008-0000-0800-00004A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38" b="16245"/>
        <a:stretch>
          <a:fillRect/>
        </a:stretch>
      </xdr:blipFill>
      <xdr:spPr bwMode="auto">
        <a:xfrm>
          <a:off x="9058275" y="69046725"/>
          <a:ext cx="28098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55</xdr:row>
      <xdr:rowOff>19050</xdr:rowOff>
    </xdr:from>
    <xdr:to>
      <xdr:col>16</xdr:col>
      <xdr:colOff>285750</xdr:colOff>
      <xdr:row>68</xdr:row>
      <xdr:rowOff>95250</xdr:rowOff>
    </xdr:to>
    <xdr:grpSp>
      <xdr:nvGrpSpPr>
        <xdr:cNvPr id="9346" name="Csoportba foglalás 2">
          <a:extLst>
            <a:ext uri="{FF2B5EF4-FFF2-40B4-BE49-F238E27FC236}">
              <a16:creationId xmlns:a16="http://schemas.microsoft.com/office/drawing/2014/main" xmlns="" id="{00000000-0008-0000-0800-000082240000}"/>
            </a:ext>
          </a:extLst>
        </xdr:cNvPr>
        <xdr:cNvGrpSpPr>
          <a:grpSpLocks/>
        </xdr:cNvGrpSpPr>
      </xdr:nvGrpSpPr>
      <xdr:grpSpPr bwMode="auto">
        <a:xfrm>
          <a:off x="228600" y="8229600"/>
          <a:ext cx="9124950" cy="2247900"/>
          <a:chOff x="228600" y="628650"/>
          <a:chExt cx="9124950" cy="2247900"/>
        </a:xfrm>
      </xdr:grpSpPr>
      <xdr:sp macro="" textlink="">
        <xdr:nvSpPr>
          <xdr:cNvPr id="9347" name="Rectangle 2568">
            <a:extLst>
              <a:ext uri="{FF2B5EF4-FFF2-40B4-BE49-F238E27FC236}">
                <a16:creationId xmlns:a16="http://schemas.microsoft.com/office/drawing/2014/main" xmlns="" id="{00000000-0008-0000-0800-000083240000}"/>
              </a:ext>
            </a:extLst>
          </xdr:cNvPr>
          <xdr:cNvSpPr>
            <a:spLocks noChangeArrowheads="1"/>
          </xdr:cNvSpPr>
        </xdr:nvSpPr>
        <xdr:spPr bwMode="auto">
          <a:xfrm>
            <a:off x="5743575" y="800100"/>
            <a:ext cx="3600450" cy="9525"/>
          </a:xfrm>
          <a:prstGeom prst="rect">
            <a:avLst/>
          </a:prstGeom>
          <a:gradFill rotWithShape="0">
            <a:gsLst>
              <a:gs pos="0">
                <a:srgbClr val="000000"/>
              </a:gs>
              <a:gs pos="100000">
                <a:srgbClr val="FFFFFF"/>
              </a:gs>
            </a:gsLst>
            <a:lin ang="0" scaled="1"/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348" name="Rectangle 2598">
            <a:extLst>
              <a:ext uri="{FF2B5EF4-FFF2-40B4-BE49-F238E27FC236}">
                <a16:creationId xmlns:a16="http://schemas.microsoft.com/office/drawing/2014/main" xmlns="" id="{00000000-0008-0000-0800-000084240000}"/>
              </a:ext>
            </a:extLst>
          </xdr:cNvPr>
          <xdr:cNvSpPr>
            <a:spLocks noChangeArrowheads="1"/>
          </xdr:cNvSpPr>
        </xdr:nvSpPr>
        <xdr:spPr bwMode="auto">
          <a:xfrm>
            <a:off x="5753100" y="1228725"/>
            <a:ext cx="3600450" cy="9525"/>
          </a:xfrm>
          <a:prstGeom prst="rect">
            <a:avLst/>
          </a:prstGeom>
          <a:gradFill rotWithShape="0">
            <a:gsLst>
              <a:gs pos="0">
                <a:srgbClr val="000000"/>
              </a:gs>
              <a:gs pos="100000">
                <a:srgbClr val="FFFFFF"/>
              </a:gs>
            </a:gsLst>
            <a:lin ang="0" scaled="1"/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grpSp>
        <xdr:nvGrpSpPr>
          <xdr:cNvPr id="9349" name="Csoportba foglalás 1">
            <a:extLst>
              <a:ext uri="{FF2B5EF4-FFF2-40B4-BE49-F238E27FC236}">
                <a16:creationId xmlns:a16="http://schemas.microsoft.com/office/drawing/2014/main" xmlns="" id="{00000000-0008-0000-0800-000085240000}"/>
              </a:ext>
            </a:extLst>
          </xdr:cNvPr>
          <xdr:cNvGrpSpPr>
            <a:grpSpLocks/>
          </xdr:cNvGrpSpPr>
        </xdr:nvGrpSpPr>
        <xdr:grpSpPr bwMode="auto">
          <a:xfrm>
            <a:off x="228600" y="628650"/>
            <a:ext cx="5391150" cy="2247900"/>
            <a:chOff x="228600" y="628650"/>
            <a:chExt cx="5391150" cy="2247900"/>
          </a:xfrm>
        </xdr:grpSpPr>
        <xdr:pic>
          <xdr:nvPicPr>
            <xdr:cNvPr id="9350" name="Picture 3068">
              <a:extLst>
                <a:ext uri="{FF2B5EF4-FFF2-40B4-BE49-F238E27FC236}">
                  <a16:creationId xmlns:a16="http://schemas.microsoft.com/office/drawing/2014/main" xmlns="" id="{00000000-0008-0000-0800-00008624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8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28600" y="628650"/>
              <a:ext cx="5391150" cy="22479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9477" name="AutoShape 2590">
              <a:hlinkClick xmlns:r="http://schemas.openxmlformats.org/officeDocument/2006/relationships" r:id="rId59" tooltip="Ugrás a helyszínre"/>
              <a:extLst>
                <a:ext uri="{FF2B5EF4-FFF2-40B4-BE49-F238E27FC236}">
                  <a16:creationId xmlns:a16="http://schemas.microsoft.com/office/drawing/2014/main" xmlns="" id="{00000000-0008-0000-0800-00000525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67627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1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GLASGOW</a:t>
              </a:r>
            </a:p>
          </xdr:txBody>
        </xdr:sp>
        <xdr:sp macro="" textlink="">
          <xdr:nvSpPr>
            <xdr:cNvPr id="9352" name="AutoShape 1436">
              <a:extLst>
                <a:ext uri="{FF2B5EF4-FFF2-40B4-BE49-F238E27FC236}">
                  <a16:creationId xmlns:a16="http://schemas.microsoft.com/office/drawing/2014/main" xmlns="" id="{00000000-0008-0000-0800-000088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1047750" y="24860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478" name="AutoShape 3037">
              <a:hlinkClick xmlns:r="http://schemas.openxmlformats.org/officeDocument/2006/relationships" r:id="rId60" tooltip="Ugrás a helyszínre"/>
              <a:extLst>
                <a:ext uri="{FF2B5EF4-FFF2-40B4-BE49-F238E27FC236}">
                  <a16:creationId xmlns:a16="http://schemas.microsoft.com/office/drawing/2014/main" xmlns="" id="{00000000-0008-0000-0800-00000625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85725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DUBLIN</a:t>
              </a:r>
            </a:p>
          </xdr:txBody>
        </xdr:sp>
        <xdr:sp macro="" textlink="">
          <xdr:nvSpPr>
            <xdr:cNvPr id="9480" name="AutoShape 3038">
              <a:hlinkClick xmlns:r="http://schemas.openxmlformats.org/officeDocument/2006/relationships" r:id="rId61" tooltip="Ugrás a helyszínre"/>
              <a:extLst>
                <a:ext uri="{FF2B5EF4-FFF2-40B4-BE49-F238E27FC236}">
                  <a16:creationId xmlns:a16="http://schemas.microsoft.com/office/drawing/2014/main" xmlns="" id="{00000000-0008-0000-0800-00000825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103822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LONDON</a:t>
              </a:r>
            </a:p>
          </xdr:txBody>
        </xdr:sp>
        <xdr:sp macro="" textlink="">
          <xdr:nvSpPr>
            <xdr:cNvPr id="9496" name="AutoShape 3039">
              <a:hlinkClick xmlns:r="http://schemas.openxmlformats.org/officeDocument/2006/relationships" r:id="rId62" tooltip="Ugrás a helyszínre"/>
              <a:extLst>
                <a:ext uri="{FF2B5EF4-FFF2-40B4-BE49-F238E27FC236}">
                  <a16:creationId xmlns:a16="http://schemas.microsoft.com/office/drawing/2014/main" xmlns="" id="{00000000-0008-0000-0800-00001825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121920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AMSZTERDAM</a:t>
              </a:r>
            </a:p>
          </xdr:txBody>
        </xdr:sp>
        <xdr:sp macro="" textlink="">
          <xdr:nvSpPr>
            <xdr:cNvPr id="9498" name="AutoShape 3040">
              <a:hlinkClick xmlns:r="http://schemas.openxmlformats.org/officeDocument/2006/relationships" r:id="rId63" tooltip="Ugrás a helyszínre"/>
              <a:extLst>
                <a:ext uri="{FF2B5EF4-FFF2-40B4-BE49-F238E27FC236}">
                  <a16:creationId xmlns:a16="http://schemas.microsoft.com/office/drawing/2014/main" xmlns="" id="{00000000-0008-0000-0800-00001A25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140017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SEVILLA</a:t>
              </a:r>
            </a:p>
          </xdr:txBody>
        </xdr:sp>
        <xdr:sp macro="" textlink="">
          <xdr:nvSpPr>
            <xdr:cNvPr id="9357" name="AutoShape 3041">
              <a:hlinkClick xmlns:r="http://schemas.openxmlformats.org/officeDocument/2006/relationships" r:id="rId64" tooltip="Ugrás a helyszínre"/>
              <a:extLst>
                <a:ext uri="{FF2B5EF4-FFF2-40B4-BE49-F238E27FC236}">
                  <a16:creationId xmlns:a16="http://schemas.microsoft.com/office/drawing/2014/main" xmlns="" id="{00000000-0008-0000-0800-00008D24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158115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RÓMA</a:t>
              </a:r>
            </a:p>
          </xdr:txBody>
        </xdr:sp>
        <xdr:sp macro="" textlink="">
          <xdr:nvSpPr>
            <xdr:cNvPr id="9358" name="AutoShape 1436">
              <a:extLst>
                <a:ext uri="{FF2B5EF4-FFF2-40B4-BE49-F238E27FC236}">
                  <a16:creationId xmlns:a16="http://schemas.microsoft.com/office/drawing/2014/main" xmlns="" id="{00000000-0008-0000-0800-00008E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2486025" y="25622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 algn="ctr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500" name="AutoShape 3061">
              <a:hlinkClick xmlns:r="http://schemas.openxmlformats.org/officeDocument/2006/relationships" r:id="rId65" tooltip="Ugrás a helyszínre"/>
              <a:extLst>
                <a:ext uri="{FF2B5EF4-FFF2-40B4-BE49-F238E27FC236}">
                  <a16:creationId xmlns:a16="http://schemas.microsoft.com/office/drawing/2014/main" xmlns="" id="{00000000-0008-0000-0800-00001C25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67627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1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SZENTPÉTERVÁR</a:t>
              </a:r>
            </a:p>
          </xdr:txBody>
        </xdr:sp>
        <xdr:sp macro="" textlink="">
          <xdr:nvSpPr>
            <xdr:cNvPr id="9501" name="AutoShape 3062">
              <a:hlinkClick xmlns:r="http://schemas.openxmlformats.org/officeDocument/2006/relationships" r:id="rId66" tooltip="Ugrás a helyszínre"/>
              <a:extLst>
                <a:ext uri="{FF2B5EF4-FFF2-40B4-BE49-F238E27FC236}">
                  <a16:creationId xmlns:a16="http://schemas.microsoft.com/office/drawing/2014/main" xmlns="" id="{00000000-0008-0000-0800-00001D25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85725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KOPPENHÁGA</a:t>
              </a:r>
            </a:p>
          </xdr:txBody>
        </xdr:sp>
        <xdr:sp macro="" textlink="">
          <xdr:nvSpPr>
            <xdr:cNvPr id="9504" name="AutoShape 3063">
              <a:hlinkClick xmlns:r="http://schemas.openxmlformats.org/officeDocument/2006/relationships" r:id="rId67" tooltip="Ugrás a helyszínre"/>
              <a:extLst>
                <a:ext uri="{FF2B5EF4-FFF2-40B4-BE49-F238E27FC236}">
                  <a16:creationId xmlns:a16="http://schemas.microsoft.com/office/drawing/2014/main" xmlns="" id="{00000000-0008-0000-0800-00002025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103822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MÜNCHEN</a:t>
              </a:r>
            </a:p>
          </xdr:txBody>
        </xdr:sp>
        <xdr:sp macro="" textlink="">
          <xdr:nvSpPr>
            <xdr:cNvPr id="9505" name="AutoShape 3064">
              <a:hlinkClick xmlns:r="http://schemas.openxmlformats.org/officeDocument/2006/relationships" r:id="rId68" tooltip="Ugrás a helyszínre"/>
              <a:extLst>
                <a:ext uri="{FF2B5EF4-FFF2-40B4-BE49-F238E27FC236}">
                  <a16:creationId xmlns:a16="http://schemas.microsoft.com/office/drawing/2014/main" xmlns="" id="{00000000-0008-0000-0800-00002125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121920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BUDAPEST</a:t>
              </a:r>
            </a:p>
          </xdr:txBody>
        </xdr:sp>
        <xdr:sp macro="" textlink="">
          <xdr:nvSpPr>
            <xdr:cNvPr id="9506" name="AutoShape 3065">
              <a:hlinkClick xmlns:r="http://schemas.openxmlformats.org/officeDocument/2006/relationships" r:id="rId69" tooltip="Ugrás a helyszínre"/>
              <a:extLst>
                <a:ext uri="{FF2B5EF4-FFF2-40B4-BE49-F238E27FC236}">
                  <a16:creationId xmlns:a16="http://schemas.microsoft.com/office/drawing/2014/main" xmlns="" id="{00000000-0008-0000-0800-00002225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140017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BUKAREST</a:t>
              </a:r>
            </a:p>
          </xdr:txBody>
        </xdr:sp>
        <xdr:sp macro="" textlink="">
          <xdr:nvSpPr>
            <xdr:cNvPr id="9364" name="AutoShape 3066">
              <a:hlinkClick xmlns:r="http://schemas.openxmlformats.org/officeDocument/2006/relationships" r:id="rId70" tooltip="Ugrás a helyszínre"/>
              <a:extLst>
                <a:ext uri="{FF2B5EF4-FFF2-40B4-BE49-F238E27FC236}">
                  <a16:creationId xmlns:a16="http://schemas.microsoft.com/office/drawing/2014/main" xmlns="" id="{00000000-0008-0000-0800-00009424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158115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B84B08"/>
                </a:gs>
                <a:gs pos="100000">
                  <a:srgbClr val="FAB65C"/>
                </a:gs>
              </a:gsLst>
              <a:lin ang="5400000" scaled="1"/>
            </a:gradFill>
            <a:ln w="0" algn="ctr">
              <a:solidFill>
                <a:srgbClr val="D3D3D3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000000"/>
                  </a:solidFill>
                  <a:latin typeface="Arial Unicode MS"/>
                </a:rPr>
                <a:t>BAKU</a:t>
              </a:r>
            </a:p>
          </xdr:txBody>
        </xdr:sp>
        <xdr:sp macro="" textlink="">
          <xdr:nvSpPr>
            <xdr:cNvPr id="9365" name="AutoShape 1436">
              <a:extLst>
                <a:ext uri="{FF2B5EF4-FFF2-40B4-BE49-F238E27FC236}">
                  <a16:creationId xmlns:a16="http://schemas.microsoft.com/office/drawing/2014/main" xmlns="" id="{00000000-0008-0000-0800-000095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2257425" y="128587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366" name="AutoShape 1436">
              <a:extLst>
                <a:ext uri="{FF2B5EF4-FFF2-40B4-BE49-F238E27FC236}">
                  <a16:creationId xmlns:a16="http://schemas.microsoft.com/office/drawing/2014/main" xmlns="" id="{00000000-0008-0000-0800-000096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1876425" y="129540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367" name="AutoShape 1436">
              <a:extLst>
                <a:ext uri="{FF2B5EF4-FFF2-40B4-BE49-F238E27FC236}">
                  <a16:creationId xmlns:a16="http://schemas.microsoft.com/office/drawing/2014/main" xmlns="" id="{00000000-0008-0000-0800-000097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1828800" y="7715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368" name="AutoShape 1436">
              <a:extLst>
                <a:ext uri="{FF2B5EF4-FFF2-40B4-BE49-F238E27FC236}">
                  <a16:creationId xmlns:a16="http://schemas.microsoft.com/office/drawing/2014/main" xmlns="" id="{00000000-0008-0000-0800-000098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1581150" y="100965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369" name="AutoShape 1436">
              <a:extLst>
                <a:ext uri="{FF2B5EF4-FFF2-40B4-BE49-F238E27FC236}">
                  <a16:creationId xmlns:a16="http://schemas.microsoft.com/office/drawing/2014/main" xmlns="" id="{00000000-0008-0000-0800-000099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3819525" y="70485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370" name="AutoShape 1436">
              <a:extLst>
                <a:ext uri="{FF2B5EF4-FFF2-40B4-BE49-F238E27FC236}">
                  <a16:creationId xmlns:a16="http://schemas.microsoft.com/office/drawing/2014/main" xmlns="" id="{00000000-0008-0000-0800-00009A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2790825" y="108585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371" name="AutoShape 1436">
              <a:extLst>
                <a:ext uri="{FF2B5EF4-FFF2-40B4-BE49-F238E27FC236}">
                  <a16:creationId xmlns:a16="http://schemas.microsoft.com/office/drawing/2014/main" xmlns="" id="{00000000-0008-0000-0800-00009B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3143250" y="201930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372" name="AutoShape 1436">
              <a:extLst>
                <a:ext uri="{FF2B5EF4-FFF2-40B4-BE49-F238E27FC236}">
                  <a16:creationId xmlns:a16="http://schemas.microsoft.com/office/drawing/2014/main" xmlns="" id="{00000000-0008-0000-0800-00009C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2552700" y="185737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373" name="AutoShape 1436">
              <a:extLst>
                <a:ext uri="{FF2B5EF4-FFF2-40B4-BE49-F238E27FC236}">
                  <a16:creationId xmlns:a16="http://schemas.microsoft.com/office/drawing/2014/main" xmlns="" id="{00000000-0008-0000-0800-00009D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3638550" y="24098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374" name="AutoShape 1436">
              <a:extLst>
                <a:ext uri="{FF2B5EF4-FFF2-40B4-BE49-F238E27FC236}">
                  <a16:creationId xmlns:a16="http://schemas.microsoft.com/office/drawing/2014/main" xmlns="" id="{00000000-0008-0000-0800-00009E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5295900" y="24479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FAB65C"/>
                </a:gs>
                <a:gs pos="100000">
                  <a:srgbClr val="B84B0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 algn="ctr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twoCellAnchor editAs="oneCell">
    <xdr:from>
      <xdr:col>1</xdr:col>
      <xdr:colOff>133350</xdr:colOff>
      <xdr:row>105</xdr:row>
      <xdr:rowOff>19050</xdr:rowOff>
    </xdr:from>
    <xdr:to>
      <xdr:col>16</xdr:col>
      <xdr:colOff>285750</xdr:colOff>
      <xdr:row>118</xdr:row>
      <xdr:rowOff>95250</xdr:rowOff>
    </xdr:to>
    <xdr:grpSp>
      <xdr:nvGrpSpPr>
        <xdr:cNvPr id="9375" name="Csoportba foglalás 2">
          <a:extLst>
            <a:ext uri="{FF2B5EF4-FFF2-40B4-BE49-F238E27FC236}">
              <a16:creationId xmlns:a16="http://schemas.microsoft.com/office/drawing/2014/main" xmlns="" id="{00000000-0008-0000-0800-00009F240000}"/>
            </a:ext>
          </a:extLst>
        </xdr:cNvPr>
        <xdr:cNvGrpSpPr>
          <a:grpSpLocks/>
        </xdr:cNvGrpSpPr>
      </xdr:nvGrpSpPr>
      <xdr:grpSpPr bwMode="auto">
        <a:xfrm>
          <a:off x="228600" y="15830550"/>
          <a:ext cx="9124950" cy="2247900"/>
          <a:chOff x="228600" y="628650"/>
          <a:chExt cx="9124950" cy="2247900"/>
        </a:xfrm>
      </xdr:grpSpPr>
      <xdr:sp macro="" textlink="">
        <xdr:nvSpPr>
          <xdr:cNvPr id="9376" name="Rectangle 2568">
            <a:extLst>
              <a:ext uri="{FF2B5EF4-FFF2-40B4-BE49-F238E27FC236}">
                <a16:creationId xmlns:a16="http://schemas.microsoft.com/office/drawing/2014/main" xmlns="" id="{00000000-0008-0000-0800-0000A0240000}"/>
              </a:ext>
            </a:extLst>
          </xdr:cNvPr>
          <xdr:cNvSpPr>
            <a:spLocks noChangeArrowheads="1"/>
          </xdr:cNvSpPr>
        </xdr:nvSpPr>
        <xdr:spPr bwMode="auto">
          <a:xfrm>
            <a:off x="5743575" y="800100"/>
            <a:ext cx="3600450" cy="9525"/>
          </a:xfrm>
          <a:prstGeom prst="rect">
            <a:avLst/>
          </a:prstGeom>
          <a:gradFill rotWithShape="0">
            <a:gsLst>
              <a:gs pos="0">
                <a:srgbClr val="000000"/>
              </a:gs>
              <a:gs pos="100000">
                <a:srgbClr val="FFFFFF"/>
              </a:gs>
            </a:gsLst>
            <a:lin ang="0" scaled="1"/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377" name="Rectangle 2598">
            <a:extLst>
              <a:ext uri="{FF2B5EF4-FFF2-40B4-BE49-F238E27FC236}">
                <a16:creationId xmlns:a16="http://schemas.microsoft.com/office/drawing/2014/main" xmlns="" id="{00000000-0008-0000-0800-0000A1240000}"/>
              </a:ext>
            </a:extLst>
          </xdr:cNvPr>
          <xdr:cNvSpPr>
            <a:spLocks noChangeArrowheads="1"/>
          </xdr:cNvSpPr>
        </xdr:nvSpPr>
        <xdr:spPr bwMode="auto">
          <a:xfrm>
            <a:off x="5753100" y="1228725"/>
            <a:ext cx="3600450" cy="9525"/>
          </a:xfrm>
          <a:prstGeom prst="rect">
            <a:avLst/>
          </a:prstGeom>
          <a:gradFill rotWithShape="0">
            <a:gsLst>
              <a:gs pos="0">
                <a:srgbClr val="000000"/>
              </a:gs>
              <a:gs pos="100000">
                <a:srgbClr val="FFFFFF"/>
              </a:gs>
            </a:gsLst>
            <a:lin ang="0" scaled="1"/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grpSp>
        <xdr:nvGrpSpPr>
          <xdr:cNvPr id="9378" name="Csoportba foglalás 1">
            <a:extLst>
              <a:ext uri="{FF2B5EF4-FFF2-40B4-BE49-F238E27FC236}">
                <a16:creationId xmlns:a16="http://schemas.microsoft.com/office/drawing/2014/main" xmlns="" id="{00000000-0008-0000-0800-0000A2240000}"/>
              </a:ext>
            </a:extLst>
          </xdr:cNvPr>
          <xdr:cNvGrpSpPr>
            <a:grpSpLocks/>
          </xdr:cNvGrpSpPr>
        </xdr:nvGrpSpPr>
        <xdr:grpSpPr bwMode="auto">
          <a:xfrm>
            <a:off x="228600" y="628650"/>
            <a:ext cx="5391150" cy="2247900"/>
            <a:chOff x="228600" y="628650"/>
            <a:chExt cx="5391150" cy="2247900"/>
          </a:xfrm>
        </xdr:grpSpPr>
        <xdr:pic>
          <xdr:nvPicPr>
            <xdr:cNvPr id="9379" name="Picture 3068">
              <a:extLst>
                <a:ext uri="{FF2B5EF4-FFF2-40B4-BE49-F238E27FC236}">
                  <a16:creationId xmlns:a16="http://schemas.microsoft.com/office/drawing/2014/main" xmlns="" id="{00000000-0008-0000-0800-0000A324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8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28600" y="628650"/>
              <a:ext cx="5391150" cy="22479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9449" name="AutoShape 2590">
              <a:hlinkClick xmlns:r="http://schemas.openxmlformats.org/officeDocument/2006/relationships" r:id="rId59" tooltip="Ugrás a helyszínre"/>
              <a:extLst>
                <a:ext uri="{FF2B5EF4-FFF2-40B4-BE49-F238E27FC236}">
                  <a16:creationId xmlns:a16="http://schemas.microsoft.com/office/drawing/2014/main" xmlns="" id="{00000000-0008-0000-0800-0000E924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67627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1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GLASGOW</a:t>
              </a:r>
            </a:p>
          </xdr:txBody>
        </xdr:sp>
        <xdr:sp macro="" textlink="">
          <xdr:nvSpPr>
            <xdr:cNvPr id="9381" name="AutoShape 1436">
              <a:extLst>
                <a:ext uri="{FF2B5EF4-FFF2-40B4-BE49-F238E27FC236}">
                  <a16:creationId xmlns:a16="http://schemas.microsoft.com/office/drawing/2014/main" xmlns="" id="{00000000-0008-0000-0800-0000A5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1047750" y="24860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450" name="AutoShape 3037">
              <a:hlinkClick xmlns:r="http://schemas.openxmlformats.org/officeDocument/2006/relationships" r:id="rId60" tooltip="Ugrás a helyszínre"/>
              <a:extLst>
                <a:ext uri="{FF2B5EF4-FFF2-40B4-BE49-F238E27FC236}">
                  <a16:creationId xmlns:a16="http://schemas.microsoft.com/office/drawing/2014/main" xmlns="" id="{00000000-0008-0000-0800-0000EA24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85725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DUBLIN</a:t>
              </a:r>
            </a:p>
          </xdr:txBody>
        </xdr:sp>
        <xdr:sp macro="" textlink="">
          <xdr:nvSpPr>
            <xdr:cNvPr id="9451" name="AutoShape 3038">
              <a:hlinkClick xmlns:r="http://schemas.openxmlformats.org/officeDocument/2006/relationships" r:id="rId61" tooltip="Ugrás a helyszínre"/>
              <a:extLst>
                <a:ext uri="{FF2B5EF4-FFF2-40B4-BE49-F238E27FC236}">
                  <a16:creationId xmlns:a16="http://schemas.microsoft.com/office/drawing/2014/main" xmlns="" id="{00000000-0008-0000-0800-0000EB24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103822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LONDON</a:t>
              </a:r>
            </a:p>
          </xdr:txBody>
        </xdr:sp>
        <xdr:sp macro="" textlink="">
          <xdr:nvSpPr>
            <xdr:cNvPr id="9467" name="AutoShape 3039">
              <a:hlinkClick xmlns:r="http://schemas.openxmlformats.org/officeDocument/2006/relationships" r:id="rId62" tooltip="Ugrás a helyszínre"/>
              <a:extLst>
                <a:ext uri="{FF2B5EF4-FFF2-40B4-BE49-F238E27FC236}">
                  <a16:creationId xmlns:a16="http://schemas.microsoft.com/office/drawing/2014/main" xmlns="" id="{00000000-0008-0000-0800-0000FB24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121920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AMSZTERDAM</a:t>
              </a:r>
            </a:p>
          </xdr:txBody>
        </xdr:sp>
        <xdr:sp macro="" textlink="">
          <xdr:nvSpPr>
            <xdr:cNvPr id="9469" name="AutoShape 3040">
              <a:hlinkClick xmlns:r="http://schemas.openxmlformats.org/officeDocument/2006/relationships" r:id="rId63" tooltip="Ugrás a helyszínre"/>
              <a:extLst>
                <a:ext uri="{FF2B5EF4-FFF2-40B4-BE49-F238E27FC236}">
                  <a16:creationId xmlns:a16="http://schemas.microsoft.com/office/drawing/2014/main" xmlns="" id="{00000000-0008-0000-0800-0000FD24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140017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SEVILLA</a:t>
              </a:r>
            </a:p>
          </xdr:txBody>
        </xdr:sp>
        <xdr:sp macro="" textlink="">
          <xdr:nvSpPr>
            <xdr:cNvPr id="9386" name="AutoShape 3041">
              <a:hlinkClick xmlns:r="http://schemas.openxmlformats.org/officeDocument/2006/relationships" r:id="rId64" tooltip="Ugrás a helyszínre"/>
              <a:extLst>
                <a:ext uri="{FF2B5EF4-FFF2-40B4-BE49-F238E27FC236}">
                  <a16:creationId xmlns:a16="http://schemas.microsoft.com/office/drawing/2014/main" xmlns="" id="{00000000-0008-0000-0800-0000AA24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158115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RÓMA</a:t>
              </a:r>
            </a:p>
          </xdr:txBody>
        </xdr:sp>
        <xdr:sp macro="" textlink="">
          <xdr:nvSpPr>
            <xdr:cNvPr id="9387" name="AutoShape 1436">
              <a:extLst>
                <a:ext uri="{FF2B5EF4-FFF2-40B4-BE49-F238E27FC236}">
                  <a16:creationId xmlns:a16="http://schemas.microsoft.com/office/drawing/2014/main" xmlns="" id="{00000000-0008-0000-0800-0000AB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2486025" y="25622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 algn="ctr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388" name="AutoShape 3061">
              <a:hlinkClick xmlns:r="http://schemas.openxmlformats.org/officeDocument/2006/relationships" r:id="rId65" tooltip="Ugrás a helyszínre"/>
              <a:extLst>
                <a:ext uri="{FF2B5EF4-FFF2-40B4-BE49-F238E27FC236}">
                  <a16:creationId xmlns:a16="http://schemas.microsoft.com/office/drawing/2014/main" xmlns="" id="{00000000-0008-0000-0800-0000AC24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67627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B84B08"/>
                </a:gs>
                <a:gs pos="100000">
                  <a:srgbClr val="FAB65C"/>
                </a:gs>
              </a:gsLst>
              <a:lin ang="5400000" scaled="1"/>
            </a:gradFill>
            <a:ln w="0" algn="ctr">
              <a:solidFill>
                <a:srgbClr val="D3D3D3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000000"/>
                  </a:solidFill>
                  <a:latin typeface="Arial Unicode MS"/>
                </a:rPr>
                <a:t>SZENTPÉTERVÁR</a:t>
              </a:r>
            </a:p>
          </xdr:txBody>
        </xdr:sp>
        <xdr:sp macro="" textlink="">
          <xdr:nvSpPr>
            <xdr:cNvPr id="9470" name="AutoShape 3062">
              <a:hlinkClick xmlns:r="http://schemas.openxmlformats.org/officeDocument/2006/relationships" r:id="rId66" tooltip="Ugrás a helyszínre"/>
              <a:extLst>
                <a:ext uri="{FF2B5EF4-FFF2-40B4-BE49-F238E27FC236}">
                  <a16:creationId xmlns:a16="http://schemas.microsoft.com/office/drawing/2014/main" xmlns="" id="{00000000-0008-0000-0800-0000FE24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85725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KOPPENHÁGA</a:t>
              </a:r>
            </a:p>
          </xdr:txBody>
        </xdr:sp>
        <xdr:sp macro="" textlink="">
          <xdr:nvSpPr>
            <xdr:cNvPr id="9471" name="AutoShape 3063">
              <a:hlinkClick xmlns:r="http://schemas.openxmlformats.org/officeDocument/2006/relationships" r:id="rId67" tooltip="Ugrás a helyszínre"/>
              <a:extLst>
                <a:ext uri="{FF2B5EF4-FFF2-40B4-BE49-F238E27FC236}">
                  <a16:creationId xmlns:a16="http://schemas.microsoft.com/office/drawing/2014/main" xmlns="" id="{00000000-0008-0000-0800-0000FF24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103822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MÜNCHEN</a:t>
              </a:r>
            </a:p>
          </xdr:txBody>
        </xdr:sp>
        <xdr:sp macro="" textlink="">
          <xdr:nvSpPr>
            <xdr:cNvPr id="9472" name="AutoShape 3064">
              <a:hlinkClick xmlns:r="http://schemas.openxmlformats.org/officeDocument/2006/relationships" r:id="rId68" tooltip="Ugrás a helyszínre"/>
              <a:extLst>
                <a:ext uri="{FF2B5EF4-FFF2-40B4-BE49-F238E27FC236}">
                  <a16:creationId xmlns:a16="http://schemas.microsoft.com/office/drawing/2014/main" xmlns="" id="{00000000-0008-0000-0800-00000025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121920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BUDAPEST</a:t>
              </a:r>
            </a:p>
          </xdr:txBody>
        </xdr:sp>
        <xdr:sp macro="" textlink="">
          <xdr:nvSpPr>
            <xdr:cNvPr id="9475" name="AutoShape 3065">
              <a:hlinkClick xmlns:r="http://schemas.openxmlformats.org/officeDocument/2006/relationships" r:id="rId69" tooltip="Ugrás a helyszínre"/>
              <a:extLst>
                <a:ext uri="{FF2B5EF4-FFF2-40B4-BE49-F238E27FC236}">
                  <a16:creationId xmlns:a16="http://schemas.microsoft.com/office/drawing/2014/main" xmlns="" id="{00000000-0008-0000-0800-00000325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140017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BUKAREST</a:t>
              </a:r>
            </a:p>
          </xdr:txBody>
        </xdr:sp>
        <xdr:sp macro="" textlink="">
          <xdr:nvSpPr>
            <xdr:cNvPr id="9476" name="AutoShape 3066">
              <a:hlinkClick xmlns:r="http://schemas.openxmlformats.org/officeDocument/2006/relationships" r:id="rId70" tooltip="Ugrás a helyszínre"/>
              <a:extLst>
                <a:ext uri="{FF2B5EF4-FFF2-40B4-BE49-F238E27FC236}">
                  <a16:creationId xmlns:a16="http://schemas.microsoft.com/office/drawing/2014/main" xmlns="" id="{00000000-0008-0000-0800-00000425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158115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BAKU</a:t>
              </a:r>
            </a:p>
          </xdr:txBody>
        </xdr:sp>
        <xdr:sp macro="" textlink="">
          <xdr:nvSpPr>
            <xdr:cNvPr id="9394" name="AutoShape 1436">
              <a:extLst>
                <a:ext uri="{FF2B5EF4-FFF2-40B4-BE49-F238E27FC236}">
                  <a16:creationId xmlns:a16="http://schemas.microsoft.com/office/drawing/2014/main" xmlns="" id="{00000000-0008-0000-0800-0000B2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2257425" y="128587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395" name="AutoShape 1436">
              <a:extLst>
                <a:ext uri="{FF2B5EF4-FFF2-40B4-BE49-F238E27FC236}">
                  <a16:creationId xmlns:a16="http://schemas.microsoft.com/office/drawing/2014/main" xmlns="" id="{00000000-0008-0000-0800-0000B3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1876425" y="129540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396" name="AutoShape 1436">
              <a:extLst>
                <a:ext uri="{FF2B5EF4-FFF2-40B4-BE49-F238E27FC236}">
                  <a16:creationId xmlns:a16="http://schemas.microsoft.com/office/drawing/2014/main" xmlns="" id="{00000000-0008-0000-0800-0000B4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1828800" y="7715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397" name="AutoShape 1436">
              <a:extLst>
                <a:ext uri="{FF2B5EF4-FFF2-40B4-BE49-F238E27FC236}">
                  <a16:creationId xmlns:a16="http://schemas.microsoft.com/office/drawing/2014/main" xmlns="" id="{00000000-0008-0000-0800-0000B5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1581150" y="100965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398" name="AutoShape 1436">
              <a:extLst>
                <a:ext uri="{FF2B5EF4-FFF2-40B4-BE49-F238E27FC236}">
                  <a16:creationId xmlns:a16="http://schemas.microsoft.com/office/drawing/2014/main" xmlns="" id="{00000000-0008-0000-0800-0000B6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3819525" y="70485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FAB65C"/>
                </a:gs>
                <a:gs pos="100000">
                  <a:srgbClr val="B84B0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 algn="ctr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399" name="AutoShape 1436">
              <a:extLst>
                <a:ext uri="{FF2B5EF4-FFF2-40B4-BE49-F238E27FC236}">
                  <a16:creationId xmlns:a16="http://schemas.microsoft.com/office/drawing/2014/main" xmlns="" id="{00000000-0008-0000-0800-0000B7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2790825" y="108585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400" name="AutoShape 1436">
              <a:extLst>
                <a:ext uri="{FF2B5EF4-FFF2-40B4-BE49-F238E27FC236}">
                  <a16:creationId xmlns:a16="http://schemas.microsoft.com/office/drawing/2014/main" xmlns="" id="{00000000-0008-0000-0800-0000B8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3143250" y="201930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401" name="AutoShape 1436">
              <a:extLst>
                <a:ext uri="{FF2B5EF4-FFF2-40B4-BE49-F238E27FC236}">
                  <a16:creationId xmlns:a16="http://schemas.microsoft.com/office/drawing/2014/main" xmlns="" id="{00000000-0008-0000-0800-0000B9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2552700" y="185737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402" name="AutoShape 1436">
              <a:extLst>
                <a:ext uri="{FF2B5EF4-FFF2-40B4-BE49-F238E27FC236}">
                  <a16:creationId xmlns:a16="http://schemas.microsoft.com/office/drawing/2014/main" xmlns="" id="{00000000-0008-0000-0800-0000BA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3638550" y="24098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403" name="AutoShape 1436">
              <a:extLst>
                <a:ext uri="{FF2B5EF4-FFF2-40B4-BE49-F238E27FC236}">
                  <a16:creationId xmlns:a16="http://schemas.microsoft.com/office/drawing/2014/main" xmlns="" id="{00000000-0008-0000-0800-0000BB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5295900" y="24479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twoCellAnchor editAs="oneCell">
    <xdr:from>
      <xdr:col>1</xdr:col>
      <xdr:colOff>133350</xdr:colOff>
      <xdr:row>155</xdr:row>
      <xdr:rowOff>19050</xdr:rowOff>
    </xdr:from>
    <xdr:to>
      <xdr:col>16</xdr:col>
      <xdr:colOff>285750</xdr:colOff>
      <xdr:row>168</xdr:row>
      <xdr:rowOff>95250</xdr:rowOff>
    </xdr:to>
    <xdr:grpSp>
      <xdr:nvGrpSpPr>
        <xdr:cNvPr id="9404" name="Csoportba foglalás 2">
          <a:extLst>
            <a:ext uri="{FF2B5EF4-FFF2-40B4-BE49-F238E27FC236}">
              <a16:creationId xmlns:a16="http://schemas.microsoft.com/office/drawing/2014/main" xmlns="" id="{00000000-0008-0000-0800-0000BC240000}"/>
            </a:ext>
          </a:extLst>
        </xdr:cNvPr>
        <xdr:cNvGrpSpPr>
          <a:grpSpLocks/>
        </xdr:cNvGrpSpPr>
      </xdr:nvGrpSpPr>
      <xdr:grpSpPr bwMode="auto">
        <a:xfrm>
          <a:off x="228600" y="23431500"/>
          <a:ext cx="9124950" cy="2247900"/>
          <a:chOff x="228600" y="628650"/>
          <a:chExt cx="9124950" cy="2247900"/>
        </a:xfrm>
      </xdr:grpSpPr>
      <xdr:sp macro="" textlink="">
        <xdr:nvSpPr>
          <xdr:cNvPr id="9405" name="Rectangle 2568">
            <a:extLst>
              <a:ext uri="{FF2B5EF4-FFF2-40B4-BE49-F238E27FC236}">
                <a16:creationId xmlns:a16="http://schemas.microsoft.com/office/drawing/2014/main" xmlns="" id="{00000000-0008-0000-0800-0000BD240000}"/>
              </a:ext>
            </a:extLst>
          </xdr:cNvPr>
          <xdr:cNvSpPr>
            <a:spLocks noChangeArrowheads="1"/>
          </xdr:cNvSpPr>
        </xdr:nvSpPr>
        <xdr:spPr bwMode="auto">
          <a:xfrm>
            <a:off x="5743575" y="800100"/>
            <a:ext cx="3600450" cy="9525"/>
          </a:xfrm>
          <a:prstGeom prst="rect">
            <a:avLst/>
          </a:prstGeom>
          <a:gradFill rotWithShape="0">
            <a:gsLst>
              <a:gs pos="0">
                <a:srgbClr val="000000"/>
              </a:gs>
              <a:gs pos="100000">
                <a:srgbClr val="FFFFFF"/>
              </a:gs>
            </a:gsLst>
            <a:lin ang="0" scaled="1"/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406" name="Rectangle 2598">
            <a:extLst>
              <a:ext uri="{FF2B5EF4-FFF2-40B4-BE49-F238E27FC236}">
                <a16:creationId xmlns:a16="http://schemas.microsoft.com/office/drawing/2014/main" xmlns="" id="{00000000-0008-0000-0800-0000BE240000}"/>
              </a:ext>
            </a:extLst>
          </xdr:cNvPr>
          <xdr:cNvSpPr>
            <a:spLocks noChangeArrowheads="1"/>
          </xdr:cNvSpPr>
        </xdr:nvSpPr>
        <xdr:spPr bwMode="auto">
          <a:xfrm>
            <a:off x="5753100" y="1228725"/>
            <a:ext cx="3600450" cy="9525"/>
          </a:xfrm>
          <a:prstGeom prst="rect">
            <a:avLst/>
          </a:prstGeom>
          <a:gradFill rotWithShape="0">
            <a:gsLst>
              <a:gs pos="0">
                <a:srgbClr val="000000"/>
              </a:gs>
              <a:gs pos="100000">
                <a:srgbClr val="FFFFFF"/>
              </a:gs>
            </a:gsLst>
            <a:lin ang="0" scaled="1"/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grpSp>
        <xdr:nvGrpSpPr>
          <xdr:cNvPr id="9407" name="Csoportba foglalás 1">
            <a:extLst>
              <a:ext uri="{FF2B5EF4-FFF2-40B4-BE49-F238E27FC236}">
                <a16:creationId xmlns:a16="http://schemas.microsoft.com/office/drawing/2014/main" xmlns="" id="{00000000-0008-0000-0800-0000BF240000}"/>
              </a:ext>
            </a:extLst>
          </xdr:cNvPr>
          <xdr:cNvGrpSpPr>
            <a:grpSpLocks/>
          </xdr:cNvGrpSpPr>
        </xdr:nvGrpSpPr>
        <xdr:grpSpPr bwMode="auto">
          <a:xfrm>
            <a:off x="228600" y="628650"/>
            <a:ext cx="5391150" cy="2247900"/>
            <a:chOff x="228600" y="628650"/>
            <a:chExt cx="5391150" cy="2247900"/>
          </a:xfrm>
        </xdr:grpSpPr>
        <xdr:pic>
          <xdr:nvPicPr>
            <xdr:cNvPr id="9415" name="Picture 3068">
              <a:extLst>
                <a:ext uri="{FF2B5EF4-FFF2-40B4-BE49-F238E27FC236}">
                  <a16:creationId xmlns:a16="http://schemas.microsoft.com/office/drawing/2014/main" xmlns="" id="{00000000-0008-0000-0800-0000C724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8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28600" y="628650"/>
              <a:ext cx="5391150" cy="22479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9416" name="AutoShape 2590">
              <a:hlinkClick xmlns:r="http://schemas.openxmlformats.org/officeDocument/2006/relationships" r:id="rId59" tooltip="Ugrás a helyszínre"/>
              <a:extLst>
                <a:ext uri="{FF2B5EF4-FFF2-40B4-BE49-F238E27FC236}">
                  <a16:creationId xmlns:a16="http://schemas.microsoft.com/office/drawing/2014/main" xmlns="" id="{00000000-0008-0000-0800-0000C824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67627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1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GLASGOW</a:t>
              </a:r>
            </a:p>
          </xdr:txBody>
        </xdr:sp>
        <xdr:sp macro="" textlink="">
          <xdr:nvSpPr>
            <xdr:cNvPr id="9417" name="AutoShape 1436">
              <a:extLst>
                <a:ext uri="{FF2B5EF4-FFF2-40B4-BE49-F238E27FC236}">
                  <a16:creationId xmlns:a16="http://schemas.microsoft.com/office/drawing/2014/main" xmlns="" id="{00000000-0008-0000-0800-0000C9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1047750" y="24860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418" name="AutoShape 3037">
              <a:hlinkClick xmlns:r="http://schemas.openxmlformats.org/officeDocument/2006/relationships" r:id="rId60" tooltip="Ugrás a helyszínre"/>
              <a:extLst>
                <a:ext uri="{FF2B5EF4-FFF2-40B4-BE49-F238E27FC236}">
                  <a16:creationId xmlns:a16="http://schemas.microsoft.com/office/drawing/2014/main" xmlns="" id="{00000000-0008-0000-0800-0000CA24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85725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DUBLIN</a:t>
              </a:r>
            </a:p>
          </xdr:txBody>
        </xdr:sp>
        <xdr:sp macro="" textlink="">
          <xdr:nvSpPr>
            <xdr:cNvPr id="9419" name="AutoShape 3038">
              <a:hlinkClick xmlns:r="http://schemas.openxmlformats.org/officeDocument/2006/relationships" r:id="rId61" tooltip="Ugrás a helyszínre"/>
              <a:extLst>
                <a:ext uri="{FF2B5EF4-FFF2-40B4-BE49-F238E27FC236}">
                  <a16:creationId xmlns:a16="http://schemas.microsoft.com/office/drawing/2014/main" xmlns="" id="{00000000-0008-0000-0800-0000CB24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103822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LONDON</a:t>
              </a:r>
            </a:p>
          </xdr:txBody>
        </xdr:sp>
        <xdr:sp macro="" textlink="">
          <xdr:nvSpPr>
            <xdr:cNvPr id="9420" name="AutoShape 3039">
              <a:hlinkClick xmlns:r="http://schemas.openxmlformats.org/officeDocument/2006/relationships" r:id="rId62" tooltip="Ugrás a helyszínre"/>
              <a:extLst>
                <a:ext uri="{FF2B5EF4-FFF2-40B4-BE49-F238E27FC236}">
                  <a16:creationId xmlns:a16="http://schemas.microsoft.com/office/drawing/2014/main" xmlns="" id="{00000000-0008-0000-0800-0000CC24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121920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AMSZTERDAM</a:t>
              </a:r>
            </a:p>
          </xdr:txBody>
        </xdr:sp>
        <xdr:sp macro="" textlink="">
          <xdr:nvSpPr>
            <xdr:cNvPr id="9421" name="AutoShape 3040">
              <a:hlinkClick xmlns:r="http://schemas.openxmlformats.org/officeDocument/2006/relationships" r:id="rId63" tooltip="Ugrás a helyszínre"/>
              <a:extLst>
                <a:ext uri="{FF2B5EF4-FFF2-40B4-BE49-F238E27FC236}">
                  <a16:creationId xmlns:a16="http://schemas.microsoft.com/office/drawing/2014/main" xmlns="" id="{00000000-0008-0000-0800-0000CD24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140017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SEVILLA</a:t>
              </a:r>
            </a:p>
          </xdr:txBody>
        </xdr:sp>
        <xdr:sp macro="" textlink="">
          <xdr:nvSpPr>
            <xdr:cNvPr id="9422" name="AutoShape 3041">
              <a:hlinkClick xmlns:r="http://schemas.openxmlformats.org/officeDocument/2006/relationships" r:id="rId64" tooltip="Ugrás a helyszínre"/>
              <a:extLst>
                <a:ext uri="{FF2B5EF4-FFF2-40B4-BE49-F238E27FC236}">
                  <a16:creationId xmlns:a16="http://schemas.microsoft.com/office/drawing/2014/main" xmlns="" id="{00000000-0008-0000-0800-0000CE24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158115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RÓMA</a:t>
              </a:r>
            </a:p>
          </xdr:txBody>
        </xdr:sp>
        <xdr:sp macro="" textlink="">
          <xdr:nvSpPr>
            <xdr:cNvPr id="9423" name="AutoShape 1436">
              <a:extLst>
                <a:ext uri="{FF2B5EF4-FFF2-40B4-BE49-F238E27FC236}">
                  <a16:creationId xmlns:a16="http://schemas.microsoft.com/office/drawing/2014/main" xmlns="" id="{00000000-0008-0000-0800-0000CF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2486025" y="25622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 algn="ctr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424" name="AutoShape 3061">
              <a:hlinkClick xmlns:r="http://schemas.openxmlformats.org/officeDocument/2006/relationships" r:id="rId65" tooltip="Ugrás a helyszínre"/>
              <a:extLst>
                <a:ext uri="{FF2B5EF4-FFF2-40B4-BE49-F238E27FC236}">
                  <a16:creationId xmlns:a16="http://schemas.microsoft.com/office/drawing/2014/main" xmlns="" id="{00000000-0008-0000-0800-0000D024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67627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1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SZENTPÉTERVÁR</a:t>
              </a:r>
            </a:p>
          </xdr:txBody>
        </xdr:sp>
        <xdr:sp macro="" textlink="">
          <xdr:nvSpPr>
            <xdr:cNvPr id="9425" name="AutoShape 3062">
              <a:hlinkClick xmlns:r="http://schemas.openxmlformats.org/officeDocument/2006/relationships" r:id="rId66" tooltip="Ugrás a helyszínre"/>
              <a:extLst>
                <a:ext uri="{FF2B5EF4-FFF2-40B4-BE49-F238E27FC236}">
                  <a16:creationId xmlns:a16="http://schemas.microsoft.com/office/drawing/2014/main" xmlns="" id="{00000000-0008-0000-0800-0000D124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85725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B84B08"/>
                </a:gs>
                <a:gs pos="100000">
                  <a:srgbClr val="FAB65C"/>
                </a:gs>
              </a:gsLst>
              <a:lin ang="5400000" scaled="1"/>
            </a:gradFill>
            <a:ln w="0" algn="ctr">
              <a:solidFill>
                <a:srgbClr val="D3D3D3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000000"/>
                  </a:solidFill>
                  <a:latin typeface="Arial Unicode MS"/>
                </a:rPr>
                <a:t>KOPPENHÁGA</a:t>
              </a:r>
            </a:p>
          </xdr:txBody>
        </xdr:sp>
        <xdr:sp macro="" textlink="">
          <xdr:nvSpPr>
            <xdr:cNvPr id="9426" name="AutoShape 3063">
              <a:hlinkClick xmlns:r="http://schemas.openxmlformats.org/officeDocument/2006/relationships" r:id="rId67" tooltip="Ugrás a helyszínre"/>
              <a:extLst>
                <a:ext uri="{FF2B5EF4-FFF2-40B4-BE49-F238E27FC236}">
                  <a16:creationId xmlns:a16="http://schemas.microsoft.com/office/drawing/2014/main" xmlns="" id="{00000000-0008-0000-0800-0000D224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103822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MÜNCHEN</a:t>
              </a:r>
            </a:p>
          </xdr:txBody>
        </xdr:sp>
        <xdr:sp macro="" textlink="">
          <xdr:nvSpPr>
            <xdr:cNvPr id="9427" name="AutoShape 3064">
              <a:hlinkClick xmlns:r="http://schemas.openxmlformats.org/officeDocument/2006/relationships" r:id="rId68" tooltip="Ugrás a helyszínre"/>
              <a:extLst>
                <a:ext uri="{FF2B5EF4-FFF2-40B4-BE49-F238E27FC236}">
                  <a16:creationId xmlns:a16="http://schemas.microsoft.com/office/drawing/2014/main" xmlns="" id="{00000000-0008-0000-0800-0000D324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121920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BUDAPEST</a:t>
              </a:r>
            </a:p>
          </xdr:txBody>
        </xdr:sp>
        <xdr:sp macro="" textlink="">
          <xdr:nvSpPr>
            <xdr:cNvPr id="9428" name="AutoShape 3065">
              <a:hlinkClick xmlns:r="http://schemas.openxmlformats.org/officeDocument/2006/relationships" r:id="rId69" tooltip="Ugrás a helyszínre"/>
              <a:extLst>
                <a:ext uri="{FF2B5EF4-FFF2-40B4-BE49-F238E27FC236}">
                  <a16:creationId xmlns:a16="http://schemas.microsoft.com/office/drawing/2014/main" xmlns="" id="{00000000-0008-0000-0800-0000D424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140017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BUKAREST</a:t>
              </a:r>
            </a:p>
          </xdr:txBody>
        </xdr:sp>
        <xdr:sp macro="" textlink="">
          <xdr:nvSpPr>
            <xdr:cNvPr id="9429" name="AutoShape 3066">
              <a:hlinkClick xmlns:r="http://schemas.openxmlformats.org/officeDocument/2006/relationships" r:id="rId70" tooltip="Ugrás a helyszínre"/>
              <a:extLst>
                <a:ext uri="{FF2B5EF4-FFF2-40B4-BE49-F238E27FC236}">
                  <a16:creationId xmlns:a16="http://schemas.microsoft.com/office/drawing/2014/main" xmlns="" id="{00000000-0008-0000-0800-0000D524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158115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BAKU</a:t>
              </a:r>
            </a:p>
          </xdr:txBody>
        </xdr:sp>
        <xdr:sp macro="" textlink="">
          <xdr:nvSpPr>
            <xdr:cNvPr id="9430" name="AutoShape 1436">
              <a:extLst>
                <a:ext uri="{FF2B5EF4-FFF2-40B4-BE49-F238E27FC236}">
                  <a16:creationId xmlns:a16="http://schemas.microsoft.com/office/drawing/2014/main" xmlns="" id="{00000000-0008-0000-0800-0000D6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2257425" y="128587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431" name="AutoShape 1436">
              <a:extLst>
                <a:ext uri="{FF2B5EF4-FFF2-40B4-BE49-F238E27FC236}">
                  <a16:creationId xmlns:a16="http://schemas.microsoft.com/office/drawing/2014/main" xmlns="" id="{00000000-0008-0000-0800-0000D7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1876425" y="129540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432" name="AutoShape 1436">
              <a:extLst>
                <a:ext uri="{FF2B5EF4-FFF2-40B4-BE49-F238E27FC236}">
                  <a16:creationId xmlns:a16="http://schemas.microsoft.com/office/drawing/2014/main" xmlns="" id="{00000000-0008-0000-0800-0000D8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1828800" y="7715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438" name="AutoShape 1436">
              <a:extLst>
                <a:ext uri="{FF2B5EF4-FFF2-40B4-BE49-F238E27FC236}">
                  <a16:creationId xmlns:a16="http://schemas.microsoft.com/office/drawing/2014/main" xmlns="" id="{00000000-0008-0000-0800-0000DE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1581150" y="100965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440" name="AutoShape 1436">
              <a:extLst>
                <a:ext uri="{FF2B5EF4-FFF2-40B4-BE49-F238E27FC236}">
                  <a16:creationId xmlns:a16="http://schemas.microsoft.com/office/drawing/2014/main" xmlns="" id="{00000000-0008-0000-0800-0000E0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3819525" y="70485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441" name="AutoShape 1436">
              <a:extLst>
                <a:ext uri="{FF2B5EF4-FFF2-40B4-BE49-F238E27FC236}">
                  <a16:creationId xmlns:a16="http://schemas.microsoft.com/office/drawing/2014/main" xmlns="" id="{00000000-0008-0000-0800-0000E1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2790825" y="108585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FAB65C"/>
                </a:gs>
                <a:gs pos="100000">
                  <a:srgbClr val="B84B0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 algn="ctr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443" name="AutoShape 1436">
              <a:extLst>
                <a:ext uri="{FF2B5EF4-FFF2-40B4-BE49-F238E27FC236}">
                  <a16:creationId xmlns:a16="http://schemas.microsoft.com/office/drawing/2014/main" xmlns="" id="{00000000-0008-0000-0800-0000E3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3143250" y="201930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446" name="AutoShape 1436">
              <a:extLst>
                <a:ext uri="{FF2B5EF4-FFF2-40B4-BE49-F238E27FC236}">
                  <a16:creationId xmlns:a16="http://schemas.microsoft.com/office/drawing/2014/main" xmlns="" id="{00000000-0008-0000-0800-0000E6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2552700" y="185737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447" name="AutoShape 1436">
              <a:extLst>
                <a:ext uri="{FF2B5EF4-FFF2-40B4-BE49-F238E27FC236}">
                  <a16:creationId xmlns:a16="http://schemas.microsoft.com/office/drawing/2014/main" xmlns="" id="{00000000-0008-0000-0800-0000E7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3638550" y="24098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448" name="AutoShape 1436">
              <a:extLst>
                <a:ext uri="{FF2B5EF4-FFF2-40B4-BE49-F238E27FC236}">
                  <a16:creationId xmlns:a16="http://schemas.microsoft.com/office/drawing/2014/main" xmlns="" id="{00000000-0008-0000-0800-0000E8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5295900" y="24479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twoCellAnchor editAs="oneCell">
    <xdr:from>
      <xdr:col>1</xdr:col>
      <xdr:colOff>133350</xdr:colOff>
      <xdr:row>205</xdr:row>
      <xdr:rowOff>19050</xdr:rowOff>
    </xdr:from>
    <xdr:to>
      <xdr:col>16</xdr:col>
      <xdr:colOff>285750</xdr:colOff>
      <xdr:row>218</xdr:row>
      <xdr:rowOff>95250</xdr:rowOff>
    </xdr:to>
    <xdr:grpSp>
      <xdr:nvGrpSpPr>
        <xdr:cNvPr id="9433" name="Csoportba foglalás 2">
          <a:extLst>
            <a:ext uri="{FF2B5EF4-FFF2-40B4-BE49-F238E27FC236}">
              <a16:creationId xmlns:a16="http://schemas.microsoft.com/office/drawing/2014/main" xmlns="" id="{00000000-0008-0000-0800-0000D9240000}"/>
            </a:ext>
          </a:extLst>
        </xdr:cNvPr>
        <xdr:cNvGrpSpPr>
          <a:grpSpLocks/>
        </xdr:cNvGrpSpPr>
      </xdr:nvGrpSpPr>
      <xdr:grpSpPr bwMode="auto">
        <a:xfrm>
          <a:off x="228600" y="31032450"/>
          <a:ext cx="9124950" cy="2247900"/>
          <a:chOff x="228600" y="628650"/>
          <a:chExt cx="9124950" cy="2247900"/>
        </a:xfrm>
      </xdr:grpSpPr>
      <xdr:sp macro="" textlink="">
        <xdr:nvSpPr>
          <xdr:cNvPr id="9434" name="Rectangle 2568">
            <a:extLst>
              <a:ext uri="{FF2B5EF4-FFF2-40B4-BE49-F238E27FC236}">
                <a16:creationId xmlns:a16="http://schemas.microsoft.com/office/drawing/2014/main" xmlns="" id="{00000000-0008-0000-0800-0000DA240000}"/>
              </a:ext>
            </a:extLst>
          </xdr:cNvPr>
          <xdr:cNvSpPr>
            <a:spLocks noChangeArrowheads="1"/>
          </xdr:cNvSpPr>
        </xdr:nvSpPr>
        <xdr:spPr bwMode="auto">
          <a:xfrm>
            <a:off x="5743575" y="800100"/>
            <a:ext cx="3600450" cy="9525"/>
          </a:xfrm>
          <a:prstGeom prst="rect">
            <a:avLst/>
          </a:prstGeom>
          <a:gradFill rotWithShape="0">
            <a:gsLst>
              <a:gs pos="0">
                <a:srgbClr val="000000"/>
              </a:gs>
              <a:gs pos="100000">
                <a:srgbClr val="FFFFFF"/>
              </a:gs>
            </a:gsLst>
            <a:lin ang="0" scaled="1"/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435" name="Rectangle 2598">
            <a:extLst>
              <a:ext uri="{FF2B5EF4-FFF2-40B4-BE49-F238E27FC236}">
                <a16:creationId xmlns:a16="http://schemas.microsoft.com/office/drawing/2014/main" xmlns="" id="{00000000-0008-0000-0800-0000DB240000}"/>
              </a:ext>
            </a:extLst>
          </xdr:cNvPr>
          <xdr:cNvSpPr>
            <a:spLocks noChangeArrowheads="1"/>
          </xdr:cNvSpPr>
        </xdr:nvSpPr>
        <xdr:spPr bwMode="auto">
          <a:xfrm>
            <a:off x="5753100" y="1228725"/>
            <a:ext cx="3600450" cy="9525"/>
          </a:xfrm>
          <a:prstGeom prst="rect">
            <a:avLst/>
          </a:prstGeom>
          <a:gradFill rotWithShape="0">
            <a:gsLst>
              <a:gs pos="0">
                <a:srgbClr val="000000"/>
              </a:gs>
              <a:gs pos="100000">
                <a:srgbClr val="FFFFFF"/>
              </a:gs>
            </a:gsLst>
            <a:lin ang="0" scaled="1"/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grpSp>
        <xdr:nvGrpSpPr>
          <xdr:cNvPr id="9436" name="Csoportba foglalás 1">
            <a:extLst>
              <a:ext uri="{FF2B5EF4-FFF2-40B4-BE49-F238E27FC236}">
                <a16:creationId xmlns:a16="http://schemas.microsoft.com/office/drawing/2014/main" xmlns="" id="{00000000-0008-0000-0800-0000DC240000}"/>
              </a:ext>
            </a:extLst>
          </xdr:cNvPr>
          <xdr:cNvGrpSpPr>
            <a:grpSpLocks/>
          </xdr:cNvGrpSpPr>
        </xdr:nvGrpSpPr>
        <xdr:grpSpPr bwMode="auto">
          <a:xfrm>
            <a:off x="228600" y="628650"/>
            <a:ext cx="5391150" cy="2247900"/>
            <a:chOff x="228600" y="628650"/>
            <a:chExt cx="5391150" cy="2247900"/>
          </a:xfrm>
        </xdr:grpSpPr>
        <xdr:pic>
          <xdr:nvPicPr>
            <xdr:cNvPr id="9437" name="Picture 3068">
              <a:extLst>
                <a:ext uri="{FF2B5EF4-FFF2-40B4-BE49-F238E27FC236}">
                  <a16:creationId xmlns:a16="http://schemas.microsoft.com/office/drawing/2014/main" xmlns="" id="{00000000-0008-0000-0800-0000DD24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8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28600" y="628650"/>
              <a:ext cx="5391150" cy="22479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61" name="AutoShape 2590">
              <a:hlinkClick xmlns:r="http://schemas.openxmlformats.org/officeDocument/2006/relationships" r:id="rId59" tooltip="Ugrás a helyszínre"/>
              <a:extLst>
                <a:ext uri="{FF2B5EF4-FFF2-40B4-BE49-F238E27FC236}">
                  <a16:creationId xmlns:a16="http://schemas.microsoft.com/office/drawing/2014/main" xmlns="" id="{00000000-0008-0000-0800-00003D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67627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1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GLASGOW</a:t>
              </a:r>
            </a:p>
          </xdr:txBody>
        </xdr:sp>
        <xdr:sp macro="" textlink="">
          <xdr:nvSpPr>
            <xdr:cNvPr id="9439" name="AutoShape 1436">
              <a:extLst>
                <a:ext uri="{FF2B5EF4-FFF2-40B4-BE49-F238E27FC236}">
                  <a16:creationId xmlns:a16="http://schemas.microsoft.com/office/drawing/2014/main" xmlns="" id="{00000000-0008-0000-0800-0000DF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1047750" y="24860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2" name="AutoShape 3037">
              <a:hlinkClick xmlns:r="http://schemas.openxmlformats.org/officeDocument/2006/relationships" r:id="rId60" tooltip="Ugrás a helyszínre"/>
              <a:extLst>
                <a:ext uri="{FF2B5EF4-FFF2-40B4-BE49-F238E27FC236}">
                  <a16:creationId xmlns:a16="http://schemas.microsoft.com/office/drawing/2014/main" xmlns="" id="{00000000-0008-0000-0800-00003E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85725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DUBLIN</a:t>
              </a:r>
            </a:p>
          </xdr:txBody>
        </xdr:sp>
        <xdr:sp macro="" textlink="">
          <xdr:nvSpPr>
            <xdr:cNvPr id="63" name="AutoShape 3038">
              <a:hlinkClick xmlns:r="http://schemas.openxmlformats.org/officeDocument/2006/relationships" r:id="rId61" tooltip="Ugrás a helyszínre"/>
              <a:extLst>
                <a:ext uri="{FF2B5EF4-FFF2-40B4-BE49-F238E27FC236}">
                  <a16:creationId xmlns:a16="http://schemas.microsoft.com/office/drawing/2014/main" xmlns="" id="{00000000-0008-0000-0800-00003F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103822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LONDON</a:t>
              </a:r>
            </a:p>
          </xdr:txBody>
        </xdr:sp>
        <xdr:sp macro="" textlink="">
          <xdr:nvSpPr>
            <xdr:cNvPr id="9442" name="AutoShape 3039">
              <a:hlinkClick xmlns:r="http://schemas.openxmlformats.org/officeDocument/2006/relationships" r:id="rId62" tooltip="Ugrás a helyszínre"/>
              <a:extLst>
                <a:ext uri="{FF2B5EF4-FFF2-40B4-BE49-F238E27FC236}">
                  <a16:creationId xmlns:a16="http://schemas.microsoft.com/office/drawing/2014/main" xmlns="" id="{00000000-0008-0000-0800-0000E224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121920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B84B08"/>
                </a:gs>
                <a:gs pos="100000">
                  <a:srgbClr val="FAB65C"/>
                </a:gs>
              </a:gsLst>
              <a:lin ang="5400000" scaled="1"/>
            </a:gradFill>
            <a:ln w="0" algn="ctr">
              <a:solidFill>
                <a:srgbClr val="D3D3D3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000000"/>
                  </a:solidFill>
                  <a:latin typeface="Arial Unicode MS"/>
                </a:rPr>
                <a:t>AMSZTERDAM</a:t>
              </a:r>
            </a:p>
          </xdr:txBody>
        </xdr:sp>
        <xdr:sp macro="" textlink="">
          <xdr:nvSpPr>
            <xdr:cNvPr id="9408" name="AutoShape 3040">
              <a:hlinkClick xmlns:r="http://schemas.openxmlformats.org/officeDocument/2006/relationships" r:id="rId63" tooltip="Ugrás a helyszínre"/>
              <a:extLst>
                <a:ext uri="{FF2B5EF4-FFF2-40B4-BE49-F238E27FC236}">
                  <a16:creationId xmlns:a16="http://schemas.microsoft.com/office/drawing/2014/main" xmlns="" id="{00000000-0008-0000-0800-0000C024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140017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SEVILLA</a:t>
              </a:r>
            </a:p>
          </xdr:txBody>
        </xdr:sp>
        <xdr:sp macro="" textlink="">
          <xdr:nvSpPr>
            <xdr:cNvPr id="9444" name="AutoShape 3041">
              <a:hlinkClick xmlns:r="http://schemas.openxmlformats.org/officeDocument/2006/relationships" r:id="rId64" tooltip="Ugrás a helyszínre"/>
              <a:extLst>
                <a:ext uri="{FF2B5EF4-FFF2-40B4-BE49-F238E27FC236}">
                  <a16:creationId xmlns:a16="http://schemas.microsoft.com/office/drawing/2014/main" xmlns="" id="{00000000-0008-0000-0800-0000E424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158115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RÓMA</a:t>
              </a:r>
            </a:p>
          </xdr:txBody>
        </xdr:sp>
        <xdr:sp macro="" textlink="">
          <xdr:nvSpPr>
            <xdr:cNvPr id="9445" name="AutoShape 1436">
              <a:extLst>
                <a:ext uri="{FF2B5EF4-FFF2-40B4-BE49-F238E27FC236}">
                  <a16:creationId xmlns:a16="http://schemas.microsoft.com/office/drawing/2014/main" xmlns="" id="{00000000-0008-0000-0800-0000E5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2486025" y="25622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 algn="ctr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409" name="AutoShape 3061">
              <a:hlinkClick xmlns:r="http://schemas.openxmlformats.org/officeDocument/2006/relationships" r:id="rId65" tooltip="Ugrás a helyszínre"/>
              <a:extLst>
                <a:ext uri="{FF2B5EF4-FFF2-40B4-BE49-F238E27FC236}">
                  <a16:creationId xmlns:a16="http://schemas.microsoft.com/office/drawing/2014/main" xmlns="" id="{00000000-0008-0000-0800-0000C124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67627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1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SZENTPÉTERVÁR</a:t>
              </a:r>
            </a:p>
          </xdr:txBody>
        </xdr:sp>
        <xdr:sp macro="" textlink="">
          <xdr:nvSpPr>
            <xdr:cNvPr id="9410" name="AutoShape 3062">
              <a:hlinkClick xmlns:r="http://schemas.openxmlformats.org/officeDocument/2006/relationships" r:id="rId66" tooltip="Ugrás a helyszínre"/>
              <a:extLst>
                <a:ext uri="{FF2B5EF4-FFF2-40B4-BE49-F238E27FC236}">
                  <a16:creationId xmlns:a16="http://schemas.microsoft.com/office/drawing/2014/main" xmlns="" id="{00000000-0008-0000-0800-0000C224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85725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KOPPENHÁGA</a:t>
              </a:r>
            </a:p>
          </xdr:txBody>
        </xdr:sp>
        <xdr:sp macro="" textlink="">
          <xdr:nvSpPr>
            <xdr:cNvPr id="9411" name="AutoShape 3063">
              <a:hlinkClick xmlns:r="http://schemas.openxmlformats.org/officeDocument/2006/relationships" r:id="rId67" tooltip="Ugrás a helyszínre"/>
              <a:extLst>
                <a:ext uri="{FF2B5EF4-FFF2-40B4-BE49-F238E27FC236}">
                  <a16:creationId xmlns:a16="http://schemas.microsoft.com/office/drawing/2014/main" xmlns="" id="{00000000-0008-0000-0800-0000C324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103822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MÜNCHEN</a:t>
              </a:r>
            </a:p>
          </xdr:txBody>
        </xdr:sp>
        <xdr:sp macro="" textlink="">
          <xdr:nvSpPr>
            <xdr:cNvPr id="9412" name="AutoShape 3064">
              <a:hlinkClick xmlns:r="http://schemas.openxmlformats.org/officeDocument/2006/relationships" r:id="rId68" tooltip="Ugrás a helyszínre"/>
              <a:extLst>
                <a:ext uri="{FF2B5EF4-FFF2-40B4-BE49-F238E27FC236}">
                  <a16:creationId xmlns:a16="http://schemas.microsoft.com/office/drawing/2014/main" xmlns="" id="{00000000-0008-0000-0800-0000C424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121920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BUDAPEST</a:t>
              </a:r>
            </a:p>
          </xdr:txBody>
        </xdr:sp>
        <xdr:sp macro="" textlink="">
          <xdr:nvSpPr>
            <xdr:cNvPr id="9413" name="AutoShape 3065">
              <a:hlinkClick xmlns:r="http://schemas.openxmlformats.org/officeDocument/2006/relationships" r:id="rId69" tooltip="Ugrás a helyszínre"/>
              <a:extLst>
                <a:ext uri="{FF2B5EF4-FFF2-40B4-BE49-F238E27FC236}">
                  <a16:creationId xmlns:a16="http://schemas.microsoft.com/office/drawing/2014/main" xmlns="" id="{00000000-0008-0000-0800-0000C524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140017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BUKAREST</a:t>
              </a:r>
            </a:p>
          </xdr:txBody>
        </xdr:sp>
        <xdr:sp macro="" textlink="">
          <xdr:nvSpPr>
            <xdr:cNvPr id="9414" name="AutoShape 3066">
              <a:hlinkClick xmlns:r="http://schemas.openxmlformats.org/officeDocument/2006/relationships" r:id="rId70" tooltip="Ugrás a helyszínre"/>
              <a:extLst>
                <a:ext uri="{FF2B5EF4-FFF2-40B4-BE49-F238E27FC236}">
                  <a16:creationId xmlns:a16="http://schemas.microsoft.com/office/drawing/2014/main" xmlns="" id="{00000000-0008-0000-0800-0000C624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158115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BAKU</a:t>
              </a:r>
            </a:p>
          </xdr:txBody>
        </xdr:sp>
        <xdr:sp macro="" textlink="">
          <xdr:nvSpPr>
            <xdr:cNvPr id="9452" name="AutoShape 1436">
              <a:extLst>
                <a:ext uri="{FF2B5EF4-FFF2-40B4-BE49-F238E27FC236}">
                  <a16:creationId xmlns:a16="http://schemas.microsoft.com/office/drawing/2014/main" xmlns="" id="{00000000-0008-0000-0800-0000EC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2257425" y="128587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FAB65C"/>
                </a:gs>
                <a:gs pos="100000">
                  <a:srgbClr val="B84B0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 algn="ctr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453" name="AutoShape 1436">
              <a:extLst>
                <a:ext uri="{FF2B5EF4-FFF2-40B4-BE49-F238E27FC236}">
                  <a16:creationId xmlns:a16="http://schemas.microsoft.com/office/drawing/2014/main" xmlns="" id="{00000000-0008-0000-0800-0000ED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1876425" y="129540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454" name="AutoShape 1436">
              <a:extLst>
                <a:ext uri="{FF2B5EF4-FFF2-40B4-BE49-F238E27FC236}">
                  <a16:creationId xmlns:a16="http://schemas.microsoft.com/office/drawing/2014/main" xmlns="" id="{00000000-0008-0000-0800-0000EE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1828800" y="7715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455" name="AutoShape 1436">
              <a:extLst>
                <a:ext uri="{FF2B5EF4-FFF2-40B4-BE49-F238E27FC236}">
                  <a16:creationId xmlns:a16="http://schemas.microsoft.com/office/drawing/2014/main" xmlns="" id="{00000000-0008-0000-0800-0000EF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1581150" y="100965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456" name="AutoShape 1436">
              <a:extLst>
                <a:ext uri="{FF2B5EF4-FFF2-40B4-BE49-F238E27FC236}">
                  <a16:creationId xmlns:a16="http://schemas.microsoft.com/office/drawing/2014/main" xmlns="" id="{00000000-0008-0000-0800-0000F0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3819525" y="70485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457" name="AutoShape 1436">
              <a:extLst>
                <a:ext uri="{FF2B5EF4-FFF2-40B4-BE49-F238E27FC236}">
                  <a16:creationId xmlns:a16="http://schemas.microsoft.com/office/drawing/2014/main" xmlns="" id="{00000000-0008-0000-0800-0000F1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2790825" y="108585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458" name="AutoShape 1436">
              <a:extLst>
                <a:ext uri="{FF2B5EF4-FFF2-40B4-BE49-F238E27FC236}">
                  <a16:creationId xmlns:a16="http://schemas.microsoft.com/office/drawing/2014/main" xmlns="" id="{00000000-0008-0000-0800-0000F2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3143250" y="201930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459" name="AutoShape 1436">
              <a:extLst>
                <a:ext uri="{FF2B5EF4-FFF2-40B4-BE49-F238E27FC236}">
                  <a16:creationId xmlns:a16="http://schemas.microsoft.com/office/drawing/2014/main" xmlns="" id="{00000000-0008-0000-0800-0000F3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2552700" y="185737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460" name="AutoShape 1436">
              <a:extLst>
                <a:ext uri="{FF2B5EF4-FFF2-40B4-BE49-F238E27FC236}">
                  <a16:creationId xmlns:a16="http://schemas.microsoft.com/office/drawing/2014/main" xmlns="" id="{00000000-0008-0000-0800-0000F4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3638550" y="24098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461" name="AutoShape 1436">
              <a:extLst>
                <a:ext uri="{FF2B5EF4-FFF2-40B4-BE49-F238E27FC236}">
                  <a16:creationId xmlns:a16="http://schemas.microsoft.com/office/drawing/2014/main" xmlns="" id="{00000000-0008-0000-0800-0000F5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5295900" y="24479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twoCellAnchor editAs="oneCell">
    <xdr:from>
      <xdr:col>1</xdr:col>
      <xdr:colOff>133350</xdr:colOff>
      <xdr:row>255</xdr:row>
      <xdr:rowOff>19050</xdr:rowOff>
    </xdr:from>
    <xdr:to>
      <xdr:col>16</xdr:col>
      <xdr:colOff>285750</xdr:colOff>
      <xdr:row>268</xdr:row>
      <xdr:rowOff>95250</xdr:rowOff>
    </xdr:to>
    <xdr:grpSp>
      <xdr:nvGrpSpPr>
        <xdr:cNvPr id="9462" name="Csoportba foglalás 2">
          <a:extLst>
            <a:ext uri="{FF2B5EF4-FFF2-40B4-BE49-F238E27FC236}">
              <a16:creationId xmlns:a16="http://schemas.microsoft.com/office/drawing/2014/main" xmlns="" id="{00000000-0008-0000-0800-0000F6240000}"/>
            </a:ext>
          </a:extLst>
        </xdr:cNvPr>
        <xdr:cNvGrpSpPr>
          <a:grpSpLocks/>
        </xdr:cNvGrpSpPr>
      </xdr:nvGrpSpPr>
      <xdr:grpSpPr bwMode="auto">
        <a:xfrm>
          <a:off x="228600" y="38633400"/>
          <a:ext cx="9124950" cy="2247900"/>
          <a:chOff x="228600" y="628650"/>
          <a:chExt cx="9124950" cy="2247900"/>
        </a:xfrm>
      </xdr:grpSpPr>
      <xdr:sp macro="" textlink="">
        <xdr:nvSpPr>
          <xdr:cNvPr id="9463" name="Rectangle 2568">
            <a:extLst>
              <a:ext uri="{FF2B5EF4-FFF2-40B4-BE49-F238E27FC236}">
                <a16:creationId xmlns:a16="http://schemas.microsoft.com/office/drawing/2014/main" xmlns="" id="{00000000-0008-0000-0800-0000F7240000}"/>
              </a:ext>
            </a:extLst>
          </xdr:cNvPr>
          <xdr:cNvSpPr>
            <a:spLocks noChangeArrowheads="1"/>
          </xdr:cNvSpPr>
        </xdr:nvSpPr>
        <xdr:spPr bwMode="auto">
          <a:xfrm>
            <a:off x="5743575" y="800100"/>
            <a:ext cx="3600450" cy="9525"/>
          </a:xfrm>
          <a:prstGeom prst="rect">
            <a:avLst/>
          </a:prstGeom>
          <a:gradFill rotWithShape="0">
            <a:gsLst>
              <a:gs pos="0">
                <a:srgbClr val="000000"/>
              </a:gs>
              <a:gs pos="100000">
                <a:srgbClr val="FFFFFF"/>
              </a:gs>
            </a:gsLst>
            <a:lin ang="0" scaled="1"/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464" name="Rectangle 2598">
            <a:extLst>
              <a:ext uri="{FF2B5EF4-FFF2-40B4-BE49-F238E27FC236}">
                <a16:creationId xmlns:a16="http://schemas.microsoft.com/office/drawing/2014/main" xmlns="" id="{00000000-0008-0000-0800-0000F8240000}"/>
              </a:ext>
            </a:extLst>
          </xdr:cNvPr>
          <xdr:cNvSpPr>
            <a:spLocks noChangeArrowheads="1"/>
          </xdr:cNvSpPr>
        </xdr:nvSpPr>
        <xdr:spPr bwMode="auto">
          <a:xfrm>
            <a:off x="5753100" y="1228725"/>
            <a:ext cx="3600450" cy="9525"/>
          </a:xfrm>
          <a:prstGeom prst="rect">
            <a:avLst/>
          </a:prstGeom>
          <a:gradFill rotWithShape="0">
            <a:gsLst>
              <a:gs pos="0">
                <a:srgbClr val="000000"/>
              </a:gs>
              <a:gs pos="100000">
                <a:srgbClr val="FFFFFF"/>
              </a:gs>
            </a:gsLst>
            <a:lin ang="0" scaled="1"/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grpSp>
        <xdr:nvGrpSpPr>
          <xdr:cNvPr id="9465" name="Csoportba foglalás 1">
            <a:extLst>
              <a:ext uri="{FF2B5EF4-FFF2-40B4-BE49-F238E27FC236}">
                <a16:creationId xmlns:a16="http://schemas.microsoft.com/office/drawing/2014/main" xmlns="" id="{00000000-0008-0000-0800-0000F9240000}"/>
              </a:ext>
            </a:extLst>
          </xdr:cNvPr>
          <xdr:cNvGrpSpPr>
            <a:grpSpLocks/>
          </xdr:cNvGrpSpPr>
        </xdr:nvGrpSpPr>
        <xdr:grpSpPr bwMode="auto">
          <a:xfrm>
            <a:off x="228600" y="628650"/>
            <a:ext cx="5391150" cy="2247900"/>
            <a:chOff x="228600" y="628650"/>
            <a:chExt cx="5391150" cy="2247900"/>
          </a:xfrm>
        </xdr:grpSpPr>
        <xdr:pic>
          <xdr:nvPicPr>
            <xdr:cNvPr id="9466" name="Picture 3068">
              <a:extLst>
                <a:ext uri="{FF2B5EF4-FFF2-40B4-BE49-F238E27FC236}">
                  <a16:creationId xmlns:a16="http://schemas.microsoft.com/office/drawing/2014/main" xmlns="" id="{00000000-0008-0000-0800-0000FA24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8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28600" y="628650"/>
              <a:ext cx="5391150" cy="22479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51" name="AutoShape 2590">
              <a:hlinkClick xmlns:r="http://schemas.openxmlformats.org/officeDocument/2006/relationships" r:id="rId59" tooltip="Ugrás a helyszínre"/>
              <a:extLst>
                <a:ext uri="{FF2B5EF4-FFF2-40B4-BE49-F238E27FC236}">
                  <a16:creationId xmlns:a16="http://schemas.microsoft.com/office/drawing/2014/main" xmlns="" id="{00000000-0008-0000-0800-00003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67627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1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GLASGOW</a:t>
              </a:r>
            </a:p>
          </xdr:txBody>
        </xdr:sp>
        <xdr:sp macro="" textlink="">
          <xdr:nvSpPr>
            <xdr:cNvPr id="9468" name="AutoShape 1436">
              <a:extLst>
                <a:ext uri="{FF2B5EF4-FFF2-40B4-BE49-F238E27FC236}">
                  <a16:creationId xmlns:a16="http://schemas.microsoft.com/office/drawing/2014/main" xmlns="" id="{00000000-0008-0000-0800-0000FC24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1047750" y="24860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2" name="AutoShape 3037">
              <a:hlinkClick xmlns:r="http://schemas.openxmlformats.org/officeDocument/2006/relationships" r:id="rId60" tooltip="Ugrás a helyszínre"/>
              <a:extLst>
                <a:ext uri="{FF2B5EF4-FFF2-40B4-BE49-F238E27FC236}">
                  <a16:creationId xmlns:a16="http://schemas.microsoft.com/office/drawing/2014/main" xmlns="" id="{00000000-0008-0000-0800-00003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85725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DUBLIN</a:t>
              </a:r>
            </a:p>
          </xdr:txBody>
        </xdr:sp>
        <xdr:sp macro="" textlink="">
          <xdr:nvSpPr>
            <xdr:cNvPr id="53" name="AutoShape 3038">
              <a:hlinkClick xmlns:r="http://schemas.openxmlformats.org/officeDocument/2006/relationships" r:id="rId61" tooltip="Ugrás a helyszínre"/>
              <a:extLst>
                <a:ext uri="{FF2B5EF4-FFF2-40B4-BE49-F238E27FC236}">
                  <a16:creationId xmlns:a16="http://schemas.microsoft.com/office/drawing/2014/main" xmlns="" id="{00000000-0008-0000-0800-00003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103822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LONDON</a:t>
              </a:r>
            </a:p>
          </xdr:txBody>
        </xdr:sp>
        <xdr:sp macro="" textlink="">
          <xdr:nvSpPr>
            <xdr:cNvPr id="54" name="AutoShape 3039">
              <a:hlinkClick xmlns:r="http://schemas.openxmlformats.org/officeDocument/2006/relationships" r:id="rId62" tooltip="Ugrás a helyszínre"/>
              <a:extLst>
                <a:ext uri="{FF2B5EF4-FFF2-40B4-BE49-F238E27FC236}">
                  <a16:creationId xmlns:a16="http://schemas.microsoft.com/office/drawing/2014/main" xmlns="" id="{00000000-0008-0000-0800-00003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121920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AMSZTERDAM</a:t>
              </a:r>
            </a:p>
          </xdr:txBody>
        </xdr:sp>
        <xdr:sp macro="" textlink="">
          <xdr:nvSpPr>
            <xdr:cNvPr id="55" name="AutoShape 3040">
              <a:hlinkClick xmlns:r="http://schemas.openxmlformats.org/officeDocument/2006/relationships" r:id="rId63" tooltip="Ugrás a helyszínre"/>
              <a:extLst>
                <a:ext uri="{FF2B5EF4-FFF2-40B4-BE49-F238E27FC236}">
                  <a16:creationId xmlns:a16="http://schemas.microsoft.com/office/drawing/2014/main" xmlns="" id="{00000000-0008-0000-0800-000037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140017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SEVILLA</a:t>
              </a:r>
            </a:p>
          </xdr:txBody>
        </xdr:sp>
        <xdr:sp macro="" textlink="">
          <xdr:nvSpPr>
            <xdr:cNvPr id="9473" name="AutoShape 3041">
              <a:hlinkClick xmlns:r="http://schemas.openxmlformats.org/officeDocument/2006/relationships" r:id="rId64" tooltip="Ugrás a helyszínre"/>
              <a:extLst>
                <a:ext uri="{FF2B5EF4-FFF2-40B4-BE49-F238E27FC236}">
                  <a16:creationId xmlns:a16="http://schemas.microsoft.com/office/drawing/2014/main" xmlns="" id="{00000000-0008-0000-0800-00000125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158115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RÓMA</a:t>
              </a:r>
            </a:p>
          </xdr:txBody>
        </xdr:sp>
        <xdr:sp macro="" textlink="">
          <xdr:nvSpPr>
            <xdr:cNvPr id="9474" name="AutoShape 1436">
              <a:extLst>
                <a:ext uri="{FF2B5EF4-FFF2-40B4-BE49-F238E27FC236}">
                  <a16:creationId xmlns:a16="http://schemas.microsoft.com/office/drawing/2014/main" xmlns="" id="{00000000-0008-0000-0800-000002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2486025" y="25622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 algn="ctr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6" name="AutoShape 3061">
              <a:hlinkClick xmlns:r="http://schemas.openxmlformats.org/officeDocument/2006/relationships" r:id="rId65" tooltip="Ugrás a helyszínre"/>
              <a:extLst>
                <a:ext uri="{FF2B5EF4-FFF2-40B4-BE49-F238E27FC236}">
                  <a16:creationId xmlns:a16="http://schemas.microsoft.com/office/drawing/2014/main" xmlns="" id="{00000000-0008-0000-0800-00003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67627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1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SZENTPÉTERVÁR</a:t>
              </a:r>
            </a:p>
          </xdr:txBody>
        </xdr:sp>
        <xdr:sp macro="" textlink="">
          <xdr:nvSpPr>
            <xdr:cNvPr id="57" name="AutoShape 3062">
              <a:hlinkClick xmlns:r="http://schemas.openxmlformats.org/officeDocument/2006/relationships" r:id="rId66" tooltip="Ugrás a helyszínre"/>
              <a:extLst>
                <a:ext uri="{FF2B5EF4-FFF2-40B4-BE49-F238E27FC236}">
                  <a16:creationId xmlns:a16="http://schemas.microsoft.com/office/drawing/2014/main" xmlns="" id="{00000000-0008-0000-0800-00003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85725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KOPPENHÁGA</a:t>
              </a:r>
            </a:p>
          </xdr:txBody>
        </xdr:sp>
        <xdr:sp macro="" textlink="">
          <xdr:nvSpPr>
            <xdr:cNvPr id="58" name="AutoShape 3063">
              <a:hlinkClick xmlns:r="http://schemas.openxmlformats.org/officeDocument/2006/relationships" r:id="rId67" tooltip="Ugrás a helyszínre"/>
              <a:extLst>
                <a:ext uri="{FF2B5EF4-FFF2-40B4-BE49-F238E27FC236}">
                  <a16:creationId xmlns:a16="http://schemas.microsoft.com/office/drawing/2014/main" xmlns="" id="{00000000-0008-0000-0800-00003A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103822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MÜNCHEN</a:t>
              </a:r>
            </a:p>
          </xdr:txBody>
        </xdr:sp>
        <xdr:sp macro="" textlink="">
          <xdr:nvSpPr>
            <xdr:cNvPr id="59" name="AutoShape 3064">
              <a:hlinkClick xmlns:r="http://schemas.openxmlformats.org/officeDocument/2006/relationships" r:id="rId68" tooltip="Ugrás a helyszínre"/>
              <a:extLst>
                <a:ext uri="{FF2B5EF4-FFF2-40B4-BE49-F238E27FC236}">
                  <a16:creationId xmlns:a16="http://schemas.microsoft.com/office/drawing/2014/main" xmlns="" id="{00000000-0008-0000-0800-00003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121920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BUDAPEST</a:t>
              </a:r>
            </a:p>
          </xdr:txBody>
        </xdr:sp>
        <xdr:sp macro="" textlink="">
          <xdr:nvSpPr>
            <xdr:cNvPr id="9479" name="AutoShape 3065">
              <a:hlinkClick xmlns:r="http://schemas.openxmlformats.org/officeDocument/2006/relationships" r:id="rId69" tooltip="Ugrás a helyszínre"/>
              <a:extLst>
                <a:ext uri="{FF2B5EF4-FFF2-40B4-BE49-F238E27FC236}">
                  <a16:creationId xmlns:a16="http://schemas.microsoft.com/office/drawing/2014/main" xmlns="" id="{00000000-0008-0000-0800-00000725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140017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B84B08"/>
                </a:gs>
                <a:gs pos="100000">
                  <a:srgbClr val="FAB65C"/>
                </a:gs>
              </a:gsLst>
              <a:lin ang="5400000" scaled="1"/>
            </a:gradFill>
            <a:ln w="0" algn="ctr">
              <a:solidFill>
                <a:srgbClr val="D3D3D3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000000"/>
                  </a:solidFill>
                  <a:latin typeface="Arial Unicode MS"/>
                </a:rPr>
                <a:t>BUKAREST</a:t>
              </a:r>
            </a:p>
          </xdr:txBody>
        </xdr:sp>
        <xdr:sp macro="" textlink="">
          <xdr:nvSpPr>
            <xdr:cNvPr id="60" name="AutoShape 3066">
              <a:hlinkClick xmlns:r="http://schemas.openxmlformats.org/officeDocument/2006/relationships" r:id="rId70" tooltip="Ugrás a helyszínre"/>
              <a:extLst>
                <a:ext uri="{FF2B5EF4-FFF2-40B4-BE49-F238E27FC236}">
                  <a16:creationId xmlns:a16="http://schemas.microsoft.com/office/drawing/2014/main" xmlns="" id="{00000000-0008-0000-0800-00003C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158115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BAKU</a:t>
              </a:r>
            </a:p>
          </xdr:txBody>
        </xdr:sp>
        <xdr:sp macro="" textlink="">
          <xdr:nvSpPr>
            <xdr:cNvPr id="9481" name="AutoShape 1436">
              <a:extLst>
                <a:ext uri="{FF2B5EF4-FFF2-40B4-BE49-F238E27FC236}">
                  <a16:creationId xmlns:a16="http://schemas.microsoft.com/office/drawing/2014/main" xmlns="" id="{00000000-0008-0000-0800-000009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2257425" y="128587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482" name="AutoShape 1436">
              <a:extLst>
                <a:ext uri="{FF2B5EF4-FFF2-40B4-BE49-F238E27FC236}">
                  <a16:creationId xmlns:a16="http://schemas.microsoft.com/office/drawing/2014/main" xmlns="" id="{00000000-0008-0000-0800-00000A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1876425" y="129540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483" name="AutoShape 1436">
              <a:extLst>
                <a:ext uri="{FF2B5EF4-FFF2-40B4-BE49-F238E27FC236}">
                  <a16:creationId xmlns:a16="http://schemas.microsoft.com/office/drawing/2014/main" xmlns="" id="{00000000-0008-0000-0800-00000B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1828800" y="7715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484" name="AutoShape 1436">
              <a:extLst>
                <a:ext uri="{FF2B5EF4-FFF2-40B4-BE49-F238E27FC236}">
                  <a16:creationId xmlns:a16="http://schemas.microsoft.com/office/drawing/2014/main" xmlns="" id="{00000000-0008-0000-0800-00000C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1581150" y="100965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485" name="AutoShape 1436">
              <a:extLst>
                <a:ext uri="{FF2B5EF4-FFF2-40B4-BE49-F238E27FC236}">
                  <a16:creationId xmlns:a16="http://schemas.microsoft.com/office/drawing/2014/main" xmlns="" id="{00000000-0008-0000-0800-00000D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3819525" y="70485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486" name="AutoShape 1436">
              <a:extLst>
                <a:ext uri="{FF2B5EF4-FFF2-40B4-BE49-F238E27FC236}">
                  <a16:creationId xmlns:a16="http://schemas.microsoft.com/office/drawing/2014/main" xmlns="" id="{00000000-0008-0000-0800-00000E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2790825" y="108585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487" name="AutoShape 1436">
              <a:extLst>
                <a:ext uri="{FF2B5EF4-FFF2-40B4-BE49-F238E27FC236}">
                  <a16:creationId xmlns:a16="http://schemas.microsoft.com/office/drawing/2014/main" xmlns="" id="{00000000-0008-0000-0800-00000F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3143250" y="201930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488" name="AutoShape 1436">
              <a:extLst>
                <a:ext uri="{FF2B5EF4-FFF2-40B4-BE49-F238E27FC236}">
                  <a16:creationId xmlns:a16="http://schemas.microsoft.com/office/drawing/2014/main" xmlns="" id="{00000000-0008-0000-0800-000010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2552700" y="185737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489" name="AutoShape 1436">
              <a:extLst>
                <a:ext uri="{FF2B5EF4-FFF2-40B4-BE49-F238E27FC236}">
                  <a16:creationId xmlns:a16="http://schemas.microsoft.com/office/drawing/2014/main" xmlns="" id="{00000000-0008-0000-0800-000011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3638550" y="24098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FAB65C"/>
                </a:gs>
                <a:gs pos="100000">
                  <a:srgbClr val="B84B0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 algn="ctr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490" name="AutoShape 1436">
              <a:extLst>
                <a:ext uri="{FF2B5EF4-FFF2-40B4-BE49-F238E27FC236}">
                  <a16:creationId xmlns:a16="http://schemas.microsoft.com/office/drawing/2014/main" xmlns="" id="{00000000-0008-0000-0800-000012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5295900" y="24479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twoCellAnchor editAs="oneCell">
    <xdr:from>
      <xdr:col>1</xdr:col>
      <xdr:colOff>133350</xdr:colOff>
      <xdr:row>305</xdr:row>
      <xdr:rowOff>19050</xdr:rowOff>
    </xdr:from>
    <xdr:to>
      <xdr:col>16</xdr:col>
      <xdr:colOff>285750</xdr:colOff>
      <xdr:row>318</xdr:row>
      <xdr:rowOff>38100</xdr:rowOff>
    </xdr:to>
    <xdr:grpSp>
      <xdr:nvGrpSpPr>
        <xdr:cNvPr id="9491" name="Csoportba foglalás 2">
          <a:extLst>
            <a:ext uri="{FF2B5EF4-FFF2-40B4-BE49-F238E27FC236}">
              <a16:creationId xmlns:a16="http://schemas.microsoft.com/office/drawing/2014/main" xmlns="" id="{00000000-0008-0000-0800-000013250000}"/>
            </a:ext>
          </a:extLst>
        </xdr:cNvPr>
        <xdr:cNvGrpSpPr>
          <a:grpSpLocks/>
        </xdr:cNvGrpSpPr>
      </xdr:nvGrpSpPr>
      <xdr:grpSpPr bwMode="auto">
        <a:xfrm>
          <a:off x="228600" y="46234350"/>
          <a:ext cx="9124950" cy="2247900"/>
          <a:chOff x="228600" y="628650"/>
          <a:chExt cx="9124950" cy="2247900"/>
        </a:xfrm>
      </xdr:grpSpPr>
      <xdr:sp macro="" textlink="">
        <xdr:nvSpPr>
          <xdr:cNvPr id="9492" name="Rectangle 2568">
            <a:extLst>
              <a:ext uri="{FF2B5EF4-FFF2-40B4-BE49-F238E27FC236}">
                <a16:creationId xmlns:a16="http://schemas.microsoft.com/office/drawing/2014/main" xmlns="" id="{00000000-0008-0000-0800-000014250000}"/>
              </a:ext>
            </a:extLst>
          </xdr:cNvPr>
          <xdr:cNvSpPr>
            <a:spLocks noChangeArrowheads="1"/>
          </xdr:cNvSpPr>
        </xdr:nvSpPr>
        <xdr:spPr bwMode="auto">
          <a:xfrm>
            <a:off x="5743575" y="800100"/>
            <a:ext cx="3600450" cy="9525"/>
          </a:xfrm>
          <a:prstGeom prst="rect">
            <a:avLst/>
          </a:prstGeom>
          <a:gradFill rotWithShape="0">
            <a:gsLst>
              <a:gs pos="0">
                <a:srgbClr val="000000"/>
              </a:gs>
              <a:gs pos="100000">
                <a:srgbClr val="FFFFFF"/>
              </a:gs>
            </a:gsLst>
            <a:lin ang="0" scaled="1"/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493" name="Rectangle 2598">
            <a:extLst>
              <a:ext uri="{FF2B5EF4-FFF2-40B4-BE49-F238E27FC236}">
                <a16:creationId xmlns:a16="http://schemas.microsoft.com/office/drawing/2014/main" xmlns="" id="{00000000-0008-0000-0800-000015250000}"/>
              </a:ext>
            </a:extLst>
          </xdr:cNvPr>
          <xdr:cNvSpPr>
            <a:spLocks noChangeArrowheads="1"/>
          </xdr:cNvSpPr>
        </xdr:nvSpPr>
        <xdr:spPr bwMode="auto">
          <a:xfrm>
            <a:off x="5753100" y="1228725"/>
            <a:ext cx="3600450" cy="9525"/>
          </a:xfrm>
          <a:prstGeom prst="rect">
            <a:avLst/>
          </a:prstGeom>
          <a:gradFill rotWithShape="0">
            <a:gsLst>
              <a:gs pos="0">
                <a:srgbClr val="000000"/>
              </a:gs>
              <a:gs pos="100000">
                <a:srgbClr val="FFFFFF"/>
              </a:gs>
            </a:gsLst>
            <a:lin ang="0" scaled="1"/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grpSp>
        <xdr:nvGrpSpPr>
          <xdr:cNvPr id="9494" name="Csoportba foglalás 1">
            <a:extLst>
              <a:ext uri="{FF2B5EF4-FFF2-40B4-BE49-F238E27FC236}">
                <a16:creationId xmlns:a16="http://schemas.microsoft.com/office/drawing/2014/main" xmlns="" id="{00000000-0008-0000-0800-000016250000}"/>
              </a:ext>
            </a:extLst>
          </xdr:cNvPr>
          <xdr:cNvGrpSpPr>
            <a:grpSpLocks/>
          </xdr:cNvGrpSpPr>
        </xdr:nvGrpSpPr>
        <xdr:grpSpPr bwMode="auto">
          <a:xfrm>
            <a:off x="228600" y="628650"/>
            <a:ext cx="5391150" cy="2247900"/>
            <a:chOff x="228600" y="628650"/>
            <a:chExt cx="5391150" cy="2247900"/>
          </a:xfrm>
        </xdr:grpSpPr>
        <xdr:pic>
          <xdr:nvPicPr>
            <xdr:cNvPr id="9495" name="Picture 3068">
              <a:extLst>
                <a:ext uri="{FF2B5EF4-FFF2-40B4-BE49-F238E27FC236}">
                  <a16:creationId xmlns:a16="http://schemas.microsoft.com/office/drawing/2014/main" xmlns="" id="{00000000-0008-0000-0800-00001725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8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28600" y="628650"/>
              <a:ext cx="5391150" cy="22479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41" name="AutoShape 2590">
              <a:hlinkClick xmlns:r="http://schemas.openxmlformats.org/officeDocument/2006/relationships" r:id="rId59" tooltip="Ugrás a helyszínre"/>
              <a:extLst>
                <a:ext uri="{FF2B5EF4-FFF2-40B4-BE49-F238E27FC236}">
                  <a16:creationId xmlns:a16="http://schemas.microsoft.com/office/drawing/2014/main" xmlns="" id="{00000000-0008-0000-0800-00002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67627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1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GLASGOW</a:t>
              </a:r>
            </a:p>
          </xdr:txBody>
        </xdr:sp>
        <xdr:sp macro="" textlink="">
          <xdr:nvSpPr>
            <xdr:cNvPr id="9497" name="AutoShape 1436">
              <a:extLst>
                <a:ext uri="{FF2B5EF4-FFF2-40B4-BE49-F238E27FC236}">
                  <a16:creationId xmlns:a16="http://schemas.microsoft.com/office/drawing/2014/main" xmlns="" id="{00000000-0008-0000-0800-000019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1047750" y="24860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2" name="AutoShape 3037">
              <a:hlinkClick xmlns:r="http://schemas.openxmlformats.org/officeDocument/2006/relationships" r:id="rId60" tooltip="Ugrás a helyszínre"/>
              <a:extLst>
                <a:ext uri="{FF2B5EF4-FFF2-40B4-BE49-F238E27FC236}">
                  <a16:creationId xmlns:a16="http://schemas.microsoft.com/office/drawing/2014/main" xmlns="" id="{00000000-0008-0000-0800-00002A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85725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DUBLIN</a:t>
              </a:r>
            </a:p>
          </xdr:txBody>
        </xdr:sp>
        <xdr:sp macro="" textlink="">
          <xdr:nvSpPr>
            <xdr:cNvPr id="9499" name="AutoShape 3038">
              <a:hlinkClick xmlns:r="http://schemas.openxmlformats.org/officeDocument/2006/relationships" r:id="rId61" tooltip="Ugrás a helyszínre"/>
              <a:extLst>
                <a:ext uri="{FF2B5EF4-FFF2-40B4-BE49-F238E27FC236}">
                  <a16:creationId xmlns:a16="http://schemas.microsoft.com/office/drawing/2014/main" xmlns="" id="{00000000-0008-0000-0800-00001B25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103822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B84B08"/>
                </a:gs>
                <a:gs pos="100000">
                  <a:srgbClr val="FAB65C"/>
                </a:gs>
              </a:gsLst>
              <a:lin ang="5400000" scaled="1"/>
            </a:gradFill>
            <a:ln w="0" algn="ctr">
              <a:solidFill>
                <a:srgbClr val="D3D3D3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000000"/>
                  </a:solidFill>
                  <a:latin typeface="Arial Unicode MS"/>
                </a:rPr>
                <a:t>LONDON</a:t>
              </a:r>
            </a:p>
          </xdr:txBody>
        </xdr:sp>
        <xdr:sp macro="" textlink="">
          <xdr:nvSpPr>
            <xdr:cNvPr id="43" name="AutoShape 3039">
              <a:hlinkClick xmlns:r="http://schemas.openxmlformats.org/officeDocument/2006/relationships" r:id="rId62" tooltip="Ugrás a helyszínre"/>
              <a:extLst>
                <a:ext uri="{FF2B5EF4-FFF2-40B4-BE49-F238E27FC236}">
                  <a16:creationId xmlns:a16="http://schemas.microsoft.com/office/drawing/2014/main" xmlns="" id="{00000000-0008-0000-0800-00002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121920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AMSZTERDAM</a:t>
              </a:r>
            </a:p>
          </xdr:txBody>
        </xdr:sp>
        <xdr:sp macro="" textlink="">
          <xdr:nvSpPr>
            <xdr:cNvPr id="44" name="AutoShape 3040">
              <a:hlinkClick xmlns:r="http://schemas.openxmlformats.org/officeDocument/2006/relationships" r:id="rId63" tooltip="Ugrás a helyszínre"/>
              <a:extLst>
                <a:ext uri="{FF2B5EF4-FFF2-40B4-BE49-F238E27FC236}">
                  <a16:creationId xmlns:a16="http://schemas.microsoft.com/office/drawing/2014/main" xmlns="" id="{00000000-0008-0000-0800-00002C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140017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SEVILLA</a:t>
              </a:r>
            </a:p>
          </xdr:txBody>
        </xdr:sp>
        <xdr:sp macro="" textlink="">
          <xdr:nvSpPr>
            <xdr:cNvPr id="9502" name="AutoShape 3041">
              <a:hlinkClick xmlns:r="http://schemas.openxmlformats.org/officeDocument/2006/relationships" r:id="rId64" tooltip="Ugrás a helyszínre"/>
              <a:extLst>
                <a:ext uri="{FF2B5EF4-FFF2-40B4-BE49-F238E27FC236}">
                  <a16:creationId xmlns:a16="http://schemas.microsoft.com/office/drawing/2014/main" xmlns="" id="{00000000-0008-0000-0800-00001E25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158115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RÓMA</a:t>
              </a:r>
            </a:p>
          </xdr:txBody>
        </xdr:sp>
        <xdr:sp macro="" textlink="">
          <xdr:nvSpPr>
            <xdr:cNvPr id="9503" name="AutoShape 1436">
              <a:extLst>
                <a:ext uri="{FF2B5EF4-FFF2-40B4-BE49-F238E27FC236}">
                  <a16:creationId xmlns:a16="http://schemas.microsoft.com/office/drawing/2014/main" xmlns="" id="{00000000-0008-0000-0800-00001F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2486025" y="25622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 algn="ctr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5" name="AutoShape 3061">
              <a:hlinkClick xmlns:r="http://schemas.openxmlformats.org/officeDocument/2006/relationships" r:id="rId65" tooltip="Ugrás a helyszínre"/>
              <a:extLst>
                <a:ext uri="{FF2B5EF4-FFF2-40B4-BE49-F238E27FC236}">
                  <a16:creationId xmlns:a16="http://schemas.microsoft.com/office/drawing/2014/main" xmlns="" id="{00000000-0008-0000-0800-00002D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67627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1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SZENTPÉTERVÁR</a:t>
              </a:r>
            </a:p>
          </xdr:txBody>
        </xdr:sp>
        <xdr:sp macro="" textlink="">
          <xdr:nvSpPr>
            <xdr:cNvPr id="46" name="AutoShape 3062">
              <a:hlinkClick xmlns:r="http://schemas.openxmlformats.org/officeDocument/2006/relationships" r:id="rId66" tooltip="Ugrás a helyszínre"/>
              <a:extLst>
                <a:ext uri="{FF2B5EF4-FFF2-40B4-BE49-F238E27FC236}">
                  <a16:creationId xmlns:a16="http://schemas.microsoft.com/office/drawing/2014/main" xmlns="" id="{00000000-0008-0000-0800-00002E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85725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KOPPENHÁGA</a:t>
              </a:r>
            </a:p>
          </xdr:txBody>
        </xdr:sp>
        <xdr:sp macro="" textlink="">
          <xdr:nvSpPr>
            <xdr:cNvPr id="47" name="AutoShape 3063">
              <a:hlinkClick xmlns:r="http://schemas.openxmlformats.org/officeDocument/2006/relationships" r:id="rId67" tooltip="Ugrás a helyszínre"/>
              <a:extLst>
                <a:ext uri="{FF2B5EF4-FFF2-40B4-BE49-F238E27FC236}">
                  <a16:creationId xmlns:a16="http://schemas.microsoft.com/office/drawing/2014/main" xmlns="" id="{00000000-0008-0000-0800-00002F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103822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MÜNCHEN</a:t>
              </a:r>
            </a:p>
          </xdr:txBody>
        </xdr:sp>
        <xdr:sp macro="" textlink="">
          <xdr:nvSpPr>
            <xdr:cNvPr id="48" name="AutoShape 3064">
              <a:hlinkClick xmlns:r="http://schemas.openxmlformats.org/officeDocument/2006/relationships" r:id="rId68" tooltip="Ugrás a helyszínre"/>
              <a:extLst>
                <a:ext uri="{FF2B5EF4-FFF2-40B4-BE49-F238E27FC236}">
                  <a16:creationId xmlns:a16="http://schemas.microsoft.com/office/drawing/2014/main" xmlns="" id="{00000000-0008-0000-0800-00003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121920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BUDAPEST</a:t>
              </a:r>
            </a:p>
          </xdr:txBody>
        </xdr:sp>
        <xdr:sp macro="" textlink="">
          <xdr:nvSpPr>
            <xdr:cNvPr id="49" name="AutoShape 3065">
              <a:hlinkClick xmlns:r="http://schemas.openxmlformats.org/officeDocument/2006/relationships" r:id="rId69" tooltip="Ugrás a helyszínre"/>
              <a:extLst>
                <a:ext uri="{FF2B5EF4-FFF2-40B4-BE49-F238E27FC236}">
                  <a16:creationId xmlns:a16="http://schemas.microsoft.com/office/drawing/2014/main" xmlns="" id="{00000000-0008-0000-0800-000031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140017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BUKAREST</a:t>
              </a:r>
            </a:p>
          </xdr:txBody>
        </xdr:sp>
        <xdr:sp macro="" textlink="">
          <xdr:nvSpPr>
            <xdr:cNvPr id="50" name="AutoShape 3066">
              <a:hlinkClick xmlns:r="http://schemas.openxmlformats.org/officeDocument/2006/relationships" r:id="rId70" tooltip="Ugrás a helyszínre"/>
              <a:extLst>
                <a:ext uri="{FF2B5EF4-FFF2-40B4-BE49-F238E27FC236}">
                  <a16:creationId xmlns:a16="http://schemas.microsoft.com/office/drawing/2014/main" xmlns="" id="{00000000-0008-0000-0800-00003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158115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BAKU</a:t>
              </a:r>
            </a:p>
          </xdr:txBody>
        </xdr:sp>
        <xdr:sp macro="" textlink="">
          <xdr:nvSpPr>
            <xdr:cNvPr id="9510" name="AutoShape 1436">
              <a:extLst>
                <a:ext uri="{FF2B5EF4-FFF2-40B4-BE49-F238E27FC236}">
                  <a16:creationId xmlns:a16="http://schemas.microsoft.com/office/drawing/2014/main" xmlns="" id="{00000000-0008-0000-0800-000026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2257425" y="128587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511" name="AutoShape 1436">
              <a:extLst>
                <a:ext uri="{FF2B5EF4-FFF2-40B4-BE49-F238E27FC236}">
                  <a16:creationId xmlns:a16="http://schemas.microsoft.com/office/drawing/2014/main" xmlns="" id="{00000000-0008-0000-0800-000027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1876425" y="129540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FAB65C"/>
                </a:gs>
                <a:gs pos="100000">
                  <a:srgbClr val="B84B0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 algn="ctr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512" name="AutoShape 1436">
              <a:extLst>
                <a:ext uri="{FF2B5EF4-FFF2-40B4-BE49-F238E27FC236}">
                  <a16:creationId xmlns:a16="http://schemas.microsoft.com/office/drawing/2014/main" xmlns="" id="{00000000-0008-0000-0800-000028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1828800" y="7715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513" name="AutoShape 1436">
              <a:extLst>
                <a:ext uri="{FF2B5EF4-FFF2-40B4-BE49-F238E27FC236}">
                  <a16:creationId xmlns:a16="http://schemas.microsoft.com/office/drawing/2014/main" xmlns="" id="{00000000-0008-0000-0800-000029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1581150" y="100965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514" name="AutoShape 1436">
              <a:extLst>
                <a:ext uri="{FF2B5EF4-FFF2-40B4-BE49-F238E27FC236}">
                  <a16:creationId xmlns:a16="http://schemas.microsoft.com/office/drawing/2014/main" xmlns="" id="{00000000-0008-0000-0800-00002A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3819525" y="70485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515" name="AutoShape 1436">
              <a:extLst>
                <a:ext uri="{FF2B5EF4-FFF2-40B4-BE49-F238E27FC236}">
                  <a16:creationId xmlns:a16="http://schemas.microsoft.com/office/drawing/2014/main" xmlns="" id="{00000000-0008-0000-0800-00002B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2790825" y="108585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516" name="AutoShape 1436">
              <a:extLst>
                <a:ext uri="{FF2B5EF4-FFF2-40B4-BE49-F238E27FC236}">
                  <a16:creationId xmlns:a16="http://schemas.microsoft.com/office/drawing/2014/main" xmlns="" id="{00000000-0008-0000-0800-00002C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3143250" y="201930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517" name="AutoShape 1436">
              <a:extLst>
                <a:ext uri="{FF2B5EF4-FFF2-40B4-BE49-F238E27FC236}">
                  <a16:creationId xmlns:a16="http://schemas.microsoft.com/office/drawing/2014/main" xmlns="" id="{00000000-0008-0000-0800-00002D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2552700" y="185737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518" name="AutoShape 1436">
              <a:extLst>
                <a:ext uri="{FF2B5EF4-FFF2-40B4-BE49-F238E27FC236}">
                  <a16:creationId xmlns:a16="http://schemas.microsoft.com/office/drawing/2014/main" xmlns="" id="{00000000-0008-0000-0800-00002E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3638550" y="24098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519" name="AutoShape 1436">
              <a:extLst>
                <a:ext uri="{FF2B5EF4-FFF2-40B4-BE49-F238E27FC236}">
                  <a16:creationId xmlns:a16="http://schemas.microsoft.com/office/drawing/2014/main" xmlns="" id="{00000000-0008-0000-0800-00002F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5295900" y="24479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twoCellAnchor editAs="oneCell">
    <xdr:from>
      <xdr:col>1</xdr:col>
      <xdr:colOff>133350</xdr:colOff>
      <xdr:row>355</xdr:row>
      <xdr:rowOff>19050</xdr:rowOff>
    </xdr:from>
    <xdr:to>
      <xdr:col>16</xdr:col>
      <xdr:colOff>285750</xdr:colOff>
      <xdr:row>368</xdr:row>
      <xdr:rowOff>95250</xdr:rowOff>
    </xdr:to>
    <xdr:grpSp>
      <xdr:nvGrpSpPr>
        <xdr:cNvPr id="9520" name="Csoportba foglalás 2">
          <a:extLst>
            <a:ext uri="{FF2B5EF4-FFF2-40B4-BE49-F238E27FC236}">
              <a16:creationId xmlns:a16="http://schemas.microsoft.com/office/drawing/2014/main" xmlns="" id="{00000000-0008-0000-0800-000030250000}"/>
            </a:ext>
          </a:extLst>
        </xdr:cNvPr>
        <xdr:cNvGrpSpPr>
          <a:grpSpLocks/>
        </xdr:cNvGrpSpPr>
      </xdr:nvGrpSpPr>
      <xdr:grpSpPr bwMode="auto">
        <a:xfrm>
          <a:off x="228600" y="53835300"/>
          <a:ext cx="9124950" cy="2247900"/>
          <a:chOff x="228600" y="628650"/>
          <a:chExt cx="9124950" cy="2247900"/>
        </a:xfrm>
      </xdr:grpSpPr>
      <xdr:sp macro="" textlink="">
        <xdr:nvSpPr>
          <xdr:cNvPr id="9521" name="Rectangle 2568">
            <a:extLst>
              <a:ext uri="{FF2B5EF4-FFF2-40B4-BE49-F238E27FC236}">
                <a16:creationId xmlns:a16="http://schemas.microsoft.com/office/drawing/2014/main" xmlns="" id="{00000000-0008-0000-0800-000031250000}"/>
              </a:ext>
            </a:extLst>
          </xdr:cNvPr>
          <xdr:cNvSpPr>
            <a:spLocks noChangeArrowheads="1"/>
          </xdr:cNvSpPr>
        </xdr:nvSpPr>
        <xdr:spPr bwMode="auto">
          <a:xfrm>
            <a:off x="5743575" y="800100"/>
            <a:ext cx="3600450" cy="9525"/>
          </a:xfrm>
          <a:prstGeom prst="rect">
            <a:avLst/>
          </a:prstGeom>
          <a:gradFill rotWithShape="0">
            <a:gsLst>
              <a:gs pos="0">
                <a:srgbClr val="000000"/>
              </a:gs>
              <a:gs pos="100000">
                <a:srgbClr val="FFFFFF"/>
              </a:gs>
            </a:gsLst>
            <a:lin ang="0" scaled="1"/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522" name="Rectangle 2598">
            <a:extLst>
              <a:ext uri="{FF2B5EF4-FFF2-40B4-BE49-F238E27FC236}">
                <a16:creationId xmlns:a16="http://schemas.microsoft.com/office/drawing/2014/main" xmlns="" id="{00000000-0008-0000-0800-000032250000}"/>
              </a:ext>
            </a:extLst>
          </xdr:cNvPr>
          <xdr:cNvSpPr>
            <a:spLocks noChangeArrowheads="1"/>
          </xdr:cNvSpPr>
        </xdr:nvSpPr>
        <xdr:spPr bwMode="auto">
          <a:xfrm>
            <a:off x="5753100" y="1228725"/>
            <a:ext cx="3600450" cy="9525"/>
          </a:xfrm>
          <a:prstGeom prst="rect">
            <a:avLst/>
          </a:prstGeom>
          <a:gradFill rotWithShape="0">
            <a:gsLst>
              <a:gs pos="0">
                <a:srgbClr val="000000"/>
              </a:gs>
              <a:gs pos="100000">
                <a:srgbClr val="FFFFFF"/>
              </a:gs>
            </a:gsLst>
            <a:lin ang="0" scaled="1"/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grpSp>
        <xdr:nvGrpSpPr>
          <xdr:cNvPr id="9523" name="Csoportba foglalás 1">
            <a:extLst>
              <a:ext uri="{FF2B5EF4-FFF2-40B4-BE49-F238E27FC236}">
                <a16:creationId xmlns:a16="http://schemas.microsoft.com/office/drawing/2014/main" xmlns="" id="{00000000-0008-0000-0800-000033250000}"/>
              </a:ext>
            </a:extLst>
          </xdr:cNvPr>
          <xdr:cNvGrpSpPr>
            <a:grpSpLocks/>
          </xdr:cNvGrpSpPr>
        </xdr:nvGrpSpPr>
        <xdr:grpSpPr bwMode="auto">
          <a:xfrm>
            <a:off x="228600" y="628650"/>
            <a:ext cx="5391150" cy="2247900"/>
            <a:chOff x="228600" y="628650"/>
            <a:chExt cx="5391150" cy="2247900"/>
          </a:xfrm>
        </xdr:grpSpPr>
        <xdr:pic>
          <xdr:nvPicPr>
            <xdr:cNvPr id="9524" name="Picture 3068">
              <a:extLst>
                <a:ext uri="{FF2B5EF4-FFF2-40B4-BE49-F238E27FC236}">
                  <a16:creationId xmlns:a16="http://schemas.microsoft.com/office/drawing/2014/main" xmlns="" id="{00000000-0008-0000-0800-00003425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8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28600" y="628650"/>
              <a:ext cx="5391150" cy="22479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9525" name="AutoShape 2590">
              <a:hlinkClick xmlns:r="http://schemas.openxmlformats.org/officeDocument/2006/relationships" r:id="rId59" tooltip="Ugrás a helyszínre"/>
              <a:extLst>
                <a:ext uri="{FF2B5EF4-FFF2-40B4-BE49-F238E27FC236}">
                  <a16:creationId xmlns:a16="http://schemas.microsoft.com/office/drawing/2014/main" xmlns="" id="{00000000-0008-0000-0800-00003525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67627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B84B08"/>
                </a:gs>
                <a:gs pos="100000">
                  <a:srgbClr val="FAB65C"/>
                </a:gs>
              </a:gsLst>
              <a:lin ang="5400000" scaled="1"/>
            </a:gradFill>
            <a:ln w="0" algn="ctr">
              <a:solidFill>
                <a:srgbClr val="D3D3D3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000000"/>
                  </a:solidFill>
                  <a:latin typeface="Arial Unicode MS"/>
                </a:rPr>
                <a:t>GLASGOW</a:t>
              </a:r>
            </a:p>
          </xdr:txBody>
        </xdr:sp>
        <xdr:sp macro="" textlink="">
          <xdr:nvSpPr>
            <xdr:cNvPr id="9526" name="AutoShape 1436">
              <a:extLst>
                <a:ext uri="{FF2B5EF4-FFF2-40B4-BE49-F238E27FC236}">
                  <a16:creationId xmlns:a16="http://schemas.microsoft.com/office/drawing/2014/main" xmlns="" id="{00000000-0008-0000-0800-000036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1047750" y="24860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1" name="AutoShape 3037">
              <a:hlinkClick xmlns:r="http://schemas.openxmlformats.org/officeDocument/2006/relationships" r:id="rId60" tooltip="Ugrás a helyszínre"/>
              <a:extLst>
                <a:ext uri="{FF2B5EF4-FFF2-40B4-BE49-F238E27FC236}">
                  <a16:creationId xmlns:a16="http://schemas.microsoft.com/office/drawing/2014/main" xmlns="" id="{00000000-0008-0000-0800-00001F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85725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DUBLIN</a:t>
              </a:r>
            </a:p>
          </xdr:txBody>
        </xdr:sp>
        <xdr:sp macro="" textlink="">
          <xdr:nvSpPr>
            <xdr:cNvPr id="32" name="AutoShape 3038">
              <a:hlinkClick xmlns:r="http://schemas.openxmlformats.org/officeDocument/2006/relationships" r:id="rId61" tooltip="Ugrás a helyszínre"/>
              <a:extLst>
                <a:ext uri="{FF2B5EF4-FFF2-40B4-BE49-F238E27FC236}">
                  <a16:creationId xmlns:a16="http://schemas.microsoft.com/office/drawing/2014/main" xmlns="" id="{00000000-0008-0000-0800-00002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103822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LONDON</a:t>
              </a:r>
            </a:p>
          </xdr:txBody>
        </xdr:sp>
        <xdr:sp macro="" textlink="">
          <xdr:nvSpPr>
            <xdr:cNvPr id="33" name="AutoShape 3039">
              <a:hlinkClick xmlns:r="http://schemas.openxmlformats.org/officeDocument/2006/relationships" r:id="rId62" tooltip="Ugrás a helyszínre"/>
              <a:extLst>
                <a:ext uri="{FF2B5EF4-FFF2-40B4-BE49-F238E27FC236}">
                  <a16:creationId xmlns:a16="http://schemas.microsoft.com/office/drawing/2014/main" xmlns="" id="{00000000-0008-0000-0800-000021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121920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AMSZTERDAM</a:t>
              </a:r>
            </a:p>
          </xdr:txBody>
        </xdr:sp>
        <xdr:sp macro="" textlink="">
          <xdr:nvSpPr>
            <xdr:cNvPr id="34" name="AutoShape 3040">
              <a:hlinkClick xmlns:r="http://schemas.openxmlformats.org/officeDocument/2006/relationships" r:id="rId63" tooltip="Ugrás a helyszínre"/>
              <a:extLst>
                <a:ext uri="{FF2B5EF4-FFF2-40B4-BE49-F238E27FC236}">
                  <a16:creationId xmlns:a16="http://schemas.microsoft.com/office/drawing/2014/main" xmlns="" id="{00000000-0008-0000-0800-00002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140017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SEVILLA</a:t>
              </a:r>
            </a:p>
          </xdr:txBody>
        </xdr:sp>
        <xdr:sp macro="" textlink="">
          <xdr:nvSpPr>
            <xdr:cNvPr id="9531" name="AutoShape 3041">
              <a:hlinkClick xmlns:r="http://schemas.openxmlformats.org/officeDocument/2006/relationships" r:id="rId64" tooltip="Ugrás a helyszínre"/>
              <a:extLst>
                <a:ext uri="{FF2B5EF4-FFF2-40B4-BE49-F238E27FC236}">
                  <a16:creationId xmlns:a16="http://schemas.microsoft.com/office/drawing/2014/main" xmlns="" id="{00000000-0008-0000-0800-00003B25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158115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RÓMA</a:t>
              </a:r>
            </a:p>
          </xdr:txBody>
        </xdr:sp>
        <xdr:sp macro="" textlink="">
          <xdr:nvSpPr>
            <xdr:cNvPr id="9532" name="AutoShape 1436">
              <a:extLst>
                <a:ext uri="{FF2B5EF4-FFF2-40B4-BE49-F238E27FC236}">
                  <a16:creationId xmlns:a16="http://schemas.microsoft.com/office/drawing/2014/main" xmlns="" id="{00000000-0008-0000-0800-00003C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2486025" y="25622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 algn="ctr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5" name="AutoShape 3061">
              <a:hlinkClick xmlns:r="http://schemas.openxmlformats.org/officeDocument/2006/relationships" r:id="rId65" tooltip="Ugrás a helyszínre"/>
              <a:extLst>
                <a:ext uri="{FF2B5EF4-FFF2-40B4-BE49-F238E27FC236}">
                  <a16:creationId xmlns:a16="http://schemas.microsoft.com/office/drawing/2014/main" xmlns="" id="{00000000-0008-0000-0800-00002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67627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1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SZENTPÉTERVÁR</a:t>
              </a:r>
            </a:p>
          </xdr:txBody>
        </xdr:sp>
        <xdr:sp macro="" textlink="">
          <xdr:nvSpPr>
            <xdr:cNvPr id="36" name="AutoShape 3062">
              <a:hlinkClick xmlns:r="http://schemas.openxmlformats.org/officeDocument/2006/relationships" r:id="rId66" tooltip="Ugrás a helyszínre"/>
              <a:extLst>
                <a:ext uri="{FF2B5EF4-FFF2-40B4-BE49-F238E27FC236}">
                  <a16:creationId xmlns:a16="http://schemas.microsoft.com/office/drawing/2014/main" xmlns="" id="{00000000-0008-0000-0800-00002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85725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KOPPENHÁGA</a:t>
              </a:r>
            </a:p>
          </xdr:txBody>
        </xdr:sp>
        <xdr:sp macro="" textlink="">
          <xdr:nvSpPr>
            <xdr:cNvPr id="37" name="AutoShape 3063">
              <a:hlinkClick xmlns:r="http://schemas.openxmlformats.org/officeDocument/2006/relationships" r:id="rId67" tooltip="Ugrás a helyszínre"/>
              <a:extLst>
                <a:ext uri="{FF2B5EF4-FFF2-40B4-BE49-F238E27FC236}">
                  <a16:creationId xmlns:a16="http://schemas.microsoft.com/office/drawing/2014/main" xmlns="" id="{00000000-0008-0000-0800-00002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103822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MÜNCHEN</a:t>
              </a:r>
            </a:p>
          </xdr:txBody>
        </xdr:sp>
        <xdr:sp macro="" textlink="">
          <xdr:nvSpPr>
            <xdr:cNvPr id="38" name="AutoShape 3064">
              <a:hlinkClick xmlns:r="http://schemas.openxmlformats.org/officeDocument/2006/relationships" r:id="rId68" tooltip="Ugrás a helyszínre"/>
              <a:extLst>
                <a:ext uri="{FF2B5EF4-FFF2-40B4-BE49-F238E27FC236}">
                  <a16:creationId xmlns:a16="http://schemas.microsoft.com/office/drawing/2014/main" xmlns="" id="{00000000-0008-0000-0800-00002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121920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BUDAPEST</a:t>
              </a:r>
            </a:p>
          </xdr:txBody>
        </xdr:sp>
        <xdr:sp macro="" textlink="">
          <xdr:nvSpPr>
            <xdr:cNvPr id="39" name="AutoShape 3065">
              <a:hlinkClick xmlns:r="http://schemas.openxmlformats.org/officeDocument/2006/relationships" r:id="rId69" tooltip="Ugrás a helyszínre"/>
              <a:extLst>
                <a:ext uri="{FF2B5EF4-FFF2-40B4-BE49-F238E27FC236}">
                  <a16:creationId xmlns:a16="http://schemas.microsoft.com/office/drawing/2014/main" xmlns="" id="{00000000-0008-0000-0800-000027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140017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BUKAREST</a:t>
              </a:r>
            </a:p>
          </xdr:txBody>
        </xdr:sp>
        <xdr:sp macro="" textlink="">
          <xdr:nvSpPr>
            <xdr:cNvPr id="40" name="AutoShape 3066">
              <a:hlinkClick xmlns:r="http://schemas.openxmlformats.org/officeDocument/2006/relationships" r:id="rId70" tooltip="Ugrás a helyszínre"/>
              <a:extLst>
                <a:ext uri="{FF2B5EF4-FFF2-40B4-BE49-F238E27FC236}">
                  <a16:creationId xmlns:a16="http://schemas.microsoft.com/office/drawing/2014/main" xmlns="" id="{00000000-0008-0000-0800-00002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158115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BAKU</a:t>
              </a:r>
            </a:p>
          </xdr:txBody>
        </xdr:sp>
        <xdr:sp macro="" textlink="">
          <xdr:nvSpPr>
            <xdr:cNvPr id="9539" name="AutoShape 1436">
              <a:extLst>
                <a:ext uri="{FF2B5EF4-FFF2-40B4-BE49-F238E27FC236}">
                  <a16:creationId xmlns:a16="http://schemas.microsoft.com/office/drawing/2014/main" xmlns="" id="{00000000-0008-0000-0800-000043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2257425" y="128587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540" name="AutoShape 1436">
              <a:extLst>
                <a:ext uri="{FF2B5EF4-FFF2-40B4-BE49-F238E27FC236}">
                  <a16:creationId xmlns:a16="http://schemas.microsoft.com/office/drawing/2014/main" xmlns="" id="{00000000-0008-0000-0800-000044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1876425" y="129540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541" name="AutoShape 1436">
              <a:extLst>
                <a:ext uri="{FF2B5EF4-FFF2-40B4-BE49-F238E27FC236}">
                  <a16:creationId xmlns:a16="http://schemas.microsoft.com/office/drawing/2014/main" xmlns="" id="{00000000-0008-0000-0800-000045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1828800" y="7715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FAB65C"/>
                </a:gs>
                <a:gs pos="100000">
                  <a:srgbClr val="B84B0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 algn="ctr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542" name="AutoShape 1436">
              <a:extLst>
                <a:ext uri="{FF2B5EF4-FFF2-40B4-BE49-F238E27FC236}">
                  <a16:creationId xmlns:a16="http://schemas.microsoft.com/office/drawing/2014/main" xmlns="" id="{00000000-0008-0000-0800-000046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1581150" y="100965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543" name="AutoShape 1436">
              <a:extLst>
                <a:ext uri="{FF2B5EF4-FFF2-40B4-BE49-F238E27FC236}">
                  <a16:creationId xmlns:a16="http://schemas.microsoft.com/office/drawing/2014/main" xmlns="" id="{00000000-0008-0000-0800-000047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3819525" y="70485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544" name="AutoShape 1436">
              <a:extLst>
                <a:ext uri="{FF2B5EF4-FFF2-40B4-BE49-F238E27FC236}">
                  <a16:creationId xmlns:a16="http://schemas.microsoft.com/office/drawing/2014/main" xmlns="" id="{00000000-0008-0000-0800-000048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2790825" y="108585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545" name="AutoShape 1436">
              <a:extLst>
                <a:ext uri="{FF2B5EF4-FFF2-40B4-BE49-F238E27FC236}">
                  <a16:creationId xmlns:a16="http://schemas.microsoft.com/office/drawing/2014/main" xmlns="" id="{00000000-0008-0000-0800-000049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3143250" y="201930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546" name="AutoShape 1436">
              <a:extLst>
                <a:ext uri="{FF2B5EF4-FFF2-40B4-BE49-F238E27FC236}">
                  <a16:creationId xmlns:a16="http://schemas.microsoft.com/office/drawing/2014/main" xmlns="" id="{00000000-0008-0000-0800-00004A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2552700" y="185737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547" name="AutoShape 1436">
              <a:extLst>
                <a:ext uri="{FF2B5EF4-FFF2-40B4-BE49-F238E27FC236}">
                  <a16:creationId xmlns:a16="http://schemas.microsoft.com/office/drawing/2014/main" xmlns="" id="{00000000-0008-0000-0800-00004B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3638550" y="24098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548" name="AutoShape 1436">
              <a:extLst>
                <a:ext uri="{FF2B5EF4-FFF2-40B4-BE49-F238E27FC236}">
                  <a16:creationId xmlns:a16="http://schemas.microsoft.com/office/drawing/2014/main" xmlns="" id="{00000000-0008-0000-0800-00004C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5295900" y="24479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twoCellAnchor editAs="oneCell">
    <xdr:from>
      <xdr:col>1</xdr:col>
      <xdr:colOff>133350</xdr:colOff>
      <xdr:row>405</xdr:row>
      <xdr:rowOff>19050</xdr:rowOff>
    </xdr:from>
    <xdr:to>
      <xdr:col>16</xdr:col>
      <xdr:colOff>285750</xdr:colOff>
      <xdr:row>418</xdr:row>
      <xdr:rowOff>95250</xdr:rowOff>
    </xdr:to>
    <xdr:grpSp>
      <xdr:nvGrpSpPr>
        <xdr:cNvPr id="9549" name="Csoportba foglalás 2">
          <a:extLst>
            <a:ext uri="{FF2B5EF4-FFF2-40B4-BE49-F238E27FC236}">
              <a16:creationId xmlns:a16="http://schemas.microsoft.com/office/drawing/2014/main" xmlns="" id="{00000000-0008-0000-0800-00004D250000}"/>
            </a:ext>
          </a:extLst>
        </xdr:cNvPr>
        <xdr:cNvGrpSpPr>
          <a:grpSpLocks/>
        </xdr:cNvGrpSpPr>
      </xdr:nvGrpSpPr>
      <xdr:grpSpPr bwMode="auto">
        <a:xfrm>
          <a:off x="228600" y="61436250"/>
          <a:ext cx="9124950" cy="2247900"/>
          <a:chOff x="228600" y="628650"/>
          <a:chExt cx="9124950" cy="2247900"/>
        </a:xfrm>
      </xdr:grpSpPr>
      <xdr:sp macro="" textlink="">
        <xdr:nvSpPr>
          <xdr:cNvPr id="9550" name="Rectangle 2568">
            <a:extLst>
              <a:ext uri="{FF2B5EF4-FFF2-40B4-BE49-F238E27FC236}">
                <a16:creationId xmlns:a16="http://schemas.microsoft.com/office/drawing/2014/main" xmlns="" id="{00000000-0008-0000-0800-00004E250000}"/>
              </a:ext>
            </a:extLst>
          </xdr:cNvPr>
          <xdr:cNvSpPr>
            <a:spLocks noChangeArrowheads="1"/>
          </xdr:cNvSpPr>
        </xdr:nvSpPr>
        <xdr:spPr bwMode="auto">
          <a:xfrm>
            <a:off x="5743575" y="800100"/>
            <a:ext cx="3600450" cy="9525"/>
          </a:xfrm>
          <a:prstGeom prst="rect">
            <a:avLst/>
          </a:prstGeom>
          <a:gradFill rotWithShape="0">
            <a:gsLst>
              <a:gs pos="0">
                <a:srgbClr val="000000"/>
              </a:gs>
              <a:gs pos="100000">
                <a:srgbClr val="FFFFFF"/>
              </a:gs>
            </a:gsLst>
            <a:lin ang="0" scaled="1"/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551" name="Rectangle 2598">
            <a:extLst>
              <a:ext uri="{FF2B5EF4-FFF2-40B4-BE49-F238E27FC236}">
                <a16:creationId xmlns:a16="http://schemas.microsoft.com/office/drawing/2014/main" xmlns="" id="{00000000-0008-0000-0800-00004F250000}"/>
              </a:ext>
            </a:extLst>
          </xdr:cNvPr>
          <xdr:cNvSpPr>
            <a:spLocks noChangeArrowheads="1"/>
          </xdr:cNvSpPr>
        </xdr:nvSpPr>
        <xdr:spPr bwMode="auto">
          <a:xfrm>
            <a:off x="5753100" y="1228725"/>
            <a:ext cx="3600450" cy="9525"/>
          </a:xfrm>
          <a:prstGeom prst="rect">
            <a:avLst/>
          </a:prstGeom>
          <a:gradFill rotWithShape="0">
            <a:gsLst>
              <a:gs pos="0">
                <a:srgbClr val="000000"/>
              </a:gs>
              <a:gs pos="100000">
                <a:srgbClr val="FFFFFF"/>
              </a:gs>
            </a:gsLst>
            <a:lin ang="0" scaled="1"/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grpSp>
        <xdr:nvGrpSpPr>
          <xdr:cNvPr id="9552" name="Csoportba foglalás 1">
            <a:extLst>
              <a:ext uri="{FF2B5EF4-FFF2-40B4-BE49-F238E27FC236}">
                <a16:creationId xmlns:a16="http://schemas.microsoft.com/office/drawing/2014/main" xmlns="" id="{00000000-0008-0000-0800-000050250000}"/>
              </a:ext>
            </a:extLst>
          </xdr:cNvPr>
          <xdr:cNvGrpSpPr>
            <a:grpSpLocks/>
          </xdr:cNvGrpSpPr>
        </xdr:nvGrpSpPr>
        <xdr:grpSpPr bwMode="auto">
          <a:xfrm>
            <a:off x="228600" y="628650"/>
            <a:ext cx="5391150" cy="2247900"/>
            <a:chOff x="228600" y="628650"/>
            <a:chExt cx="5391150" cy="2247900"/>
          </a:xfrm>
        </xdr:grpSpPr>
        <xdr:pic>
          <xdr:nvPicPr>
            <xdr:cNvPr id="9553" name="Picture 3068">
              <a:extLst>
                <a:ext uri="{FF2B5EF4-FFF2-40B4-BE49-F238E27FC236}">
                  <a16:creationId xmlns:a16="http://schemas.microsoft.com/office/drawing/2014/main" xmlns="" id="{00000000-0008-0000-0800-00005125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8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28600" y="628650"/>
              <a:ext cx="5391150" cy="22479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21" name="AutoShape 2590">
              <a:hlinkClick xmlns:r="http://schemas.openxmlformats.org/officeDocument/2006/relationships" r:id="rId59" tooltip="Ugrás a helyszínre"/>
              <a:extLst>
                <a:ext uri="{FF2B5EF4-FFF2-40B4-BE49-F238E27FC236}">
                  <a16:creationId xmlns:a16="http://schemas.microsoft.com/office/drawing/2014/main" xmlns="" id="{00000000-0008-0000-0800-00001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67627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1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GLASGOW</a:t>
              </a:r>
            </a:p>
          </xdr:txBody>
        </xdr:sp>
        <xdr:sp macro="" textlink="">
          <xdr:nvSpPr>
            <xdr:cNvPr id="9555" name="AutoShape 1436">
              <a:extLst>
                <a:ext uri="{FF2B5EF4-FFF2-40B4-BE49-F238E27FC236}">
                  <a16:creationId xmlns:a16="http://schemas.microsoft.com/office/drawing/2014/main" xmlns="" id="{00000000-0008-0000-0800-000053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1047750" y="24860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FAB65C"/>
                </a:gs>
                <a:gs pos="100000">
                  <a:srgbClr val="B84B0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 algn="ctr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2" name="AutoShape 3037">
              <a:hlinkClick xmlns:r="http://schemas.openxmlformats.org/officeDocument/2006/relationships" r:id="rId60" tooltip="Ugrás a helyszínre"/>
              <a:extLst>
                <a:ext uri="{FF2B5EF4-FFF2-40B4-BE49-F238E27FC236}">
                  <a16:creationId xmlns:a16="http://schemas.microsoft.com/office/drawing/2014/main" xmlns="" id="{00000000-0008-0000-0800-00001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85725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DUBLIN</a:t>
              </a:r>
            </a:p>
          </xdr:txBody>
        </xdr:sp>
        <xdr:sp macro="" textlink="">
          <xdr:nvSpPr>
            <xdr:cNvPr id="23" name="AutoShape 3038">
              <a:hlinkClick xmlns:r="http://schemas.openxmlformats.org/officeDocument/2006/relationships" r:id="rId61" tooltip="Ugrás a helyszínre"/>
              <a:extLst>
                <a:ext uri="{FF2B5EF4-FFF2-40B4-BE49-F238E27FC236}">
                  <a16:creationId xmlns:a16="http://schemas.microsoft.com/office/drawing/2014/main" xmlns="" id="{00000000-0008-0000-0800-000017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103822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LONDON</a:t>
              </a:r>
            </a:p>
          </xdr:txBody>
        </xdr:sp>
        <xdr:sp macro="" textlink="">
          <xdr:nvSpPr>
            <xdr:cNvPr id="24" name="AutoShape 3039">
              <a:hlinkClick xmlns:r="http://schemas.openxmlformats.org/officeDocument/2006/relationships" r:id="rId62" tooltip="Ugrás a helyszínre"/>
              <a:extLst>
                <a:ext uri="{FF2B5EF4-FFF2-40B4-BE49-F238E27FC236}">
                  <a16:creationId xmlns:a16="http://schemas.microsoft.com/office/drawing/2014/main" xmlns="" id="{00000000-0008-0000-0800-00001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121920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AMSZTERDAM</a:t>
              </a:r>
            </a:p>
          </xdr:txBody>
        </xdr:sp>
        <xdr:sp macro="" textlink="">
          <xdr:nvSpPr>
            <xdr:cNvPr id="9559" name="AutoShape 3040">
              <a:hlinkClick xmlns:r="http://schemas.openxmlformats.org/officeDocument/2006/relationships" r:id="rId63" tooltip="Ugrás a helyszínre"/>
              <a:extLst>
                <a:ext uri="{FF2B5EF4-FFF2-40B4-BE49-F238E27FC236}">
                  <a16:creationId xmlns:a16="http://schemas.microsoft.com/office/drawing/2014/main" xmlns="" id="{00000000-0008-0000-0800-00005725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140017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B84B08"/>
                </a:gs>
                <a:gs pos="100000">
                  <a:srgbClr val="FAB65C"/>
                </a:gs>
              </a:gsLst>
              <a:lin ang="5400000" scaled="1"/>
            </a:gradFill>
            <a:ln w="0" algn="ctr">
              <a:solidFill>
                <a:srgbClr val="D3D3D3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000000"/>
                  </a:solidFill>
                  <a:latin typeface="Arial Unicode MS"/>
                </a:rPr>
                <a:t>SEVILLA</a:t>
              </a:r>
            </a:p>
          </xdr:txBody>
        </xdr:sp>
        <xdr:sp macro="" textlink="">
          <xdr:nvSpPr>
            <xdr:cNvPr id="9560" name="AutoShape 3041">
              <a:hlinkClick xmlns:r="http://schemas.openxmlformats.org/officeDocument/2006/relationships" r:id="rId64" tooltip="Ugrás a helyszínre"/>
              <a:extLst>
                <a:ext uri="{FF2B5EF4-FFF2-40B4-BE49-F238E27FC236}">
                  <a16:creationId xmlns:a16="http://schemas.microsoft.com/office/drawing/2014/main" xmlns="" id="{00000000-0008-0000-0800-00005825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158115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RÓMA</a:t>
              </a:r>
            </a:p>
          </xdr:txBody>
        </xdr:sp>
        <xdr:sp macro="" textlink="">
          <xdr:nvSpPr>
            <xdr:cNvPr id="9561" name="AutoShape 1436">
              <a:extLst>
                <a:ext uri="{FF2B5EF4-FFF2-40B4-BE49-F238E27FC236}">
                  <a16:creationId xmlns:a16="http://schemas.microsoft.com/office/drawing/2014/main" xmlns="" id="{00000000-0008-0000-0800-000059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2486025" y="25622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 algn="ctr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5" name="AutoShape 3061">
              <a:hlinkClick xmlns:r="http://schemas.openxmlformats.org/officeDocument/2006/relationships" r:id="rId65" tooltip="Ugrás a helyszínre"/>
              <a:extLst>
                <a:ext uri="{FF2B5EF4-FFF2-40B4-BE49-F238E27FC236}">
                  <a16:creationId xmlns:a16="http://schemas.microsoft.com/office/drawing/2014/main" xmlns="" id="{00000000-0008-0000-0800-00001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67627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1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SZENTPÉTERVÁR</a:t>
              </a:r>
            </a:p>
          </xdr:txBody>
        </xdr:sp>
        <xdr:sp macro="" textlink="">
          <xdr:nvSpPr>
            <xdr:cNvPr id="26" name="AutoShape 3062">
              <a:hlinkClick xmlns:r="http://schemas.openxmlformats.org/officeDocument/2006/relationships" r:id="rId66" tooltip="Ugrás a helyszínre"/>
              <a:extLst>
                <a:ext uri="{FF2B5EF4-FFF2-40B4-BE49-F238E27FC236}">
                  <a16:creationId xmlns:a16="http://schemas.microsoft.com/office/drawing/2014/main" xmlns="" id="{00000000-0008-0000-0800-00001A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85725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KOPPENHÁGA</a:t>
              </a:r>
            </a:p>
          </xdr:txBody>
        </xdr:sp>
        <xdr:sp macro="" textlink="">
          <xdr:nvSpPr>
            <xdr:cNvPr id="27" name="AutoShape 3063">
              <a:hlinkClick xmlns:r="http://schemas.openxmlformats.org/officeDocument/2006/relationships" r:id="rId67" tooltip="Ugrás a helyszínre"/>
              <a:extLst>
                <a:ext uri="{FF2B5EF4-FFF2-40B4-BE49-F238E27FC236}">
                  <a16:creationId xmlns:a16="http://schemas.microsoft.com/office/drawing/2014/main" xmlns="" id="{00000000-0008-0000-0800-00001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103822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MÜNCHEN</a:t>
              </a:r>
            </a:p>
          </xdr:txBody>
        </xdr:sp>
        <xdr:sp macro="" textlink="">
          <xdr:nvSpPr>
            <xdr:cNvPr id="28" name="AutoShape 3064">
              <a:hlinkClick xmlns:r="http://schemas.openxmlformats.org/officeDocument/2006/relationships" r:id="rId68" tooltip="Ugrás a helyszínre"/>
              <a:extLst>
                <a:ext uri="{FF2B5EF4-FFF2-40B4-BE49-F238E27FC236}">
                  <a16:creationId xmlns:a16="http://schemas.microsoft.com/office/drawing/2014/main" xmlns="" id="{00000000-0008-0000-0800-00001C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121920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BUDAPEST</a:t>
              </a:r>
            </a:p>
          </xdr:txBody>
        </xdr:sp>
        <xdr:sp macro="" textlink="">
          <xdr:nvSpPr>
            <xdr:cNvPr id="29" name="AutoShape 3065">
              <a:hlinkClick xmlns:r="http://schemas.openxmlformats.org/officeDocument/2006/relationships" r:id="rId69" tooltip="Ugrás a helyszínre"/>
              <a:extLst>
                <a:ext uri="{FF2B5EF4-FFF2-40B4-BE49-F238E27FC236}">
                  <a16:creationId xmlns:a16="http://schemas.microsoft.com/office/drawing/2014/main" xmlns="" id="{00000000-0008-0000-0800-00001D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140017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BUKAREST</a:t>
              </a:r>
            </a:p>
          </xdr:txBody>
        </xdr:sp>
        <xdr:sp macro="" textlink="">
          <xdr:nvSpPr>
            <xdr:cNvPr id="30" name="AutoShape 3066">
              <a:hlinkClick xmlns:r="http://schemas.openxmlformats.org/officeDocument/2006/relationships" r:id="rId70" tooltip="Ugrás a helyszínre"/>
              <a:extLst>
                <a:ext uri="{FF2B5EF4-FFF2-40B4-BE49-F238E27FC236}">
                  <a16:creationId xmlns:a16="http://schemas.microsoft.com/office/drawing/2014/main" xmlns="" id="{00000000-0008-0000-0800-00001E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158115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BAKU</a:t>
              </a:r>
            </a:p>
          </xdr:txBody>
        </xdr:sp>
        <xdr:sp macro="" textlink="">
          <xdr:nvSpPr>
            <xdr:cNvPr id="9568" name="AutoShape 1436">
              <a:extLst>
                <a:ext uri="{FF2B5EF4-FFF2-40B4-BE49-F238E27FC236}">
                  <a16:creationId xmlns:a16="http://schemas.microsoft.com/office/drawing/2014/main" xmlns="" id="{00000000-0008-0000-0800-000060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2257425" y="128587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569" name="AutoShape 1436">
              <a:extLst>
                <a:ext uri="{FF2B5EF4-FFF2-40B4-BE49-F238E27FC236}">
                  <a16:creationId xmlns:a16="http://schemas.microsoft.com/office/drawing/2014/main" xmlns="" id="{00000000-0008-0000-0800-000061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1876425" y="129540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570" name="AutoShape 1436">
              <a:extLst>
                <a:ext uri="{FF2B5EF4-FFF2-40B4-BE49-F238E27FC236}">
                  <a16:creationId xmlns:a16="http://schemas.microsoft.com/office/drawing/2014/main" xmlns="" id="{00000000-0008-0000-0800-000062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1828800" y="7715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571" name="AutoShape 1436">
              <a:extLst>
                <a:ext uri="{FF2B5EF4-FFF2-40B4-BE49-F238E27FC236}">
                  <a16:creationId xmlns:a16="http://schemas.microsoft.com/office/drawing/2014/main" xmlns="" id="{00000000-0008-0000-0800-000063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1581150" y="100965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572" name="AutoShape 1436">
              <a:extLst>
                <a:ext uri="{FF2B5EF4-FFF2-40B4-BE49-F238E27FC236}">
                  <a16:creationId xmlns:a16="http://schemas.microsoft.com/office/drawing/2014/main" xmlns="" id="{00000000-0008-0000-0800-000064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3819525" y="70485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573" name="AutoShape 1436">
              <a:extLst>
                <a:ext uri="{FF2B5EF4-FFF2-40B4-BE49-F238E27FC236}">
                  <a16:creationId xmlns:a16="http://schemas.microsoft.com/office/drawing/2014/main" xmlns="" id="{00000000-0008-0000-0800-000065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2790825" y="108585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574" name="AutoShape 1436">
              <a:extLst>
                <a:ext uri="{FF2B5EF4-FFF2-40B4-BE49-F238E27FC236}">
                  <a16:creationId xmlns:a16="http://schemas.microsoft.com/office/drawing/2014/main" xmlns="" id="{00000000-0008-0000-0800-000066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3143250" y="201930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575" name="AutoShape 1436">
              <a:extLst>
                <a:ext uri="{FF2B5EF4-FFF2-40B4-BE49-F238E27FC236}">
                  <a16:creationId xmlns:a16="http://schemas.microsoft.com/office/drawing/2014/main" xmlns="" id="{00000000-0008-0000-0800-000067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2552700" y="185737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576" name="AutoShape 1436">
              <a:extLst>
                <a:ext uri="{FF2B5EF4-FFF2-40B4-BE49-F238E27FC236}">
                  <a16:creationId xmlns:a16="http://schemas.microsoft.com/office/drawing/2014/main" xmlns="" id="{00000000-0008-0000-0800-000068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3638550" y="24098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577" name="AutoShape 1436">
              <a:extLst>
                <a:ext uri="{FF2B5EF4-FFF2-40B4-BE49-F238E27FC236}">
                  <a16:creationId xmlns:a16="http://schemas.microsoft.com/office/drawing/2014/main" xmlns="" id="{00000000-0008-0000-0800-000069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5295900" y="24479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twoCellAnchor editAs="oneCell">
    <xdr:from>
      <xdr:col>1</xdr:col>
      <xdr:colOff>133350</xdr:colOff>
      <xdr:row>455</xdr:row>
      <xdr:rowOff>19050</xdr:rowOff>
    </xdr:from>
    <xdr:to>
      <xdr:col>16</xdr:col>
      <xdr:colOff>285750</xdr:colOff>
      <xdr:row>468</xdr:row>
      <xdr:rowOff>95250</xdr:rowOff>
    </xdr:to>
    <xdr:grpSp>
      <xdr:nvGrpSpPr>
        <xdr:cNvPr id="9607" name="Csoportba foglalás 2">
          <a:extLst>
            <a:ext uri="{FF2B5EF4-FFF2-40B4-BE49-F238E27FC236}">
              <a16:creationId xmlns:a16="http://schemas.microsoft.com/office/drawing/2014/main" xmlns="" id="{00000000-0008-0000-0800-000087250000}"/>
            </a:ext>
          </a:extLst>
        </xdr:cNvPr>
        <xdr:cNvGrpSpPr>
          <a:grpSpLocks/>
        </xdr:cNvGrpSpPr>
      </xdr:nvGrpSpPr>
      <xdr:grpSpPr bwMode="auto">
        <a:xfrm>
          <a:off x="228600" y="69037200"/>
          <a:ext cx="9124950" cy="2247900"/>
          <a:chOff x="228600" y="628650"/>
          <a:chExt cx="9124950" cy="2247900"/>
        </a:xfrm>
      </xdr:grpSpPr>
      <xdr:sp macro="" textlink="">
        <xdr:nvSpPr>
          <xdr:cNvPr id="9608" name="Rectangle 2568">
            <a:extLst>
              <a:ext uri="{FF2B5EF4-FFF2-40B4-BE49-F238E27FC236}">
                <a16:creationId xmlns:a16="http://schemas.microsoft.com/office/drawing/2014/main" xmlns="" id="{00000000-0008-0000-0800-000088250000}"/>
              </a:ext>
            </a:extLst>
          </xdr:cNvPr>
          <xdr:cNvSpPr>
            <a:spLocks noChangeArrowheads="1"/>
          </xdr:cNvSpPr>
        </xdr:nvSpPr>
        <xdr:spPr bwMode="auto">
          <a:xfrm>
            <a:off x="5743575" y="800100"/>
            <a:ext cx="3600450" cy="9525"/>
          </a:xfrm>
          <a:prstGeom prst="rect">
            <a:avLst/>
          </a:prstGeom>
          <a:gradFill rotWithShape="0">
            <a:gsLst>
              <a:gs pos="0">
                <a:srgbClr val="000000"/>
              </a:gs>
              <a:gs pos="100000">
                <a:srgbClr val="FFFFFF"/>
              </a:gs>
            </a:gsLst>
            <a:lin ang="0" scaled="1"/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609" name="Rectangle 2598">
            <a:extLst>
              <a:ext uri="{FF2B5EF4-FFF2-40B4-BE49-F238E27FC236}">
                <a16:creationId xmlns:a16="http://schemas.microsoft.com/office/drawing/2014/main" xmlns="" id="{00000000-0008-0000-0800-000089250000}"/>
              </a:ext>
            </a:extLst>
          </xdr:cNvPr>
          <xdr:cNvSpPr>
            <a:spLocks noChangeArrowheads="1"/>
          </xdr:cNvSpPr>
        </xdr:nvSpPr>
        <xdr:spPr bwMode="auto">
          <a:xfrm>
            <a:off x="5753100" y="1228725"/>
            <a:ext cx="3600450" cy="9525"/>
          </a:xfrm>
          <a:prstGeom prst="rect">
            <a:avLst/>
          </a:prstGeom>
          <a:gradFill rotWithShape="0">
            <a:gsLst>
              <a:gs pos="0">
                <a:srgbClr val="000000"/>
              </a:gs>
              <a:gs pos="100000">
                <a:srgbClr val="FFFFFF"/>
              </a:gs>
            </a:gsLst>
            <a:lin ang="0" scaled="1"/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grpSp>
        <xdr:nvGrpSpPr>
          <xdr:cNvPr id="9610" name="Csoportba foglalás 1">
            <a:extLst>
              <a:ext uri="{FF2B5EF4-FFF2-40B4-BE49-F238E27FC236}">
                <a16:creationId xmlns:a16="http://schemas.microsoft.com/office/drawing/2014/main" xmlns="" id="{00000000-0008-0000-0800-00008A250000}"/>
              </a:ext>
            </a:extLst>
          </xdr:cNvPr>
          <xdr:cNvGrpSpPr>
            <a:grpSpLocks/>
          </xdr:cNvGrpSpPr>
        </xdr:nvGrpSpPr>
        <xdr:grpSpPr bwMode="auto">
          <a:xfrm>
            <a:off x="228600" y="628650"/>
            <a:ext cx="5391150" cy="2247900"/>
            <a:chOff x="228600" y="628650"/>
            <a:chExt cx="5391150" cy="2247900"/>
          </a:xfrm>
        </xdr:grpSpPr>
        <xdr:pic>
          <xdr:nvPicPr>
            <xdr:cNvPr id="9611" name="Picture 3068">
              <a:extLst>
                <a:ext uri="{FF2B5EF4-FFF2-40B4-BE49-F238E27FC236}">
                  <a16:creationId xmlns:a16="http://schemas.microsoft.com/office/drawing/2014/main" xmlns="" id="{00000000-0008-0000-0800-00008B25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8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28600" y="628650"/>
              <a:ext cx="5391150" cy="22479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11" name="AutoShape 2590">
              <a:hlinkClick xmlns:r="http://schemas.openxmlformats.org/officeDocument/2006/relationships" r:id="rId59" tooltip="Ugrás a helyszínre"/>
              <a:extLst>
                <a:ext uri="{FF2B5EF4-FFF2-40B4-BE49-F238E27FC236}">
                  <a16:creationId xmlns:a16="http://schemas.microsoft.com/office/drawing/2014/main" xmlns="" id="{00000000-0008-0000-0800-00000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67627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1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GLASGOW</a:t>
              </a:r>
            </a:p>
          </xdr:txBody>
        </xdr:sp>
        <xdr:sp macro="" textlink="">
          <xdr:nvSpPr>
            <xdr:cNvPr id="9613" name="AutoShape 1436">
              <a:extLst>
                <a:ext uri="{FF2B5EF4-FFF2-40B4-BE49-F238E27FC236}">
                  <a16:creationId xmlns:a16="http://schemas.microsoft.com/office/drawing/2014/main" xmlns="" id="{00000000-0008-0000-0800-00008D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1047750" y="24860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614" name="AutoShape 3037">
              <a:hlinkClick xmlns:r="http://schemas.openxmlformats.org/officeDocument/2006/relationships" r:id="rId60" tooltip="Ugrás a helyszínre"/>
              <a:extLst>
                <a:ext uri="{FF2B5EF4-FFF2-40B4-BE49-F238E27FC236}">
                  <a16:creationId xmlns:a16="http://schemas.microsoft.com/office/drawing/2014/main" xmlns="" id="{00000000-0008-0000-0800-00008E25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85725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B84B08"/>
                </a:gs>
                <a:gs pos="100000">
                  <a:srgbClr val="FAB65C"/>
                </a:gs>
              </a:gsLst>
              <a:lin ang="5400000" scaled="1"/>
            </a:gradFill>
            <a:ln w="0" algn="ctr">
              <a:solidFill>
                <a:srgbClr val="D3D3D3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000000"/>
                  </a:solidFill>
                  <a:latin typeface="Arial Unicode MS"/>
                </a:rPr>
                <a:t>DUBLIN</a:t>
              </a:r>
            </a:p>
          </xdr:txBody>
        </xdr:sp>
        <xdr:sp macro="" textlink="">
          <xdr:nvSpPr>
            <xdr:cNvPr id="12" name="AutoShape 3038">
              <a:hlinkClick xmlns:r="http://schemas.openxmlformats.org/officeDocument/2006/relationships" r:id="rId61" tooltip="Ugrás a helyszínre"/>
              <a:extLst>
                <a:ext uri="{FF2B5EF4-FFF2-40B4-BE49-F238E27FC236}">
                  <a16:creationId xmlns:a16="http://schemas.microsoft.com/office/drawing/2014/main" xmlns="" id="{00000000-0008-0000-0800-00000C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103822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LONDON</a:t>
              </a:r>
            </a:p>
          </xdr:txBody>
        </xdr:sp>
        <xdr:sp macro="" textlink="">
          <xdr:nvSpPr>
            <xdr:cNvPr id="13" name="AutoShape 3039">
              <a:hlinkClick xmlns:r="http://schemas.openxmlformats.org/officeDocument/2006/relationships" r:id="rId62" tooltip="Ugrás a helyszínre"/>
              <a:extLst>
                <a:ext uri="{FF2B5EF4-FFF2-40B4-BE49-F238E27FC236}">
                  <a16:creationId xmlns:a16="http://schemas.microsoft.com/office/drawing/2014/main" xmlns="" id="{00000000-0008-0000-0800-00000D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121920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AMSZTERDAM</a:t>
              </a:r>
            </a:p>
          </xdr:txBody>
        </xdr:sp>
        <xdr:sp macro="" textlink="">
          <xdr:nvSpPr>
            <xdr:cNvPr id="14" name="AutoShape 3040">
              <a:hlinkClick xmlns:r="http://schemas.openxmlformats.org/officeDocument/2006/relationships" r:id="rId63" tooltip="Ugrás a helyszínre"/>
              <a:extLst>
                <a:ext uri="{FF2B5EF4-FFF2-40B4-BE49-F238E27FC236}">
                  <a16:creationId xmlns:a16="http://schemas.microsoft.com/office/drawing/2014/main" xmlns="" id="{00000000-0008-0000-0800-00000E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140017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SEVILLA</a:t>
              </a:r>
            </a:p>
          </xdr:txBody>
        </xdr:sp>
        <xdr:sp macro="" textlink="">
          <xdr:nvSpPr>
            <xdr:cNvPr id="9618" name="AutoShape 3041">
              <a:hlinkClick xmlns:r="http://schemas.openxmlformats.org/officeDocument/2006/relationships" r:id="rId64" tooltip="Ugrás a helyszínre"/>
              <a:extLst>
                <a:ext uri="{FF2B5EF4-FFF2-40B4-BE49-F238E27FC236}">
                  <a16:creationId xmlns:a16="http://schemas.microsoft.com/office/drawing/2014/main" xmlns="" id="{00000000-0008-0000-0800-00009225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158115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RÓMA</a:t>
              </a:r>
            </a:p>
          </xdr:txBody>
        </xdr:sp>
        <xdr:sp macro="" textlink="">
          <xdr:nvSpPr>
            <xdr:cNvPr id="9619" name="AutoShape 1436">
              <a:extLst>
                <a:ext uri="{FF2B5EF4-FFF2-40B4-BE49-F238E27FC236}">
                  <a16:creationId xmlns:a16="http://schemas.microsoft.com/office/drawing/2014/main" xmlns="" id="{00000000-0008-0000-0800-000093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2486025" y="25622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 algn="ctr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" name="AutoShape 3061">
              <a:hlinkClick xmlns:r="http://schemas.openxmlformats.org/officeDocument/2006/relationships" r:id="rId65" tooltip="Ugrás a helyszínre"/>
              <a:extLst>
                <a:ext uri="{FF2B5EF4-FFF2-40B4-BE49-F238E27FC236}">
                  <a16:creationId xmlns:a16="http://schemas.microsoft.com/office/drawing/2014/main" xmlns="" id="{00000000-0008-0000-0800-00000F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67627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1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SZENTPÉTERVÁR</a:t>
              </a:r>
            </a:p>
          </xdr:txBody>
        </xdr:sp>
        <xdr:sp macro="" textlink="">
          <xdr:nvSpPr>
            <xdr:cNvPr id="16" name="AutoShape 3062">
              <a:hlinkClick xmlns:r="http://schemas.openxmlformats.org/officeDocument/2006/relationships" r:id="rId66" tooltip="Ugrás a helyszínre"/>
              <a:extLst>
                <a:ext uri="{FF2B5EF4-FFF2-40B4-BE49-F238E27FC236}">
                  <a16:creationId xmlns:a16="http://schemas.microsoft.com/office/drawing/2014/main" xmlns="" id="{00000000-0008-0000-0800-00001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85725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KOPPENHÁGA</a:t>
              </a:r>
            </a:p>
          </xdr:txBody>
        </xdr:sp>
        <xdr:sp macro="" textlink="">
          <xdr:nvSpPr>
            <xdr:cNvPr id="17" name="AutoShape 3063">
              <a:hlinkClick xmlns:r="http://schemas.openxmlformats.org/officeDocument/2006/relationships" r:id="rId67" tooltip="Ugrás a helyszínre"/>
              <a:extLst>
                <a:ext uri="{FF2B5EF4-FFF2-40B4-BE49-F238E27FC236}">
                  <a16:creationId xmlns:a16="http://schemas.microsoft.com/office/drawing/2014/main" xmlns="" id="{00000000-0008-0000-0800-000011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103822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MÜNCHEN</a:t>
              </a:r>
            </a:p>
          </xdr:txBody>
        </xdr:sp>
        <xdr:sp macro="" textlink="">
          <xdr:nvSpPr>
            <xdr:cNvPr id="18" name="AutoShape 3064">
              <a:hlinkClick xmlns:r="http://schemas.openxmlformats.org/officeDocument/2006/relationships" r:id="rId68" tooltip="Ugrás a helyszínre"/>
              <a:extLst>
                <a:ext uri="{FF2B5EF4-FFF2-40B4-BE49-F238E27FC236}">
                  <a16:creationId xmlns:a16="http://schemas.microsoft.com/office/drawing/2014/main" xmlns="" id="{00000000-0008-0000-0800-00001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121920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BUDAPEST</a:t>
              </a:r>
            </a:p>
          </xdr:txBody>
        </xdr:sp>
        <xdr:sp macro="" textlink="">
          <xdr:nvSpPr>
            <xdr:cNvPr id="19" name="AutoShape 3065">
              <a:hlinkClick xmlns:r="http://schemas.openxmlformats.org/officeDocument/2006/relationships" r:id="rId69" tooltip="Ugrás a helyszínre"/>
              <a:extLst>
                <a:ext uri="{FF2B5EF4-FFF2-40B4-BE49-F238E27FC236}">
                  <a16:creationId xmlns:a16="http://schemas.microsoft.com/office/drawing/2014/main" xmlns="" id="{00000000-0008-0000-0800-00001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140017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BUKAREST</a:t>
              </a:r>
            </a:p>
          </xdr:txBody>
        </xdr:sp>
        <xdr:sp macro="" textlink="">
          <xdr:nvSpPr>
            <xdr:cNvPr id="20" name="AutoShape 3066">
              <a:hlinkClick xmlns:r="http://schemas.openxmlformats.org/officeDocument/2006/relationships" r:id="rId70" tooltip="Ugrás a helyszínre"/>
              <a:extLst>
                <a:ext uri="{FF2B5EF4-FFF2-40B4-BE49-F238E27FC236}">
                  <a16:creationId xmlns:a16="http://schemas.microsoft.com/office/drawing/2014/main" xmlns="" id="{00000000-0008-0000-0800-00001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158115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BAKU</a:t>
              </a:r>
            </a:p>
          </xdr:txBody>
        </xdr:sp>
        <xdr:sp macro="" textlink="">
          <xdr:nvSpPr>
            <xdr:cNvPr id="9626" name="AutoShape 1436">
              <a:extLst>
                <a:ext uri="{FF2B5EF4-FFF2-40B4-BE49-F238E27FC236}">
                  <a16:creationId xmlns:a16="http://schemas.microsoft.com/office/drawing/2014/main" xmlns="" id="{00000000-0008-0000-0800-00009A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2257425" y="128587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627" name="AutoShape 1436">
              <a:extLst>
                <a:ext uri="{FF2B5EF4-FFF2-40B4-BE49-F238E27FC236}">
                  <a16:creationId xmlns:a16="http://schemas.microsoft.com/office/drawing/2014/main" xmlns="" id="{00000000-0008-0000-0800-00009B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1876425" y="129540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628" name="AutoShape 1436">
              <a:extLst>
                <a:ext uri="{FF2B5EF4-FFF2-40B4-BE49-F238E27FC236}">
                  <a16:creationId xmlns:a16="http://schemas.microsoft.com/office/drawing/2014/main" xmlns="" id="{00000000-0008-0000-0800-00009C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1828800" y="7715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629" name="AutoShape 1436">
              <a:extLst>
                <a:ext uri="{FF2B5EF4-FFF2-40B4-BE49-F238E27FC236}">
                  <a16:creationId xmlns:a16="http://schemas.microsoft.com/office/drawing/2014/main" xmlns="" id="{00000000-0008-0000-0800-00009D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1581150" y="100965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FAB65C"/>
                </a:gs>
                <a:gs pos="100000">
                  <a:srgbClr val="B84B0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 algn="ctr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630" name="AutoShape 1436">
              <a:extLst>
                <a:ext uri="{FF2B5EF4-FFF2-40B4-BE49-F238E27FC236}">
                  <a16:creationId xmlns:a16="http://schemas.microsoft.com/office/drawing/2014/main" xmlns="" id="{00000000-0008-0000-0800-00009E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3819525" y="70485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631" name="AutoShape 1436">
              <a:extLst>
                <a:ext uri="{FF2B5EF4-FFF2-40B4-BE49-F238E27FC236}">
                  <a16:creationId xmlns:a16="http://schemas.microsoft.com/office/drawing/2014/main" xmlns="" id="{00000000-0008-0000-0800-00009F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2790825" y="108585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632" name="AutoShape 1436">
              <a:extLst>
                <a:ext uri="{FF2B5EF4-FFF2-40B4-BE49-F238E27FC236}">
                  <a16:creationId xmlns:a16="http://schemas.microsoft.com/office/drawing/2014/main" xmlns="" id="{00000000-0008-0000-0800-0000A0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3143250" y="201930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633" name="AutoShape 1436">
              <a:extLst>
                <a:ext uri="{FF2B5EF4-FFF2-40B4-BE49-F238E27FC236}">
                  <a16:creationId xmlns:a16="http://schemas.microsoft.com/office/drawing/2014/main" xmlns="" id="{00000000-0008-0000-0800-0000A1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2552700" y="185737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634" name="AutoShape 1436">
              <a:extLst>
                <a:ext uri="{FF2B5EF4-FFF2-40B4-BE49-F238E27FC236}">
                  <a16:creationId xmlns:a16="http://schemas.microsoft.com/office/drawing/2014/main" xmlns="" id="{00000000-0008-0000-0800-0000A2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3638550" y="24098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635" name="AutoShape 1436">
              <a:extLst>
                <a:ext uri="{FF2B5EF4-FFF2-40B4-BE49-F238E27FC236}">
                  <a16:creationId xmlns:a16="http://schemas.microsoft.com/office/drawing/2014/main" xmlns="" id="{00000000-0008-0000-0800-0000A3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5295900" y="24479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twoCellAnchor editAs="oneCell">
    <xdr:from>
      <xdr:col>1</xdr:col>
      <xdr:colOff>133350</xdr:colOff>
      <xdr:row>505</xdr:row>
      <xdr:rowOff>19050</xdr:rowOff>
    </xdr:from>
    <xdr:to>
      <xdr:col>16</xdr:col>
      <xdr:colOff>285750</xdr:colOff>
      <xdr:row>518</xdr:row>
      <xdr:rowOff>95250</xdr:rowOff>
    </xdr:to>
    <xdr:grpSp>
      <xdr:nvGrpSpPr>
        <xdr:cNvPr id="9636" name="Csoportba foglalás 2">
          <a:extLst>
            <a:ext uri="{FF2B5EF4-FFF2-40B4-BE49-F238E27FC236}">
              <a16:creationId xmlns:a16="http://schemas.microsoft.com/office/drawing/2014/main" xmlns="" id="{00000000-0008-0000-0800-0000A4250000}"/>
            </a:ext>
          </a:extLst>
        </xdr:cNvPr>
        <xdr:cNvGrpSpPr>
          <a:grpSpLocks/>
        </xdr:cNvGrpSpPr>
      </xdr:nvGrpSpPr>
      <xdr:grpSpPr bwMode="auto">
        <a:xfrm>
          <a:off x="228600" y="76638150"/>
          <a:ext cx="9124950" cy="2247900"/>
          <a:chOff x="228600" y="628650"/>
          <a:chExt cx="9124950" cy="2247900"/>
        </a:xfrm>
      </xdr:grpSpPr>
      <xdr:sp macro="" textlink="">
        <xdr:nvSpPr>
          <xdr:cNvPr id="9637" name="Rectangle 2568">
            <a:extLst>
              <a:ext uri="{FF2B5EF4-FFF2-40B4-BE49-F238E27FC236}">
                <a16:creationId xmlns:a16="http://schemas.microsoft.com/office/drawing/2014/main" xmlns="" id="{00000000-0008-0000-0800-0000A5250000}"/>
              </a:ext>
            </a:extLst>
          </xdr:cNvPr>
          <xdr:cNvSpPr>
            <a:spLocks noChangeArrowheads="1"/>
          </xdr:cNvSpPr>
        </xdr:nvSpPr>
        <xdr:spPr bwMode="auto">
          <a:xfrm>
            <a:off x="5743575" y="800100"/>
            <a:ext cx="3600450" cy="9525"/>
          </a:xfrm>
          <a:prstGeom prst="rect">
            <a:avLst/>
          </a:prstGeom>
          <a:gradFill rotWithShape="0">
            <a:gsLst>
              <a:gs pos="0">
                <a:srgbClr val="000000"/>
              </a:gs>
              <a:gs pos="100000">
                <a:srgbClr val="FFFFFF"/>
              </a:gs>
            </a:gsLst>
            <a:lin ang="0" scaled="1"/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638" name="Rectangle 2598">
            <a:extLst>
              <a:ext uri="{FF2B5EF4-FFF2-40B4-BE49-F238E27FC236}">
                <a16:creationId xmlns:a16="http://schemas.microsoft.com/office/drawing/2014/main" xmlns="" id="{00000000-0008-0000-0800-0000A6250000}"/>
              </a:ext>
            </a:extLst>
          </xdr:cNvPr>
          <xdr:cNvSpPr>
            <a:spLocks noChangeArrowheads="1"/>
          </xdr:cNvSpPr>
        </xdr:nvSpPr>
        <xdr:spPr bwMode="auto">
          <a:xfrm>
            <a:off x="5753100" y="1228725"/>
            <a:ext cx="3600450" cy="9525"/>
          </a:xfrm>
          <a:prstGeom prst="rect">
            <a:avLst/>
          </a:prstGeom>
          <a:gradFill rotWithShape="0">
            <a:gsLst>
              <a:gs pos="0">
                <a:srgbClr val="000000"/>
              </a:gs>
              <a:gs pos="100000">
                <a:srgbClr val="FFFFFF"/>
              </a:gs>
            </a:gsLst>
            <a:lin ang="0" scaled="1"/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grpSp>
        <xdr:nvGrpSpPr>
          <xdr:cNvPr id="9639" name="Csoportba foglalás 1">
            <a:extLst>
              <a:ext uri="{FF2B5EF4-FFF2-40B4-BE49-F238E27FC236}">
                <a16:creationId xmlns:a16="http://schemas.microsoft.com/office/drawing/2014/main" xmlns="" id="{00000000-0008-0000-0800-0000A7250000}"/>
              </a:ext>
            </a:extLst>
          </xdr:cNvPr>
          <xdr:cNvGrpSpPr>
            <a:grpSpLocks/>
          </xdr:cNvGrpSpPr>
        </xdr:nvGrpSpPr>
        <xdr:grpSpPr bwMode="auto">
          <a:xfrm>
            <a:off x="228600" y="628650"/>
            <a:ext cx="5391150" cy="2247900"/>
            <a:chOff x="228600" y="628650"/>
            <a:chExt cx="5391150" cy="2247900"/>
          </a:xfrm>
        </xdr:grpSpPr>
        <xdr:pic>
          <xdr:nvPicPr>
            <xdr:cNvPr id="9640" name="Picture 3068">
              <a:extLst>
                <a:ext uri="{FF2B5EF4-FFF2-40B4-BE49-F238E27FC236}">
                  <a16:creationId xmlns:a16="http://schemas.microsoft.com/office/drawing/2014/main" xmlns="" id="{00000000-0008-0000-0800-0000A825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8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28600" y="628650"/>
              <a:ext cx="5391150" cy="22479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2" name="AutoShape 2590">
              <a:hlinkClick xmlns:r="http://schemas.openxmlformats.org/officeDocument/2006/relationships" r:id="rId59" tooltip="Ugrás a helyszínre"/>
              <a:extLst>
                <a:ext uri="{FF2B5EF4-FFF2-40B4-BE49-F238E27FC236}">
                  <a16:creationId xmlns:a16="http://schemas.microsoft.com/office/drawing/2014/main" xmlns="" id="{00000000-0008-0000-0800-00000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67627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1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GLASGOW</a:t>
              </a:r>
            </a:p>
          </xdr:txBody>
        </xdr:sp>
        <xdr:sp macro="" textlink="">
          <xdr:nvSpPr>
            <xdr:cNvPr id="9642" name="AutoShape 1436">
              <a:extLst>
                <a:ext uri="{FF2B5EF4-FFF2-40B4-BE49-F238E27FC236}">
                  <a16:creationId xmlns:a16="http://schemas.microsoft.com/office/drawing/2014/main" xmlns="" id="{00000000-0008-0000-0800-0000AA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1047750" y="24860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" name="AutoShape 3037">
              <a:hlinkClick xmlns:r="http://schemas.openxmlformats.org/officeDocument/2006/relationships" r:id="rId60" tooltip="Ugrás a helyszínre"/>
              <a:extLst>
                <a:ext uri="{FF2B5EF4-FFF2-40B4-BE49-F238E27FC236}">
                  <a16:creationId xmlns:a16="http://schemas.microsoft.com/office/drawing/2014/main" xmlns="" id="{00000000-0008-0000-0800-00000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85725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DUBLIN</a:t>
              </a:r>
            </a:p>
          </xdr:txBody>
        </xdr:sp>
        <xdr:sp macro="" textlink="">
          <xdr:nvSpPr>
            <xdr:cNvPr id="4" name="AutoShape 3038">
              <a:hlinkClick xmlns:r="http://schemas.openxmlformats.org/officeDocument/2006/relationships" r:id="rId61" tooltip="Ugrás a helyszínre"/>
              <a:extLst>
                <a:ext uri="{FF2B5EF4-FFF2-40B4-BE49-F238E27FC236}">
                  <a16:creationId xmlns:a16="http://schemas.microsoft.com/office/drawing/2014/main" xmlns="" id="{00000000-0008-0000-0800-00000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103822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LONDON</a:t>
              </a:r>
            </a:p>
          </xdr:txBody>
        </xdr:sp>
        <xdr:sp macro="" textlink="">
          <xdr:nvSpPr>
            <xdr:cNvPr id="5" name="AutoShape 3039">
              <a:hlinkClick xmlns:r="http://schemas.openxmlformats.org/officeDocument/2006/relationships" r:id="rId62" tooltip="Ugrás a helyszínre"/>
              <a:extLst>
                <a:ext uri="{FF2B5EF4-FFF2-40B4-BE49-F238E27FC236}">
                  <a16:creationId xmlns:a16="http://schemas.microsoft.com/office/drawing/2014/main" xmlns="" id="{00000000-0008-0000-0800-00000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121920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AMSZTERDAM</a:t>
              </a:r>
            </a:p>
          </xdr:txBody>
        </xdr:sp>
        <xdr:sp macro="" textlink="">
          <xdr:nvSpPr>
            <xdr:cNvPr id="6" name="AutoShape 3040">
              <a:hlinkClick xmlns:r="http://schemas.openxmlformats.org/officeDocument/2006/relationships" r:id="rId63" tooltip="Ugrás a helyszínre"/>
              <a:extLst>
                <a:ext uri="{FF2B5EF4-FFF2-40B4-BE49-F238E27FC236}">
                  <a16:creationId xmlns:a16="http://schemas.microsoft.com/office/drawing/2014/main" xmlns="" id="{00000000-0008-0000-0800-00000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140017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SEVILLA</a:t>
              </a:r>
            </a:p>
          </xdr:txBody>
        </xdr:sp>
        <xdr:sp macro="" textlink="">
          <xdr:nvSpPr>
            <xdr:cNvPr id="9647" name="AutoShape 3041">
              <a:hlinkClick xmlns:r="http://schemas.openxmlformats.org/officeDocument/2006/relationships" r:id="rId64" tooltip="Ugrás a helyszínre"/>
              <a:extLst>
                <a:ext uri="{FF2B5EF4-FFF2-40B4-BE49-F238E27FC236}">
                  <a16:creationId xmlns:a16="http://schemas.microsoft.com/office/drawing/2014/main" xmlns="" id="{00000000-0008-0000-0800-0000AF25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158115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RÓMA</a:t>
              </a:r>
            </a:p>
          </xdr:txBody>
        </xdr:sp>
        <xdr:sp macro="" textlink="">
          <xdr:nvSpPr>
            <xdr:cNvPr id="9648" name="AutoShape 1436">
              <a:extLst>
                <a:ext uri="{FF2B5EF4-FFF2-40B4-BE49-F238E27FC236}">
                  <a16:creationId xmlns:a16="http://schemas.microsoft.com/office/drawing/2014/main" xmlns="" id="{00000000-0008-0000-0800-0000B0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2486025" y="25622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 algn="ctr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" name="AutoShape 3061">
              <a:hlinkClick xmlns:r="http://schemas.openxmlformats.org/officeDocument/2006/relationships" r:id="rId65" tooltip="Ugrás a helyszínre"/>
              <a:extLst>
                <a:ext uri="{FF2B5EF4-FFF2-40B4-BE49-F238E27FC236}">
                  <a16:creationId xmlns:a16="http://schemas.microsoft.com/office/drawing/2014/main" xmlns="" id="{00000000-0008-0000-0800-000007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67627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1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SZENTPÉTERVÁR</a:t>
              </a:r>
            </a:p>
          </xdr:txBody>
        </xdr:sp>
        <xdr:sp macro="" textlink="">
          <xdr:nvSpPr>
            <xdr:cNvPr id="8" name="AutoShape 3062">
              <a:hlinkClick xmlns:r="http://schemas.openxmlformats.org/officeDocument/2006/relationships" r:id="rId66" tooltip="Ugrás a helyszínre"/>
              <a:extLst>
                <a:ext uri="{FF2B5EF4-FFF2-40B4-BE49-F238E27FC236}">
                  <a16:creationId xmlns:a16="http://schemas.microsoft.com/office/drawing/2014/main" xmlns="" id="{00000000-0008-0000-0800-00000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85725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KOPPENHÁGA</a:t>
              </a:r>
            </a:p>
          </xdr:txBody>
        </xdr:sp>
        <xdr:sp macro="" textlink="">
          <xdr:nvSpPr>
            <xdr:cNvPr id="9651" name="AutoShape 3063">
              <a:hlinkClick xmlns:r="http://schemas.openxmlformats.org/officeDocument/2006/relationships" r:id="rId67" tooltip="Ugrás a helyszínre"/>
              <a:extLst>
                <a:ext uri="{FF2B5EF4-FFF2-40B4-BE49-F238E27FC236}">
                  <a16:creationId xmlns:a16="http://schemas.microsoft.com/office/drawing/2014/main" xmlns="" id="{00000000-0008-0000-0800-0000B325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103822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B84B08"/>
                </a:gs>
                <a:gs pos="100000">
                  <a:srgbClr val="FAB65C"/>
                </a:gs>
              </a:gsLst>
              <a:lin ang="5400000" scaled="1"/>
            </a:gradFill>
            <a:ln w="0" algn="ctr">
              <a:solidFill>
                <a:srgbClr val="D3D3D3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000000"/>
                  </a:solidFill>
                  <a:latin typeface="Arial Unicode MS"/>
                </a:rPr>
                <a:t>MÜNCHEN</a:t>
              </a:r>
            </a:p>
          </xdr:txBody>
        </xdr:sp>
        <xdr:sp macro="" textlink="">
          <xdr:nvSpPr>
            <xdr:cNvPr id="22520" name="AutoShape 3064">
              <a:hlinkClick xmlns:r="http://schemas.openxmlformats.org/officeDocument/2006/relationships" r:id="rId68" tooltip="Ugrás a helyszínre"/>
              <a:extLst>
                <a:ext uri="{FF2B5EF4-FFF2-40B4-BE49-F238E27FC236}">
                  <a16:creationId xmlns:a16="http://schemas.microsoft.com/office/drawing/2014/main" xmlns="" id="{00000000-0008-0000-0800-0000F857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121920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BUDAPEST</a:t>
              </a:r>
            </a:p>
          </xdr:txBody>
        </xdr:sp>
        <xdr:sp macro="" textlink="">
          <xdr:nvSpPr>
            <xdr:cNvPr id="9" name="AutoShape 3065">
              <a:hlinkClick xmlns:r="http://schemas.openxmlformats.org/officeDocument/2006/relationships" r:id="rId69" tooltip="Ugrás a helyszínre"/>
              <a:extLst>
                <a:ext uri="{FF2B5EF4-FFF2-40B4-BE49-F238E27FC236}">
                  <a16:creationId xmlns:a16="http://schemas.microsoft.com/office/drawing/2014/main" xmlns="" id="{00000000-0008-0000-0800-00000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140017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BUKAREST</a:t>
              </a:r>
            </a:p>
          </xdr:txBody>
        </xdr:sp>
        <xdr:sp macro="" textlink="">
          <xdr:nvSpPr>
            <xdr:cNvPr id="10" name="AutoShape 3066">
              <a:hlinkClick xmlns:r="http://schemas.openxmlformats.org/officeDocument/2006/relationships" r:id="rId70" tooltip="Ugrás a helyszínre"/>
              <a:extLst>
                <a:ext uri="{FF2B5EF4-FFF2-40B4-BE49-F238E27FC236}">
                  <a16:creationId xmlns:a16="http://schemas.microsoft.com/office/drawing/2014/main" xmlns="" id="{00000000-0008-0000-0800-00000A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158115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BAKU</a:t>
              </a:r>
            </a:p>
          </xdr:txBody>
        </xdr:sp>
        <xdr:sp macro="" textlink="">
          <xdr:nvSpPr>
            <xdr:cNvPr id="9655" name="AutoShape 1436">
              <a:extLst>
                <a:ext uri="{FF2B5EF4-FFF2-40B4-BE49-F238E27FC236}">
                  <a16:creationId xmlns:a16="http://schemas.microsoft.com/office/drawing/2014/main" xmlns="" id="{00000000-0008-0000-0800-0000B7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2257425" y="128587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656" name="AutoShape 1436">
              <a:extLst>
                <a:ext uri="{FF2B5EF4-FFF2-40B4-BE49-F238E27FC236}">
                  <a16:creationId xmlns:a16="http://schemas.microsoft.com/office/drawing/2014/main" xmlns="" id="{00000000-0008-0000-0800-0000B8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1876425" y="129540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657" name="AutoShape 1436">
              <a:extLst>
                <a:ext uri="{FF2B5EF4-FFF2-40B4-BE49-F238E27FC236}">
                  <a16:creationId xmlns:a16="http://schemas.microsoft.com/office/drawing/2014/main" xmlns="" id="{00000000-0008-0000-0800-0000B9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1828800" y="7715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658" name="AutoShape 1436">
              <a:extLst>
                <a:ext uri="{FF2B5EF4-FFF2-40B4-BE49-F238E27FC236}">
                  <a16:creationId xmlns:a16="http://schemas.microsoft.com/office/drawing/2014/main" xmlns="" id="{00000000-0008-0000-0800-0000BA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1581150" y="100965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659" name="AutoShape 1436">
              <a:extLst>
                <a:ext uri="{FF2B5EF4-FFF2-40B4-BE49-F238E27FC236}">
                  <a16:creationId xmlns:a16="http://schemas.microsoft.com/office/drawing/2014/main" xmlns="" id="{00000000-0008-0000-0800-0000BB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3819525" y="70485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660" name="AutoShape 1436">
              <a:extLst>
                <a:ext uri="{FF2B5EF4-FFF2-40B4-BE49-F238E27FC236}">
                  <a16:creationId xmlns:a16="http://schemas.microsoft.com/office/drawing/2014/main" xmlns="" id="{00000000-0008-0000-0800-0000BC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2790825" y="108585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661" name="AutoShape 1436">
              <a:extLst>
                <a:ext uri="{FF2B5EF4-FFF2-40B4-BE49-F238E27FC236}">
                  <a16:creationId xmlns:a16="http://schemas.microsoft.com/office/drawing/2014/main" xmlns="" id="{00000000-0008-0000-0800-0000BD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3143250" y="201930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662" name="AutoShape 1436">
              <a:extLst>
                <a:ext uri="{FF2B5EF4-FFF2-40B4-BE49-F238E27FC236}">
                  <a16:creationId xmlns:a16="http://schemas.microsoft.com/office/drawing/2014/main" xmlns="" id="{00000000-0008-0000-0800-0000BE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2552700" y="185737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FAB65C"/>
                </a:gs>
                <a:gs pos="100000">
                  <a:srgbClr val="B84B0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 algn="ctr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663" name="AutoShape 1436">
              <a:extLst>
                <a:ext uri="{FF2B5EF4-FFF2-40B4-BE49-F238E27FC236}">
                  <a16:creationId xmlns:a16="http://schemas.microsoft.com/office/drawing/2014/main" xmlns="" id="{00000000-0008-0000-0800-0000BF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3638550" y="24098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664" name="AutoShape 1436">
              <a:extLst>
                <a:ext uri="{FF2B5EF4-FFF2-40B4-BE49-F238E27FC236}">
                  <a16:creationId xmlns:a16="http://schemas.microsoft.com/office/drawing/2014/main" xmlns="" id="{00000000-0008-0000-0800-0000C0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5295900" y="24479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  <xdr:twoCellAnchor editAs="oneCell">
    <xdr:from>
      <xdr:col>1</xdr:col>
      <xdr:colOff>133350</xdr:colOff>
      <xdr:row>555</xdr:row>
      <xdr:rowOff>19050</xdr:rowOff>
    </xdr:from>
    <xdr:to>
      <xdr:col>16</xdr:col>
      <xdr:colOff>285750</xdr:colOff>
      <xdr:row>568</xdr:row>
      <xdr:rowOff>95250</xdr:rowOff>
    </xdr:to>
    <xdr:grpSp>
      <xdr:nvGrpSpPr>
        <xdr:cNvPr id="9665" name="Csoportba foglalás 2">
          <a:extLst>
            <a:ext uri="{FF2B5EF4-FFF2-40B4-BE49-F238E27FC236}">
              <a16:creationId xmlns:a16="http://schemas.microsoft.com/office/drawing/2014/main" xmlns="" id="{00000000-0008-0000-0800-0000C1250000}"/>
            </a:ext>
          </a:extLst>
        </xdr:cNvPr>
        <xdr:cNvGrpSpPr>
          <a:grpSpLocks/>
        </xdr:cNvGrpSpPr>
      </xdr:nvGrpSpPr>
      <xdr:grpSpPr bwMode="auto">
        <a:xfrm>
          <a:off x="228600" y="84239100"/>
          <a:ext cx="9124950" cy="2247900"/>
          <a:chOff x="228600" y="628650"/>
          <a:chExt cx="9124950" cy="2247900"/>
        </a:xfrm>
      </xdr:grpSpPr>
      <xdr:sp macro="" textlink="">
        <xdr:nvSpPr>
          <xdr:cNvPr id="9666" name="Rectangle 2568">
            <a:extLst>
              <a:ext uri="{FF2B5EF4-FFF2-40B4-BE49-F238E27FC236}">
                <a16:creationId xmlns:a16="http://schemas.microsoft.com/office/drawing/2014/main" xmlns="" id="{00000000-0008-0000-0800-0000C2250000}"/>
              </a:ext>
            </a:extLst>
          </xdr:cNvPr>
          <xdr:cNvSpPr>
            <a:spLocks noChangeArrowheads="1"/>
          </xdr:cNvSpPr>
        </xdr:nvSpPr>
        <xdr:spPr bwMode="auto">
          <a:xfrm>
            <a:off x="5743575" y="800100"/>
            <a:ext cx="3600450" cy="9525"/>
          </a:xfrm>
          <a:prstGeom prst="rect">
            <a:avLst/>
          </a:prstGeom>
          <a:gradFill rotWithShape="0">
            <a:gsLst>
              <a:gs pos="0">
                <a:srgbClr val="000000"/>
              </a:gs>
              <a:gs pos="100000">
                <a:srgbClr val="FFFFFF"/>
              </a:gs>
            </a:gsLst>
            <a:lin ang="0" scaled="1"/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667" name="Rectangle 2598">
            <a:extLst>
              <a:ext uri="{FF2B5EF4-FFF2-40B4-BE49-F238E27FC236}">
                <a16:creationId xmlns:a16="http://schemas.microsoft.com/office/drawing/2014/main" xmlns="" id="{00000000-0008-0000-0800-0000C3250000}"/>
              </a:ext>
            </a:extLst>
          </xdr:cNvPr>
          <xdr:cNvSpPr>
            <a:spLocks noChangeArrowheads="1"/>
          </xdr:cNvSpPr>
        </xdr:nvSpPr>
        <xdr:spPr bwMode="auto">
          <a:xfrm>
            <a:off x="5753100" y="1228725"/>
            <a:ext cx="3600450" cy="9525"/>
          </a:xfrm>
          <a:prstGeom prst="rect">
            <a:avLst/>
          </a:prstGeom>
          <a:gradFill rotWithShape="0">
            <a:gsLst>
              <a:gs pos="0">
                <a:srgbClr val="000000"/>
              </a:gs>
              <a:gs pos="100000">
                <a:srgbClr val="FFFFFF"/>
              </a:gs>
            </a:gsLst>
            <a:lin ang="0" scaled="1"/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grpSp>
        <xdr:nvGrpSpPr>
          <xdr:cNvPr id="9668" name="Csoportba foglalás 1">
            <a:extLst>
              <a:ext uri="{FF2B5EF4-FFF2-40B4-BE49-F238E27FC236}">
                <a16:creationId xmlns:a16="http://schemas.microsoft.com/office/drawing/2014/main" xmlns="" id="{00000000-0008-0000-0800-0000C4250000}"/>
              </a:ext>
            </a:extLst>
          </xdr:cNvPr>
          <xdr:cNvGrpSpPr>
            <a:grpSpLocks/>
          </xdr:cNvGrpSpPr>
        </xdr:nvGrpSpPr>
        <xdr:grpSpPr bwMode="auto">
          <a:xfrm>
            <a:off x="228600" y="628650"/>
            <a:ext cx="5391150" cy="2247900"/>
            <a:chOff x="228600" y="628650"/>
            <a:chExt cx="5391150" cy="2247900"/>
          </a:xfrm>
        </xdr:grpSpPr>
        <xdr:pic>
          <xdr:nvPicPr>
            <xdr:cNvPr id="9669" name="Picture 3068">
              <a:extLst>
                <a:ext uri="{FF2B5EF4-FFF2-40B4-BE49-F238E27FC236}">
                  <a16:creationId xmlns:a16="http://schemas.microsoft.com/office/drawing/2014/main" xmlns="" id="{00000000-0008-0000-0800-0000C525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8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28600" y="628650"/>
              <a:ext cx="5391150" cy="22479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22046" name="AutoShape 2590">
              <a:hlinkClick xmlns:r="http://schemas.openxmlformats.org/officeDocument/2006/relationships" r:id="rId59" tooltip="Ugrás a helyszínre"/>
              <a:extLst>
                <a:ext uri="{FF2B5EF4-FFF2-40B4-BE49-F238E27FC236}">
                  <a16:creationId xmlns:a16="http://schemas.microsoft.com/office/drawing/2014/main" xmlns="" id="{00000000-0008-0000-0800-00001E56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67627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1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GLASGOW</a:t>
              </a:r>
            </a:p>
          </xdr:txBody>
        </xdr:sp>
        <xdr:sp macro="" textlink="">
          <xdr:nvSpPr>
            <xdr:cNvPr id="9671" name="AutoShape 1436">
              <a:extLst>
                <a:ext uri="{FF2B5EF4-FFF2-40B4-BE49-F238E27FC236}">
                  <a16:creationId xmlns:a16="http://schemas.microsoft.com/office/drawing/2014/main" xmlns="" id="{00000000-0008-0000-0800-0000C7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1047750" y="24860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2493" name="AutoShape 3037">
              <a:hlinkClick xmlns:r="http://schemas.openxmlformats.org/officeDocument/2006/relationships" r:id="rId60" tooltip="Ugrás a helyszínre"/>
              <a:extLst>
                <a:ext uri="{FF2B5EF4-FFF2-40B4-BE49-F238E27FC236}">
                  <a16:creationId xmlns:a16="http://schemas.microsoft.com/office/drawing/2014/main" xmlns="" id="{00000000-0008-0000-0800-0000DD57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85725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DUBLIN</a:t>
              </a:r>
            </a:p>
          </xdr:txBody>
        </xdr:sp>
        <xdr:sp macro="" textlink="">
          <xdr:nvSpPr>
            <xdr:cNvPr id="22494" name="AutoShape 3038">
              <a:hlinkClick xmlns:r="http://schemas.openxmlformats.org/officeDocument/2006/relationships" r:id="rId61" tooltip="Ugrás a helyszínre"/>
              <a:extLst>
                <a:ext uri="{FF2B5EF4-FFF2-40B4-BE49-F238E27FC236}">
                  <a16:creationId xmlns:a16="http://schemas.microsoft.com/office/drawing/2014/main" xmlns="" id="{00000000-0008-0000-0800-0000DE57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103822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LONDON</a:t>
              </a:r>
            </a:p>
          </xdr:txBody>
        </xdr:sp>
        <xdr:sp macro="" textlink="">
          <xdr:nvSpPr>
            <xdr:cNvPr id="22495" name="AutoShape 3039">
              <a:hlinkClick xmlns:r="http://schemas.openxmlformats.org/officeDocument/2006/relationships" r:id="rId62" tooltip="Ugrás a helyszínre"/>
              <a:extLst>
                <a:ext uri="{FF2B5EF4-FFF2-40B4-BE49-F238E27FC236}">
                  <a16:creationId xmlns:a16="http://schemas.microsoft.com/office/drawing/2014/main" xmlns="" id="{00000000-0008-0000-0800-0000DF57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121920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AMSZTERDAM</a:t>
              </a:r>
            </a:p>
          </xdr:txBody>
        </xdr:sp>
        <xdr:sp macro="" textlink="">
          <xdr:nvSpPr>
            <xdr:cNvPr id="22496" name="AutoShape 3040">
              <a:hlinkClick xmlns:r="http://schemas.openxmlformats.org/officeDocument/2006/relationships" r:id="rId63" tooltip="Ugrás a helyszínre"/>
              <a:extLst>
                <a:ext uri="{FF2B5EF4-FFF2-40B4-BE49-F238E27FC236}">
                  <a16:creationId xmlns:a16="http://schemas.microsoft.com/office/drawing/2014/main" xmlns="" id="{00000000-0008-0000-0800-0000E057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140017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SEVILLA</a:t>
              </a:r>
            </a:p>
          </xdr:txBody>
        </xdr:sp>
        <xdr:sp macro="" textlink="">
          <xdr:nvSpPr>
            <xdr:cNvPr id="9676" name="AutoShape 3041">
              <a:hlinkClick xmlns:r="http://schemas.openxmlformats.org/officeDocument/2006/relationships" r:id="rId64" tooltip="Ugrás a helyszínre"/>
              <a:extLst>
                <a:ext uri="{FF2B5EF4-FFF2-40B4-BE49-F238E27FC236}">
                  <a16:creationId xmlns:a16="http://schemas.microsoft.com/office/drawing/2014/main" xmlns="" id="{00000000-0008-0000-0800-0000CC25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6225" y="158115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RÓMA</a:t>
              </a:r>
            </a:p>
          </xdr:txBody>
        </xdr:sp>
        <xdr:sp macro="" textlink="">
          <xdr:nvSpPr>
            <xdr:cNvPr id="9677" name="AutoShape 1436">
              <a:extLst>
                <a:ext uri="{FF2B5EF4-FFF2-40B4-BE49-F238E27FC236}">
                  <a16:creationId xmlns:a16="http://schemas.microsoft.com/office/drawing/2014/main" xmlns="" id="{00000000-0008-0000-0800-0000CD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2486025" y="25622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 algn="ctr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2517" name="AutoShape 3061">
              <a:hlinkClick xmlns:r="http://schemas.openxmlformats.org/officeDocument/2006/relationships" r:id="rId65" tooltip="Ugrás a helyszínre"/>
              <a:extLst>
                <a:ext uri="{FF2B5EF4-FFF2-40B4-BE49-F238E27FC236}">
                  <a16:creationId xmlns:a16="http://schemas.microsoft.com/office/drawing/2014/main" xmlns="" id="{00000000-0008-0000-0800-0000F557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67627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1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SZENTPÉTERVÁR</a:t>
              </a:r>
            </a:p>
          </xdr:txBody>
        </xdr:sp>
        <xdr:sp macro="" textlink="">
          <xdr:nvSpPr>
            <xdr:cNvPr id="22518" name="AutoShape 3062">
              <a:hlinkClick xmlns:r="http://schemas.openxmlformats.org/officeDocument/2006/relationships" r:id="rId66" tooltip="Ugrás a helyszínre"/>
              <a:extLst>
                <a:ext uri="{FF2B5EF4-FFF2-40B4-BE49-F238E27FC236}">
                  <a16:creationId xmlns:a16="http://schemas.microsoft.com/office/drawing/2014/main" xmlns="" id="{00000000-0008-0000-0800-0000F657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85725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KOPPENHÁGA</a:t>
              </a:r>
            </a:p>
          </xdr:txBody>
        </xdr:sp>
        <xdr:sp macro="" textlink="">
          <xdr:nvSpPr>
            <xdr:cNvPr id="22519" name="AutoShape 3063">
              <a:hlinkClick xmlns:r="http://schemas.openxmlformats.org/officeDocument/2006/relationships" r:id="rId67" tooltip="Ugrás a helyszínre"/>
              <a:extLst>
                <a:ext uri="{FF2B5EF4-FFF2-40B4-BE49-F238E27FC236}">
                  <a16:creationId xmlns:a16="http://schemas.microsoft.com/office/drawing/2014/main" xmlns="" id="{00000000-0008-0000-0800-0000F757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103822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MÜNCHEN</a:t>
              </a:r>
            </a:p>
          </xdr:txBody>
        </xdr:sp>
        <xdr:sp macro="" textlink="">
          <xdr:nvSpPr>
            <xdr:cNvPr id="9681" name="AutoShape 3064">
              <a:hlinkClick xmlns:r="http://schemas.openxmlformats.org/officeDocument/2006/relationships" r:id="rId68" tooltip="Ugrás a helyszínre"/>
              <a:extLst>
                <a:ext uri="{FF2B5EF4-FFF2-40B4-BE49-F238E27FC236}">
                  <a16:creationId xmlns:a16="http://schemas.microsoft.com/office/drawing/2014/main" xmlns="" id="{00000000-0008-0000-0800-0000D125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121920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B84B08"/>
                </a:gs>
                <a:gs pos="100000">
                  <a:srgbClr val="FAB65C"/>
                </a:gs>
              </a:gsLst>
              <a:lin ang="5400000" scaled="1"/>
            </a:gradFill>
            <a:ln w="0" algn="ctr">
              <a:solidFill>
                <a:srgbClr val="D3D3D3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000000"/>
                  </a:solidFill>
                  <a:latin typeface="Arial Unicode MS"/>
                </a:rPr>
                <a:t>BUDAPEST</a:t>
              </a:r>
            </a:p>
          </xdr:txBody>
        </xdr:sp>
        <xdr:sp macro="" textlink="">
          <xdr:nvSpPr>
            <xdr:cNvPr id="22521" name="AutoShape 3065">
              <a:hlinkClick xmlns:r="http://schemas.openxmlformats.org/officeDocument/2006/relationships" r:id="rId69" tooltip="Ugrás a helyszínre"/>
              <a:extLst>
                <a:ext uri="{FF2B5EF4-FFF2-40B4-BE49-F238E27FC236}">
                  <a16:creationId xmlns:a16="http://schemas.microsoft.com/office/drawing/2014/main" xmlns="" id="{00000000-0008-0000-0800-0000F957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1400175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BUKAREST</a:t>
              </a:r>
            </a:p>
          </xdr:txBody>
        </xdr:sp>
        <xdr:sp macro="" textlink="">
          <xdr:nvSpPr>
            <xdr:cNvPr id="22522" name="AutoShape 3066">
              <a:hlinkClick xmlns:r="http://schemas.openxmlformats.org/officeDocument/2006/relationships" r:id="rId70" tooltip="Ugrás a helyszínre"/>
              <a:extLst>
                <a:ext uri="{FF2B5EF4-FFF2-40B4-BE49-F238E27FC236}">
                  <a16:creationId xmlns:a16="http://schemas.microsoft.com/office/drawing/2014/main" xmlns="" id="{00000000-0008-0000-0800-0000FA57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05350" y="1581150"/>
              <a:ext cx="866775" cy="142875"/>
            </a:xfrm>
            <a:prstGeom prst="roundRect">
              <a:avLst>
                <a:gd name="adj" fmla="val 7144"/>
              </a:avLst>
            </a:prstGeom>
            <a:gradFill rotWithShape="1">
              <a:gsLst>
                <a:gs pos="0">
                  <a:srgbClr val="009CB3"/>
                </a:gs>
                <a:gs pos="100000">
                  <a:srgbClr val="005C68"/>
                </a:gs>
              </a:gsLst>
              <a:lin ang="5400000" scaled="1"/>
            </a:gradFill>
            <a:ln w="0" algn="ctr">
              <a:solidFill>
                <a:srgbClr val="94DEE8"/>
              </a:solidFill>
              <a:round/>
              <a:headEnd/>
              <a:tailEnd/>
            </a:ln>
            <a:effectLst>
              <a:outerShdw dist="17961" dir="2700000" algn="ctr" rotWithShape="0">
                <a:srgbClr val="333333"/>
              </a:outerShdw>
            </a:effectLst>
          </xdr:spPr>
          <xdr:txBody>
            <a:bodyPr vertOverflow="clip" wrap="square" lIns="0" tIns="0" rIns="0" bIns="0" anchor="ctr" upright="1"/>
            <a:lstStyle/>
            <a:p>
              <a:pPr algn="ctr" rtl="0">
                <a:defRPr sz="1000"/>
              </a:pPr>
              <a:r>
                <a:rPr lang="hu-HU" sz="700" b="0" i="0" u="none" strike="noStrike" baseline="0">
                  <a:solidFill>
                    <a:srgbClr val="FFFFFF"/>
                  </a:solidFill>
                  <a:latin typeface="Arial Unicode MS"/>
                </a:rPr>
                <a:t>BAKU</a:t>
              </a:r>
            </a:p>
          </xdr:txBody>
        </xdr:sp>
        <xdr:sp macro="" textlink="">
          <xdr:nvSpPr>
            <xdr:cNvPr id="9684" name="AutoShape 1436">
              <a:extLst>
                <a:ext uri="{FF2B5EF4-FFF2-40B4-BE49-F238E27FC236}">
                  <a16:creationId xmlns:a16="http://schemas.microsoft.com/office/drawing/2014/main" xmlns="" id="{00000000-0008-0000-0800-0000D4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2257425" y="128587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685" name="AutoShape 1436">
              <a:extLst>
                <a:ext uri="{FF2B5EF4-FFF2-40B4-BE49-F238E27FC236}">
                  <a16:creationId xmlns:a16="http://schemas.microsoft.com/office/drawing/2014/main" xmlns="" id="{00000000-0008-0000-0800-0000D5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1876425" y="129540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686" name="AutoShape 1436">
              <a:extLst>
                <a:ext uri="{FF2B5EF4-FFF2-40B4-BE49-F238E27FC236}">
                  <a16:creationId xmlns:a16="http://schemas.microsoft.com/office/drawing/2014/main" xmlns="" id="{00000000-0008-0000-0800-0000D6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1828800" y="7715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687" name="AutoShape 1436">
              <a:extLst>
                <a:ext uri="{FF2B5EF4-FFF2-40B4-BE49-F238E27FC236}">
                  <a16:creationId xmlns:a16="http://schemas.microsoft.com/office/drawing/2014/main" xmlns="" id="{00000000-0008-0000-0800-0000D7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1581150" y="100965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688" name="AutoShape 1436">
              <a:extLst>
                <a:ext uri="{FF2B5EF4-FFF2-40B4-BE49-F238E27FC236}">
                  <a16:creationId xmlns:a16="http://schemas.microsoft.com/office/drawing/2014/main" xmlns="" id="{00000000-0008-0000-0800-0000D8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3819525" y="70485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689" name="AutoShape 1436">
              <a:extLst>
                <a:ext uri="{FF2B5EF4-FFF2-40B4-BE49-F238E27FC236}">
                  <a16:creationId xmlns:a16="http://schemas.microsoft.com/office/drawing/2014/main" xmlns="" id="{00000000-0008-0000-0800-0000D9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2790825" y="108585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690" name="AutoShape 1436">
              <a:extLst>
                <a:ext uri="{FF2B5EF4-FFF2-40B4-BE49-F238E27FC236}">
                  <a16:creationId xmlns:a16="http://schemas.microsoft.com/office/drawing/2014/main" xmlns="" id="{00000000-0008-0000-0800-0000DA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3143250" y="2019300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FAB65C"/>
                </a:gs>
                <a:gs pos="100000">
                  <a:srgbClr val="B84B0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 algn="ctr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691" name="AutoShape 1436">
              <a:extLst>
                <a:ext uri="{FF2B5EF4-FFF2-40B4-BE49-F238E27FC236}">
                  <a16:creationId xmlns:a16="http://schemas.microsoft.com/office/drawing/2014/main" xmlns="" id="{00000000-0008-0000-0800-0000DB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2552700" y="185737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692" name="AutoShape 1436">
              <a:extLst>
                <a:ext uri="{FF2B5EF4-FFF2-40B4-BE49-F238E27FC236}">
                  <a16:creationId xmlns:a16="http://schemas.microsoft.com/office/drawing/2014/main" xmlns="" id="{00000000-0008-0000-0800-0000DC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3638550" y="24098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693" name="AutoShape 1436">
              <a:extLst>
                <a:ext uri="{FF2B5EF4-FFF2-40B4-BE49-F238E27FC236}">
                  <a16:creationId xmlns:a16="http://schemas.microsoft.com/office/drawing/2014/main" xmlns="" id="{00000000-0008-0000-0800-0000DD25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>
              <a:off x="5295900" y="2447925"/>
              <a:ext cx="95250" cy="95250"/>
            </a:xfrm>
            <a:prstGeom prst="flowChartConnector">
              <a:avLst/>
            </a:prstGeom>
            <a:gradFill rotWithShape="0">
              <a:gsLst>
                <a:gs pos="0">
                  <a:srgbClr val="94DEE8"/>
                </a:gs>
                <a:gs pos="100000">
                  <a:srgbClr val="005C68"/>
                </a:gs>
              </a:gsLst>
              <a:path path="shape">
                <a:fillToRect l="50000" t="50000" r="50000" b="50000"/>
              </a:path>
            </a:gradFill>
            <a:ln>
              <a:noFill/>
            </a:ln>
            <a:effectLst>
              <a:outerShdw dist="17961" dir="2700000" algn="ctr" rotWithShape="0">
                <a:srgbClr val="333333"/>
              </a:outerShdw>
            </a:effectLst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</xdr:grpSp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0">
          <a:gsLst>
            <a:gs pos="0">
              <a:srgbClr val="2F0000"/>
            </a:gs>
            <a:gs pos="100000">
              <a:srgbClr val="2B0000"/>
            </a:gs>
          </a:gsLst>
          <a:lin ang="5400000" scaled="1"/>
        </a:gradFill>
        <a:ln>
          <a:noFill/>
        </a:ln>
        <a:effectLst/>
      </a:spPr>
      <a:bodyPr vertOverflow="clip" wrap="square" lIns="0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0">
          <a:gsLst>
            <a:gs pos="0">
              <a:srgbClr val="2F0000"/>
            </a:gs>
            <a:gs pos="100000">
              <a:srgbClr val="2B0000"/>
            </a:gs>
          </a:gsLst>
          <a:lin ang="5400000" scaled="1"/>
        </a:gradFill>
        <a:ln>
          <a:noFill/>
        </a:ln>
        <a:effectLst/>
      </a:spPr>
      <a:bodyPr vertOverflow="clip" wrap="square" lIns="0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9" Type="http://schemas.openxmlformats.org/officeDocument/2006/relationships/ctrlProp" Target="../ctrlProps/ctrlProp35.xml"/><Relationship Id="rId21" Type="http://schemas.openxmlformats.org/officeDocument/2006/relationships/ctrlProp" Target="../ctrlProps/ctrlProp17.xml"/><Relationship Id="rId34" Type="http://schemas.openxmlformats.org/officeDocument/2006/relationships/ctrlProp" Target="../ctrlProps/ctrlProp30.xml"/><Relationship Id="rId7" Type="http://schemas.openxmlformats.org/officeDocument/2006/relationships/ctrlProp" Target="../ctrlProps/ctrlProp3.xml"/><Relationship Id="rId2" Type="http://schemas.openxmlformats.org/officeDocument/2006/relationships/drawing" Target="../drawings/drawing10.xml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41" Type="http://schemas.openxmlformats.org/officeDocument/2006/relationships/ctrlProp" Target="../ctrlProps/ctrlProp37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32" Type="http://schemas.openxmlformats.org/officeDocument/2006/relationships/ctrlProp" Target="../ctrlProps/ctrlProp28.xml"/><Relationship Id="rId37" Type="http://schemas.openxmlformats.org/officeDocument/2006/relationships/ctrlProp" Target="../ctrlProps/ctrlProp33.xml"/><Relationship Id="rId40" Type="http://schemas.openxmlformats.org/officeDocument/2006/relationships/ctrlProp" Target="../ctrlProps/ctrlProp36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36" Type="http://schemas.openxmlformats.org/officeDocument/2006/relationships/ctrlProp" Target="../ctrlProps/ctrlProp32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31" Type="http://schemas.openxmlformats.org/officeDocument/2006/relationships/ctrlProp" Target="../ctrlProps/ctrlProp27.xml"/><Relationship Id="rId4" Type="http://schemas.openxmlformats.org/officeDocument/2006/relationships/image" Target="../media/image1.png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30" Type="http://schemas.openxmlformats.org/officeDocument/2006/relationships/ctrlProp" Target="../ctrlProps/ctrlProp26.xml"/><Relationship Id="rId35" Type="http://schemas.openxmlformats.org/officeDocument/2006/relationships/ctrlProp" Target="../ctrlProps/ctrlProp31.xml"/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33" Type="http://schemas.openxmlformats.org/officeDocument/2006/relationships/ctrlProp" Target="../ctrlProps/ctrlProp29.xml"/><Relationship Id="rId38" Type="http://schemas.openxmlformats.org/officeDocument/2006/relationships/ctrlProp" Target="../ctrlProps/ctrlProp34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http://www.nemzetisport.hu/minden_mas_foci/szurkoloi-szoftverek-104676" TargetMode="External"/><Relationship Id="rId7" Type="http://schemas.openxmlformats.org/officeDocument/2006/relationships/drawing" Target="../drawings/drawing11.xml"/><Relationship Id="rId2" Type="http://schemas.openxmlformats.org/officeDocument/2006/relationships/hyperlink" Target="mailto:nsonline@nemzetisport.hu?subject=Szurkol&#243;i%20f&#252;zet" TargetMode="External"/><Relationship Id="rId1" Type="http://schemas.openxmlformats.org/officeDocument/2006/relationships/hyperlink" Target="http://www.nemzetisport.hu/" TargetMode="External"/><Relationship Id="rId6" Type="http://schemas.openxmlformats.org/officeDocument/2006/relationships/printerSettings" Target="../printerSettings/printerSettings11.bin"/><Relationship Id="rId5" Type="http://schemas.openxmlformats.org/officeDocument/2006/relationships/hyperlink" Target="mailto:gyworks.mailbox@gmail.com?subject=Szurkol&#243;i%20f&#252;zet" TargetMode="External"/><Relationship Id="rId4" Type="http://schemas.openxmlformats.org/officeDocument/2006/relationships/hyperlink" Target="https://www.youtube.com/watch?v=7hrZW-jZApA&amp;feature=player_embedded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3">
    <pageSetUpPr autoPageBreaks="0"/>
  </sheetPr>
  <dimension ref="A1:BH161"/>
  <sheetViews>
    <sheetView showGridLines="0" showRowColHeaders="0" zoomScaleNormal="100" workbookViewId="0">
      <pane ySplit="4" topLeftCell="A5" activePane="bottomLeft" state="frozen"/>
      <selection pane="bottomLeft"/>
    </sheetView>
  </sheetViews>
  <sheetFormatPr defaultRowHeight="15" x14ac:dyDescent="0.3"/>
  <cols>
    <col min="1" max="1" width="1.42578125" style="564" customWidth="1"/>
    <col min="2" max="2" width="2.140625" style="36" customWidth="1"/>
    <col min="3" max="3" width="20.28515625" style="185" customWidth="1"/>
    <col min="4" max="4" width="9" style="186" customWidth="1"/>
    <col min="5" max="5" width="9.28515625" style="186" customWidth="1"/>
    <col min="6" max="6" width="14.28515625" style="186" customWidth="1"/>
    <col min="7" max="7" width="20" style="187" customWidth="1"/>
    <col min="8" max="8" width="10.42578125" style="11" customWidth="1"/>
    <col min="9" max="9" width="22.140625" style="36" customWidth="1"/>
    <col min="10" max="10" width="3.5703125" style="188" customWidth="1"/>
    <col min="11" max="11" width="1.7109375" style="36" customWidth="1"/>
    <col min="12" max="12" width="3.5703125" style="189" customWidth="1"/>
    <col min="13" max="13" width="22.140625" style="36" customWidth="1"/>
    <col min="14" max="14" width="2.42578125" style="189" customWidth="1"/>
    <col min="15" max="15" width="1" style="36" customWidth="1"/>
    <col min="16" max="16" width="2.42578125" style="36" customWidth="1"/>
    <col min="17" max="17" width="2.140625" style="36" customWidth="1"/>
    <col min="18" max="18" width="29.140625" style="36" customWidth="1"/>
    <col min="19" max="19" width="2.42578125" style="36" customWidth="1"/>
    <col min="20" max="21" width="2.5703125" style="36" customWidth="1"/>
    <col min="22" max="22" width="2.7109375" style="4" hidden="1" customWidth="1"/>
    <col min="23" max="23" width="5" style="303" hidden="1" customWidth="1"/>
    <col min="24" max="24" width="4.85546875" style="303" hidden="1" customWidth="1"/>
    <col min="25" max="25" width="13.42578125" style="303" hidden="1" customWidth="1"/>
    <col min="26" max="31" width="7.140625" style="303" hidden="1" customWidth="1"/>
    <col min="32" max="33" width="2.85546875" style="315" hidden="1" customWidth="1"/>
    <col min="34" max="34" width="7.140625" style="303" hidden="1" customWidth="1"/>
    <col min="35" max="36" width="2.85546875" style="315" hidden="1" customWidth="1"/>
    <col min="37" max="39" width="5.7109375" style="315" hidden="1" customWidth="1"/>
    <col min="40" max="41" width="2.85546875" style="315" hidden="1" customWidth="1"/>
    <col min="42" max="43" width="6.28515625" style="303" hidden="1" customWidth="1"/>
    <col min="44" max="44" width="4" style="303" hidden="1" customWidth="1"/>
    <col min="45" max="47" width="6.28515625" style="315" hidden="1" customWidth="1"/>
    <col min="48" max="51" width="6.28515625" style="303" hidden="1" customWidth="1"/>
    <col min="52" max="52" width="3.5703125" style="305" hidden="1" customWidth="1"/>
    <col min="53" max="53" width="3.5703125" style="4" hidden="1" customWidth="1"/>
    <col min="54" max="54" width="3.5703125" style="305" hidden="1" customWidth="1"/>
    <col min="55" max="58" width="5.5703125" style="305" hidden="1" customWidth="1"/>
    <col min="59" max="59" width="3.5703125" style="305" hidden="1" customWidth="1"/>
    <col min="60" max="60" width="3.5703125" style="4" hidden="1" customWidth="1"/>
    <col min="61" max="16384" width="9.140625" style="36"/>
  </cols>
  <sheetData>
    <row r="1" spans="1:60" s="561" customFormat="1" ht="9.75" customHeight="1" x14ac:dyDescent="0.2">
      <c r="G1" s="562"/>
    </row>
    <row r="2" spans="1:60" s="561" customFormat="1" ht="9.75" customHeight="1" x14ac:dyDescent="0.2">
      <c r="G2" s="562"/>
    </row>
    <row r="3" spans="1:60" s="561" customFormat="1" ht="9" customHeight="1" thickBot="1" x14ac:dyDescent="0.25">
      <c r="A3" s="563"/>
      <c r="B3" s="563"/>
      <c r="C3" s="563"/>
      <c r="D3" s="563"/>
      <c r="E3" s="563"/>
      <c r="F3" s="563"/>
      <c r="G3" s="562"/>
    </row>
    <row r="4" spans="1:60" s="565" customFormat="1" ht="12" customHeight="1" thickTop="1" x14ac:dyDescent="0.2">
      <c r="B4" s="567" t="s">
        <v>961</v>
      </c>
      <c r="G4" s="566"/>
    </row>
    <row r="5" spans="1:60" ht="15.75" customHeight="1" x14ac:dyDescent="0.3">
      <c r="A5" s="765"/>
      <c r="Y5" s="306"/>
      <c r="Z5" s="306"/>
      <c r="AA5" s="306"/>
      <c r="AB5" s="306"/>
      <c r="AC5" s="306"/>
      <c r="AD5" s="306"/>
      <c r="AE5" s="306"/>
      <c r="AF5" s="306"/>
      <c r="AG5" s="306"/>
      <c r="AH5" s="306"/>
      <c r="AI5" s="306"/>
      <c r="AJ5" s="306"/>
      <c r="AK5" s="306"/>
      <c r="AL5" s="306"/>
      <c r="AM5" s="306"/>
      <c r="AN5" s="306"/>
      <c r="AO5" s="306"/>
      <c r="AP5" s="307"/>
      <c r="AQ5" s="307"/>
      <c r="AR5" s="306"/>
      <c r="AS5" s="306"/>
      <c r="AT5" s="306"/>
      <c r="AU5" s="306"/>
      <c r="AV5" s="306"/>
      <c r="AW5" s="306"/>
      <c r="AX5" s="307"/>
      <c r="AY5" s="307"/>
    </row>
    <row r="6" spans="1:60" s="206" customFormat="1" ht="13.5" customHeight="1" x14ac:dyDescent="0.2">
      <c r="A6" s="765"/>
      <c r="B6" s="204"/>
      <c r="C6" s="300" t="s">
        <v>845</v>
      </c>
      <c r="D6" s="301" t="s">
        <v>1318</v>
      </c>
      <c r="E6" s="301" t="s">
        <v>562</v>
      </c>
      <c r="F6" s="302"/>
      <c r="G6" s="302" t="s">
        <v>843</v>
      </c>
      <c r="H6" s="302" t="s">
        <v>842</v>
      </c>
      <c r="I6" s="302"/>
      <c r="J6" s="302"/>
      <c r="K6" s="301" t="s">
        <v>841</v>
      </c>
      <c r="L6" s="302"/>
      <c r="M6" s="302"/>
      <c r="N6" s="302"/>
      <c r="O6" s="302"/>
      <c r="P6" s="302"/>
      <c r="Q6" s="302"/>
      <c r="R6" s="301" t="s">
        <v>1255</v>
      </c>
      <c r="V6" s="4"/>
      <c r="W6" s="303"/>
      <c r="X6" s="303"/>
      <c r="Y6" s="307"/>
      <c r="Z6" s="307"/>
      <c r="AA6" s="307"/>
      <c r="AB6" s="307"/>
      <c r="AC6" s="307"/>
      <c r="AD6" s="307"/>
      <c r="AE6" s="308">
        <v>8</v>
      </c>
      <c r="AF6" s="307"/>
      <c r="AG6" s="307"/>
      <c r="AH6" s="308">
        <v>9</v>
      </c>
      <c r="AI6" s="307"/>
      <c r="AJ6" s="307"/>
      <c r="AK6" s="307"/>
      <c r="AL6" s="307"/>
      <c r="AM6" s="307"/>
      <c r="AN6" s="307"/>
      <c r="AO6" s="307"/>
      <c r="AP6" s="307"/>
      <c r="AQ6" s="307"/>
      <c r="AR6" s="308">
        <v>3</v>
      </c>
      <c r="AS6" s="308">
        <v>2</v>
      </c>
      <c r="AT6" s="308">
        <v>14</v>
      </c>
      <c r="AU6" s="308">
        <v>15</v>
      </c>
      <c r="AV6" s="308">
        <v>10</v>
      </c>
      <c r="AW6" s="308">
        <v>11</v>
      </c>
      <c r="AX6" s="308">
        <v>6</v>
      </c>
      <c r="AY6" s="308">
        <v>7</v>
      </c>
      <c r="AZ6" s="305"/>
      <c r="BA6" s="4"/>
      <c r="BB6" s="305"/>
      <c r="BC6" s="311" t="b">
        <f ca="1">ROUNDDOWN(AS8,0)=ROUNDDOWN(NOW()-5/24,0)</f>
        <v>0</v>
      </c>
      <c r="BD6" s="305"/>
      <c r="BE6" s="305"/>
      <c r="BF6" s="305"/>
      <c r="BG6" s="305"/>
      <c r="BH6" s="4"/>
    </row>
    <row r="7" spans="1:60" s="206" customFormat="1" ht="5.25" customHeight="1" x14ac:dyDescent="0.2">
      <c r="A7" s="765"/>
      <c r="B7" s="204"/>
      <c r="C7" s="204"/>
      <c r="D7" s="204"/>
      <c r="E7" s="204"/>
      <c r="F7" s="204"/>
      <c r="G7" s="204"/>
      <c r="H7" s="383"/>
      <c r="I7" s="204"/>
      <c r="J7" s="204"/>
      <c r="K7" s="204"/>
      <c r="L7" s="204"/>
      <c r="M7" s="204"/>
      <c r="N7" s="204"/>
      <c r="O7" s="205"/>
      <c r="V7" s="4"/>
      <c r="W7" s="303"/>
      <c r="X7" s="303"/>
      <c r="Y7" s="307"/>
      <c r="Z7" s="307"/>
      <c r="AA7" s="307"/>
      <c r="AB7" s="307"/>
      <c r="AC7" s="307"/>
      <c r="AD7" s="307"/>
      <c r="AE7" s="307"/>
      <c r="AF7" s="307"/>
      <c r="AG7" s="307"/>
      <c r="AH7" s="307"/>
      <c r="AI7" s="307"/>
      <c r="AJ7" s="307"/>
      <c r="AK7" s="307"/>
      <c r="AL7" s="307"/>
      <c r="AM7" s="307"/>
      <c r="AN7" s="307"/>
      <c r="AO7" s="307"/>
      <c r="AP7" s="307"/>
      <c r="AQ7" s="307"/>
      <c r="AR7" s="307"/>
      <c r="AS7" s="307"/>
      <c r="AT7" s="307"/>
      <c r="AU7" s="307"/>
      <c r="AV7" s="307"/>
      <c r="AW7" s="307"/>
      <c r="AX7" s="307"/>
      <c r="AY7" s="307"/>
      <c r="AZ7" s="305"/>
      <c r="BA7" s="4"/>
      <c r="BB7" s="305"/>
      <c r="BC7" s="305"/>
      <c r="BD7" s="305"/>
      <c r="BE7" s="305"/>
      <c r="BF7" s="305"/>
      <c r="BG7" s="305"/>
      <c r="BH7" s="4"/>
    </row>
    <row r="8" spans="1:60" ht="15.75" customHeight="1" x14ac:dyDescent="0.2">
      <c r="A8" s="765"/>
      <c r="B8" s="190"/>
      <c r="C8" s="191">
        <f>ROUNDDOWN(D8,0)</f>
        <v>44358</v>
      </c>
      <c r="D8" s="194">
        <f>AS8</f>
        <v>44358.875</v>
      </c>
      <c r="E8" s="194">
        <f>AT8</f>
        <v>44358.875</v>
      </c>
      <c r="F8" s="207" t="str">
        <f>AV8</f>
        <v>Róma</v>
      </c>
      <c r="G8" s="208" t="str">
        <f>AW8</f>
        <v>Stadio Olimpico</v>
      </c>
      <c r="H8" s="384"/>
      <c r="I8" s="195" t="str">
        <f>AE8</f>
        <v>Törökország</v>
      </c>
      <c r="J8" s="209"/>
      <c r="K8" s="210" t="s">
        <v>811</v>
      </c>
      <c r="L8" s="211"/>
      <c r="M8" s="196" t="str">
        <f>AH8</f>
        <v>Olaszország</v>
      </c>
      <c r="N8" s="192"/>
      <c r="R8" s="590"/>
      <c r="X8" s="303">
        <v>1</v>
      </c>
      <c r="Y8" s="309" t="str">
        <f>AE8&amp;AH8</f>
        <v>TörökországOlaszország</v>
      </c>
      <c r="Z8" s="309" t="b">
        <f>AND(J8&lt;&gt;"",L8&lt;&gt;"",COUNTIF(teams,AE8)&gt;0)</f>
        <v>0</v>
      </c>
      <c r="AA8" s="310" t="str">
        <f>IF($Z8,IF(AF8&gt;AG8,AE8,IF(AF8&lt;AG8,AH8,"")),"")</f>
        <v/>
      </c>
      <c r="AB8" s="310" t="str">
        <f>IF($Z8,IF(AF8=AG8,AE8,""),"")</f>
        <v/>
      </c>
      <c r="AC8" s="310" t="str">
        <f>IF($Z8,IF(AF8=AG8,AH8,""),"")</f>
        <v/>
      </c>
      <c r="AD8" s="310" t="str">
        <f>IF($Z8,IF(AF8&gt;AG8,AH8,IF(AF8&lt;AG8,AE8,"")),"")</f>
        <v/>
      </c>
      <c r="AE8" s="309" t="str">
        <f>VLOOKUP($X8,schedule,AE$6,FALSE)</f>
        <v>Törökország</v>
      </c>
      <c r="AF8" s="311" t="str">
        <f>IF($Z8,J8,"")</f>
        <v/>
      </c>
      <c r="AG8" s="311" t="str">
        <f>IF($Z8,L8,"")</f>
        <v/>
      </c>
      <c r="AH8" s="309" t="str">
        <f>VLOOKUP($X8,schedule,AH$6,FALSE)</f>
        <v>Olaszország</v>
      </c>
      <c r="AI8" s="311" t="str">
        <f>IF($Z8,AG8,"")</f>
        <v/>
      </c>
      <c r="AJ8" s="311" t="str">
        <f>IF($Z8,AF8,"")</f>
        <v/>
      </c>
      <c r="AK8" s="311" t="str">
        <f>""</f>
        <v/>
      </c>
      <c r="AL8" s="311" t="str">
        <f>""</f>
        <v/>
      </c>
      <c r="AM8" s="311" t="str">
        <f>""</f>
        <v/>
      </c>
      <c r="AN8" s="311"/>
      <c r="AO8" s="311"/>
      <c r="AP8" s="310" t="str">
        <f>AA8</f>
        <v/>
      </c>
      <c r="AQ8" s="310" t="str">
        <f>AD8</f>
        <v/>
      </c>
      <c r="AR8" s="311" t="str">
        <f t="shared" ref="AR8:AW8" si="0">VLOOKUP($X8,schedule,AR$6,FALSE)</f>
        <v>A</v>
      </c>
      <c r="AS8" s="312">
        <f t="shared" si="0"/>
        <v>44358.875</v>
      </c>
      <c r="AT8" s="312">
        <f t="shared" si="0"/>
        <v>44358.875</v>
      </c>
      <c r="AU8" s="312" t="str">
        <f t="shared" si="0"/>
        <v>21:00</v>
      </c>
      <c r="AV8" s="312" t="str">
        <f t="shared" si="0"/>
        <v>Róma</v>
      </c>
      <c r="AW8" s="313" t="str">
        <f t="shared" si="0"/>
        <v>Stadio Olimpico</v>
      </c>
      <c r="AX8" s="312"/>
      <c r="AY8" s="312"/>
      <c r="BC8" s="311" t="b">
        <f ca="1">ROUNDDOWN(AT8,0)&lt;TODAY()</f>
        <v>0</v>
      </c>
      <c r="BD8" s="311" t="b">
        <f ca="1">AND(AT8&lt;=NOW(),AT8+0.1&gt;=NOW(),NOT(Z8))</f>
        <v>0</v>
      </c>
      <c r="BE8" s="311" t="b">
        <f ca="1">AND(NOT(Z8),AT8&lt;NOW())</f>
        <v>0</v>
      </c>
      <c r="BF8" s="311" t="b">
        <f ca="1">AT8&lt;=NOW()</f>
        <v>0</v>
      </c>
    </row>
    <row r="9" spans="1:60" ht="15.75" customHeight="1" x14ac:dyDescent="0.2">
      <c r="A9" s="765"/>
      <c r="C9" s="197"/>
      <c r="D9" s="54"/>
      <c r="E9" s="54"/>
      <c r="F9" s="54"/>
      <c r="G9" s="54"/>
      <c r="H9" s="35"/>
      <c r="J9" s="199"/>
      <c r="L9" s="199"/>
      <c r="N9" s="192"/>
      <c r="AA9" s="314"/>
      <c r="AB9" s="314"/>
      <c r="AC9" s="314"/>
      <c r="AD9" s="314"/>
      <c r="AP9" s="319"/>
      <c r="AQ9" s="319"/>
      <c r="AR9" s="316"/>
      <c r="AS9" s="317"/>
      <c r="AT9" s="318"/>
      <c r="AU9" s="318"/>
      <c r="AV9" s="319"/>
      <c r="AW9" s="320"/>
      <c r="AX9" s="319"/>
      <c r="AY9" s="319"/>
    </row>
    <row r="10" spans="1:60" ht="9" customHeight="1" x14ac:dyDescent="0.2">
      <c r="A10" s="765"/>
      <c r="C10" s="197"/>
      <c r="D10" s="198"/>
      <c r="E10" s="198"/>
      <c r="F10" s="54"/>
      <c r="G10" s="54"/>
      <c r="H10" s="35"/>
      <c r="J10" s="199"/>
      <c r="L10" s="199"/>
      <c r="N10" s="192"/>
      <c r="AA10" s="314"/>
      <c r="AB10" s="314"/>
      <c r="AC10" s="314"/>
      <c r="AD10" s="314"/>
      <c r="AP10" s="319"/>
      <c r="AQ10" s="319"/>
      <c r="AR10" s="316"/>
      <c r="AS10" s="317"/>
      <c r="AT10" s="318"/>
      <c r="AU10" s="318"/>
      <c r="AV10" s="319"/>
      <c r="AW10" s="320"/>
      <c r="AX10" s="319"/>
      <c r="AY10" s="319"/>
    </row>
    <row r="11" spans="1:60" s="206" customFormat="1" ht="13.5" customHeight="1" x14ac:dyDescent="0.2">
      <c r="A11" s="765"/>
      <c r="B11" s="204"/>
      <c r="C11" s="300" t="s">
        <v>845</v>
      </c>
      <c r="D11" s="301" t="s">
        <v>844</v>
      </c>
      <c r="E11" s="301" t="s">
        <v>562</v>
      </c>
      <c r="F11" s="302"/>
      <c r="G11" s="302" t="s">
        <v>843</v>
      </c>
      <c r="H11" s="302" t="s">
        <v>842</v>
      </c>
      <c r="I11" s="302"/>
      <c r="J11" s="302"/>
      <c r="K11" s="301" t="s">
        <v>841</v>
      </c>
      <c r="L11" s="302"/>
      <c r="M11" s="302"/>
      <c r="N11" s="302"/>
      <c r="O11" s="372"/>
      <c r="P11" s="373"/>
      <c r="Q11" s="302"/>
      <c r="R11" s="301" t="s">
        <v>1255</v>
      </c>
      <c r="V11" s="4"/>
      <c r="W11" s="303"/>
      <c r="X11" s="303"/>
      <c r="Y11" s="307"/>
      <c r="Z11" s="307"/>
      <c r="AA11" s="307"/>
      <c r="AB11" s="307"/>
      <c r="AC11" s="307"/>
      <c r="AD11" s="307"/>
      <c r="AE11" s="307"/>
      <c r="AF11" s="307"/>
      <c r="AG11" s="307"/>
      <c r="AH11" s="307"/>
      <c r="AI11" s="307"/>
      <c r="AJ11" s="307"/>
      <c r="AK11" s="307"/>
      <c r="AL11" s="307"/>
      <c r="AM11" s="307"/>
      <c r="AN11" s="307"/>
      <c r="AO11" s="307"/>
      <c r="AP11" s="307"/>
      <c r="AQ11" s="307"/>
      <c r="AR11" s="307"/>
      <c r="AS11" s="307"/>
      <c r="AT11" s="307"/>
      <c r="AU11" s="307"/>
      <c r="AV11" s="307"/>
      <c r="AW11" s="321"/>
      <c r="AX11" s="307"/>
      <c r="AY11" s="307"/>
      <c r="AZ11" s="305"/>
      <c r="BA11" s="4"/>
      <c r="BB11" s="305"/>
      <c r="BC11" s="311" t="b">
        <f ca="1">ROUNDDOWN(AS13,0)=ROUNDDOWN(NOW()-5/24,0)</f>
        <v>0</v>
      </c>
      <c r="BD11" s="305"/>
      <c r="BE11" s="305"/>
      <c r="BF11" s="305"/>
      <c r="BG11" s="305"/>
      <c r="BH11" s="4"/>
    </row>
    <row r="12" spans="1:60" s="206" customFormat="1" ht="5.25" customHeight="1" x14ac:dyDescent="0.2">
      <c r="A12" s="765"/>
      <c r="B12" s="204"/>
      <c r="C12" s="204"/>
      <c r="D12" s="204"/>
      <c r="E12" s="204"/>
      <c r="F12" s="204"/>
      <c r="G12" s="204"/>
      <c r="H12" s="383"/>
      <c r="I12" s="204"/>
      <c r="J12" s="204"/>
      <c r="K12" s="204"/>
      <c r="L12" s="204"/>
      <c r="M12" s="204"/>
      <c r="N12" s="204"/>
      <c r="O12" s="205"/>
      <c r="V12" s="4"/>
      <c r="W12" s="303"/>
      <c r="X12" s="303"/>
      <c r="Y12" s="307"/>
      <c r="Z12" s="307"/>
      <c r="AA12" s="307"/>
      <c r="AB12" s="307"/>
      <c r="AC12" s="307"/>
      <c r="AD12" s="307"/>
      <c r="AE12" s="307"/>
      <c r="AF12" s="307"/>
      <c r="AG12" s="307"/>
      <c r="AH12" s="307"/>
      <c r="AI12" s="307"/>
      <c r="AJ12" s="307"/>
      <c r="AK12" s="307"/>
      <c r="AL12" s="307"/>
      <c r="AM12" s="307"/>
      <c r="AN12" s="307"/>
      <c r="AO12" s="307"/>
      <c r="AP12" s="307"/>
      <c r="AQ12" s="307"/>
      <c r="AR12" s="307"/>
      <c r="AS12" s="307"/>
      <c r="AT12" s="307"/>
      <c r="AU12" s="307"/>
      <c r="AV12" s="307"/>
      <c r="AW12" s="321"/>
      <c r="AX12" s="307"/>
      <c r="AY12" s="307"/>
      <c r="AZ12" s="305"/>
      <c r="BA12" s="4"/>
      <c r="BB12" s="305"/>
      <c r="BC12" s="305"/>
      <c r="BD12" s="305"/>
      <c r="BE12" s="305"/>
      <c r="BF12" s="305"/>
      <c r="BG12" s="305"/>
      <c r="BH12" s="4"/>
    </row>
    <row r="13" spans="1:60" ht="15.75" customHeight="1" x14ac:dyDescent="0.2">
      <c r="A13" s="765"/>
      <c r="B13" s="190"/>
      <c r="C13" s="191">
        <f>ROUNDDOWN(D13,0)</f>
        <v>44359</v>
      </c>
      <c r="D13" s="194">
        <f t="shared" ref="D13:E15" si="1">AS13</f>
        <v>44359.708333333336</v>
      </c>
      <c r="E13" s="194">
        <f t="shared" si="1"/>
        <v>44359.625</v>
      </c>
      <c r="F13" s="207" t="str">
        <f t="shared" ref="F13:G15" si="2">AV13</f>
        <v>Baku</v>
      </c>
      <c r="G13" s="208" t="str">
        <f t="shared" si="2"/>
        <v>Olimpiai Stadion</v>
      </c>
      <c r="H13" s="384"/>
      <c r="I13" s="195" t="str">
        <f>AE13</f>
        <v>Wales</v>
      </c>
      <c r="J13" s="209"/>
      <c r="K13" s="210" t="s">
        <v>811</v>
      </c>
      <c r="L13" s="211"/>
      <c r="M13" s="196" t="str">
        <f>AH13</f>
        <v>Svájc</v>
      </c>
      <c r="N13" s="192"/>
      <c r="R13" s="590"/>
      <c r="X13" s="303">
        <v>2</v>
      </c>
      <c r="Y13" s="309" t="str">
        <f>AE13&amp;AH13</f>
        <v>WalesSvájc</v>
      </c>
      <c r="Z13" s="309" t="b">
        <f>AND(J13&lt;&gt;"",L13&lt;&gt;"",COUNTIF(teams,AE13)&gt;0)</f>
        <v>0</v>
      </c>
      <c r="AA13" s="310" t="str">
        <f>IF($Z13,IF(AF13&gt;AG13,AE13,IF(AF13&lt;AG13,AH13,"")),"")</f>
        <v/>
      </c>
      <c r="AB13" s="310" t="str">
        <f>IF($Z13,IF(AF13=AG13,AE13,""),"")</f>
        <v/>
      </c>
      <c r="AC13" s="310" t="str">
        <f>IF($Z13,IF(AF13=AG13,AH13,""),"")</f>
        <v/>
      </c>
      <c r="AD13" s="310" t="str">
        <f>IF($Z13,IF(AF13&gt;AG13,AH13,IF(AF13&lt;AG13,AE13,"")),"")</f>
        <v/>
      </c>
      <c r="AE13" s="309" t="str">
        <f>VLOOKUP($X13,schedule,AE$6,FALSE)</f>
        <v>Wales</v>
      </c>
      <c r="AF13" s="311" t="str">
        <f>IF($Z13,J13,"")</f>
        <v/>
      </c>
      <c r="AG13" s="311" t="str">
        <f>IF($Z13,L13,"")</f>
        <v/>
      </c>
      <c r="AH13" s="309" t="str">
        <f>VLOOKUP($X13,schedule,AH$6,FALSE)</f>
        <v>Svájc</v>
      </c>
      <c r="AI13" s="311" t="str">
        <f>IF($Z13,AG13,"")</f>
        <v/>
      </c>
      <c r="AJ13" s="311" t="str">
        <f>IF($Z13,AF13,"")</f>
        <v/>
      </c>
      <c r="AK13" s="311"/>
      <c r="AL13" s="311"/>
      <c r="AM13" s="311"/>
      <c r="AN13" s="311"/>
      <c r="AO13" s="311"/>
      <c r="AP13" s="310" t="str">
        <f>AA13</f>
        <v/>
      </c>
      <c r="AQ13" s="310" t="str">
        <f>AD13</f>
        <v/>
      </c>
      <c r="AR13" s="311" t="str">
        <f t="shared" ref="AR13:AW15" si="3">VLOOKUP($X13,schedule,AR$6,FALSE)</f>
        <v>A</v>
      </c>
      <c r="AS13" s="312">
        <f t="shared" si="3"/>
        <v>44359.708333333336</v>
      </c>
      <c r="AT13" s="312">
        <f t="shared" si="3"/>
        <v>44359.625</v>
      </c>
      <c r="AU13" s="312" t="str">
        <f t="shared" si="3"/>
        <v>15:00</v>
      </c>
      <c r="AV13" s="312" t="str">
        <f t="shared" si="3"/>
        <v>Baku</v>
      </c>
      <c r="AW13" s="313" t="str">
        <f t="shared" si="3"/>
        <v>Olimpiai Stadion</v>
      </c>
      <c r="AX13" s="312"/>
      <c r="AY13" s="312"/>
      <c r="BC13" s="311" t="b">
        <f ca="1">ROUNDDOWN(AT13,0)&lt;TODAY()</f>
        <v>0</v>
      </c>
      <c r="BD13" s="311" t="b">
        <f ca="1">AND(AT13&lt;=NOW(),AT13+0.1&gt;=NOW(),NOT(Z13))</f>
        <v>0</v>
      </c>
      <c r="BE13" s="311" t="b">
        <f ca="1">AND(NOT(Z13),AT13&lt;NOW())</f>
        <v>0</v>
      </c>
      <c r="BF13" s="311" t="b">
        <f ca="1">AT13&lt;=NOW()</f>
        <v>0</v>
      </c>
    </row>
    <row r="14" spans="1:60" ht="15.75" customHeight="1" x14ac:dyDescent="0.2">
      <c r="A14" s="765"/>
      <c r="B14" s="190"/>
      <c r="C14" s="197"/>
      <c r="D14" s="194">
        <f t="shared" si="1"/>
        <v>44359.75</v>
      </c>
      <c r="E14" s="194">
        <f t="shared" si="1"/>
        <v>44359.75</v>
      </c>
      <c r="F14" s="207" t="str">
        <f t="shared" si="2"/>
        <v>Koppenhága</v>
      </c>
      <c r="G14" s="208" t="str">
        <f t="shared" si="2"/>
        <v>Parken Stadion</v>
      </c>
      <c r="H14" s="384"/>
      <c r="I14" s="195" t="str">
        <f>AE14</f>
        <v>Dánia</v>
      </c>
      <c r="J14" s="209"/>
      <c r="K14" s="210" t="s">
        <v>811</v>
      </c>
      <c r="L14" s="211"/>
      <c r="M14" s="196" t="str">
        <f>AH14</f>
        <v>Finnország</v>
      </c>
      <c r="N14" s="192"/>
      <c r="R14" s="590"/>
      <c r="X14" s="303">
        <v>3</v>
      </c>
      <c r="Y14" s="309" t="str">
        <f>AE14&amp;AH14</f>
        <v>DániaFinnország</v>
      </c>
      <c r="Z14" s="309" t="b">
        <f>AND(J14&lt;&gt;"",L14&lt;&gt;"",COUNTIF(teams,AE14)&gt;0)</f>
        <v>0</v>
      </c>
      <c r="AA14" s="310" t="str">
        <f>IF($Z14,IF(AF14&gt;AG14,AE14,IF(AF14&lt;AG14,AH14,"")),"")</f>
        <v/>
      </c>
      <c r="AB14" s="310" t="str">
        <f>IF($Z14,IF(AF14=AG14,AE14,""),"")</f>
        <v/>
      </c>
      <c r="AC14" s="310" t="str">
        <f>IF($Z14,IF(AF14=AG14,AH14,""),"")</f>
        <v/>
      </c>
      <c r="AD14" s="310" t="str">
        <f>IF($Z14,IF(AF14&gt;AG14,AH14,IF(AF14&lt;AG14,AE14,"")),"")</f>
        <v/>
      </c>
      <c r="AE14" s="309" t="str">
        <f>VLOOKUP($X14,schedule,AE$6,FALSE)</f>
        <v>Dánia</v>
      </c>
      <c r="AF14" s="311" t="str">
        <f>IF($Z14,J14,"")</f>
        <v/>
      </c>
      <c r="AG14" s="311" t="str">
        <f>IF($Z14,L14,"")</f>
        <v/>
      </c>
      <c r="AH14" s="309" t="str">
        <f>VLOOKUP($X14,schedule,AH$6,FALSE)</f>
        <v>Finnország</v>
      </c>
      <c r="AI14" s="311" t="str">
        <f>IF($Z14,AG14,"")</f>
        <v/>
      </c>
      <c r="AJ14" s="311" t="str">
        <f>IF($Z14,AF14,"")</f>
        <v/>
      </c>
      <c r="AK14" s="311"/>
      <c r="AL14" s="311"/>
      <c r="AM14" s="311"/>
      <c r="AN14" s="311"/>
      <c r="AO14" s="311"/>
      <c r="AP14" s="310" t="str">
        <f>AA14</f>
        <v/>
      </c>
      <c r="AQ14" s="310" t="str">
        <f>AD14</f>
        <v/>
      </c>
      <c r="AR14" s="311" t="str">
        <f t="shared" si="3"/>
        <v>B</v>
      </c>
      <c r="AS14" s="312">
        <f t="shared" si="3"/>
        <v>44359.75</v>
      </c>
      <c r="AT14" s="312">
        <f t="shared" si="3"/>
        <v>44359.75</v>
      </c>
      <c r="AU14" s="312" t="str">
        <f t="shared" si="3"/>
        <v>18:00</v>
      </c>
      <c r="AV14" s="312" t="str">
        <f t="shared" si="3"/>
        <v>Koppenhága</v>
      </c>
      <c r="AW14" s="313" t="str">
        <f t="shared" si="3"/>
        <v>Parken Stadion</v>
      </c>
      <c r="AX14" s="312"/>
      <c r="AY14" s="312"/>
      <c r="BC14" s="311" t="b">
        <f ca="1">ROUNDDOWN(AT14,0)&lt;TODAY()</f>
        <v>0</v>
      </c>
      <c r="BD14" s="311" t="b">
        <f ca="1">AND(AT14&lt;=NOW(),AT14+0.1&gt;=NOW(),NOT(Z14))</f>
        <v>0</v>
      </c>
      <c r="BE14" s="311" t="b">
        <f ca="1">AND(NOT(Z14),AT14&lt;NOW())</f>
        <v>0</v>
      </c>
      <c r="BF14" s="311" t="b">
        <f ca="1">AT14&lt;=NOW()</f>
        <v>0</v>
      </c>
    </row>
    <row r="15" spans="1:60" ht="15.75" customHeight="1" x14ac:dyDescent="0.2">
      <c r="A15" s="765"/>
      <c r="B15" s="190"/>
      <c r="C15" s="190"/>
      <c r="D15" s="194">
        <f t="shared" si="1"/>
        <v>44359.916666666664</v>
      </c>
      <c r="E15" s="194">
        <f t="shared" si="1"/>
        <v>44359.875</v>
      </c>
      <c r="F15" s="207" t="str">
        <f t="shared" si="2"/>
        <v>Szentpétervár</v>
      </c>
      <c r="G15" s="208" t="str">
        <f t="shared" si="2"/>
        <v>Kresztovszkij Stadion</v>
      </c>
      <c r="H15" s="384"/>
      <c r="I15" s="195" t="str">
        <f>AE15</f>
        <v>Belgium</v>
      </c>
      <c r="J15" s="209"/>
      <c r="K15" s="210" t="s">
        <v>811</v>
      </c>
      <c r="L15" s="211"/>
      <c r="M15" s="196" t="str">
        <f>AH15</f>
        <v>Oroszország</v>
      </c>
      <c r="N15" s="192"/>
      <c r="R15" s="590"/>
      <c r="X15" s="303">
        <v>4</v>
      </c>
      <c r="Y15" s="309" t="str">
        <f>AE15&amp;AH15</f>
        <v>BelgiumOroszország</v>
      </c>
      <c r="Z15" s="309" t="b">
        <f>AND(J15&lt;&gt;"",L15&lt;&gt;"",COUNTIF(teams,AE15)&gt;0)</f>
        <v>0</v>
      </c>
      <c r="AA15" s="310" t="str">
        <f>IF($Z15,IF(AF15&gt;AG15,AE15,IF(AF15&lt;AG15,AH15,"")),"")</f>
        <v/>
      </c>
      <c r="AB15" s="310" t="str">
        <f>IF($Z15,IF(AF15=AG15,AE15,""),"")</f>
        <v/>
      </c>
      <c r="AC15" s="310" t="str">
        <f>IF($Z15,IF(AF15=AG15,AH15,""),"")</f>
        <v/>
      </c>
      <c r="AD15" s="310" t="str">
        <f>IF($Z15,IF(AF15&gt;AG15,AH15,IF(AF15&lt;AG15,AE15,"")),"")</f>
        <v/>
      </c>
      <c r="AE15" s="309" t="str">
        <f>VLOOKUP($X15,schedule,AE$6,FALSE)</f>
        <v>Belgium</v>
      </c>
      <c r="AF15" s="311" t="str">
        <f>IF($Z15,J15,"")</f>
        <v/>
      </c>
      <c r="AG15" s="311" t="str">
        <f>IF($Z15,L15,"")</f>
        <v/>
      </c>
      <c r="AH15" s="309" t="str">
        <f>VLOOKUP($X15,schedule,AH$6,FALSE)</f>
        <v>Oroszország</v>
      </c>
      <c r="AI15" s="311" t="str">
        <f>IF($Z15,AG15,"")</f>
        <v/>
      </c>
      <c r="AJ15" s="311" t="str">
        <f>IF($Z15,AF15,"")</f>
        <v/>
      </c>
      <c r="AK15" s="311"/>
      <c r="AL15" s="311"/>
      <c r="AM15" s="311"/>
      <c r="AN15" s="311"/>
      <c r="AO15" s="311"/>
      <c r="AP15" s="310" t="str">
        <f>AA15</f>
        <v/>
      </c>
      <c r="AQ15" s="310" t="str">
        <f>AD15</f>
        <v/>
      </c>
      <c r="AR15" s="311" t="str">
        <f t="shared" si="3"/>
        <v>B</v>
      </c>
      <c r="AS15" s="312">
        <f t="shared" si="3"/>
        <v>44359.916666666664</v>
      </c>
      <c r="AT15" s="312">
        <f t="shared" si="3"/>
        <v>44359.875</v>
      </c>
      <c r="AU15" s="312" t="str">
        <f t="shared" si="3"/>
        <v>21:00</v>
      </c>
      <c r="AV15" s="312" t="str">
        <f t="shared" si="3"/>
        <v>Szentpétervár</v>
      </c>
      <c r="AW15" s="313" t="str">
        <f t="shared" si="3"/>
        <v>Kresztovszkij Stadion</v>
      </c>
      <c r="AX15" s="312"/>
      <c r="AY15" s="312"/>
      <c r="BC15" s="311" t="b">
        <f ca="1">ROUNDDOWN(AT15,0)&lt;TODAY()</f>
        <v>0</v>
      </c>
      <c r="BD15" s="311" t="b">
        <f ca="1">AND(AT15&lt;=NOW(),AT15+0.1&gt;=NOW(),NOT(Z15))</f>
        <v>0</v>
      </c>
      <c r="BE15" s="311" t="b">
        <f ca="1">AND(NOT(Z15),AT15&lt;NOW())</f>
        <v>0</v>
      </c>
      <c r="BF15" s="311" t="b">
        <f ca="1">AT15&lt;=NOW()</f>
        <v>0</v>
      </c>
    </row>
    <row r="16" spans="1:60" ht="15.75" customHeight="1" x14ac:dyDescent="0.2">
      <c r="A16" s="765"/>
      <c r="C16" s="197"/>
      <c r="D16" s="198"/>
      <c r="E16" s="198"/>
      <c r="F16" s="54"/>
      <c r="G16" s="54"/>
      <c r="H16" s="35"/>
      <c r="J16" s="199"/>
      <c r="L16" s="199"/>
      <c r="N16" s="192"/>
      <c r="AA16" s="314"/>
      <c r="AB16" s="314"/>
      <c r="AC16" s="314"/>
      <c r="AD16" s="314"/>
      <c r="AP16" s="319"/>
      <c r="AQ16" s="319"/>
      <c r="AR16" s="316"/>
      <c r="AS16" s="317"/>
      <c r="AT16" s="318"/>
      <c r="AU16" s="318"/>
      <c r="AV16" s="319"/>
      <c r="AW16" s="320"/>
      <c r="AX16" s="319"/>
      <c r="AY16" s="319"/>
    </row>
    <row r="17" spans="1:60" ht="9" customHeight="1" x14ac:dyDescent="0.2">
      <c r="A17" s="765"/>
      <c r="C17" s="197"/>
      <c r="D17" s="198"/>
      <c r="E17" s="198"/>
      <c r="F17" s="54"/>
      <c r="G17" s="54"/>
      <c r="H17" s="35"/>
      <c r="J17" s="199"/>
      <c r="L17" s="199"/>
      <c r="N17" s="192"/>
      <c r="AA17" s="314"/>
      <c r="AB17" s="314"/>
      <c r="AC17" s="314"/>
      <c r="AD17" s="314"/>
      <c r="AP17" s="319"/>
      <c r="AQ17" s="319"/>
      <c r="AR17" s="316"/>
      <c r="AS17" s="317"/>
      <c r="AT17" s="318"/>
      <c r="AU17" s="318"/>
      <c r="AV17" s="319"/>
      <c r="AW17" s="320"/>
      <c r="AX17" s="319"/>
      <c r="AY17" s="319"/>
    </row>
    <row r="18" spans="1:60" s="206" customFormat="1" ht="13.5" customHeight="1" x14ac:dyDescent="0.2">
      <c r="A18" s="765"/>
      <c r="B18" s="204"/>
      <c r="C18" s="300" t="s">
        <v>845</v>
      </c>
      <c r="D18" s="301" t="s">
        <v>844</v>
      </c>
      <c r="E18" s="301" t="s">
        <v>562</v>
      </c>
      <c r="F18" s="302"/>
      <c r="G18" s="302" t="s">
        <v>843</v>
      </c>
      <c r="H18" s="302" t="s">
        <v>842</v>
      </c>
      <c r="I18" s="302"/>
      <c r="J18" s="302"/>
      <c r="K18" s="301" t="s">
        <v>841</v>
      </c>
      <c r="L18" s="302"/>
      <c r="M18" s="302"/>
      <c r="N18" s="302"/>
      <c r="O18" s="372"/>
      <c r="P18" s="373"/>
      <c r="Q18" s="302"/>
      <c r="R18" s="301" t="s">
        <v>1255</v>
      </c>
      <c r="V18" s="4"/>
      <c r="W18" s="303"/>
      <c r="X18" s="303"/>
      <c r="Y18" s="307"/>
      <c r="Z18" s="307"/>
      <c r="AA18" s="307"/>
      <c r="AB18" s="307"/>
      <c r="AC18" s="307"/>
      <c r="AD18" s="307"/>
      <c r="AE18" s="307"/>
      <c r="AF18" s="307"/>
      <c r="AG18" s="307"/>
      <c r="AH18" s="307"/>
      <c r="AI18" s="307"/>
      <c r="AJ18" s="307"/>
      <c r="AK18" s="307"/>
      <c r="AL18" s="307"/>
      <c r="AM18" s="307"/>
      <c r="AN18" s="307"/>
      <c r="AO18" s="307"/>
      <c r="AP18" s="307"/>
      <c r="AQ18" s="307"/>
      <c r="AR18" s="307"/>
      <c r="AS18" s="307"/>
      <c r="AT18" s="307"/>
      <c r="AU18" s="307"/>
      <c r="AV18" s="307"/>
      <c r="AW18" s="321"/>
      <c r="AX18" s="307"/>
      <c r="AY18" s="307"/>
      <c r="AZ18" s="305"/>
      <c r="BA18" s="4"/>
      <c r="BB18" s="305"/>
      <c r="BC18" s="311" t="b">
        <f ca="1">ROUNDDOWN(AS20,0)=ROUNDDOWN(NOW()-5/24,0)</f>
        <v>0</v>
      </c>
      <c r="BD18" s="305"/>
      <c r="BE18" s="305"/>
      <c r="BF18" s="305"/>
      <c r="BG18" s="305"/>
      <c r="BH18" s="4"/>
    </row>
    <row r="19" spans="1:60" s="206" customFormat="1" ht="5.25" customHeight="1" x14ac:dyDescent="0.2">
      <c r="A19" s="765"/>
      <c r="B19" s="204"/>
      <c r="C19" s="204"/>
      <c r="D19" s="204"/>
      <c r="E19" s="204"/>
      <c r="F19" s="204"/>
      <c r="G19" s="204"/>
      <c r="H19" s="383"/>
      <c r="I19" s="204"/>
      <c r="J19" s="204"/>
      <c r="K19" s="204"/>
      <c r="L19" s="204"/>
      <c r="M19" s="204"/>
      <c r="N19" s="204"/>
      <c r="O19" s="205"/>
      <c r="V19" s="4"/>
      <c r="W19" s="303"/>
      <c r="X19" s="303"/>
      <c r="Y19" s="307"/>
      <c r="Z19" s="307"/>
      <c r="AA19" s="307"/>
      <c r="AB19" s="307"/>
      <c r="AC19" s="307"/>
      <c r="AD19" s="307"/>
      <c r="AE19" s="307"/>
      <c r="AF19" s="307"/>
      <c r="AG19" s="307"/>
      <c r="AH19" s="307"/>
      <c r="AI19" s="307"/>
      <c r="AJ19" s="307"/>
      <c r="AK19" s="307"/>
      <c r="AL19" s="307"/>
      <c r="AM19" s="307"/>
      <c r="AN19" s="307"/>
      <c r="AO19" s="307"/>
      <c r="AP19" s="307"/>
      <c r="AQ19" s="307"/>
      <c r="AR19" s="307"/>
      <c r="AS19" s="307"/>
      <c r="AT19" s="307"/>
      <c r="AU19" s="307"/>
      <c r="AV19" s="307"/>
      <c r="AW19" s="321"/>
      <c r="AX19" s="307"/>
      <c r="AY19" s="307"/>
      <c r="AZ19" s="305"/>
      <c r="BA19" s="4"/>
      <c r="BB19" s="305"/>
      <c r="BC19" s="305"/>
      <c r="BD19" s="305"/>
      <c r="BE19" s="305"/>
      <c r="BF19" s="305"/>
      <c r="BG19" s="305"/>
      <c r="BH19" s="4"/>
    </row>
    <row r="20" spans="1:60" ht="15.75" customHeight="1" x14ac:dyDescent="0.2">
      <c r="A20" s="765"/>
      <c r="B20" s="190"/>
      <c r="C20" s="191">
        <f>ROUNDDOWN(D20,0)</f>
        <v>44360</v>
      </c>
      <c r="D20" s="194">
        <f t="shared" ref="D20:E22" si="4">AS20</f>
        <v>44360.583333333328</v>
      </c>
      <c r="E20" s="194">
        <f t="shared" si="4"/>
        <v>44360.624999999993</v>
      </c>
      <c r="F20" s="207" t="str">
        <f t="shared" ref="F20:G22" si="5">AV20</f>
        <v>London</v>
      </c>
      <c r="G20" s="208" t="str">
        <f t="shared" si="5"/>
        <v>Wembley Stadion</v>
      </c>
      <c r="H20" s="384"/>
      <c r="I20" s="195" t="str">
        <f>AE20</f>
        <v>Anglia</v>
      </c>
      <c r="J20" s="209"/>
      <c r="K20" s="210" t="s">
        <v>811</v>
      </c>
      <c r="L20" s="211"/>
      <c r="M20" s="196" t="str">
        <f>AH20</f>
        <v>Horvátország</v>
      </c>
      <c r="N20" s="374"/>
      <c r="O20" s="375"/>
      <c r="P20" s="376"/>
      <c r="R20" s="590"/>
      <c r="X20" s="303">
        <v>5</v>
      </c>
      <c r="Y20" s="309" t="str">
        <f>AE20&amp;AH20</f>
        <v>AngliaHorvátország</v>
      </c>
      <c r="Z20" s="309" t="b">
        <f>AND(J20&lt;&gt;"",L20&lt;&gt;"",COUNTIF(teams,AE20)&gt;0)</f>
        <v>0</v>
      </c>
      <c r="AA20" s="310" t="str">
        <f>IF($Z20,IF(AF20&gt;AG20,AE20,IF(AF20&lt;AG20,AH20,"")),"")</f>
        <v/>
      </c>
      <c r="AB20" s="310" t="str">
        <f>IF($Z20,IF(AF20=AG20,AE20,""),"")</f>
        <v/>
      </c>
      <c r="AC20" s="310" t="str">
        <f>IF($Z20,IF(AF20=AG20,AH20,""),"")</f>
        <v/>
      </c>
      <c r="AD20" s="310" t="str">
        <f>IF($Z20,IF(AF20&gt;AG20,AH20,IF(AF20&lt;AG20,AE20,"")),"")</f>
        <v/>
      </c>
      <c r="AE20" s="309" t="str">
        <f>VLOOKUP($X20,schedule,AE$6,FALSE)</f>
        <v>Anglia</v>
      </c>
      <c r="AF20" s="311" t="str">
        <f>IF($Z20,J20,"")</f>
        <v/>
      </c>
      <c r="AG20" s="311" t="str">
        <f>IF($Z20,L20,"")</f>
        <v/>
      </c>
      <c r="AH20" s="309" t="str">
        <f>VLOOKUP($X20,schedule,AH$6,FALSE)</f>
        <v>Horvátország</v>
      </c>
      <c r="AI20" s="311" t="str">
        <f>IF($Z20,AG20,"")</f>
        <v/>
      </c>
      <c r="AJ20" s="311" t="str">
        <f>IF($Z20,AF20,"")</f>
        <v/>
      </c>
      <c r="AK20" s="311"/>
      <c r="AL20" s="311"/>
      <c r="AM20" s="311"/>
      <c r="AN20" s="311"/>
      <c r="AO20" s="311"/>
      <c r="AP20" s="310" t="str">
        <f>AA20</f>
        <v/>
      </c>
      <c r="AQ20" s="310" t="str">
        <f>AD20</f>
        <v/>
      </c>
      <c r="AR20" s="311" t="str">
        <f t="shared" ref="AR20:AW22" si="6">VLOOKUP($X20,schedule,AR$6,FALSE)</f>
        <v>D</v>
      </c>
      <c r="AS20" s="312">
        <f t="shared" si="6"/>
        <v>44360.583333333328</v>
      </c>
      <c r="AT20" s="312">
        <f t="shared" si="6"/>
        <v>44360.624999999993</v>
      </c>
      <c r="AU20" s="312" t="str">
        <f t="shared" si="6"/>
        <v>15:00</v>
      </c>
      <c r="AV20" s="312" t="str">
        <f t="shared" si="6"/>
        <v>London</v>
      </c>
      <c r="AW20" s="313" t="str">
        <f t="shared" si="6"/>
        <v>Wembley Stadion</v>
      </c>
      <c r="AX20" s="312"/>
      <c r="AY20" s="312"/>
      <c r="BC20" s="311" t="b">
        <f ca="1">ROUNDDOWN(AT20,0)&lt;TODAY()</f>
        <v>0</v>
      </c>
      <c r="BD20" s="311" t="b">
        <f ca="1">AND(AT20&lt;=NOW(),AT20+0.1&gt;=NOW(),NOT(Z20))</f>
        <v>0</v>
      </c>
      <c r="BE20" s="311" t="b">
        <f ca="1">AND(NOT(Z20),AT20&lt;NOW())</f>
        <v>0</v>
      </c>
      <c r="BF20" s="311" t="b">
        <f ca="1">AT20&lt;=NOW()</f>
        <v>0</v>
      </c>
    </row>
    <row r="21" spans="1:60" ht="15.75" customHeight="1" x14ac:dyDescent="0.2">
      <c r="A21" s="765"/>
      <c r="B21" s="190"/>
      <c r="C21" s="197"/>
      <c r="D21" s="194">
        <f t="shared" si="4"/>
        <v>44360.791666666664</v>
      </c>
      <c r="E21" s="194">
        <f t="shared" si="4"/>
        <v>44360.75</v>
      </c>
      <c r="F21" s="207" t="str">
        <f t="shared" si="5"/>
        <v>Bukarest</v>
      </c>
      <c r="G21" s="208" t="str">
        <f t="shared" si="5"/>
        <v>Nemzeti Stadion</v>
      </c>
      <c r="H21" s="384"/>
      <c r="I21" s="195" t="str">
        <f>AE21</f>
        <v>Ausztria</v>
      </c>
      <c r="J21" s="209"/>
      <c r="K21" s="210" t="s">
        <v>811</v>
      </c>
      <c r="L21" s="211"/>
      <c r="M21" s="196" t="str">
        <f>AH21</f>
        <v>Észak-Macedónia</v>
      </c>
      <c r="N21" s="374"/>
      <c r="O21" s="375"/>
      <c r="P21" s="376"/>
      <c r="R21" s="590"/>
      <c r="X21" s="303">
        <v>6</v>
      </c>
      <c r="Y21" s="309" t="str">
        <f>AE21&amp;AH21</f>
        <v>AusztriaÉszak-Macedónia</v>
      </c>
      <c r="Z21" s="309" t="b">
        <f>AND(J21&lt;&gt;"",L21&lt;&gt;"",COUNTIF(teams,AE21)&gt;0)</f>
        <v>0</v>
      </c>
      <c r="AA21" s="310" t="str">
        <f>IF($Z21,IF(AF21&gt;AG21,AE21,IF(AF21&lt;AG21,AH21,"")),"")</f>
        <v/>
      </c>
      <c r="AB21" s="310" t="str">
        <f>IF($Z21,IF(AF21=AG21,AE21,""),"")</f>
        <v/>
      </c>
      <c r="AC21" s="310" t="str">
        <f>IF($Z21,IF(AF21=AG21,AH21,""),"")</f>
        <v/>
      </c>
      <c r="AD21" s="310" t="str">
        <f>IF($Z21,IF(AF21&gt;AG21,AH21,IF(AF21&lt;AG21,AE21,"")),"")</f>
        <v/>
      </c>
      <c r="AE21" s="309" t="str">
        <f>VLOOKUP($X21,schedule,AE$6,FALSE)</f>
        <v>Ausztria</v>
      </c>
      <c r="AF21" s="311" t="str">
        <f>IF($Z21,J21,"")</f>
        <v/>
      </c>
      <c r="AG21" s="311" t="str">
        <f>IF($Z21,L21,"")</f>
        <v/>
      </c>
      <c r="AH21" s="309" t="str">
        <f>VLOOKUP($X21,schedule,AH$6,FALSE)</f>
        <v>Észak-Macedónia</v>
      </c>
      <c r="AI21" s="311" t="str">
        <f>IF($Z21,AG21,"")</f>
        <v/>
      </c>
      <c r="AJ21" s="311" t="str">
        <f>IF($Z21,AF21,"")</f>
        <v/>
      </c>
      <c r="AK21" s="311"/>
      <c r="AL21" s="311"/>
      <c r="AM21" s="311"/>
      <c r="AN21" s="311"/>
      <c r="AO21" s="311"/>
      <c r="AP21" s="310" t="str">
        <f>AA21</f>
        <v/>
      </c>
      <c r="AQ21" s="310" t="str">
        <f>AD21</f>
        <v/>
      </c>
      <c r="AR21" s="311" t="str">
        <f t="shared" si="6"/>
        <v>C</v>
      </c>
      <c r="AS21" s="312">
        <f t="shared" si="6"/>
        <v>44360.791666666664</v>
      </c>
      <c r="AT21" s="312">
        <f t="shared" si="6"/>
        <v>44360.75</v>
      </c>
      <c r="AU21" s="312" t="str">
        <f t="shared" si="6"/>
        <v>18:00</v>
      </c>
      <c r="AV21" s="312" t="str">
        <f t="shared" si="6"/>
        <v>Bukarest</v>
      </c>
      <c r="AW21" s="313" t="str">
        <f t="shared" si="6"/>
        <v>Nemzeti Stadion</v>
      </c>
      <c r="AX21" s="312"/>
      <c r="AY21" s="312"/>
      <c r="BC21" s="311" t="b">
        <f ca="1">ROUNDDOWN(AT21,0)&lt;TODAY()</f>
        <v>0</v>
      </c>
      <c r="BD21" s="311" t="b">
        <f ca="1">AND(AT21&lt;=NOW(),AT21+0.1&gt;=NOW(),NOT(Z21))</f>
        <v>0</v>
      </c>
      <c r="BE21" s="311" t="b">
        <f ca="1">AND(NOT(Z21),AT21&lt;NOW())</f>
        <v>0</v>
      </c>
      <c r="BF21" s="311" t="b">
        <f ca="1">AT21&lt;=NOW()</f>
        <v>0</v>
      </c>
    </row>
    <row r="22" spans="1:60" ht="15.75" customHeight="1" x14ac:dyDescent="0.2">
      <c r="A22" s="765"/>
      <c r="B22" s="190"/>
      <c r="C22" s="190"/>
      <c r="D22" s="194">
        <f t="shared" si="4"/>
        <v>44360.875</v>
      </c>
      <c r="E22" s="194">
        <f t="shared" si="4"/>
        <v>44360.875</v>
      </c>
      <c r="F22" s="207" t="str">
        <f t="shared" si="5"/>
        <v>Amszterdam</v>
      </c>
      <c r="G22" s="208" t="str">
        <f t="shared" si="5"/>
        <v>Johan Cruijff Arena</v>
      </c>
      <c r="H22" s="384"/>
      <c r="I22" s="195" t="str">
        <f>AE22</f>
        <v>Hollandia</v>
      </c>
      <c r="J22" s="209"/>
      <c r="K22" s="210" t="s">
        <v>811</v>
      </c>
      <c r="L22" s="211"/>
      <c r="M22" s="196" t="str">
        <f>AH22</f>
        <v>Ukrajna</v>
      </c>
      <c r="N22" s="192"/>
      <c r="R22" s="590"/>
      <c r="X22" s="303">
        <v>7</v>
      </c>
      <c r="Y22" s="309" t="str">
        <f>AE22&amp;AH22</f>
        <v>HollandiaUkrajna</v>
      </c>
      <c r="Z22" s="309" t="b">
        <f>AND(J22&lt;&gt;"",L22&lt;&gt;"",COUNTIF(teams,AE22)&gt;0)</f>
        <v>0</v>
      </c>
      <c r="AA22" s="310" t="str">
        <f>IF($Z22,IF(AF22&gt;AG22,AE22,IF(AF22&lt;AG22,AH22,"")),"")</f>
        <v/>
      </c>
      <c r="AB22" s="310" t="str">
        <f>IF($Z22,IF(AF22=AG22,AE22,""),"")</f>
        <v/>
      </c>
      <c r="AC22" s="310" t="str">
        <f>IF($Z22,IF(AF22=AG22,AH22,""),"")</f>
        <v/>
      </c>
      <c r="AD22" s="310" t="str">
        <f>IF($Z22,IF(AF22&gt;AG22,AH22,IF(AF22&lt;AG22,AE22,"")),"")</f>
        <v/>
      </c>
      <c r="AE22" s="309" t="str">
        <f>VLOOKUP($X22,schedule,AE$6,FALSE)</f>
        <v>Hollandia</v>
      </c>
      <c r="AF22" s="311" t="str">
        <f>IF($Z22,J22,"")</f>
        <v/>
      </c>
      <c r="AG22" s="311" t="str">
        <f>IF($Z22,L22,"")</f>
        <v/>
      </c>
      <c r="AH22" s="309" t="str">
        <f>VLOOKUP($X22,schedule,AH$6,FALSE)</f>
        <v>Ukrajna</v>
      </c>
      <c r="AI22" s="311" t="str">
        <f>IF($Z22,AG22,"")</f>
        <v/>
      </c>
      <c r="AJ22" s="311" t="str">
        <f>IF($Z22,AF22,"")</f>
        <v/>
      </c>
      <c r="AK22" s="311"/>
      <c r="AL22" s="311"/>
      <c r="AM22" s="311"/>
      <c r="AN22" s="311"/>
      <c r="AO22" s="311"/>
      <c r="AP22" s="310" t="str">
        <f>AA22</f>
        <v/>
      </c>
      <c r="AQ22" s="310" t="str">
        <f>AD22</f>
        <v/>
      </c>
      <c r="AR22" s="311" t="str">
        <f t="shared" si="6"/>
        <v>C</v>
      </c>
      <c r="AS22" s="312">
        <f t="shared" si="6"/>
        <v>44360.875</v>
      </c>
      <c r="AT22" s="312">
        <f t="shared" si="6"/>
        <v>44360.875</v>
      </c>
      <c r="AU22" s="312" t="str">
        <f t="shared" si="6"/>
        <v>21:00</v>
      </c>
      <c r="AV22" s="312" t="str">
        <f t="shared" si="6"/>
        <v>Amszterdam</v>
      </c>
      <c r="AW22" s="313" t="str">
        <f t="shared" si="6"/>
        <v>Johan Cruijff Arena</v>
      </c>
      <c r="AX22" s="312"/>
      <c r="AY22" s="312"/>
      <c r="BC22" s="311" t="b">
        <f ca="1">ROUNDDOWN(AT22,0)&lt;TODAY()</f>
        <v>0</v>
      </c>
      <c r="BD22" s="311" t="b">
        <f ca="1">AND(AT22&lt;=NOW(),AT22+0.1&gt;=NOW(),NOT(Z22))</f>
        <v>0</v>
      </c>
      <c r="BE22" s="311" t="b">
        <f ca="1">AND(NOT(Z22),AT22&lt;NOW())</f>
        <v>0</v>
      </c>
      <c r="BF22" s="311" t="b">
        <f ca="1">AT22&lt;=NOW()</f>
        <v>0</v>
      </c>
    </row>
    <row r="23" spans="1:60" ht="15.75" customHeight="1" x14ac:dyDescent="0.2">
      <c r="A23" s="765"/>
      <c r="C23" s="197"/>
      <c r="D23" s="198"/>
      <c r="E23" s="198"/>
      <c r="F23" s="54"/>
      <c r="G23" s="54"/>
      <c r="H23" s="35"/>
      <c r="J23" s="199"/>
      <c r="L23" s="199"/>
      <c r="N23" s="192"/>
      <c r="AA23" s="314"/>
      <c r="AB23" s="314"/>
      <c r="AC23" s="314"/>
      <c r="AD23" s="314"/>
      <c r="AP23" s="319"/>
      <c r="AQ23" s="319"/>
      <c r="AR23" s="316"/>
      <c r="AS23" s="317"/>
      <c r="AT23" s="318"/>
      <c r="AU23" s="318"/>
      <c r="AV23" s="319"/>
      <c r="AW23" s="320"/>
      <c r="AX23" s="319"/>
      <c r="AY23" s="319"/>
    </row>
    <row r="24" spans="1:60" ht="9" customHeight="1" x14ac:dyDescent="0.2">
      <c r="A24" s="765"/>
      <c r="C24" s="197"/>
      <c r="D24" s="198"/>
      <c r="E24" s="198"/>
      <c r="F24" s="54"/>
      <c r="G24" s="54"/>
      <c r="H24" s="35"/>
      <c r="J24" s="199"/>
      <c r="L24" s="199"/>
      <c r="N24" s="192"/>
      <c r="AA24" s="314"/>
      <c r="AB24" s="314"/>
      <c r="AC24" s="314"/>
      <c r="AD24" s="314"/>
      <c r="AP24" s="319"/>
      <c r="AQ24" s="319"/>
      <c r="AR24" s="316"/>
      <c r="AS24" s="317"/>
      <c r="AT24" s="318"/>
      <c r="AU24" s="318"/>
      <c r="AV24" s="319"/>
      <c r="AW24" s="320"/>
      <c r="AX24" s="319"/>
      <c r="AY24" s="319"/>
    </row>
    <row r="25" spans="1:60" s="206" customFormat="1" ht="13.5" customHeight="1" x14ac:dyDescent="0.2">
      <c r="A25" s="765"/>
      <c r="B25" s="204"/>
      <c r="C25" s="300" t="s">
        <v>845</v>
      </c>
      <c r="D25" s="301" t="s">
        <v>844</v>
      </c>
      <c r="E25" s="301" t="s">
        <v>562</v>
      </c>
      <c r="F25" s="302"/>
      <c r="G25" s="302" t="s">
        <v>843</v>
      </c>
      <c r="H25" s="302" t="s">
        <v>842</v>
      </c>
      <c r="I25" s="302"/>
      <c r="J25" s="302"/>
      <c r="K25" s="301" t="s">
        <v>841</v>
      </c>
      <c r="L25" s="302"/>
      <c r="M25" s="302"/>
      <c r="N25" s="377"/>
      <c r="O25" s="378"/>
      <c r="P25" s="379"/>
      <c r="Q25" s="302"/>
      <c r="R25" s="301" t="s">
        <v>1255</v>
      </c>
      <c r="V25" s="4"/>
      <c r="W25" s="303"/>
      <c r="X25" s="303"/>
      <c r="Y25" s="307"/>
      <c r="Z25" s="307"/>
      <c r="AA25" s="307"/>
      <c r="AB25" s="307"/>
      <c r="AC25" s="307"/>
      <c r="AD25" s="307"/>
      <c r="AE25" s="307"/>
      <c r="AF25" s="307"/>
      <c r="AG25" s="307"/>
      <c r="AH25" s="307"/>
      <c r="AI25" s="307"/>
      <c r="AJ25" s="307"/>
      <c r="AK25" s="307"/>
      <c r="AL25" s="307"/>
      <c r="AM25" s="307"/>
      <c r="AN25" s="307"/>
      <c r="AO25" s="307"/>
      <c r="AP25" s="307"/>
      <c r="AQ25" s="307"/>
      <c r="AR25" s="307"/>
      <c r="AS25" s="307"/>
      <c r="AT25" s="307"/>
      <c r="AU25" s="307"/>
      <c r="AV25" s="307"/>
      <c r="AW25" s="321"/>
      <c r="AX25" s="307"/>
      <c r="AY25" s="307"/>
      <c r="AZ25" s="305"/>
      <c r="BA25" s="4"/>
      <c r="BB25" s="305"/>
      <c r="BC25" s="311" t="b">
        <f ca="1">ROUNDDOWN(AS27,0)=ROUNDDOWN(NOW()-5/24,0)</f>
        <v>0</v>
      </c>
      <c r="BD25" s="305"/>
      <c r="BE25" s="305"/>
      <c r="BF25" s="305"/>
      <c r="BG25" s="305"/>
      <c r="BH25" s="4"/>
    </row>
    <row r="26" spans="1:60" s="206" customFormat="1" ht="5.25" customHeight="1" x14ac:dyDescent="0.2">
      <c r="A26" s="765"/>
      <c r="B26" s="204"/>
      <c r="C26" s="204"/>
      <c r="D26" s="204"/>
      <c r="E26" s="204"/>
      <c r="F26" s="204"/>
      <c r="G26" s="204"/>
      <c r="H26" s="383"/>
      <c r="I26" s="204"/>
      <c r="J26" s="204"/>
      <c r="K26" s="204"/>
      <c r="L26" s="204"/>
      <c r="M26" s="204"/>
      <c r="N26" s="380"/>
      <c r="O26" s="381"/>
      <c r="P26" s="382"/>
      <c r="V26" s="4"/>
      <c r="W26" s="303"/>
      <c r="X26" s="303"/>
      <c r="Y26" s="307"/>
      <c r="Z26" s="307"/>
      <c r="AA26" s="307"/>
      <c r="AB26" s="307"/>
      <c r="AC26" s="307"/>
      <c r="AD26" s="307"/>
      <c r="AE26" s="307"/>
      <c r="AF26" s="307"/>
      <c r="AG26" s="307"/>
      <c r="AH26" s="307"/>
      <c r="AI26" s="307"/>
      <c r="AJ26" s="307"/>
      <c r="AK26" s="307"/>
      <c r="AL26" s="307"/>
      <c r="AM26" s="307"/>
      <c r="AN26" s="307"/>
      <c r="AO26" s="307"/>
      <c r="AP26" s="307"/>
      <c r="AQ26" s="307"/>
      <c r="AR26" s="307"/>
      <c r="AS26" s="307"/>
      <c r="AT26" s="307"/>
      <c r="AU26" s="307"/>
      <c r="AV26" s="307"/>
      <c r="AW26" s="321"/>
      <c r="AX26" s="307"/>
      <c r="AY26" s="307"/>
      <c r="AZ26" s="305"/>
      <c r="BA26" s="4"/>
      <c r="BB26" s="305"/>
      <c r="BC26" s="305"/>
      <c r="BD26" s="305"/>
      <c r="BE26" s="305"/>
      <c r="BF26" s="305"/>
      <c r="BG26" s="305"/>
      <c r="BH26" s="4"/>
    </row>
    <row r="27" spans="1:60" ht="15.75" customHeight="1" x14ac:dyDescent="0.2">
      <c r="A27" s="765"/>
      <c r="B27" s="190"/>
      <c r="C27" s="191">
        <f>ROUNDDOWN(D27,0)</f>
        <v>44361</v>
      </c>
      <c r="D27" s="194">
        <f t="shared" ref="D27:E29" si="7">AS27</f>
        <v>44361.583333333336</v>
      </c>
      <c r="E27" s="194">
        <f t="shared" si="7"/>
        <v>44361.625</v>
      </c>
      <c r="F27" s="207" t="str">
        <f t="shared" ref="F27:G29" si="8">AV27</f>
        <v>Glasgow</v>
      </c>
      <c r="G27" s="208" t="str">
        <f t="shared" si="8"/>
        <v>Hampden Park</v>
      </c>
      <c r="H27" s="384"/>
      <c r="I27" s="195" t="str">
        <f>AE27</f>
        <v>Skócia</v>
      </c>
      <c r="J27" s="209"/>
      <c r="K27" s="210" t="s">
        <v>811</v>
      </c>
      <c r="L27" s="211"/>
      <c r="M27" s="196" t="str">
        <f>AH27</f>
        <v>Csehország</v>
      </c>
      <c r="N27" s="374"/>
      <c r="O27" s="375"/>
      <c r="P27" s="376"/>
      <c r="R27" s="590"/>
      <c r="X27" s="303">
        <v>8</v>
      </c>
      <c r="Y27" s="309" t="str">
        <f>AE27&amp;AH27</f>
        <v>SkóciaCsehország</v>
      </c>
      <c r="Z27" s="309" t="b">
        <f>AND(J27&lt;&gt;"",L27&lt;&gt;"",COUNTIF(teams,AE27)&gt;0)</f>
        <v>0</v>
      </c>
      <c r="AA27" s="310" t="str">
        <f>IF($Z27,IF(AF27&gt;AG27,AE27,IF(AF27&lt;AG27,AH27,"")),"")</f>
        <v/>
      </c>
      <c r="AB27" s="310" t="str">
        <f>IF($Z27,IF(AF27=AG27,AE27,""),"")</f>
        <v/>
      </c>
      <c r="AC27" s="310" t="str">
        <f>IF($Z27,IF(AF27=AG27,AH27,""),"")</f>
        <v/>
      </c>
      <c r="AD27" s="310" t="str">
        <f>IF($Z27,IF(AF27&gt;AG27,AH27,IF(AF27&lt;AG27,AE27,"")),"")</f>
        <v/>
      </c>
      <c r="AE27" s="309" t="str">
        <f>VLOOKUP($X27,schedule,AE$6,FALSE)</f>
        <v>Skócia</v>
      </c>
      <c r="AF27" s="311" t="str">
        <f>IF($Z27,J27,"")</f>
        <v/>
      </c>
      <c r="AG27" s="311" t="str">
        <f>IF($Z27,L27,"")</f>
        <v/>
      </c>
      <c r="AH27" s="309" t="str">
        <f>VLOOKUP($X27,schedule,AH$6,FALSE)</f>
        <v>Csehország</v>
      </c>
      <c r="AI27" s="311" t="str">
        <f>IF($Z27,AG27,"")</f>
        <v/>
      </c>
      <c r="AJ27" s="311" t="str">
        <f>IF($Z27,AF27,"")</f>
        <v/>
      </c>
      <c r="AK27" s="311"/>
      <c r="AL27" s="311"/>
      <c r="AM27" s="311"/>
      <c r="AN27" s="311"/>
      <c r="AO27" s="311"/>
      <c r="AP27" s="310" t="str">
        <f>AA27</f>
        <v/>
      </c>
      <c r="AQ27" s="310" t="str">
        <f>AD27</f>
        <v/>
      </c>
      <c r="AR27" s="311" t="str">
        <f t="shared" ref="AR27:AW29" si="9">VLOOKUP($X27,schedule,AR$6,FALSE)</f>
        <v>D</v>
      </c>
      <c r="AS27" s="312">
        <f t="shared" si="9"/>
        <v>44361.583333333336</v>
      </c>
      <c r="AT27" s="312">
        <f t="shared" si="9"/>
        <v>44361.625</v>
      </c>
      <c r="AU27" s="312" t="str">
        <f t="shared" si="9"/>
        <v>15:00</v>
      </c>
      <c r="AV27" s="312" t="str">
        <f t="shared" si="9"/>
        <v>Glasgow</v>
      </c>
      <c r="AW27" s="313" t="str">
        <f t="shared" si="9"/>
        <v>Hampden Park</v>
      </c>
      <c r="AX27" s="312"/>
      <c r="AY27" s="312"/>
      <c r="BC27" s="311" t="b">
        <f ca="1">ROUNDDOWN(AT27,0)&lt;TODAY()</f>
        <v>0</v>
      </c>
      <c r="BD27" s="311" t="b">
        <f ca="1">AND(AT27&lt;=NOW(),AT27+0.1&gt;=NOW(),NOT(Z27))</f>
        <v>0</v>
      </c>
      <c r="BE27" s="311" t="b">
        <f ca="1">AND(NOT(Z27),AT27&lt;NOW())</f>
        <v>0</v>
      </c>
      <c r="BF27" s="311" t="b">
        <f ca="1">AT27&lt;=NOW()</f>
        <v>0</v>
      </c>
    </row>
    <row r="28" spans="1:60" ht="15.75" customHeight="1" x14ac:dyDescent="0.2">
      <c r="A28" s="765"/>
      <c r="B28" s="190"/>
      <c r="C28" s="197"/>
      <c r="D28" s="194">
        <f t="shared" si="7"/>
        <v>44361.791666666672</v>
      </c>
      <c r="E28" s="194">
        <f t="shared" si="7"/>
        <v>44361.750000000007</v>
      </c>
      <c r="F28" s="207" t="str">
        <f t="shared" si="8"/>
        <v>Szentpétervár</v>
      </c>
      <c r="G28" s="208" t="str">
        <f t="shared" si="8"/>
        <v>Kresztovszkij Stadion</v>
      </c>
      <c r="H28" s="384"/>
      <c r="I28" s="195" t="str">
        <f>AE28</f>
        <v>Lengyelország</v>
      </c>
      <c r="J28" s="209"/>
      <c r="K28" s="210" t="s">
        <v>811</v>
      </c>
      <c r="L28" s="211"/>
      <c r="M28" s="196" t="str">
        <f>AH28</f>
        <v>Szlovákia</v>
      </c>
      <c r="N28" s="374"/>
      <c r="O28" s="375"/>
      <c r="P28" s="376"/>
      <c r="R28" s="590"/>
      <c r="X28" s="303">
        <v>9</v>
      </c>
      <c r="Y28" s="309" t="str">
        <f>AE28&amp;AH28</f>
        <v>LengyelországSzlovákia</v>
      </c>
      <c r="Z28" s="309" t="b">
        <f>AND(J28&lt;&gt;"",L28&lt;&gt;"",COUNTIF(teams,AE28)&gt;0)</f>
        <v>0</v>
      </c>
      <c r="AA28" s="310" t="str">
        <f>IF($Z28,IF(AF28&gt;AG28,AE28,IF(AF28&lt;AG28,AH28,"")),"")</f>
        <v/>
      </c>
      <c r="AB28" s="310" t="str">
        <f>IF($Z28,IF(AF28=AG28,AE28,""),"")</f>
        <v/>
      </c>
      <c r="AC28" s="310" t="str">
        <f>IF($Z28,IF(AF28=AG28,AH28,""),"")</f>
        <v/>
      </c>
      <c r="AD28" s="310" t="str">
        <f>IF($Z28,IF(AF28&gt;AG28,AH28,IF(AF28&lt;AG28,AE28,"")),"")</f>
        <v/>
      </c>
      <c r="AE28" s="309" t="str">
        <f>VLOOKUP($X28,schedule,AE$6,FALSE)</f>
        <v>Lengyelország</v>
      </c>
      <c r="AF28" s="311" t="str">
        <f>IF($Z28,J28,"")</f>
        <v/>
      </c>
      <c r="AG28" s="311" t="str">
        <f>IF($Z28,L28,"")</f>
        <v/>
      </c>
      <c r="AH28" s="309" t="str">
        <f>VLOOKUP($X28,schedule,AH$6,FALSE)</f>
        <v>Szlovákia</v>
      </c>
      <c r="AI28" s="311" t="str">
        <f>IF($Z28,AG28,"")</f>
        <v/>
      </c>
      <c r="AJ28" s="311" t="str">
        <f>IF($Z28,AF28,"")</f>
        <v/>
      </c>
      <c r="AK28" s="311"/>
      <c r="AL28" s="311"/>
      <c r="AM28" s="311"/>
      <c r="AN28" s="311"/>
      <c r="AO28" s="311"/>
      <c r="AP28" s="310" t="str">
        <f>AA28</f>
        <v/>
      </c>
      <c r="AQ28" s="310" t="str">
        <f>AD28</f>
        <v/>
      </c>
      <c r="AR28" s="311" t="str">
        <f t="shared" si="9"/>
        <v>E</v>
      </c>
      <c r="AS28" s="312">
        <f t="shared" si="9"/>
        <v>44361.791666666672</v>
      </c>
      <c r="AT28" s="312">
        <f t="shared" si="9"/>
        <v>44361.750000000007</v>
      </c>
      <c r="AU28" s="312" t="str">
        <f t="shared" si="9"/>
        <v>18:00</v>
      </c>
      <c r="AV28" s="312" t="str">
        <f t="shared" si="9"/>
        <v>Szentpétervár</v>
      </c>
      <c r="AW28" s="313" t="str">
        <f t="shared" si="9"/>
        <v>Kresztovszkij Stadion</v>
      </c>
      <c r="AX28" s="312"/>
      <c r="AY28" s="312"/>
      <c r="BC28" s="311" t="b">
        <f ca="1">ROUNDDOWN(AT28,0)&lt;TODAY()</f>
        <v>0</v>
      </c>
      <c r="BD28" s="311" t="b">
        <f ca="1">AND(AT28&lt;=NOW(),AT28+0.1&gt;=NOW(),NOT(Z28))</f>
        <v>0</v>
      </c>
      <c r="BE28" s="311" t="b">
        <f ca="1">AND(NOT(Z28),AT28&lt;NOW())</f>
        <v>0</v>
      </c>
      <c r="BF28" s="311" t="b">
        <f ca="1">AT28&lt;=NOW()</f>
        <v>0</v>
      </c>
    </row>
    <row r="29" spans="1:60" ht="15.75" customHeight="1" x14ac:dyDescent="0.2">
      <c r="A29" s="765"/>
      <c r="B29" s="190"/>
      <c r="C29" s="190"/>
      <c r="D29" s="194">
        <f t="shared" si="7"/>
        <v>44361.875000000007</v>
      </c>
      <c r="E29" s="194">
        <f t="shared" si="7"/>
        <v>44361.875000000007</v>
      </c>
      <c r="F29" s="207" t="str">
        <f t="shared" si="8"/>
        <v>Sevilla</v>
      </c>
      <c r="G29" s="208" t="str">
        <f t="shared" si="8"/>
        <v>R. Sánchez-Pizjuán Stadion</v>
      </c>
      <c r="H29" s="384"/>
      <c r="I29" s="195" t="str">
        <f>AE29</f>
        <v>Spanyolország</v>
      </c>
      <c r="J29" s="209"/>
      <c r="K29" s="210" t="s">
        <v>811</v>
      </c>
      <c r="L29" s="211"/>
      <c r="M29" s="196" t="str">
        <f>AH29</f>
        <v>Svédország</v>
      </c>
      <c r="N29" s="192"/>
      <c r="R29" s="590"/>
      <c r="X29" s="303">
        <v>10</v>
      </c>
      <c r="Y29" s="309" t="str">
        <f>AE29&amp;AH29</f>
        <v>SpanyolországSvédország</v>
      </c>
      <c r="Z29" s="309" t="b">
        <f>AND(J29&lt;&gt;"",L29&lt;&gt;"",COUNTIF(teams,AE29)&gt;0)</f>
        <v>0</v>
      </c>
      <c r="AA29" s="310" t="str">
        <f>IF($Z29,IF(AF29&gt;AG29,AE29,IF(AF29&lt;AG29,AH29,"")),"")</f>
        <v/>
      </c>
      <c r="AB29" s="310" t="str">
        <f>IF($Z29,IF(AF29=AG29,AE29,""),"")</f>
        <v/>
      </c>
      <c r="AC29" s="310" t="str">
        <f>IF($Z29,IF(AF29=AG29,AH29,""),"")</f>
        <v/>
      </c>
      <c r="AD29" s="310" t="str">
        <f>IF($Z29,IF(AF29&gt;AG29,AH29,IF(AF29&lt;AG29,AE29,"")),"")</f>
        <v/>
      </c>
      <c r="AE29" s="309" t="str">
        <f>VLOOKUP($X29,schedule,AE$6,FALSE)</f>
        <v>Spanyolország</v>
      </c>
      <c r="AF29" s="311" t="str">
        <f>IF($Z29,J29,"")</f>
        <v/>
      </c>
      <c r="AG29" s="311" t="str">
        <f>IF($Z29,L29,"")</f>
        <v/>
      </c>
      <c r="AH29" s="309" t="str">
        <f>VLOOKUP($X29,schedule,AH$6,FALSE)</f>
        <v>Svédország</v>
      </c>
      <c r="AI29" s="311" t="str">
        <f>IF($Z29,AG29,"")</f>
        <v/>
      </c>
      <c r="AJ29" s="311" t="str">
        <f>IF($Z29,AF29,"")</f>
        <v/>
      </c>
      <c r="AK29" s="311"/>
      <c r="AL29" s="311"/>
      <c r="AM29" s="311"/>
      <c r="AN29" s="311"/>
      <c r="AO29" s="311"/>
      <c r="AP29" s="310" t="str">
        <f>AA29</f>
        <v/>
      </c>
      <c r="AQ29" s="310" t="str">
        <f>AD29</f>
        <v/>
      </c>
      <c r="AR29" s="311" t="str">
        <f t="shared" si="9"/>
        <v>E</v>
      </c>
      <c r="AS29" s="312">
        <f t="shared" si="9"/>
        <v>44361.875000000007</v>
      </c>
      <c r="AT29" s="312">
        <f t="shared" si="9"/>
        <v>44361.875000000007</v>
      </c>
      <c r="AU29" s="312" t="str">
        <f t="shared" si="9"/>
        <v>21:00</v>
      </c>
      <c r="AV29" s="312" t="str">
        <f t="shared" si="9"/>
        <v>Sevilla</v>
      </c>
      <c r="AW29" s="313" t="str">
        <f t="shared" si="9"/>
        <v>R. Sánchez-Pizjuán Stadion</v>
      </c>
      <c r="AX29" s="312"/>
      <c r="AY29" s="312"/>
      <c r="BC29" s="311" t="b">
        <f ca="1">ROUNDDOWN(AT29,0)&lt;TODAY()</f>
        <v>0</v>
      </c>
      <c r="BD29" s="311" t="b">
        <f ca="1">AND(AT29&lt;=NOW(),AT29+0.1&gt;=NOW(),NOT(Z29))</f>
        <v>0</v>
      </c>
      <c r="BE29" s="311" t="b">
        <f ca="1">AND(NOT(Z29),AT29&lt;NOW())</f>
        <v>0</v>
      </c>
      <c r="BF29" s="311" t="b">
        <f ca="1">AT29&lt;=NOW()</f>
        <v>0</v>
      </c>
    </row>
    <row r="30" spans="1:60" ht="15.75" customHeight="1" x14ac:dyDescent="0.2">
      <c r="A30" s="765"/>
      <c r="C30" s="197"/>
      <c r="D30" s="198"/>
      <c r="E30" s="198"/>
      <c r="F30" s="54"/>
      <c r="G30" s="54"/>
      <c r="H30" s="35"/>
      <c r="J30" s="199"/>
      <c r="L30" s="199"/>
      <c r="N30" s="192"/>
      <c r="AA30" s="314"/>
      <c r="AB30" s="314"/>
      <c r="AC30" s="314"/>
      <c r="AD30" s="314"/>
      <c r="AP30" s="319"/>
      <c r="AQ30" s="319"/>
      <c r="AR30" s="316"/>
      <c r="AS30" s="317"/>
      <c r="AT30" s="318"/>
      <c r="AU30" s="318"/>
      <c r="AV30" s="319"/>
      <c r="AW30" s="320"/>
      <c r="AX30" s="319"/>
      <c r="AY30" s="319"/>
    </row>
    <row r="31" spans="1:60" ht="9" customHeight="1" x14ac:dyDescent="0.2">
      <c r="A31" s="765"/>
      <c r="C31" s="197"/>
      <c r="D31" s="198"/>
      <c r="E31" s="198"/>
      <c r="F31" s="54"/>
      <c r="G31" s="54"/>
      <c r="H31" s="35"/>
      <c r="J31" s="199"/>
      <c r="L31" s="199"/>
      <c r="N31" s="192"/>
      <c r="AA31" s="314"/>
      <c r="AB31" s="314"/>
      <c r="AC31" s="314"/>
      <c r="AD31" s="314"/>
      <c r="AP31" s="319"/>
      <c r="AQ31" s="319"/>
      <c r="AR31" s="316"/>
      <c r="AS31" s="317"/>
      <c r="AT31" s="318"/>
      <c r="AU31" s="318"/>
      <c r="AV31" s="319"/>
      <c r="AW31" s="320"/>
      <c r="AX31" s="319"/>
      <c r="AY31" s="319"/>
    </row>
    <row r="32" spans="1:60" s="206" customFormat="1" ht="13.5" customHeight="1" x14ac:dyDescent="0.2">
      <c r="A32" s="765"/>
      <c r="B32" s="204"/>
      <c r="C32" s="300" t="s">
        <v>845</v>
      </c>
      <c r="D32" s="301" t="s">
        <v>844</v>
      </c>
      <c r="E32" s="301" t="s">
        <v>562</v>
      </c>
      <c r="F32" s="302"/>
      <c r="G32" s="302" t="s">
        <v>843</v>
      </c>
      <c r="H32" s="302" t="s">
        <v>842</v>
      </c>
      <c r="I32" s="302"/>
      <c r="J32" s="302"/>
      <c r="K32" s="301" t="s">
        <v>841</v>
      </c>
      <c r="L32" s="302"/>
      <c r="M32" s="302"/>
      <c r="N32" s="302"/>
      <c r="O32" s="302"/>
      <c r="P32" s="302"/>
      <c r="Q32" s="302"/>
      <c r="R32" s="301" t="s">
        <v>1255</v>
      </c>
      <c r="V32" s="4"/>
      <c r="W32" s="303"/>
      <c r="X32" s="303"/>
      <c r="Y32" s="307"/>
      <c r="Z32" s="307"/>
      <c r="AA32" s="307"/>
      <c r="AB32" s="307"/>
      <c r="AC32" s="307"/>
      <c r="AD32" s="307"/>
      <c r="AE32" s="307"/>
      <c r="AF32" s="307"/>
      <c r="AG32" s="307"/>
      <c r="AH32" s="307"/>
      <c r="AI32" s="307"/>
      <c r="AJ32" s="307"/>
      <c r="AK32" s="307"/>
      <c r="AL32" s="307"/>
      <c r="AM32" s="307"/>
      <c r="AN32" s="307"/>
      <c r="AO32" s="307"/>
      <c r="AP32" s="307"/>
      <c r="AQ32" s="307"/>
      <c r="AR32" s="307"/>
      <c r="AS32" s="307"/>
      <c r="AT32" s="307"/>
      <c r="AU32" s="307"/>
      <c r="AV32" s="307"/>
      <c r="AW32" s="321"/>
      <c r="AX32" s="307"/>
      <c r="AY32" s="307"/>
      <c r="AZ32" s="305"/>
      <c r="BA32" s="4"/>
      <c r="BB32" s="305"/>
      <c r="BC32" s="311" t="b">
        <f ca="1">ROUNDDOWN(AS34,0)=ROUNDDOWN(NOW()-5/24,0)</f>
        <v>0</v>
      </c>
      <c r="BD32" s="305"/>
      <c r="BE32" s="305"/>
      <c r="BF32" s="305"/>
      <c r="BG32" s="305"/>
      <c r="BH32" s="4"/>
    </row>
    <row r="33" spans="1:60" s="206" customFormat="1" ht="5.25" customHeight="1" x14ac:dyDescent="0.2">
      <c r="A33" s="765"/>
      <c r="B33" s="204"/>
      <c r="C33" s="204"/>
      <c r="D33" s="204"/>
      <c r="E33" s="204"/>
      <c r="F33" s="204"/>
      <c r="G33" s="204"/>
      <c r="H33" s="383"/>
      <c r="I33" s="204"/>
      <c r="J33" s="204"/>
      <c r="K33" s="204"/>
      <c r="L33" s="204"/>
      <c r="M33" s="204"/>
      <c r="N33" s="204"/>
      <c r="O33" s="205"/>
      <c r="V33" s="4"/>
      <c r="W33" s="303"/>
      <c r="X33" s="303"/>
      <c r="Y33" s="307"/>
      <c r="Z33" s="307"/>
      <c r="AA33" s="307"/>
      <c r="AB33" s="307"/>
      <c r="AC33" s="307"/>
      <c r="AD33" s="307"/>
      <c r="AE33" s="307"/>
      <c r="AF33" s="307"/>
      <c r="AG33" s="307"/>
      <c r="AH33" s="307"/>
      <c r="AI33" s="307"/>
      <c r="AJ33" s="307"/>
      <c r="AK33" s="307"/>
      <c r="AL33" s="307"/>
      <c r="AM33" s="307"/>
      <c r="AN33" s="307"/>
      <c r="AO33" s="307"/>
      <c r="AP33" s="307"/>
      <c r="AQ33" s="307"/>
      <c r="AR33" s="307"/>
      <c r="AS33" s="307"/>
      <c r="AT33" s="307"/>
      <c r="AU33" s="307"/>
      <c r="AV33" s="307"/>
      <c r="AW33" s="321"/>
      <c r="AX33" s="307"/>
      <c r="AY33" s="307"/>
      <c r="AZ33" s="305"/>
      <c r="BA33" s="4"/>
      <c r="BB33" s="305"/>
      <c r="BC33" s="305"/>
      <c r="BD33" s="305"/>
      <c r="BE33" s="305"/>
      <c r="BF33" s="305"/>
      <c r="BG33" s="305"/>
      <c r="BH33" s="4"/>
    </row>
    <row r="34" spans="1:60" ht="15.75" customHeight="1" x14ac:dyDescent="0.2">
      <c r="A34" s="765"/>
      <c r="B34" s="190"/>
      <c r="C34" s="191">
        <f>ROUNDDOWN(D34,0)</f>
        <v>44362</v>
      </c>
      <c r="D34" s="194">
        <f>AS34</f>
        <v>44362.750000000007</v>
      </c>
      <c r="E34" s="194">
        <f>AT34</f>
        <v>44362.750000000007</v>
      </c>
      <c r="F34" s="207" t="str">
        <f>AV34</f>
        <v>Budapest</v>
      </c>
      <c r="G34" s="208" t="str">
        <f>AW34</f>
        <v>Puskás Ferenc Stadion</v>
      </c>
      <c r="H34" s="384"/>
      <c r="I34" s="195" t="str">
        <f>AE34</f>
        <v>MAGYARORSZÁG</v>
      </c>
      <c r="J34" s="209"/>
      <c r="K34" s="210" t="s">
        <v>811</v>
      </c>
      <c r="L34" s="211"/>
      <c r="M34" s="196" t="str">
        <f>AH34</f>
        <v>Portugália</v>
      </c>
      <c r="N34" s="192"/>
      <c r="R34" s="590"/>
      <c r="X34" s="303">
        <v>11</v>
      </c>
      <c r="Y34" s="309" t="str">
        <f>AE34&amp;AH34</f>
        <v>MAGYARORSZÁGPortugália</v>
      </c>
      <c r="Z34" s="309" t="b">
        <f>AND(J34&lt;&gt;"",L34&lt;&gt;"",COUNTIF(teams,AE34)&gt;0)</f>
        <v>0</v>
      </c>
      <c r="AA34" s="310" t="str">
        <f>IF($Z34,IF(AF34&gt;AG34,AE34,IF(AF34&lt;AG34,AH34,"")),"")</f>
        <v/>
      </c>
      <c r="AB34" s="310" t="str">
        <f>IF($Z34,IF(AF34=AG34,AE34,""),"")</f>
        <v/>
      </c>
      <c r="AC34" s="310" t="str">
        <f>IF($Z34,IF(AF34=AG34,AH34,""),"")</f>
        <v/>
      </c>
      <c r="AD34" s="310" t="str">
        <f>IF($Z34,IF(AF34&gt;AG34,AH34,IF(AF34&lt;AG34,AE34,"")),"")</f>
        <v/>
      </c>
      <c r="AE34" s="309" t="str">
        <f>VLOOKUP($X34,schedule,AE$6,FALSE)</f>
        <v>MAGYARORSZÁG</v>
      </c>
      <c r="AF34" s="311" t="str">
        <f>IF($Z34,J34,"")</f>
        <v/>
      </c>
      <c r="AG34" s="311" t="str">
        <f>IF($Z34,L34,"")</f>
        <v/>
      </c>
      <c r="AH34" s="309" t="str">
        <f>VLOOKUP($X34,schedule,AH$6,FALSE)</f>
        <v>Portugália</v>
      </c>
      <c r="AI34" s="311" t="str">
        <f>IF($Z34,AG34,"")</f>
        <v/>
      </c>
      <c r="AJ34" s="311" t="str">
        <f>IF($Z34,AF34,"")</f>
        <v/>
      </c>
      <c r="AK34" s="311"/>
      <c r="AL34" s="311"/>
      <c r="AM34" s="311"/>
      <c r="AN34" s="311"/>
      <c r="AO34" s="311"/>
      <c r="AP34" s="310" t="str">
        <f>AA34</f>
        <v/>
      </c>
      <c r="AQ34" s="310" t="str">
        <f>AD34</f>
        <v/>
      </c>
      <c r="AR34" s="311" t="str">
        <f t="shared" ref="AR34:AW35" si="10">VLOOKUP($X34,schedule,AR$6,FALSE)</f>
        <v>F</v>
      </c>
      <c r="AS34" s="312">
        <f t="shared" si="10"/>
        <v>44362.750000000007</v>
      </c>
      <c r="AT34" s="312">
        <f t="shared" si="10"/>
        <v>44362.750000000007</v>
      </c>
      <c r="AU34" s="312" t="str">
        <f t="shared" si="10"/>
        <v>18:00</v>
      </c>
      <c r="AV34" s="312" t="str">
        <f t="shared" si="10"/>
        <v>Budapest</v>
      </c>
      <c r="AW34" s="313" t="str">
        <f t="shared" si="10"/>
        <v>Puskás Ferenc Stadion</v>
      </c>
      <c r="AX34" s="312"/>
      <c r="AY34" s="312"/>
      <c r="BC34" s="311" t="b">
        <f ca="1">ROUNDDOWN(AT34,0)&lt;TODAY()</f>
        <v>0</v>
      </c>
      <c r="BD34" s="311" t="b">
        <f ca="1">AND(AT34&lt;=NOW(),AT34+0.1&gt;=NOW(),NOT(Z34))</f>
        <v>0</v>
      </c>
      <c r="BE34" s="311" t="b">
        <f ca="1">AND(NOT(Z34),AT34&lt;NOW())</f>
        <v>0</v>
      </c>
      <c r="BF34" s="311" t="b">
        <f ca="1">AT34&lt;=NOW()</f>
        <v>0</v>
      </c>
    </row>
    <row r="35" spans="1:60" ht="15.75" customHeight="1" x14ac:dyDescent="0.2">
      <c r="A35" s="765"/>
      <c r="B35" s="190"/>
      <c r="C35" s="197"/>
      <c r="D35" s="194">
        <f>AS35</f>
        <v>44362.875000000007</v>
      </c>
      <c r="E35" s="194">
        <f>AT35</f>
        <v>44362.875000000007</v>
      </c>
      <c r="F35" s="207" t="str">
        <f>AV35</f>
        <v>München</v>
      </c>
      <c r="G35" s="208" t="str">
        <f>AW35</f>
        <v>München Arena</v>
      </c>
      <c r="H35" s="384"/>
      <c r="I35" s="195" t="str">
        <f>AE35</f>
        <v>Franciaország</v>
      </c>
      <c r="J35" s="209"/>
      <c r="K35" s="210" t="s">
        <v>811</v>
      </c>
      <c r="L35" s="211"/>
      <c r="M35" s="196" t="str">
        <f>AH35</f>
        <v>Németország</v>
      </c>
      <c r="N35" s="192"/>
      <c r="R35" s="590"/>
      <c r="X35" s="303">
        <v>12</v>
      </c>
      <c r="Y35" s="309" t="str">
        <f>AE35&amp;AH35</f>
        <v>FranciaországNémetország</v>
      </c>
      <c r="Z35" s="309" t="b">
        <f>AND(J35&lt;&gt;"",L35&lt;&gt;"",COUNTIF(teams,AE35)&gt;0)</f>
        <v>0</v>
      </c>
      <c r="AA35" s="310" t="str">
        <f>IF($Z35,IF(AF35&gt;AG35,AE35,IF(AF35&lt;AG35,AH35,"")),"")</f>
        <v/>
      </c>
      <c r="AB35" s="310" t="str">
        <f>IF($Z35,IF(AF35=AG35,AE35,""),"")</f>
        <v/>
      </c>
      <c r="AC35" s="310" t="str">
        <f>IF($Z35,IF(AF35=AG35,AH35,""),"")</f>
        <v/>
      </c>
      <c r="AD35" s="310" t="str">
        <f>IF($Z35,IF(AF35&gt;AG35,AH35,IF(AF35&lt;AG35,AE35,"")),"")</f>
        <v/>
      </c>
      <c r="AE35" s="309" t="str">
        <f>VLOOKUP($X35,schedule,AE$6,FALSE)</f>
        <v>Franciaország</v>
      </c>
      <c r="AF35" s="311" t="str">
        <f>IF($Z35,J35,"")</f>
        <v/>
      </c>
      <c r="AG35" s="311" t="str">
        <f>IF($Z35,L35,"")</f>
        <v/>
      </c>
      <c r="AH35" s="309" t="str">
        <f>VLOOKUP($X35,schedule,AH$6,FALSE)</f>
        <v>Németország</v>
      </c>
      <c r="AI35" s="311" t="str">
        <f>IF($Z35,AG35,"")</f>
        <v/>
      </c>
      <c r="AJ35" s="311" t="str">
        <f>IF($Z35,AF35,"")</f>
        <v/>
      </c>
      <c r="AK35" s="311"/>
      <c r="AL35" s="311"/>
      <c r="AM35" s="311"/>
      <c r="AN35" s="311"/>
      <c r="AO35" s="311"/>
      <c r="AP35" s="310" t="str">
        <f>AA35</f>
        <v/>
      </c>
      <c r="AQ35" s="310" t="str">
        <f>AD35</f>
        <v/>
      </c>
      <c r="AR35" s="311" t="str">
        <f t="shared" si="10"/>
        <v>F</v>
      </c>
      <c r="AS35" s="312">
        <f t="shared" si="10"/>
        <v>44362.875000000007</v>
      </c>
      <c r="AT35" s="312">
        <f t="shared" si="10"/>
        <v>44362.875000000007</v>
      </c>
      <c r="AU35" s="312" t="str">
        <f t="shared" si="10"/>
        <v>21:00</v>
      </c>
      <c r="AV35" s="312" t="str">
        <f t="shared" si="10"/>
        <v>München</v>
      </c>
      <c r="AW35" s="313" t="str">
        <f t="shared" si="10"/>
        <v>München Arena</v>
      </c>
      <c r="AX35" s="312"/>
      <c r="AY35" s="312"/>
      <c r="BC35" s="311" t="b">
        <f ca="1">ROUNDDOWN(AT35,0)&lt;TODAY()</f>
        <v>0</v>
      </c>
      <c r="BD35" s="311" t="b">
        <f ca="1">AND(AT35&lt;=NOW(),AT35+0.1&gt;=NOW(),NOT(Z35))</f>
        <v>0</v>
      </c>
      <c r="BE35" s="311" t="b">
        <f ca="1">AND(NOT(Z35),AT35&lt;NOW())</f>
        <v>0</v>
      </c>
      <c r="BF35" s="311" t="b">
        <f ca="1">AT35&lt;=NOW()</f>
        <v>0</v>
      </c>
    </row>
    <row r="36" spans="1:60" ht="15.75" customHeight="1" x14ac:dyDescent="0.2">
      <c r="A36" s="765"/>
      <c r="C36" s="197"/>
      <c r="D36" s="198"/>
      <c r="E36" s="198"/>
      <c r="F36" s="54"/>
      <c r="G36" s="54"/>
      <c r="H36" s="35"/>
      <c r="J36" s="199"/>
      <c r="L36" s="199"/>
      <c r="N36" s="192"/>
      <c r="R36" s="590"/>
      <c r="AA36" s="314"/>
      <c r="AB36" s="314"/>
      <c r="AC36" s="314"/>
      <c r="AD36" s="314"/>
      <c r="AP36" s="319"/>
      <c r="AQ36" s="319"/>
      <c r="AR36" s="316"/>
      <c r="AS36" s="317"/>
      <c r="AT36" s="318"/>
      <c r="AU36" s="318"/>
      <c r="AV36" s="319"/>
      <c r="AW36" s="320"/>
      <c r="AX36" s="319"/>
      <c r="AY36" s="319"/>
    </row>
    <row r="37" spans="1:60" ht="9" customHeight="1" x14ac:dyDescent="0.2">
      <c r="A37" s="765"/>
      <c r="C37" s="197"/>
      <c r="D37" s="198"/>
      <c r="E37" s="198"/>
      <c r="F37" s="54"/>
      <c r="G37" s="54"/>
      <c r="H37" s="35"/>
      <c r="J37" s="199"/>
      <c r="L37" s="199"/>
      <c r="N37" s="192"/>
      <c r="AA37" s="314"/>
      <c r="AB37" s="314"/>
      <c r="AC37" s="314"/>
      <c r="AD37" s="314"/>
      <c r="AP37" s="319"/>
      <c r="AQ37" s="319"/>
      <c r="AR37" s="316"/>
      <c r="AS37" s="317"/>
      <c r="AT37" s="318"/>
      <c r="AU37" s="318"/>
      <c r="AV37" s="319"/>
      <c r="AW37" s="320"/>
      <c r="AX37" s="319"/>
      <c r="AY37" s="319"/>
    </row>
    <row r="38" spans="1:60" s="206" customFormat="1" ht="13.5" customHeight="1" x14ac:dyDescent="0.2">
      <c r="A38" s="765"/>
      <c r="B38" s="204"/>
      <c r="C38" s="300" t="s">
        <v>845</v>
      </c>
      <c r="D38" s="301" t="s">
        <v>844</v>
      </c>
      <c r="E38" s="301" t="s">
        <v>562</v>
      </c>
      <c r="F38" s="302"/>
      <c r="G38" s="302" t="s">
        <v>843</v>
      </c>
      <c r="H38" s="302" t="s">
        <v>842</v>
      </c>
      <c r="I38" s="302"/>
      <c r="J38" s="302"/>
      <c r="K38" s="301" t="s">
        <v>643</v>
      </c>
      <c r="L38" s="302"/>
      <c r="M38" s="302"/>
      <c r="N38" s="302"/>
      <c r="O38" s="302"/>
      <c r="P38" s="302"/>
      <c r="Q38" s="302"/>
      <c r="R38" s="301" t="s">
        <v>1255</v>
      </c>
      <c r="V38" s="4"/>
      <c r="W38" s="303"/>
      <c r="X38" s="303"/>
      <c r="Y38" s="307"/>
      <c r="Z38" s="307"/>
      <c r="AA38" s="307"/>
      <c r="AB38" s="307"/>
      <c r="AC38" s="307"/>
      <c r="AD38" s="307"/>
      <c r="AE38" s="307"/>
      <c r="AF38" s="307"/>
      <c r="AG38" s="307"/>
      <c r="AH38" s="307"/>
      <c r="AI38" s="307"/>
      <c r="AJ38" s="307"/>
      <c r="AK38" s="307"/>
      <c r="AL38" s="307"/>
      <c r="AM38" s="307"/>
      <c r="AN38" s="307"/>
      <c r="AO38" s="307"/>
      <c r="AP38" s="307"/>
      <c r="AQ38" s="307"/>
      <c r="AR38" s="307"/>
      <c r="AS38" s="307"/>
      <c r="AT38" s="307"/>
      <c r="AU38" s="307"/>
      <c r="AV38" s="307"/>
      <c r="AW38" s="321"/>
      <c r="AX38" s="307"/>
      <c r="AY38" s="307"/>
      <c r="AZ38" s="305"/>
      <c r="BA38" s="4"/>
      <c r="BB38" s="305"/>
      <c r="BC38" s="311" t="b">
        <f ca="1">ROUNDDOWN(AS40,0)=ROUNDDOWN(NOW()-5/24,0)</f>
        <v>0</v>
      </c>
      <c r="BD38" s="305"/>
      <c r="BE38" s="305"/>
      <c r="BF38" s="305"/>
      <c r="BG38" s="305"/>
      <c r="BH38" s="4"/>
    </row>
    <row r="39" spans="1:60" s="206" customFormat="1" ht="5.25" customHeight="1" x14ac:dyDescent="0.2">
      <c r="A39" s="765"/>
      <c r="B39" s="204"/>
      <c r="C39" s="204"/>
      <c r="D39" s="204"/>
      <c r="E39" s="204"/>
      <c r="F39" s="204"/>
      <c r="G39" s="204"/>
      <c r="H39" s="383"/>
      <c r="I39" s="204"/>
      <c r="J39" s="204"/>
      <c r="K39" s="204"/>
      <c r="L39" s="204"/>
      <c r="M39" s="204"/>
      <c r="N39" s="204"/>
      <c r="O39" s="205"/>
      <c r="V39" s="4"/>
      <c r="W39" s="303"/>
      <c r="X39" s="303"/>
      <c r="Y39" s="307"/>
      <c r="Z39" s="307"/>
      <c r="AA39" s="307"/>
      <c r="AB39" s="307"/>
      <c r="AC39" s="307"/>
      <c r="AD39" s="307"/>
      <c r="AE39" s="307"/>
      <c r="AF39" s="307"/>
      <c r="AG39" s="307"/>
      <c r="AH39" s="307"/>
      <c r="AI39" s="307"/>
      <c r="AJ39" s="307"/>
      <c r="AK39" s="307"/>
      <c r="AL39" s="307"/>
      <c r="AM39" s="307"/>
      <c r="AN39" s="307"/>
      <c r="AO39" s="307"/>
      <c r="AP39" s="307"/>
      <c r="AQ39" s="307"/>
      <c r="AR39" s="307"/>
      <c r="AS39" s="307"/>
      <c r="AT39" s="307"/>
      <c r="AU39" s="307"/>
      <c r="AV39" s="307"/>
      <c r="AW39" s="321"/>
      <c r="AX39" s="307"/>
      <c r="AY39" s="307"/>
      <c r="AZ39" s="305"/>
      <c r="BA39" s="4"/>
      <c r="BB39" s="305"/>
      <c r="BC39" s="305"/>
      <c r="BD39" s="305"/>
      <c r="BE39" s="305"/>
      <c r="BF39" s="305"/>
      <c r="BG39" s="305"/>
      <c r="BH39" s="4"/>
    </row>
    <row r="40" spans="1:60" ht="15.75" customHeight="1" x14ac:dyDescent="0.2">
      <c r="A40" s="765"/>
      <c r="B40" s="190"/>
      <c r="C40" s="191">
        <f>ROUNDDOWN(D40,0)</f>
        <v>44363</v>
      </c>
      <c r="D40" s="194">
        <f t="shared" ref="D40:E42" si="11">AS40</f>
        <v>44363.666666666672</v>
      </c>
      <c r="E40" s="194">
        <f t="shared" si="11"/>
        <v>44363.625000000007</v>
      </c>
      <c r="F40" s="207" t="str">
        <f t="shared" ref="F40:G42" si="12">AV40</f>
        <v>Szentpétervár</v>
      </c>
      <c r="G40" s="208" t="str">
        <f t="shared" si="12"/>
        <v>Kresztovszkij Stadion</v>
      </c>
      <c r="H40" s="384"/>
      <c r="I40" s="195" t="str">
        <f>AE40</f>
        <v>Finnország</v>
      </c>
      <c r="J40" s="209"/>
      <c r="K40" s="210" t="s">
        <v>811</v>
      </c>
      <c r="L40" s="211"/>
      <c r="M40" s="196" t="str">
        <f>AH40</f>
        <v>Oroszország</v>
      </c>
      <c r="N40" s="192"/>
      <c r="R40" s="590"/>
      <c r="X40" s="303">
        <v>13</v>
      </c>
      <c r="Y40" s="309" t="str">
        <f>AE40&amp;AH40</f>
        <v>FinnországOroszország</v>
      </c>
      <c r="Z40" s="309" t="b">
        <f>AND(J40&lt;&gt;"",L40&lt;&gt;"",COUNTIF(teams,AE40)&gt;0)</f>
        <v>0</v>
      </c>
      <c r="AA40" s="310" t="str">
        <f>IF($Z40,IF(AF40&gt;AG40,AE40,IF(AF40&lt;AG40,AH40,"")),"")</f>
        <v/>
      </c>
      <c r="AB40" s="310" t="str">
        <f>IF($Z40,IF(AF40=AG40,AE40,""),"")</f>
        <v/>
      </c>
      <c r="AC40" s="310" t="str">
        <f>IF($Z40,IF(AF40=AG40,AH40,""),"")</f>
        <v/>
      </c>
      <c r="AD40" s="310" t="str">
        <f>IF($Z40,IF(AF40&gt;AG40,AH40,IF(AF40&lt;AG40,AE40,"")),"")</f>
        <v/>
      </c>
      <c r="AE40" s="309" t="str">
        <f>VLOOKUP($X40,schedule,AE$6,FALSE)</f>
        <v>Finnország</v>
      </c>
      <c r="AF40" s="311" t="str">
        <f>IF($Z40,J40,"")</f>
        <v/>
      </c>
      <c r="AG40" s="311" t="str">
        <f>IF($Z40,L40,"")</f>
        <v/>
      </c>
      <c r="AH40" s="309" t="str">
        <f>VLOOKUP($X40,schedule,AH$6,FALSE)</f>
        <v>Oroszország</v>
      </c>
      <c r="AI40" s="311" t="str">
        <f>IF($Z40,AG40,"")</f>
        <v/>
      </c>
      <c r="AJ40" s="311" t="str">
        <f>IF($Z40,AF40,"")</f>
        <v/>
      </c>
      <c r="AK40" s="311"/>
      <c r="AL40" s="311"/>
      <c r="AM40" s="311"/>
      <c r="AN40" s="311"/>
      <c r="AO40" s="311"/>
      <c r="AP40" s="310" t="str">
        <f>AA40</f>
        <v/>
      </c>
      <c r="AQ40" s="310" t="str">
        <f>AD40</f>
        <v/>
      </c>
      <c r="AR40" s="311" t="str">
        <f t="shared" ref="AR40:AW42" si="13">VLOOKUP($X40,schedule,AR$6,FALSE)</f>
        <v>B</v>
      </c>
      <c r="AS40" s="312">
        <f t="shared" si="13"/>
        <v>44363.666666666672</v>
      </c>
      <c r="AT40" s="312">
        <f t="shared" si="13"/>
        <v>44363.625000000007</v>
      </c>
      <c r="AU40" s="312" t="str">
        <f t="shared" si="13"/>
        <v>15:00</v>
      </c>
      <c r="AV40" s="312" t="str">
        <f t="shared" si="13"/>
        <v>Szentpétervár</v>
      </c>
      <c r="AW40" s="313" t="str">
        <f t="shared" si="13"/>
        <v>Kresztovszkij Stadion</v>
      </c>
      <c r="AX40" s="312"/>
      <c r="AY40" s="312"/>
      <c r="BC40" s="311" t="b">
        <f ca="1">ROUNDDOWN(AT40,0)&lt;TODAY()</f>
        <v>0</v>
      </c>
      <c r="BD40" s="311" t="b">
        <f ca="1">AND(AT40&lt;=NOW(),AT40+0.1&gt;=NOW(),NOT(Z40))</f>
        <v>0</v>
      </c>
      <c r="BE40" s="311" t="b">
        <f ca="1">AND(NOT(Z40),AT40&lt;NOW())</f>
        <v>0</v>
      </c>
      <c r="BF40" s="311" t="b">
        <f ca="1">AT40&lt;=NOW()</f>
        <v>0</v>
      </c>
    </row>
    <row r="41" spans="1:60" ht="15.75" customHeight="1" x14ac:dyDescent="0.2">
      <c r="A41" s="765"/>
      <c r="B41" s="190"/>
      <c r="C41" s="197"/>
      <c r="D41" s="194">
        <f t="shared" si="11"/>
        <v>44363.833333333336</v>
      </c>
      <c r="E41" s="194">
        <f t="shared" si="11"/>
        <v>44363.75</v>
      </c>
      <c r="F41" s="207" t="str">
        <f t="shared" si="12"/>
        <v>Baku</v>
      </c>
      <c r="G41" s="208" t="str">
        <f t="shared" si="12"/>
        <v>Olimpiai Stadion</v>
      </c>
      <c r="H41" s="384"/>
      <c r="I41" s="195" t="str">
        <f>AE41</f>
        <v>Törökország</v>
      </c>
      <c r="J41" s="209"/>
      <c r="K41" s="210" t="s">
        <v>811</v>
      </c>
      <c r="L41" s="211"/>
      <c r="M41" s="196" t="str">
        <f>AH41</f>
        <v>Wales</v>
      </c>
      <c r="N41" s="192"/>
      <c r="R41" s="590"/>
      <c r="X41" s="303">
        <v>14</v>
      </c>
      <c r="Y41" s="309" t="str">
        <f>AE41&amp;AH41</f>
        <v>TörökországWales</v>
      </c>
      <c r="Z41" s="309" t="b">
        <f>AND(J41&lt;&gt;"",L41&lt;&gt;"",COUNTIF(teams,AE41)&gt;0)</f>
        <v>0</v>
      </c>
      <c r="AA41" s="310" t="str">
        <f>IF($Z41,IF(AF41&gt;AG41,AE41,IF(AF41&lt;AG41,AH41,"")),"")</f>
        <v/>
      </c>
      <c r="AB41" s="310" t="str">
        <f>IF($Z41,IF(AF41=AG41,AE41,""),"")</f>
        <v/>
      </c>
      <c r="AC41" s="310" t="str">
        <f>IF($Z41,IF(AF41=AG41,AH41,""),"")</f>
        <v/>
      </c>
      <c r="AD41" s="310" t="str">
        <f>IF($Z41,IF(AF41&gt;AG41,AH41,IF(AF41&lt;AG41,AE41,"")),"")</f>
        <v/>
      </c>
      <c r="AE41" s="309" t="str">
        <f>VLOOKUP($X41,schedule,AE$6,FALSE)</f>
        <v>Törökország</v>
      </c>
      <c r="AF41" s="311" t="str">
        <f>IF($Z41,J41,"")</f>
        <v/>
      </c>
      <c r="AG41" s="311" t="str">
        <f>IF($Z41,L41,"")</f>
        <v/>
      </c>
      <c r="AH41" s="309" t="str">
        <f>VLOOKUP($X41,schedule,AH$6,FALSE)</f>
        <v>Wales</v>
      </c>
      <c r="AI41" s="311" t="str">
        <f>IF($Z41,AG41,"")</f>
        <v/>
      </c>
      <c r="AJ41" s="311" t="str">
        <f>IF($Z41,AF41,"")</f>
        <v/>
      </c>
      <c r="AK41" s="311"/>
      <c r="AL41" s="311"/>
      <c r="AM41" s="311"/>
      <c r="AN41" s="311"/>
      <c r="AO41" s="311"/>
      <c r="AP41" s="310" t="str">
        <f>AA41</f>
        <v/>
      </c>
      <c r="AQ41" s="310" t="str">
        <f>AD41</f>
        <v/>
      </c>
      <c r="AR41" s="311" t="str">
        <f t="shared" si="13"/>
        <v>A</v>
      </c>
      <c r="AS41" s="312">
        <f t="shared" si="13"/>
        <v>44363.833333333336</v>
      </c>
      <c r="AT41" s="312">
        <f t="shared" si="13"/>
        <v>44363.75</v>
      </c>
      <c r="AU41" s="312" t="str">
        <f t="shared" si="13"/>
        <v>18:00</v>
      </c>
      <c r="AV41" s="312" t="str">
        <f t="shared" si="13"/>
        <v>Baku</v>
      </c>
      <c r="AW41" s="313" t="str">
        <f t="shared" si="13"/>
        <v>Olimpiai Stadion</v>
      </c>
      <c r="AX41" s="312"/>
      <c r="AY41" s="312"/>
      <c r="BC41" s="311" t="b">
        <f ca="1">ROUNDDOWN(AT41,0)&lt;TODAY()</f>
        <v>0</v>
      </c>
      <c r="BD41" s="311" t="b">
        <f ca="1">AND(AT41&lt;=NOW(),AT41+0.1&gt;=NOW(),NOT(Z41))</f>
        <v>0</v>
      </c>
      <c r="BE41" s="311" t="b">
        <f ca="1">AND(NOT(Z41),AT41&lt;NOW())</f>
        <v>0</v>
      </c>
      <c r="BF41" s="311" t="b">
        <f ca="1">AT41&lt;=NOW()</f>
        <v>0</v>
      </c>
    </row>
    <row r="42" spans="1:60" ht="15.75" customHeight="1" x14ac:dyDescent="0.2">
      <c r="A42" s="765"/>
      <c r="B42" s="190"/>
      <c r="C42" s="190"/>
      <c r="D42" s="194">
        <f t="shared" si="11"/>
        <v>44363.875</v>
      </c>
      <c r="E42" s="194">
        <f t="shared" si="11"/>
        <v>44363.875</v>
      </c>
      <c r="F42" s="207" t="str">
        <f t="shared" si="12"/>
        <v>Róma</v>
      </c>
      <c r="G42" s="208" t="str">
        <f t="shared" si="12"/>
        <v>Stadio Olimpico</v>
      </c>
      <c r="H42" s="384"/>
      <c r="I42" s="195" t="str">
        <f>AE42</f>
        <v>Olaszország</v>
      </c>
      <c r="J42" s="209"/>
      <c r="K42" s="210" t="s">
        <v>811</v>
      </c>
      <c r="L42" s="211"/>
      <c r="M42" s="196" t="str">
        <f>AH42</f>
        <v>Svájc</v>
      </c>
      <c r="N42" s="192"/>
      <c r="R42" s="590"/>
      <c r="X42" s="303">
        <v>15</v>
      </c>
      <c r="Y42" s="309" t="str">
        <f>AE42&amp;AH42</f>
        <v>OlaszországSvájc</v>
      </c>
      <c r="Z42" s="309" t="b">
        <f>AND(J42&lt;&gt;"",L42&lt;&gt;"",COUNTIF(teams,AE42)&gt;0)</f>
        <v>0</v>
      </c>
      <c r="AA42" s="310" t="str">
        <f>IF($Z42,IF(AF42&gt;AG42,AE42,IF(AF42&lt;AG42,AH42,"")),"")</f>
        <v/>
      </c>
      <c r="AB42" s="310" t="str">
        <f>IF($Z42,IF(AF42=AG42,AE42,""),"")</f>
        <v/>
      </c>
      <c r="AC42" s="310" t="str">
        <f>IF($Z42,IF(AF42=AG42,AH42,""),"")</f>
        <v/>
      </c>
      <c r="AD42" s="310" t="str">
        <f>IF($Z42,IF(AF42&gt;AG42,AH42,IF(AF42&lt;AG42,AE42,"")),"")</f>
        <v/>
      </c>
      <c r="AE42" s="309" t="str">
        <f>VLOOKUP($X42,schedule,AE$6,FALSE)</f>
        <v>Olaszország</v>
      </c>
      <c r="AF42" s="311" t="str">
        <f>IF($Z42,J42,"")</f>
        <v/>
      </c>
      <c r="AG42" s="311" t="str">
        <f>IF($Z42,L42,"")</f>
        <v/>
      </c>
      <c r="AH42" s="309" t="str">
        <f>VLOOKUP($X42,schedule,AH$6,FALSE)</f>
        <v>Svájc</v>
      </c>
      <c r="AI42" s="311" t="str">
        <f>IF($Z42,AG42,"")</f>
        <v/>
      </c>
      <c r="AJ42" s="311" t="str">
        <f>IF($Z42,AF42,"")</f>
        <v/>
      </c>
      <c r="AK42" s="311"/>
      <c r="AL42" s="311"/>
      <c r="AM42" s="311"/>
      <c r="AN42" s="311"/>
      <c r="AO42" s="311"/>
      <c r="AP42" s="310" t="str">
        <f>AA42</f>
        <v/>
      </c>
      <c r="AQ42" s="310" t="str">
        <f>AD42</f>
        <v/>
      </c>
      <c r="AR42" s="311" t="str">
        <f t="shared" si="13"/>
        <v>A</v>
      </c>
      <c r="AS42" s="312">
        <f t="shared" si="13"/>
        <v>44363.875</v>
      </c>
      <c r="AT42" s="312">
        <f t="shared" si="13"/>
        <v>44363.875</v>
      </c>
      <c r="AU42" s="312" t="str">
        <f t="shared" si="13"/>
        <v>21:00</v>
      </c>
      <c r="AV42" s="312" t="str">
        <f t="shared" si="13"/>
        <v>Róma</v>
      </c>
      <c r="AW42" s="313" t="str">
        <f t="shared" si="13"/>
        <v>Stadio Olimpico</v>
      </c>
      <c r="AX42" s="312"/>
      <c r="AY42" s="312"/>
      <c r="BC42" s="311" t="b">
        <f ca="1">ROUNDDOWN(AT42,0)&lt;TODAY()</f>
        <v>0</v>
      </c>
      <c r="BD42" s="311" t="b">
        <f ca="1">AND(AT42&lt;=NOW(),AT42+0.1&gt;=NOW(),NOT(Z42))</f>
        <v>0</v>
      </c>
      <c r="BE42" s="311" t="b">
        <f ca="1">AND(NOT(Z42),AT42&lt;NOW())</f>
        <v>0</v>
      </c>
      <c r="BF42" s="311" t="b">
        <f ca="1">AT42&lt;=NOW()</f>
        <v>0</v>
      </c>
    </row>
    <row r="43" spans="1:60" ht="15.75" customHeight="1" x14ac:dyDescent="0.2">
      <c r="A43" s="765"/>
      <c r="C43" s="197"/>
      <c r="D43" s="198"/>
      <c r="E43" s="198"/>
      <c r="F43" s="54"/>
      <c r="G43" s="54"/>
      <c r="H43" s="35"/>
      <c r="J43" s="199"/>
      <c r="L43" s="199"/>
      <c r="N43" s="192"/>
      <c r="AA43" s="314"/>
      <c r="AB43" s="314"/>
      <c r="AC43" s="314"/>
      <c r="AD43" s="314"/>
      <c r="AP43" s="319"/>
      <c r="AQ43" s="319"/>
      <c r="AR43" s="316"/>
      <c r="AS43" s="317"/>
      <c r="AT43" s="318"/>
      <c r="AU43" s="318"/>
      <c r="AV43" s="319"/>
      <c r="AW43" s="320"/>
      <c r="AX43" s="319"/>
      <c r="AY43" s="319"/>
    </row>
    <row r="44" spans="1:60" ht="9" customHeight="1" x14ac:dyDescent="0.2">
      <c r="A44" s="765"/>
      <c r="C44" s="197"/>
      <c r="D44" s="198"/>
      <c r="E44" s="198"/>
      <c r="F44" s="54"/>
      <c r="G44" s="54"/>
      <c r="H44" s="35"/>
      <c r="J44" s="199"/>
      <c r="L44" s="199"/>
      <c r="N44" s="192"/>
      <c r="AA44" s="314"/>
      <c r="AB44" s="314"/>
      <c r="AC44" s="314"/>
      <c r="AD44" s="314"/>
      <c r="AP44" s="319"/>
      <c r="AQ44" s="319"/>
      <c r="AR44" s="316"/>
      <c r="AS44" s="317"/>
      <c r="AT44" s="318"/>
      <c r="AU44" s="318"/>
      <c r="AV44" s="319"/>
      <c r="AW44" s="320"/>
      <c r="AX44" s="319"/>
      <c r="AY44" s="319"/>
    </row>
    <row r="45" spans="1:60" s="206" customFormat="1" ht="13.5" customHeight="1" x14ac:dyDescent="0.2">
      <c r="A45" s="765"/>
      <c r="B45" s="204"/>
      <c r="C45" s="300" t="s">
        <v>845</v>
      </c>
      <c r="D45" s="301" t="s">
        <v>844</v>
      </c>
      <c r="E45" s="301" t="s">
        <v>562</v>
      </c>
      <c r="F45" s="302"/>
      <c r="G45" s="302" t="s">
        <v>843</v>
      </c>
      <c r="H45" s="302" t="s">
        <v>842</v>
      </c>
      <c r="I45" s="302"/>
      <c r="J45" s="302"/>
      <c r="K45" s="301" t="s">
        <v>643</v>
      </c>
      <c r="L45" s="302"/>
      <c r="M45" s="302"/>
      <c r="N45" s="302"/>
      <c r="O45" s="302"/>
      <c r="P45" s="302"/>
      <c r="Q45" s="302"/>
      <c r="R45" s="301" t="s">
        <v>1255</v>
      </c>
      <c r="V45" s="4"/>
      <c r="W45" s="303"/>
      <c r="X45" s="303"/>
      <c r="Y45" s="307"/>
      <c r="Z45" s="307"/>
      <c r="AA45" s="307"/>
      <c r="AB45" s="307"/>
      <c r="AC45" s="307"/>
      <c r="AD45" s="307"/>
      <c r="AE45" s="307"/>
      <c r="AF45" s="307"/>
      <c r="AG45" s="307"/>
      <c r="AH45" s="307"/>
      <c r="AI45" s="307"/>
      <c r="AJ45" s="307"/>
      <c r="AK45" s="307"/>
      <c r="AL45" s="307"/>
      <c r="AM45" s="307"/>
      <c r="AN45" s="307"/>
      <c r="AO45" s="307"/>
      <c r="AP45" s="307"/>
      <c r="AQ45" s="307"/>
      <c r="AR45" s="307"/>
      <c r="AS45" s="307"/>
      <c r="AT45" s="307"/>
      <c r="AU45" s="307"/>
      <c r="AV45" s="307"/>
      <c r="AW45" s="321"/>
      <c r="AX45" s="307"/>
      <c r="AY45" s="307"/>
      <c r="AZ45" s="305"/>
      <c r="BA45" s="4"/>
      <c r="BB45" s="305"/>
      <c r="BC45" s="311" t="b">
        <f ca="1">ROUNDDOWN(AS47,0)=ROUNDDOWN(NOW()-5/24,0)</f>
        <v>0</v>
      </c>
      <c r="BD45" s="305"/>
      <c r="BE45" s="305"/>
      <c r="BF45" s="305"/>
      <c r="BG45" s="305"/>
      <c r="BH45" s="4"/>
    </row>
    <row r="46" spans="1:60" s="206" customFormat="1" ht="5.25" customHeight="1" x14ac:dyDescent="0.2">
      <c r="A46" s="765"/>
      <c r="B46" s="204"/>
      <c r="C46" s="204"/>
      <c r="D46" s="204"/>
      <c r="E46" s="204"/>
      <c r="F46" s="204"/>
      <c r="G46" s="204"/>
      <c r="H46" s="383"/>
      <c r="I46" s="204"/>
      <c r="J46" s="204"/>
      <c r="K46" s="204"/>
      <c r="L46" s="204"/>
      <c r="M46" s="204"/>
      <c r="N46" s="204"/>
      <c r="O46" s="205"/>
      <c r="V46" s="4"/>
      <c r="W46" s="303"/>
      <c r="X46" s="303"/>
      <c r="Y46" s="307"/>
      <c r="Z46" s="307"/>
      <c r="AA46" s="307"/>
      <c r="AB46" s="307"/>
      <c r="AC46" s="307"/>
      <c r="AD46" s="307"/>
      <c r="AE46" s="307"/>
      <c r="AF46" s="307"/>
      <c r="AG46" s="307"/>
      <c r="AH46" s="307"/>
      <c r="AI46" s="307"/>
      <c r="AJ46" s="307"/>
      <c r="AK46" s="307"/>
      <c r="AL46" s="307"/>
      <c r="AM46" s="307"/>
      <c r="AN46" s="307"/>
      <c r="AO46" s="307"/>
      <c r="AP46" s="307"/>
      <c r="AQ46" s="307"/>
      <c r="AR46" s="307"/>
      <c r="AS46" s="307"/>
      <c r="AT46" s="307"/>
      <c r="AU46" s="307"/>
      <c r="AV46" s="307"/>
      <c r="AW46" s="321"/>
      <c r="AX46" s="307"/>
      <c r="AY46" s="307"/>
      <c r="AZ46" s="305"/>
      <c r="BA46" s="4"/>
      <c r="BB46" s="305"/>
      <c r="BC46" s="305"/>
      <c r="BD46" s="305"/>
      <c r="BE46" s="305"/>
      <c r="BF46" s="305"/>
      <c r="BG46" s="305"/>
      <c r="BH46" s="4"/>
    </row>
    <row r="47" spans="1:60" ht="15.75" customHeight="1" x14ac:dyDescent="0.2">
      <c r="A47" s="765"/>
      <c r="B47" s="190"/>
      <c r="C47" s="191">
        <f>ROUNDDOWN(D47,0)</f>
        <v>44364</v>
      </c>
      <c r="D47" s="194">
        <f t="shared" ref="D47:E49" si="14">AS47</f>
        <v>44364.666666666664</v>
      </c>
      <c r="E47" s="194">
        <f t="shared" si="14"/>
        <v>44364.625</v>
      </c>
      <c r="F47" s="207" t="str">
        <f t="shared" ref="F47:G49" si="15">AV47</f>
        <v>Bukarest</v>
      </c>
      <c r="G47" s="208" t="str">
        <f t="shared" si="15"/>
        <v>Nemzeti Stadion</v>
      </c>
      <c r="H47" s="384"/>
      <c r="I47" s="195" t="str">
        <f>AE47</f>
        <v>Ukrajna</v>
      </c>
      <c r="J47" s="209"/>
      <c r="K47" s="210" t="s">
        <v>811</v>
      </c>
      <c r="L47" s="211"/>
      <c r="M47" s="196" t="str">
        <f>AH47</f>
        <v>Észak-Macedónia</v>
      </c>
      <c r="N47" s="192"/>
      <c r="R47" s="590"/>
      <c r="X47" s="303">
        <v>16</v>
      </c>
      <c r="Y47" s="309" t="str">
        <f>AE47&amp;AH47</f>
        <v>UkrajnaÉszak-Macedónia</v>
      </c>
      <c r="Z47" s="309" t="b">
        <f>AND(J47&lt;&gt;"",L47&lt;&gt;"",COUNTIF(teams,AE47)&gt;0)</f>
        <v>0</v>
      </c>
      <c r="AA47" s="310" t="str">
        <f>IF($Z47,IF(AF47&gt;AG47,AE47,IF(AF47&lt;AG47,AH47,"")),"")</f>
        <v/>
      </c>
      <c r="AB47" s="310" t="str">
        <f>IF($Z47,IF(AF47=AG47,AE47,""),"")</f>
        <v/>
      </c>
      <c r="AC47" s="310" t="str">
        <f>IF($Z47,IF(AF47=AG47,AH47,""),"")</f>
        <v/>
      </c>
      <c r="AD47" s="310" t="str">
        <f>IF($Z47,IF(AF47&gt;AG47,AH47,IF(AF47&lt;AG47,AE47,"")),"")</f>
        <v/>
      </c>
      <c r="AE47" s="309" t="str">
        <f>VLOOKUP($X47,schedule,AE$6,FALSE)</f>
        <v>Ukrajna</v>
      </c>
      <c r="AF47" s="311" t="str">
        <f>IF($Z47,J47,"")</f>
        <v/>
      </c>
      <c r="AG47" s="311" t="str">
        <f>IF($Z47,L47,"")</f>
        <v/>
      </c>
      <c r="AH47" s="309" t="str">
        <f>VLOOKUP($X47,schedule,AH$6,FALSE)</f>
        <v>Észak-Macedónia</v>
      </c>
      <c r="AI47" s="311" t="str">
        <f>IF($Z47,AG47,"")</f>
        <v/>
      </c>
      <c r="AJ47" s="311" t="str">
        <f>IF($Z47,AF47,"")</f>
        <v/>
      </c>
      <c r="AK47" s="311"/>
      <c r="AL47" s="311"/>
      <c r="AM47" s="311"/>
      <c r="AN47" s="311"/>
      <c r="AO47" s="311"/>
      <c r="AP47" s="310" t="str">
        <f>AA47</f>
        <v/>
      </c>
      <c r="AQ47" s="310" t="str">
        <f>AD47</f>
        <v/>
      </c>
      <c r="AR47" s="311" t="str">
        <f t="shared" ref="AR47:AW49" si="16">VLOOKUP($X47,schedule,AR$6,FALSE)</f>
        <v>C</v>
      </c>
      <c r="AS47" s="312">
        <f t="shared" si="16"/>
        <v>44364.666666666664</v>
      </c>
      <c r="AT47" s="312">
        <f t="shared" si="16"/>
        <v>44364.625</v>
      </c>
      <c r="AU47" s="312" t="str">
        <f t="shared" si="16"/>
        <v>15:00</v>
      </c>
      <c r="AV47" s="312" t="str">
        <f t="shared" si="16"/>
        <v>Bukarest</v>
      </c>
      <c r="AW47" s="313" t="str">
        <f t="shared" si="16"/>
        <v>Nemzeti Stadion</v>
      </c>
      <c r="AX47" s="312"/>
      <c r="AY47" s="312"/>
      <c r="BC47" s="311" t="b">
        <f ca="1">ROUNDDOWN(AT47,0)&lt;TODAY()</f>
        <v>0</v>
      </c>
      <c r="BD47" s="311" t="b">
        <f ca="1">AND(AT47&lt;=NOW(),AT47+0.1&gt;=NOW(),NOT(Z47))</f>
        <v>0</v>
      </c>
      <c r="BE47" s="311" t="b">
        <f ca="1">AND(NOT(Z47),AT47&lt;NOW())</f>
        <v>0</v>
      </c>
      <c r="BF47" s="311" t="b">
        <f ca="1">AT47&lt;=NOW()</f>
        <v>0</v>
      </c>
    </row>
    <row r="48" spans="1:60" ht="15.75" customHeight="1" x14ac:dyDescent="0.2">
      <c r="A48" s="765"/>
      <c r="B48" s="190"/>
      <c r="C48" s="197"/>
      <c r="D48" s="194">
        <f t="shared" si="14"/>
        <v>44364.75</v>
      </c>
      <c r="E48" s="194">
        <f t="shared" si="14"/>
        <v>44364.75</v>
      </c>
      <c r="F48" s="207" t="str">
        <f t="shared" si="15"/>
        <v>Koppenhága</v>
      </c>
      <c r="G48" s="208" t="str">
        <f t="shared" si="15"/>
        <v>Parken Stadion</v>
      </c>
      <c r="H48" s="384"/>
      <c r="I48" s="195" t="str">
        <f>AE48</f>
        <v>Dánia</v>
      </c>
      <c r="J48" s="209"/>
      <c r="K48" s="210" t="s">
        <v>811</v>
      </c>
      <c r="L48" s="211"/>
      <c r="M48" s="196" t="str">
        <f>AH48</f>
        <v>Belgium</v>
      </c>
      <c r="N48" s="192"/>
      <c r="R48" s="590"/>
      <c r="X48" s="303">
        <v>17</v>
      </c>
      <c r="Y48" s="309" t="str">
        <f>AE48&amp;AH48</f>
        <v>DániaBelgium</v>
      </c>
      <c r="Z48" s="309" t="b">
        <f>AND(J48&lt;&gt;"",L48&lt;&gt;"",COUNTIF(teams,AE48)&gt;0)</f>
        <v>0</v>
      </c>
      <c r="AA48" s="310" t="str">
        <f>IF($Z48,IF(AF48&gt;AG48,AE48,IF(AF48&lt;AG48,AH48,"")),"")</f>
        <v/>
      </c>
      <c r="AB48" s="310" t="str">
        <f>IF($Z48,IF(AF48=AG48,AE48,""),"")</f>
        <v/>
      </c>
      <c r="AC48" s="310" t="str">
        <f>IF($Z48,IF(AF48=AG48,AH48,""),"")</f>
        <v/>
      </c>
      <c r="AD48" s="310" t="str">
        <f>IF($Z48,IF(AF48&gt;AG48,AH48,IF(AF48&lt;AG48,AE48,"")),"")</f>
        <v/>
      </c>
      <c r="AE48" s="309" t="str">
        <f>VLOOKUP($X48,schedule,AE$6,FALSE)</f>
        <v>Dánia</v>
      </c>
      <c r="AF48" s="311" t="str">
        <f>IF($Z48,J48,"")</f>
        <v/>
      </c>
      <c r="AG48" s="311" t="str">
        <f>IF($Z48,L48,"")</f>
        <v/>
      </c>
      <c r="AH48" s="309" t="str">
        <f>VLOOKUP($X48,schedule,AH$6,FALSE)</f>
        <v>Belgium</v>
      </c>
      <c r="AI48" s="311" t="str">
        <f>IF($Z48,AG48,"")</f>
        <v/>
      </c>
      <c r="AJ48" s="311" t="str">
        <f>IF($Z48,AF48,"")</f>
        <v/>
      </c>
      <c r="AK48" s="311"/>
      <c r="AL48" s="311"/>
      <c r="AM48" s="311"/>
      <c r="AN48" s="311"/>
      <c r="AO48" s="311"/>
      <c r="AP48" s="310" t="str">
        <f>AA48</f>
        <v/>
      </c>
      <c r="AQ48" s="310" t="str">
        <f>AD48</f>
        <v/>
      </c>
      <c r="AR48" s="311" t="str">
        <f t="shared" si="16"/>
        <v>B</v>
      </c>
      <c r="AS48" s="312">
        <f t="shared" si="16"/>
        <v>44364.75</v>
      </c>
      <c r="AT48" s="312">
        <f t="shared" si="16"/>
        <v>44364.75</v>
      </c>
      <c r="AU48" s="312" t="str">
        <f t="shared" si="16"/>
        <v>18:00</v>
      </c>
      <c r="AV48" s="312" t="str">
        <f t="shared" si="16"/>
        <v>Koppenhága</v>
      </c>
      <c r="AW48" s="313" t="str">
        <f t="shared" si="16"/>
        <v>Parken Stadion</v>
      </c>
      <c r="AX48" s="312"/>
      <c r="AY48" s="312"/>
      <c r="BC48" s="311" t="b">
        <f ca="1">ROUNDDOWN(AT48,0)&lt;TODAY()</f>
        <v>0</v>
      </c>
      <c r="BD48" s="311" t="b">
        <f ca="1">AND(AT48&lt;=NOW(),AT48+0.1&gt;=NOW(),NOT(Z48))</f>
        <v>0</v>
      </c>
      <c r="BE48" s="311" t="b">
        <f ca="1">AND(NOT(Z48),AT48&lt;NOW())</f>
        <v>0</v>
      </c>
      <c r="BF48" s="311" t="b">
        <f ca="1">AT48&lt;=NOW()</f>
        <v>0</v>
      </c>
    </row>
    <row r="49" spans="1:60" ht="15.75" customHeight="1" x14ac:dyDescent="0.2">
      <c r="A49" s="765"/>
      <c r="B49" s="190"/>
      <c r="C49" s="190"/>
      <c r="D49" s="194">
        <f t="shared" si="14"/>
        <v>44364.875</v>
      </c>
      <c r="E49" s="194">
        <f t="shared" si="14"/>
        <v>44364.875</v>
      </c>
      <c r="F49" s="207" t="str">
        <f t="shared" si="15"/>
        <v>Amszterdam</v>
      </c>
      <c r="G49" s="208" t="str">
        <f t="shared" si="15"/>
        <v>Johan Cruijff Arena</v>
      </c>
      <c r="H49" s="384"/>
      <c r="I49" s="195" t="str">
        <f>AE49</f>
        <v>Hollandia</v>
      </c>
      <c r="J49" s="209"/>
      <c r="K49" s="210" t="s">
        <v>811</v>
      </c>
      <c r="L49" s="211"/>
      <c r="M49" s="196" t="str">
        <f>AH49</f>
        <v>Ausztria</v>
      </c>
      <c r="N49" s="192"/>
      <c r="R49" s="590"/>
      <c r="X49" s="303">
        <v>18</v>
      </c>
      <c r="Y49" s="309" t="str">
        <f>AE49&amp;AH49</f>
        <v>HollandiaAusztria</v>
      </c>
      <c r="Z49" s="309" t="b">
        <f>AND(J49&lt;&gt;"",L49&lt;&gt;"",COUNTIF(teams,AE49)&gt;0)</f>
        <v>0</v>
      </c>
      <c r="AA49" s="310" t="str">
        <f>IF($Z49,IF(AF49&gt;AG49,AE49,IF(AF49&lt;AG49,AH49,"")),"")</f>
        <v/>
      </c>
      <c r="AB49" s="310" t="str">
        <f>IF($Z49,IF(AF49=AG49,AE49,""),"")</f>
        <v/>
      </c>
      <c r="AC49" s="310" t="str">
        <f>IF($Z49,IF(AF49=AG49,AH49,""),"")</f>
        <v/>
      </c>
      <c r="AD49" s="310" t="str">
        <f>IF($Z49,IF(AF49&gt;AG49,AH49,IF(AF49&lt;AG49,AE49,"")),"")</f>
        <v/>
      </c>
      <c r="AE49" s="309" t="str">
        <f>VLOOKUP($X49,schedule,AE$6,FALSE)</f>
        <v>Hollandia</v>
      </c>
      <c r="AF49" s="311" t="str">
        <f>IF($Z49,J49,"")</f>
        <v/>
      </c>
      <c r="AG49" s="311" t="str">
        <f>IF($Z49,L49,"")</f>
        <v/>
      </c>
      <c r="AH49" s="309" t="str">
        <f>VLOOKUP($X49,schedule,AH$6,FALSE)</f>
        <v>Ausztria</v>
      </c>
      <c r="AI49" s="311" t="str">
        <f>IF($Z49,AG49,"")</f>
        <v/>
      </c>
      <c r="AJ49" s="311" t="str">
        <f>IF($Z49,AF49,"")</f>
        <v/>
      </c>
      <c r="AK49" s="311"/>
      <c r="AL49" s="311"/>
      <c r="AM49" s="311"/>
      <c r="AN49" s="311"/>
      <c r="AO49" s="311"/>
      <c r="AP49" s="310" t="str">
        <f>AA49</f>
        <v/>
      </c>
      <c r="AQ49" s="310" t="str">
        <f>AD49</f>
        <v/>
      </c>
      <c r="AR49" s="311" t="str">
        <f t="shared" si="16"/>
        <v>C</v>
      </c>
      <c r="AS49" s="312">
        <f t="shared" si="16"/>
        <v>44364.875</v>
      </c>
      <c r="AT49" s="312">
        <f t="shared" si="16"/>
        <v>44364.875</v>
      </c>
      <c r="AU49" s="312" t="str">
        <f t="shared" si="16"/>
        <v>21:00</v>
      </c>
      <c r="AV49" s="312" t="str">
        <f t="shared" si="16"/>
        <v>Amszterdam</v>
      </c>
      <c r="AW49" s="313" t="str">
        <f t="shared" si="16"/>
        <v>Johan Cruijff Arena</v>
      </c>
      <c r="AX49" s="312"/>
      <c r="AY49" s="312"/>
      <c r="BC49" s="311" t="b">
        <f ca="1">ROUNDDOWN(AT49,0)&lt;TODAY()</f>
        <v>0</v>
      </c>
      <c r="BD49" s="311" t="b">
        <f ca="1">AND(AT49&lt;=NOW(),AT49+0.1&gt;=NOW(),NOT(Z49))</f>
        <v>0</v>
      </c>
      <c r="BE49" s="311" t="b">
        <f ca="1">AND(NOT(Z49),AT49&lt;NOW())</f>
        <v>0</v>
      </c>
      <c r="BF49" s="311" t="b">
        <f ca="1">AT49&lt;=NOW()</f>
        <v>0</v>
      </c>
    </row>
    <row r="50" spans="1:60" ht="15.75" customHeight="1" x14ac:dyDescent="0.2">
      <c r="A50" s="765"/>
      <c r="C50" s="197"/>
      <c r="D50" s="198"/>
      <c r="E50" s="198"/>
      <c r="F50" s="54"/>
      <c r="G50" s="54"/>
      <c r="H50" s="35"/>
      <c r="J50" s="199"/>
      <c r="L50" s="199"/>
      <c r="N50" s="192"/>
      <c r="AA50" s="314"/>
      <c r="AB50" s="314"/>
      <c r="AC50" s="314"/>
      <c r="AD50" s="314"/>
      <c r="AP50" s="319"/>
      <c r="AQ50" s="319"/>
      <c r="AR50" s="316"/>
      <c r="AS50" s="317"/>
      <c r="AT50" s="318"/>
      <c r="AU50" s="318"/>
      <c r="AV50" s="319"/>
      <c r="AW50" s="320"/>
      <c r="AX50" s="319"/>
      <c r="AY50" s="319"/>
    </row>
    <row r="51" spans="1:60" ht="9" customHeight="1" x14ac:dyDescent="0.2">
      <c r="A51" s="765"/>
      <c r="C51" s="197"/>
      <c r="D51" s="198"/>
      <c r="E51" s="198"/>
      <c r="F51" s="54"/>
      <c r="G51" s="54"/>
      <c r="H51" s="35"/>
      <c r="J51" s="199"/>
      <c r="L51" s="199"/>
      <c r="N51" s="192"/>
      <c r="AA51" s="314"/>
      <c r="AB51" s="314"/>
      <c r="AC51" s="314"/>
      <c r="AD51" s="314"/>
      <c r="AP51" s="319"/>
      <c r="AQ51" s="319"/>
      <c r="AR51" s="316"/>
      <c r="AS51" s="317"/>
      <c r="AT51" s="318"/>
      <c r="AU51" s="318"/>
      <c r="AV51" s="319"/>
      <c r="AW51" s="320"/>
      <c r="AX51" s="319"/>
      <c r="AY51" s="319"/>
    </row>
    <row r="52" spans="1:60" s="206" customFormat="1" ht="13.5" customHeight="1" x14ac:dyDescent="0.2">
      <c r="A52" s="765"/>
      <c r="B52" s="204"/>
      <c r="C52" s="300" t="s">
        <v>845</v>
      </c>
      <c r="D52" s="301" t="s">
        <v>844</v>
      </c>
      <c r="E52" s="301" t="s">
        <v>562</v>
      </c>
      <c r="F52" s="302"/>
      <c r="G52" s="302" t="s">
        <v>843</v>
      </c>
      <c r="H52" s="302" t="s">
        <v>842</v>
      </c>
      <c r="I52" s="302"/>
      <c r="J52" s="302"/>
      <c r="K52" s="301" t="s">
        <v>643</v>
      </c>
      <c r="L52" s="302"/>
      <c r="M52" s="302"/>
      <c r="N52" s="302"/>
      <c r="O52" s="302"/>
      <c r="P52" s="302"/>
      <c r="Q52" s="302"/>
      <c r="R52" s="301" t="s">
        <v>1255</v>
      </c>
      <c r="V52" s="4"/>
      <c r="W52" s="303"/>
      <c r="X52" s="303"/>
      <c r="Y52" s="307"/>
      <c r="Z52" s="307"/>
      <c r="AA52" s="307"/>
      <c r="AB52" s="307"/>
      <c r="AC52" s="307"/>
      <c r="AD52" s="307"/>
      <c r="AE52" s="307"/>
      <c r="AF52" s="307"/>
      <c r="AG52" s="307"/>
      <c r="AH52" s="307"/>
      <c r="AI52" s="307"/>
      <c r="AJ52" s="307"/>
      <c r="AK52" s="307"/>
      <c r="AL52" s="307"/>
      <c r="AM52" s="307"/>
      <c r="AN52" s="307"/>
      <c r="AO52" s="307"/>
      <c r="AP52" s="307"/>
      <c r="AQ52" s="307"/>
      <c r="AR52" s="307"/>
      <c r="AS52" s="307"/>
      <c r="AT52" s="307"/>
      <c r="AU52" s="307"/>
      <c r="AV52" s="307"/>
      <c r="AW52" s="321"/>
      <c r="AX52" s="307"/>
      <c r="AY52" s="307"/>
      <c r="AZ52" s="305"/>
      <c r="BA52" s="4"/>
      <c r="BB52" s="305"/>
      <c r="BC52" s="311" t="b">
        <f ca="1">ROUNDDOWN(AS54,0)=ROUNDDOWN(NOW()-5/24,0)</f>
        <v>0</v>
      </c>
      <c r="BD52" s="305"/>
      <c r="BE52" s="305"/>
      <c r="BF52" s="305"/>
      <c r="BG52" s="305"/>
      <c r="BH52" s="4"/>
    </row>
    <row r="53" spans="1:60" s="206" customFormat="1" ht="5.25" customHeight="1" x14ac:dyDescent="0.2">
      <c r="A53" s="765"/>
      <c r="B53" s="204"/>
      <c r="C53" s="204"/>
      <c r="D53" s="204"/>
      <c r="E53" s="204"/>
      <c r="F53" s="204"/>
      <c r="G53" s="204"/>
      <c r="H53" s="383"/>
      <c r="I53" s="204"/>
      <c r="J53" s="204"/>
      <c r="K53" s="204"/>
      <c r="L53" s="204"/>
      <c r="M53" s="204"/>
      <c r="N53" s="204"/>
      <c r="O53" s="205"/>
      <c r="V53" s="4"/>
      <c r="W53" s="303"/>
      <c r="X53" s="303"/>
      <c r="Y53" s="307"/>
      <c r="Z53" s="307"/>
      <c r="AA53" s="307"/>
      <c r="AB53" s="307"/>
      <c r="AC53" s="307"/>
      <c r="AD53" s="307"/>
      <c r="AE53" s="307"/>
      <c r="AF53" s="307"/>
      <c r="AG53" s="307"/>
      <c r="AH53" s="307"/>
      <c r="AI53" s="307"/>
      <c r="AJ53" s="307"/>
      <c r="AK53" s="307"/>
      <c r="AL53" s="307"/>
      <c r="AM53" s="307"/>
      <c r="AN53" s="307"/>
      <c r="AO53" s="307"/>
      <c r="AP53" s="307"/>
      <c r="AQ53" s="307"/>
      <c r="AR53" s="307"/>
      <c r="AS53" s="307"/>
      <c r="AT53" s="307"/>
      <c r="AU53" s="307"/>
      <c r="AV53" s="307"/>
      <c r="AW53" s="321"/>
      <c r="AX53" s="307"/>
      <c r="AY53" s="307"/>
      <c r="AZ53" s="305"/>
      <c r="BA53" s="4"/>
      <c r="BB53" s="305"/>
      <c r="BC53" s="305"/>
      <c r="BD53" s="305"/>
      <c r="BE53" s="305"/>
      <c r="BF53" s="305"/>
      <c r="BG53" s="305"/>
      <c r="BH53" s="4"/>
    </row>
    <row r="54" spans="1:60" ht="15.75" customHeight="1" x14ac:dyDescent="0.2">
      <c r="A54" s="765"/>
      <c r="B54" s="190"/>
      <c r="C54" s="191">
        <f>ROUNDDOWN(D54,0)</f>
        <v>44365</v>
      </c>
      <c r="D54" s="194">
        <f t="shared" ref="D54:E56" si="17">AS54</f>
        <v>44365.666666666664</v>
      </c>
      <c r="E54" s="194">
        <f t="shared" si="17"/>
        <v>44365.625</v>
      </c>
      <c r="F54" s="207" t="str">
        <f t="shared" ref="F54:G56" si="18">AV54</f>
        <v>Szentpétervár</v>
      </c>
      <c r="G54" s="208" t="str">
        <f t="shared" si="18"/>
        <v>Kresztovszkij Stadion</v>
      </c>
      <c r="H54" s="384"/>
      <c r="I54" s="195" t="str">
        <f>AE54</f>
        <v>Svédország</v>
      </c>
      <c r="J54" s="209"/>
      <c r="K54" s="210" t="s">
        <v>811</v>
      </c>
      <c r="L54" s="211"/>
      <c r="M54" s="196" t="str">
        <f>AH54</f>
        <v>Szlovákia</v>
      </c>
      <c r="N54" s="192"/>
      <c r="R54" s="590"/>
      <c r="X54" s="303">
        <v>19</v>
      </c>
      <c r="Y54" s="309" t="str">
        <f>AE54&amp;AH54</f>
        <v>SvédországSzlovákia</v>
      </c>
      <c r="Z54" s="309" t="b">
        <f>AND(J54&lt;&gt;"",L54&lt;&gt;"",COUNTIF(teams,AE54)&gt;0)</f>
        <v>0</v>
      </c>
      <c r="AA54" s="310" t="str">
        <f>IF($Z54,IF(AF54&gt;AG54,AE54,IF(AF54&lt;AG54,AH54,"")),"")</f>
        <v/>
      </c>
      <c r="AB54" s="310" t="str">
        <f>IF($Z54,IF(AF54=AG54,AE54,""),"")</f>
        <v/>
      </c>
      <c r="AC54" s="310" t="str">
        <f>IF($Z54,IF(AF54=AG54,AH54,""),"")</f>
        <v/>
      </c>
      <c r="AD54" s="310" t="str">
        <f>IF($Z54,IF(AF54&gt;AG54,AH54,IF(AF54&lt;AG54,AE54,"")),"")</f>
        <v/>
      </c>
      <c r="AE54" s="309" t="str">
        <f>VLOOKUP($X54,schedule,AE$6,FALSE)</f>
        <v>Svédország</v>
      </c>
      <c r="AF54" s="311" t="str">
        <f>IF($Z54,J54,"")</f>
        <v/>
      </c>
      <c r="AG54" s="311" t="str">
        <f>IF($Z54,L54,"")</f>
        <v/>
      </c>
      <c r="AH54" s="309" t="str">
        <f>VLOOKUP($X54,schedule,AH$6,FALSE)</f>
        <v>Szlovákia</v>
      </c>
      <c r="AI54" s="311" t="str">
        <f>IF($Z54,AG54,"")</f>
        <v/>
      </c>
      <c r="AJ54" s="311" t="str">
        <f>IF($Z54,AF54,"")</f>
        <v/>
      </c>
      <c r="AK54" s="311"/>
      <c r="AL54" s="311"/>
      <c r="AM54" s="311"/>
      <c r="AN54" s="311"/>
      <c r="AO54" s="311"/>
      <c r="AP54" s="310" t="str">
        <f>AA54</f>
        <v/>
      </c>
      <c r="AQ54" s="310" t="str">
        <f>AD54</f>
        <v/>
      </c>
      <c r="AR54" s="311" t="str">
        <f t="shared" ref="AR54:AW56" si="19">VLOOKUP($X54,schedule,AR$6,FALSE)</f>
        <v>E</v>
      </c>
      <c r="AS54" s="312">
        <f t="shared" si="19"/>
        <v>44365.666666666664</v>
      </c>
      <c r="AT54" s="312">
        <f t="shared" si="19"/>
        <v>44365.625</v>
      </c>
      <c r="AU54" s="312" t="str">
        <f t="shared" si="19"/>
        <v>15:00</v>
      </c>
      <c r="AV54" s="312" t="str">
        <f t="shared" si="19"/>
        <v>Szentpétervár</v>
      </c>
      <c r="AW54" s="313" t="str">
        <f t="shared" si="19"/>
        <v>Kresztovszkij Stadion</v>
      </c>
      <c r="AX54" s="312"/>
      <c r="AY54" s="312"/>
      <c r="BC54" s="311" t="b">
        <f ca="1">ROUNDDOWN(AT54,0)&lt;TODAY()</f>
        <v>0</v>
      </c>
      <c r="BD54" s="311" t="b">
        <f ca="1">AND(AT54&lt;=NOW(),AT54+0.1&gt;=NOW(),NOT(Z54))</f>
        <v>0</v>
      </c>
      <c r="BE54" s="311" t="b">
        <f ca="1">AND(NOT(Z54),AT54&lt;NOW())</f>
        <v>0</v>
      </c>
      <c r="BF54" s="311" t="b">
        <f ca="1">AT54&lt;=NOW()</f>
        <v>0</v>
      </c>
    </row>
    <row r="55" spans="1:60" ht="15.75" customHeight="1" x14ac:dyDescent="0.2">
      <c r="A55" s="765"/>
      <c r="B55" s="190"/>
      <c r="C55" s="197"/>
      <c r="D55" s="194">
        <f t="shared" si="17"/>
        <v>44365.708333333328</v>
      </c>
      <c r="E55" s="194">
        <f t="shared" si="17"/>
        <v>44365.749999999993</v>
      </c>
      <c r="F55" s="207" t="str">
        <f t="shared" si="18"/>
        <v>Glasgow</v>
      </c>
      <c r="G55" s="208" t="str">
        <f t="shared" si="18"/>
        <v>Hampden Park</v>
      </c>
      <c r="H55" s="384"/>
      <c r="I55" s="195" t="str">
        <f>AE55</f>
        <v>Horvátország</v>
      </c>
      <c r="J55" s="209"/>
      <c r="K55" s="210" t="s">
        <v>811</v>
      </c>
      <c r="L55" s="211"/>
      <c r="M55" s="196" t="str">
        <f>AH55</f>
        <v>Csehország</v>
      </c>
      <c r="N55" s="192"/>
      <c r="R55" s="590"/>
      <c r="X55" s="303">
        <v>20</v>
      </c>
      <c r="Y55" s="309" t="str">
        <f>AE55&amp;AH55</f>
        <v>HorvátországCsehország</v>
      </c>
      <c r="Z55" s="309" t="b">
        <f>AND(J55&lt;&gt;"",L55&lt;&gt;"",COUNTIF(teams,AE55)&gt;0)</f>
        <v>0</v>
      </c>
      <c r="AA55" s="310" t="str">
        <f>IF($Z55,IF(AF55&gt;AG55,AE55,IF(AF55&lt;AG55,AH55,"")),"")</f>
        <v/>
      </c>
      <c r="AB55" s="310" t="str">
        <f>IF($Z55,IF(AF55=AG55,AE55,""),"")</f>
        <v/>
      </c>
      <c r="AC55" s="310" t="str">
        <f>IF($Z55,IF(AF55=AG55,AH55,""),"")</f>
        <v/>
      </c>
      <c r="AD55" s="310" t="str">
        <f>IF($Z55,IF(AF55&gt;AG55,AH55,IF(AF55&lt;AG55,AE55,"")),"")</f>
        <v/>
      </c>
      <c r="AE55" s="309" t="str">
        <f>VLOOKUP($X55,schedule,AE$6,FALSE)</f>
        <v>Horvátország</v>
      </c>
      <c r="AF55" s="311" t="str">
        <f>IF($Z55,J55,"")</f>
        <v/>
      </c>
      <c r="AG55" s="311" t="str">
        <f>IF($Z55,L55,"")</f>
        <v/>
      </c>
      <c r="AH55" s="309" t="str">
        <f>VLOOKUP($X55,schedule,AH$6,FALSE)</f>
        <v>Csehország</v>
      </c>
      <c r="AI55" s="311" t="str">
        <f>IF($Z55,AG55,"")</f>
        <v/>
      </c>
      <c r="AJ55" s="311" t="str">
        <f>IF($Z55,AF55,"")</f>
        <v/>
      </c>
      <c r="AK55" s="311"/>
      <c r="AL55" s="311"/>
      <c r="AM55" s="311"/>
      <c r="AN55" s="311"/>
      <c r="AO55" s="311"/>
      <c r="AP55" s="310" t="str">
        <f>AA55</f>
        <v/>
      </c>
      <c r="AQ55" s="310" t="str">
        <f>AD55</f>
        <v/>
      </c>
      <c r="AR55" s="311" t="str">
        <f t="shared" si="19"/>
        <v>D</v>
      </c>
      <c r="AS55" s="312">
        <f t="shared" si="19"/>
        <v>44365.708333333328</v>
      </c>
      <c r="AT55" s="312">
        <f t="shared" si="19"/>
        <v>44365.749999999993</v>
      </c>
      <c r="AU55" s="312" t="str">
        <f t="shared" si="19"/>
        <v>18:00</v>
      </c>
      <c r="AV55" s="312" t="str">
        <f t="shared" si="19"/>
        <v>Glasgow</v>
      </c>
      <c r="AW55" s="313" t="str">
        <f t="shared" si="19"/>
        <v>Hampden Park</v>
      </c>
      <c r="AX55" s="312"/>
      <c r="AY55" s="312"/>
      <c r="BC55" s="311" t="b">
        <f ca="1">ROUNDDOWN(AT55,0)&lt;TODAY()</f>
        <v>0</v>
      </c>
      <c r="BD55" s="311" t="b">
        <f ca="1">AND(AT55&lt;=NOW(),AT55+0.1&gt;=NOW(),NOT(Z55))</f>
        <v>0</v>
      </c>
      <c r="BE55" s="311" t="b">
        <f ca="1">AND(NOT(Z55),AT55&lt;NOW())</f>
        <v>0</v>
      </c>
      <c r="BF55" s="311" t="b">
        <f ca="1">AT55&lt;=NOW()</f>
        <v>0</v>
      </c>
    </row>
    <row r="56" spans="1:60" ht="15.75" customHeight="1" x14ac:dyDescent="0.2">
      <c r="A56" s="765"/>
      <c r="B56" s="190"/>
      <c r="C56" s="190"/>
      <c r="D56" s="194">
        <f t="shared" si="17"/>
        <v>44365.833333333328</v>
      </c>
      <c r="E56" s="194">
        <f t="shared" si="17"/>
        <v>44365.874999999993</v>
      </c>
      <c r="F56" s="207" t="str">
        <f t="shared" si="18"/>
        <v>London</v>
      </c>
      <c r="G56" s="208" t="str">
        <f t="shared" si="18"/>
        <v>Wembley Stadion</v>
      </c>
      <c r="H56" s="384"/>
      <c r="I56" s="195" t="str">
        <f>AE56</f>
        <v>Anglia</v>
      </c>
      <c r="J56" s="209"/>
      <c r="K56" s="210" t="s">
        <v>811</v>
      </c>
      <c r="L56" s="211"/>
      <c r="M56" s="196" t="str">
        <f>AH56</f>
        <v>Skócia</v>
      </c>
      <c r="N56" s="192"/>
      <c r="R56" s="590"/>
      <c r="X56" s="303">
        <v>21</v>
      </c>
      <c r="Y56" s="309" t="str">
        <f>AE56&amp;AH56</f>
        <v>AngliaSkócia</v>
      </c>
      <c r="Z56" s="309" t="b">
        <f>AND(J56&lt;&gt;"",L56&lt;&gt;"",COUNTIF(teams,AE56)&gt;0)</f>
        <v>0</v>
      </c>
      <c r="AA56" s="310" t="str">
        <f>IF($Z56,IF(AF56&gt;AG56,AE56,IF(AF56&lt;AG56,AH56,"")),"")</f>
        <v/>
      </c>
      <c r="AB56" s="310" t="str">
        <f>IF($Z56,IF(AF56=AG56,AE56,""),"")</f>
        <v/>
      </c>
      <c r="AC56" s="310" t="str">
        <f>IF($Z56,IF(AF56=AG56,AH56,""),"")</f>
        <v/>
      </c>
      <c r="AD56" s="310" t="str">
        <f>IF($Z56,IF(AF56&gt;AG56,AH56,IF(AF56&lt;AG56,AE56,"")),"")</f>
        <v/>
      </c>
      <c r="AE56" s="309" t="str">
        <f>VLOOKUP($X56,schedule,AE$6,FALSE)</f>
        <v>Anglia</v>
      </c>
      <c r="AF56" s="311" t="str">
        <f>IF($Z56,J56,"")</f>
        <v/>
      </c>
      <c r="AG56" s="311" t="str">
        <f>IF($Z56,L56,"")</f>
        <v/>
      </c>
      <c r="AH56" s="309" t="str">
        <f>VLOOKUP($X56,schedule,AH$6,FALSE)</f>
        <v>Skócia</v>
      </c>
      <c r="AI56" s="311" t="str">
        <f>IF($Z56,AG56,"")</f>
        <v/>
      </c>
      <c r="AJ56" s="311" t="str">
        <f>IF($Z56,AF56,"")</f>
        <v/>
      </c>
      <c r="AK56" s="311"/>
      <c r="AL56" s="311"/>
      <c r="AM56" s="311"/>
      <c r="AN56" s="311"/>
      <c r="AO56" s="311"/>
      <c r="AP56" s="310" t="str">
        <f>AA56</f>
        <v/>
      </c>
      <c r="AQ56" s="310" t="str">
        <f>AD56</f>
        <v/>
      </c>
      <c r="AR56" s="311" t="str">
        <f t="shared" si="19"/>
        <v>D</v>
      </c>
      <c r="AS56" s="312">
        <f t="shared" si="19"/>
        <v>44365.833333333328</v>
      </c>
      <c r="AT56" s="312">
        <f t="shared" si="19"/>
        <v>44365.874999999993</v>
      </c>
      <c r="AU56" s="312" t="str">
        <f t="shared" si="19"/>
        <v>21:00</v>
      </c>
      <c r="AV56" s="312" t="str">
        <f t="shared" si="19"/>
        <v>London</v>
      </c>
      <c r="AW56" s="313" t="str">
        <f t="shared" si="19"/>
        <v>Wembley Stadion</v>
      </c>
      <c r="AX56" s="312"/>
      <c r="AY56" s="312"/>
      <c r="BC56" s="311" t="b">
        <f ca="1">ROUNDDOWN(AT56,0)&lt;TODAY()</f>
        <v>0</v>
      </c>
      <c r="BD56" s="311" t="b">
        <f ca="1">AND(AT56&lt;=NOW(),AT56+0.1&gt;=NOW(),NOT(Z56))</f>
        <v>0</v>
      </c>
      <c r="BE56" s="311" t="b">
        <f ca="1">AND(NOT(Z56),AT56&lt;NOW())</f>
        <v>0</v>
      </c>
      <c r="BF56" s="311" t="b">
        <f ca="1">AT56&lt;=NOW()</f>
        <v>0</v>
      </c>
    </row>
    <row r="57" spans="1:60" ht="15.75" customHeight="1" x14ac:dyDescent="0.2">
      <c r="A57" s="765"/>
      <c r="C57" s="197"/>
      <c r="D57" s="198"/>
      <c r="E57" s="198"/>
      <c r="F57" s="54"/>
      <c r="G57" s="54"/>
      <c r="H57" s="35"/>
      <c r="J57" s="199"/>
      <c r="L57" s="199"/>
      <c r="N57" s="192"/>
      <c r="AA57" s="314"/>
      <c r="AB57" s="314"/>
      <c r="AC57" s="314"/>
      <c r="AD57" s="314"/>
      <c r="AP57" s="319"/>
      <c r="AQ57" s="319"/>
      <c r="AR57" s="316"/>
      <c r="AS57" s="317"/>
      <c r="AT57" s="318"/>
      <c r="AU57" s="318"/>
      <c r="AV57" s="319"/>
      <c r="AW57" s="320"/>
      <c r="AX57" s="319"/>
      <c r="AY57" s="319"/>
    </row>
    <row r="58" spans="1:60" ht="9" customHeight="1" x14ac:dyDescent="0.2">
      <c r="A58" s="765"/>
      <c r="C58" s="197"/>
      <c r="D58" s="198"/>
      <c r="E58" s="198"/>
      <c r="F58" s="54"/>
      <c r="G58" s="54"/>
      <c r="H58" s="35"/>
      <c r="J58" s="199"/>
      <c r="L58" s="199"/>
      <c r="N58" s="192"/>
      <c r="AA58" s="314"/>
      <c r="AB58" s="314"/>
      <c r="AC58" s="314"/>
      <c r="AD58" s="314"/>
      <c r="AP58" s="319"/>
      <c r="AQ58" s="319"/>
      <c r="AR58" s="316"/>
      <c r="AS58" s="317"/>
      <c r="AT58" s="318"/>
      <c r="AU58" s="318"/>
      <c r="AV58" s="319"/>
      <c r="AW58" s="320"/>
      <c r="AX58" s="319"/>
      <c r="AY58" s="319"/>
    </row>
    <row r="59" spans="1:60" s="206" customFormat="1" ht="13.5" customHeight="1" x14ac:dyDescent="0.2">
      <c r="A59" s="765"/>
      <c r="B59" s="204"/>
      <c r="C59" s="300" t="s">
        <v>845</v>
      </c>
      <c r="D59" s="301" t="s">
        <v>844</v>
      </c>
      <c r="E59" s="301" t="s">
        <v>562</v>
      </c>
      <c r="F59" s="302"/>
      <c r="G59" s="302" t="s">
        <v>843</v>
      </c>
      <c r="H59" s="302" t="s">
        <v>842</v>
      </c>
      <c r="I59" s="302"/>
      <c r="J59" s="302"/>
      <c r="K59" s="301" t="s">
        <v>643</v>
      </c>
      <c r="L59" s="302"/>
      <c r="M59" s="302"/>
      <c r="N59" s="302"/>
      <c r="O59" s="302"/>
      <c r="P59" s="302"/>
      <c r="Q59" s="302"/>
      <c r="R59" s="301" t="s">
        <v>1255</v>
      </c>
      <c r="V59" s="4"/>
      <c r="W59" s="303"/>
      <c r="X59" s="303"/>
      <c r="Y59" s="307"/>
      <c r="Z59" s="307"/>
      <c r="AA59" s="307"/>
      <c r="AB59" s="307"/>
      <c r="AC59" s="307"/>
      <c r="AD59" s="307"/>
      <c r="AE59" s="307"/>
      <c r="AF59" s="307"/>
      <c r="AG59" s="307"/>
      <c r="AH59" s="307"/>
      <c r="AI59" s="307"/>
      <c r="AJ59" s="307"/>
      <c r="AK59" s="307"/>
      <c r="AL59" s="307"/>
      <c r="AM59" s="307"/>
      <c r="AN59" s="307"/>
      <c r="AO59" s="307"/>
      <c r="AP59" s="307"/>
      <c r="AQ59" s="307"/>
      <c r="AR59" s="307"/>
      <c r="AS59" s="307"/>
      <c r="AT59" s="307"/>
      <c r="AU59" s="307"/>
      <c r="AV59" s="307"/>
      <c r="AW59" s="321"/>
      <c r="AX59" s="307"/>
      <c r="AY59" s="307"/>
      <c r="AZ59" s="305"/>
      <c r="BA59" s="4"/>
      <c r="BB59" s="305"/>
      <c r="BC59" s="311" t="b">
        <f ca="1">ROUNDDOWN(AS61,0)=ROUNDDOWN(NOW()-5/24,0)</f>
        <v>0</v>
      </c>
      <c r="BD59" s="305"/>
      <c r="BE59" s="305"/>
      <c r="BF59" s="305"/>
      <c r="BG59" s="305"/>
      <c r="BH59" s="4"/>
    </row>
    <row r="60" spans="1:60" s="206" customFormat="1" ht="5.25" customHeight="1" x14ac:dyDescent="0.2">
      <c r="A60" s="765"/>
      <c r="B60" s="204"/>
      <c r="C60" s="204"/>
      <c r="D60" s="204"/>
      <c r="E60" s="204"/>
      <c r="F60" s="204"/>
      <c r="G60" s="204"/>
      <c r="H60" s="383"/>
      <c r="I60" s="204"/>
      <c r="J60" s="204"/>
      <c r="K60" s="204"/>
      <c r="L60" s="204"/>
      <c r="M60" s="204"/>
      <c r="N60" s="204"/>
      <c r="O60" s="205"/>
      <c r="V60" s="4"/>
      <c r="W60" s="303"/>
      <c r="X60" s="303"/>
      <c r="Y60" s="307"/>
      <c r="Z60" s="307"/>
      <c r="AA60" s="307"/>
      <c r="AB60" s="307"/>
      <c r="AC60" s="307"/>
      <c r="AD60" s="307"/>
      <c r="AE60" s="307"/>
      <c r="AF60" s="307"/>
      <c r="AG60" s="307"/>
      <c r="AH60" s="307"/>
      <c r="AI60" s="307"/>
      <c r="AJ60" s="307"/>
      <c r="AK60" s="307"/>
      <c r="AL60" s="307"/>
      <c r="AM60" s="307"/>
      <c r="AN60" s="307"/>
      <c r="AO60" s="307"/>
      <c r="AP60" s="307"/>
      <c r="AQ60" s="307"/>
      <c r="AR60" s="307"/>
      <c r="AS60" s="307"/>
      <c r="AT60" s="307"/>
      <c r="AU60" s="307"/>
      <c r="AV60" s="307"/>
      <c r="AW60" s="321"/>
      <c r="AX60" s="307"/>
      <c r="AY60" s="307"/>
      <c r="AZ60" s="305"/>
      <c r="BA60" s="4"/>
      <c r="BB60" s="305"/>
      <c r="BC60" s="305"/>
      <c r="BD60" s="305"/>
      <c r="BE60" s="305"/>
      <c r="BF60" s="305"/>
      <c r="BG60" s="305"/>
      <c r="BH60" s="4"/>
    </row>
    <row r="61" spans="1:60" ht="15.75" customHeight="1" x14ac:dyDescent="0.2">
      <c r="A61" s="765"/>
      <c r="B61" s="190"/>
      <c r="C61" s="191">
        <f>ROUNDDOWN(D61,0)</f>
        <v>44366</v>
      </c>
      <c r="D61" s="194">
        <f t="shared" ref="D61:E63" si="20">AS61</f>
        <v>44366.624999999993</v>
      </c>
      <c r="E61" s="194">
        <f t="shared" si="20"/>
        <v>44366.624999999993</v>
      </c>
      <c r="F61" s="207" t="str">
        <f t="shared" ref="F61:G63" si="21">AV61</f>
        <v>Budapest</v>
      </c>
      <c r="G61" s="208" t="str">
        <f t="shared" si="21"/>
        <v>Puskás Ferenc Stadion</v>
      </c>
      <c r="H61" s="384"/>
      <c r="I61" s="195" t="str">
        <f>AE61</f>
        <v>MAGYARORSZÁG</v>
      </c>
      <c r="J61" s="209"/>
      <c r="K61" s="210" t="s">
        <v>811</v>
      </c>
      <c r="L61" s="211"/>
      <c r="M61" s="196" t="str">
        <f>AH61</f>
        <v>Franciaország</v>
      </c>
      <c r="N61" s="192"/>
      <c r="R61" s="590"/>
      <c r="X61" s="303">
        <v>22</v>
      </c>
      <c r="Y61" s="309" t="str">
        <f>AE61&amp;AH61</f>
        <v>MAGYARORSZÁGFranciaország</v>
      </c>
      <c r="Z61" s="309" t="b">
        <f>AND(J61&lt;&gt;"",L61&lt;&gt;"",COUNTIF(teams,AE61)&gt;0)</f>
        <v>0</v>
      </c>
      <c r="AA61" s="310" t="str">
        <f>IF($Z61,IF(AF61&gt;AG61,AE61,IF(AF61&lt;AG61,AH61,"")),"")</f>
        <v/>
      </c>
      <c r="AB61" s="310" t="str">
        <f>IF($Z61,IF(AF61=AG61,AE61,""),"")</f>
        <v/>
      </c>
      <c r="AC61" s="310" t="str">
        <f>IF($Z61,IF(AF61=AG61,AH61,""),"")</f>
        <v/>
      </c>
      <c r="AD61" s="310" t="str">
        <f>IF($Z61,IF(AF61&gt;AG61,AH61,IF(AF61&lt;AG61,AE61,"")),"")</f>
        <v/>
      </c>
      <c r="AE61" s="309" t="str">
        <f>VLOOKUP($X61,schedule,AE$6,FALSE)</f>
        <v>MAGYARORSZÁG</v>
      </c>
      <c r="AF61" s="311" t="str">
        <f>IF($Z61,J61,"")</f>
        <v/>
      </c>
      <c r="AG61" s="311" t="str">
        <f>IF($Z61,L61,"")</f>
        <v/>
      </c>
      <c r="AH61" s="309" t="str">
        <f>VLOOKUP($X61,schedule,AH$6,FALSE)</f>
        <v>Franciaország</v>
      </c>
      <c r="AI61" s="311" t="str">
        <f>IF($Z61,AG61,"")</f>
        <v/>
      </c>
      <c r="AJ61" s="311" t="str">
        <f>IF($Z61,AF61,"")</f>
        <v/>
      </c>
      <c r="AK61" s="311"/>
      <c r="AL61" s="311"/>
      <c r="AM61" s="311"/>
      <c r="AN61" s="311"/>
      <c r="AO61" s="311"/>
      <c r="AP61" s="310" t="str">
        <f>AA61</f>
        <v/>
      </c>
      <c r="AQ61" s="310" t="str">
        <f>AD61</f>
        <v/>
      </c>
      <c r="AR61" s="311" t="str">
        <f t="shared" ref="AR61:AW63" si="22">VLOOKUP($X61,schedule,AR$6,FALSE)</f>
        <v>F</v>
      </c>
      <c r="AS61" s="312">
        <f t="shared" si="22"/>
        <v>44366.624999999993</v>
      </c>
      <c r="AT61" s="312">
        <f t="shared" si="22"/>
        <v>44366.624999999993</v>
      </c>
      <c r="AU61" s="312" t="str">
        <f t="shared" si="22"/>
        <v>15:00</v>
      </c>
      <c r="AV61" s="312" t="str">
        <f t="shared" si="22"/>
        <v>Budapest</v>
      </c>
      <c r="AW61" s="313" t="str">
        <f t="shared" si="22"/>
        <v>Puskás Ferenc Stadion</v>
      </c>
      <c r="AX61" s="312"/>
      <c r="AY61" s="312"/>
      <c r="BC61" s="311" t="b">
        <f ca="1">ROUNDDOWN(AT61,0)&lt;TODAY()</f>
        <v>0</v>
      </c>
      <c r="BD61" s="311" t="b">
        <f ca="1">AND(AT61&lt;=NOW(),AT61+0.1&gt;=NOW(),NOT(Z61))</f>
        <v>0</v>
      </c>
      <c r="BE61" s="311" t="b">
        <f ca="1">AND(NOT(Z61),AT61&lt;NOW())</f>
        <v>0</v>
      </c>
      <c r="BF61" s="311" t="b">
        <f ca="1">AT61&lt;=NOW()</f>
        <v>0</v>
      </c>
    </row>
    <row r="62" spans="1:60" ht="15.75" customHeight="1" x14ac:dyDescent="0.2">
      <c r="A62" s="765"/>
      <c r="B62" s="190"/>
      <c r="C62" s="197"/>
      <c r="D62" s="194">
        <f t="shared" si="20"/>
        <v>44366.749999999993</v>
      </c>
      <c r="E62" s="194">
        <f t="shared" si="20"/>
        <v>44366.749999999993</v>
      </c>
      <c r="F62" s="207" t="str">
        <f t="shared" si="21"/>
        <v>München</v>
      </c>
      <c r="G62" s="208" t="str">
        <f t="shared" si="21"/>
        <v>München Arena</v>
      </c>
      <c r="H62" s="384"/>
      <c r="I62" s="195" t="str">
        <f>AE62</f>
        <v>Portugália</v>
      </c>
      <c r="J62" s="209"/>
      <c r="K62" s="210" t="s">
        <v>811</v>
      </c>
      <c r="L62" s="211"/>
      <c r="M62" s="196" t="str">
        <f>AH62</f>
        <v>Németország</v>
      </c>
      <c r="N62" s="192"/>
      <c r="R62" s="590"/>
      <c r="X62" s="303">
        <v>23</v>
      </c>
      <c r="Y62" s="309" t="str">
        <f>AE62&amp;AH62</f>
        <v>PortugáliaNémetország</v>
      </c>
      <c r="Z62" s="309" t="b">
        <f>AND(J62&lt;&gt;"",L62&lt;&gt;"",COUNTIF(teams,AE62)&gt;0)</f>
        <v>0</v>
      </c>
      <c r="AA62" s="310" t="str">
        <f>IF($Z62,IF(AF62&gt;AG62,AE62,IF(AF62&lt;AG62,AH62,"")),"")</f>
        <v/>
      </c>
      <c r="AB62" s="310" t="str">
        <f>IF($Z62,IF(AF62=AG62,AE62,""),"")</f>
        <v/>
      </c>
      <c r="AC62" s="310" t="str">
        <f>IF($Z62,IF(AF62=AG62,AH62,""),"")</f>
        <v/>
      </c>
      <c r="AD62" s="310" t="str">
        <f>IF($Z62,IF(AF62&gt;AG62,AH62,IF(AF62&lt;AG62,AE62,"")),"")</f>
        <v/>
      </c>
      <c r="AE62" s="309" t="str">
        <f>VLOOKUP($X62,schedule,AE$6,FALSE)</f>
        <v>Portugália</v>
      </c>
      <c r="AF62" s="311" t="str">
        <f>IF($Z62,J62,"")</f>
        <v/>
      </c>
      <c r="AG62" s="311" t="str">
        <f>IF($Z62,L62,"")</f>
        <v/>
      </c>
      <c r="AH62" s="309" t="str">
        <f>VLOOKUP($X62,schedule,AH$6,FALSE)</f>
        <v>Németország</v>
      </c>
      <c r="AI62" s="311" t="str">
        <f>IF($Z62,AG62,"")</f>
        <v/>
      </c>
      <c r="AJ62" s="311" t="str">
        <f>IF($Z62,AF62,"")</f>
        <v/>
      </c>
      <c r="AK62" s="311"/>
      <c r="AL62" s="311"/>
      <c r="AM62" s="311"/>
      <c r="AN62" s="311"/>
      <c r="AO62" s="311"/>
      <c r="AP62" s="310" t="str">
        <f>AA62</f>
        <v/>
      </c>
      <c r="AQ62" s="310" t="str">
        <f>AD62</f>
        <v/>
      </c>
      <c r="AR62" s="311" t="str">
        <f t="shared" si="22"/>
        <v>F</v>
      </c>
      <c r="AS62" s="312">
        <f t="shared" si="22"/>
        <v>44366.749999999993</v>
      </c>
      <c r="AT62" s="312">
        <f t="shared" si="22"/>
        <v>44366.749999999993</v>
      </c>
      <c r="AU62" s="312" t="str">
        <f t="shared" si="22"/>
        <v>18:00</v>
      </c>
      <c r="AV62" s="312" t="str">
        <f t="shared" si="22"/>
        <v>München</v>
      </c>
      <c r="AW62" s="313" t="str">
        <f t="shared" si="22"/>
        <v>München Arena</v>
      </c>
      <c r="AX62" s="312"/>
      <c r="AY62" s="312"/>
      <c r="BC62" s="311" t="b">
        <f ca="1">ROUNDDOWN(AT62,0)&lt;TODAY()</f>
        <v>0</v>
      </c>
      <c r="BD62" s="311" t="b">
        <f ca="1">AND(AT62&lt;=NOW(),AT62+0.1&gt;=NOW(),NOT(Z62))</f>
        <v>0</v>
      </c>
      <c r="BE62" s="311" t="b">
        <f ca="1">AND(NOT(Z62),AT62&lt;NOW())</f>
        <v>0</v>
      </c>
      <c r="BF62" s="311" t="b">
        <f ca="1">AT62&lt;=NOW()</f>
        <v>0</v>
      </c>
    </row>
    <row r="63" spans="1:60" ht="15.75" customHeight="1" x14ac:dyDescent="0.2">
      <c r="A63" s="765"/>
      <c r="B63" s="190"/>
      <c r="C63" s="190"/>
      <c r="D63" s="194">
        <f t="shared" si="20"/>
        <v>44366.874999999993</v>
      </c>
      <c r="E63" s="194">
        <f t="shared" si="20"/>
        <v>44366.874999999993</v>
      </c>
      <c r="F63" s="207" t="str">
        <f t="shared" si="21"/>
        <v>Sevilla</v>
      </c>
      <c r="G63" s="208" t="str">
        <f t="shared" si="21"/>
        <v>R. Sánchez-Pizjuán Stadion</v>
      </c>
      <c r="H63" s="384"/>
      <c r="I63" s="195" t="str">
        <f>AE63</f>
        <v>Spanyolország</v>
      </c>
      <c r="J63" s="209"/>
      <c r="K63" s="210" t="s">
        <v>811</v>
      </c>
      <c r="L63" s="211"/>
      <c r="M63" s="196" t="str">
        <f>AH63</f>
        <v>Lengyelország</v>
      </c>
      <c r="N63" s="192"/>
      <c r="R63" s="590"/>
      <c r="X63" s="303">
        <v>24</v>
      </c>
      <c r="Y63" s="309" t="str">
        <f>AE63&amp;AH63</f>
        <v>SpanyolországLengyelország</v>
      </c>
      <c r="Z63" s="309" t="b">
        <f>AND(J63&lt;&gt;"",L63&lt;&gt;"",COUNTIF(teams,AE63)&gt;0)</f>
        <v>0</v>
      </c>
      <c r="AA63" s="310" t="str">
        <f>IF($Z63,IF(AF63&gt;AG63,AE63,IF(AF63&lt;AG63,AH63,"")),"")</f>
        <v/>
      </c>
      <c r="AB63" s="310" t="str">
        <f>IF($Z63,IF(AF63=AG63,AE63,""),"")</f>
        <v/>
      </c>
      <c r="AC63" s="310" t="str">
        <f>IF($Z63,IF(AF63=AG63,AH63,""),"")</f>
        <v/>
      </c>
      <c r="AD63" s="310" t="str">
        <f>IF($Z63,IF(AF63&gt;AG63,AH63,IF(AF63&lt;AG63,AE63,"")),"")</f>
        <v/>
      </c>
      <c r="AE63" s="309" t="str">
        <f>VLOOKUP($X63,schedule,AE$6,FALSE)</f>
        <v>Spanyolország</v>
      </c>
      <c r="AF63" s="311" t="str">
        <f>IF($Z63,J63,"")</f>
        <v/>
      </c>
      <c r="AG63" s="311" t="str">
        <f>IF($Z63,L63,"")</f>
        <v/>
      </c>
      <c r="AH63" s="309" t="str">
        <f>VLOOKUP($X63,schedule,AH$6,FALSE)</f>
        <v>Lengyelország</v>
      </c>
      <c r="AI63" s="311" t="str">
        <f>IF($Z63,AG63,"")</f>
        <v/>
      </c>
      <c r="AJ63" s="311" t="str">
        <f>IF($Z63,AF63,"")</f>
        <v/>
      </c>
      <c r="AK63" s="311"/>
      <c r="AL63" s="311"/>
      <c r="AM63" s="311"/>
      <c r="AN63" s="311"/>
      <c r="AO63" s="311"/>
      <c r="AP63" s="310" t="str">
        <f>AA63</f>
        <v/>
      </c>
      <c r="AQ63" s="310" t="str">
        <f>AD63</f>
        <v/>
      </c>
      <c r="AR63" s="311" t="str">
        <f t="shared" si="22"/>
        <v>E</v>
      </c>
      <c r="AS63" s="312">
        <f t="shared" si="22"/>
        <v>44366.874999999993</v>
      </c>
      <c r="AT63" s="312">
        <f t="shared" si="22"/>
        <v>44366.874999999993</v>
      </c>
      <c r="AU63" s="312" t="str">
        <f t="shared" si="22"/>
        <v>21:00</v>
      </c>
      <c r="AV63" s="312" t="str">
        <f t="shared" si="22"/>
        <v>Sevilla</v>
      </c>
      <c r="AW63" s="313" t="str">
        <f t="shared" si="22"/>
        <v>R. Sánchez-Pizjuán Stadion</v>
      </c>
      <c r="AX63" s="312"/>
      <c r="AY63" s="312"/>
      <c r="BC63" s="311" t="b">
        <f ca="1">ROUNDDOWN(AT63,0)&lt;TODAY()</f>
        <v>0</v>
      </c>
      <c r="BD63" s="311" t="b">
        <f ca="1">AND(AT63&lt;=NOW(),AT63+0.1&gt;=NOW(),NOT(Z63))</f>
        <v>0</v>
      </c>
      <c r="BE63" s="311" t="b">
        <f ca="1">AND(NOT(Z63),AT63&lt;NOW())</f>
        <v>0</v>
      </c>
      <c r="BF63" s="311" t="b">
        <f ca="1">AT63&lt;=NOW()</f>
        <v>0</v>
      </c>
    </row>
    <row r="64" spans="1:60" ht="15.75" customHeight="1" x14ac:dyDescent="0.2">
      <c r="A64" s="765"/>
      <c r="C64" s="197"/>
      <c r="D64" s="198"/>
      <c r="E64" s="198"/>
      <c r="F64" s="54"/>
      <c r="G64" s="54"/>
      <c r="H64" s="35"/>
      <c r="J64" s="199"/>
      <c r="L64" s="199"/>
      <c r="N64" s="192"/>
      <c r="AA64" s="314"/>
      <c r="AB64" s="314"/>
      <c r="AC64" s="314"/>
      <c r="AD64" s="314"/>
      <c r="AP64" s="319"/>
      <c r="AQ64" s="319"/>
      <c r="AR64" s="316"/>
      <c r="AS64" s="317"/>
      <c r="AT64" s="318"/>
      <c r="AU64" s="318"/>
      <c r="AV64" s="319"/>
      <c r="AW64" s="320"/>
      <c r="AX64" s="319"/>
      <c r="AY64" s="319"/>
    </row>
    <row r="65" spans="1:60" ht="9" customHeight="1" x14ac:dyDescent="0.2">
      <c r="A65" s="765"/>
      <c r="C65" s="197"/>
      <c r="D65" s="198"/>
      <c r="E65" s="198"/>
      <c r="F65" s="54"/>
      <c r="G65" s="54"/>
      <c r="H65" s="35"/>
      <c r="J65" s="199"/>
      <c r="L65" s="199"/>
      <c r="N65" s="192"/>
      <c r="Y65" s="444"/>
      <c r="Z65" s="444"/>
      <c r="AA65" s="445"/>
      <c r="AB65" s="445"/>
      <c r="AC65" s="445"/>
      <c r="AD65" s="445"/>
      <c r="AE65" s="444"/>
      <c r="AF65" s="446"/>
      <c r="AG65" s="446"/>
      <c r="AH65" s="444"/>
      <c r="AI65" s="446"/>
      <c r="AJ65" s="446"/>
      <c r="AK65" s="446"/>
      <c r="AL65" s="446"/>
      <c r="AM65" s="446"/>
      <c r="AN65" s="446"/>
      <c r="AO65" s="446"/>
      <c r="AP65" s="447"/>
      <c r="AQ65" s="447"/>
      <c r="AR65" s="448"/>
      <c r="AS65" s="449"/>
      <c r="AT65" s="450"/>
      <c r="AU65" s="450"/>
      <c r="AV65" s="447"/>
      <c r="AW65" s="451"/>
      <c r="AX65" s="447"/>
      <c r="AY65" s="447"/>
    </row>
    <row r="66" spans="1:60" s="206" customFormat="1" ht="13.5" customHeight="1" x14ac:dyDescent="0.2">
      <c r="A66" s="765"/>
      <c r="B66" s="204"/>
      <c r="C66" s="300" t="s">
        <v>845</v>
      </c>
      <c r="D66" s="301" t="s">
        <v>844</v>
      </c>
      <c r="E66" s="301" t="s">
        <v>562</v>
      </c>
      <c r="F66" s="302"/>
      <c r="G66" s="302" t="s">
        <v>843</v>
      </c>
      <c r="H66" s="302" t="s">
        <v>842</v>
      </c>
      <c r="I66" s="302"/>
      <c r="J66" s="302"/>
      <c r="K66" s="301" t="s">
        <v>642</v>
      </c>
      <c r="L66" s="302"/>
      <c r="M66" s="302"/>
      <c r="N66" s="453"/>
      <c r="O66" s="459"/>
      <c r="P66" s="458" t="str">
        <f>IF(O68&amp;O69&amp;O70&lt;&gt;"","BÜNTETŐK","")</f>
        <v/>
      </c>
      <c r="Q66" s="302"/>
      <c r="R66" s="301" t="s">
        <v>1255</v>
      </c>
      <c r="V66" s="4"/>
      <c r="W66" s="303"/>
      <c r="X66" s="303"/>
      <c r="Y66" s="307"/>
      <c r="Z66" s="307"/>
      <c r="AA66" s="307"/>
      <c r="AB66" s="307"/>
      <c r="AC66" s="307"/>
      <c r="AD66" s="307"/>
      <c r="AE66" s="307"/>
      <c r="AF66" s="307"/>
      <c r="AG66" s="307"/>
      <c r="AH66" s="307"/>
      <c r="AI66" s="307"/>
      <c r="AJ66" s="307"/>
      <c r="AK66" s="307"/>
      <c r="AL66" s="307"/>
      <c r="AM66" s="307" t="s">
        <v>1211</v>
      </c>
      <c r="AN66" s="307"/>
      <c r="AO66" s="307"/>
      <c r="AP66" s="307"/>
      <c r="AQ66" s="307"/>
      <c r="AR66" s="307"/>
      <c r="AS66" s="307"/>
      <c r="AT66" s="307"/>
      <c r="AU66" s="307"/>
      <c r="AV66" s="307"/>
      <c r="AW66" s="321"/>
      <c r="AX66" s="307"/>
      <c r="AY66" s="307"/>
      <c r="AZ66" s="305"/>
      <c r="BA66" s="4"/>
      <c r="BB66" s="305"/>
      <c r="BC66" s="311" t="b">
        <f ca="1">ROUNDDOWN(AS68,0)=ROUNDDOWN(NOW()-5/24,0)</f>
        <v>0</v>
      </c>
      <c r="BD66" s="305"/>
      <c r="BE66" s="305"/>
      <c r="BF66" s="305"/>
      <c r="BG66" s="305"/>
      <c r="BH66" s="4"/>
    </row>
    <row r="67" spans="1:60" s="206" customFormat="1" ht="5.25" customHeight="1" x14ac:dyDescent="0.2">
      <c r="A67" s="765"/>
      <c r="B67" s="204"/>
      <c r="C67" s="204"/>
      <c r="D67" s="204"/>
      <c r="E67" s="204"/>
      <c r="F67" s="204"/>
      <c r="G67" s="204"/>
      <c r="H67" s="383"/>
      <c r="I67" s="204"/>
      <c r="J67" s="204"/>
      <c r="K67" s="204"/>
      <c r="L67" s="204"/>
      <c r="M67" s="204"/>
      <c r="N67" s="454"/>
      <c r="O67" s="455"/>
      <c r="P67" s="456"/>
      <c r="V67" s="4"/>
      <c r="W67" s="303"/>
      <c r="X67" s="303"/>
      <c r="Y67" s="307"/>
      <c r="Z67" s="307"/>
      <c r="AA67" s="307"/>
      <c r="AB67" s="307"/>
      <c r="AC67" s="307"/>
      <c r="AD67" s="307"/>
      <c r="AE67" s="307"/>
      <c r="AF67" s="307"/>
      <c r="AG67" s="307"/>
      <c r="AH67" s="307"/>
      <c r="AI67" s="307"/>
      <c r="AJ67" s="307"/>
      <c r="AK67" s="307"/>
      <c r="AL67" s="307"/>
      <c r="AM67" s="307"/>
      <c r="AN67" s="307"/>
      <c r="AO67" s="307"/>
      <c r="AP67" s="307"/>
      <c r="AQ67" s="307"/>
      <c r="AR67" s="307"/>
      <c r="AS67" s="307"/>
      <c r="AT67" s="307"/>
      <c r="AU67" s="307"/>
      <c r="AV67" s="307"/>
      <c r="AW67" s="321"/>
      <c r="AX67" s="307"/>
      <c r="AY67" s="307"/>
      <c r="AZ67" s="305"/>
      <c r="BA67" s="4"/>
      <c r="BB67" s="305"/>
      <c r="BC67" s="305"/>
      <c r="BD67" s="305"/>
      <c r="BE67" s="305"/>
      <c r="BF67" s="305"/>
      <c r="BG67" s="305"/>
      <c r="BH67" s="4"/>
    </row>
    <row r="68" spans="1:60" ht="15.75" customHeight="1" x14ac:dyDescent="0.2">
      <c r="A68" s="765"/>
      <c r="B68" s="190"/>
      <c r="C68" s="191">
        <f>ROUNDDOWN(D68,0)</f>
        <v>44367</v>
      </c>
      <c r="D68" s="194">
        <f>AS68</f>
        <v>44367.749999999993</v>
      </c>
      <c r="E68" s="194">
        <f>AT68</f>
        <v>44367.749999999993</v>
      </c>
      <c r="F68" s="207" t="str">
        <f>AV68</f>
        <v>Róma</v>
      </c>
      <c r="G68" s="208" t="str">
        <f>AW68</f>
        <v>Stadio Olimpico</v>
      </c>
      <c r="H68" s="384"/>
      <c r="I68" s="195" t="str">
        <f>AE68</f>
        <v>Olaszország</v>
      </c>
      <c r="J68" s="209"/>
      <c r="K68" s="210" t="s">
        <v>811</v>
      </c>
      <c r="L68" s="211"/>
      <c r="M68" s="196" t="str">
        <f>AH68</f>
        <v>Wales</v>
      </c>
      <c r="N68" s="460"/>
      <c r="O68" s="457" t="str">
        <f>IF(AK68,"–","")</f>
        <v/>
      </c>
      <c r="P68" s="461"/>
      <c r="R68" s="590"/>
      <c r="X68" s="303">
        <v>25</v>
      </c>
      <c r="Y68" s="309" t="str">
        <f>AE68&amp;AH68</f>
        <v>OlaszországWales</v>
      </c>
      <c r="Z68" s="309" t="b">
        <f>AND(J68&lt;&gt;"",L68&lt;&gt;"",COUNTIF(teams,AE68)&gt;0)</f>
        <v>0</v>
      </c>
      <c r="AA68" s="310" t="str">
        <f>IF($Z68,IF(AF68&gt;AG68,AE68,IF(AF68&lt;AG68,AH68,"")),"")</f>
        <v/>
      </c>
      <c r="AB68" s="310" t="str">
        <f>IF($Z68,IF(AF68=AG68,AE68,""),"")</f>
        <v/>
      </c>
      <c r="AC68" s="310" t="str">
        <f>IF($Z68,IF(AF68=AG68,AH68,""),"")</f>
        <v/>
      </c>
      <c r="AD68" s="310" t="str">
        <f>IF($Z68,IF(AF68&gt;AG68,AH68,IF(AF68&lt;AG68,AE68,"")),"")</f>
        <v/>
      </c>
      <c r="AE68" s="309" t="str">
        <f>VLOOKUP($X68,schedule,AE$6,FALSE)</f>
        <v>Olaszország</v>
      </c>
      <c r="AF68" s="311" t="str">
        <f>IF($Z68,J68,"")</f>
        <v/>
      </c>
      <c r="AG68" s="311" t="str">
        <f>IF($Z68,L68,"")</f>
        <v/>
      </c>
      <c r="AH68" s="309" t="str">
        <f>VLOOKUP($X68,schedule,AH$6,FALSE)</f>
        <v>Wales</v>
      </c>
      <c r="AI68" s="311" t="str">
        <f>IF($Z68,AG68,"")</f>
        <v/>
      </c>
      <c r="AJ68" s="311" t="str">
        <f>IF($Z68,AF68,"")</f>
        <v/>
      </c>
      <c r="AK68" s="311" t="b">
        <f>AND(Z68,AB68&lt;&gt;"",COUNTIF(tie.3rdm,Y68)&gt;0)</f>
        <v>0</v>
      </c>
      <c r="AL68" s="311" t="b">
        <f>AND(N68&lt;&gt;"",P68&lt;&gt;"",N68&lt;&gt;P68,J68=L68,AK68)</f>
        <v>0</v>
      </c>
      <c r="AM68" s="452" t="str">
        <f>IF(AL68,IF(AN68&gt;AO68,AE68,AH68),"")</f>
        <v/>
      </c>
      <c r="AN68" s="311" t="str">
        <f>IF(N68="","",N68)</f>
        <v/>
      </c>
      <c r="AO68" s="311" t="str">
        <f>IF(P68="","",P68)</f>
        <v/>
      </c>
      <c r="AP68" s="310" t="str">
        <f>AA68</f>
        <v/>
      </c>
      <c r="AQ68" s="310" t="str">
        <f>AD68</f>
        <v/>
      </c>
      <c r="AR68" s="311" t="str">
        <f t="shared" ref="AR68:AW69" si="23">VLOOKUP($X68,schedule,AR$6,FALSE)</f>
        <v>A</v>
      </c>
      <c r="AS68" s="312">
        <f t="shared" si="23"/>
        <v>44367.749999999993</v>
      </c>
      <c r="AT68" s="312">
        <f t="shared" si="23"/>
        <v>44367.749999999993</v>
      </c>
      <c r="AU68" s="312" t="str">
        <f t="shared" si="23"/>
        <v>18:00</v>
      </c>
      <c r="AV68" s="312" t="str">
        <f t="shared" si="23"/>
        <v>Róma</v>
      </c>
      <c r="AW68" s="313" t="str">
        <f t="shared" si="23"/>
        <v>Stadio Olimpico</v>
      </c>
      <c r="AX68" s="312"/>
      <c r="AY68" s="312"/>
      <c r="BC68" s="311" t="b">
        <f ca="1">ROUNDDOWN(AT68,0)&lt;TODAY()</f>
        <v>0</v>
      </c>
      <c r="BD68" s="311" t="b">
        <f ca="1">AND(AT68&lt;=NOW(),AT68+0.1&gt;=NOW(),NOT(Z68))</f>
        <v>0</v>
      </c>
      <c r="BE68" s="311" t="b">
        <f ca="1">AND(NOT(Z68),AT68&lt;NOW())</f>
        <v>0</v>
      </c>
      <c r="BF68" s="311" t="b">
        <f ca="1">AT68&lt;=NOW()</f>
        <v>0</v>
      </c>
    </row>
    <row r="69" spans="1:60" ht="15.75" customHeight="1" x14ac:dyDescent="0.2">
      <c r="A69" s="765"/>
      <c r="B69" s="190"/>
      <c r="C69" s="197"/>
      <c r="D69" s="194">
        <f>AS69</f>
        <v>44367.833333333328</v>
      </c>
      <c r="E69" s="194">
        <f>AT69</f>
        <v>44367.749999999993</v>
      </c>
      <c r="F69" s="207" t="str">
        <f>AV69</f>
        <v>Baku</v>
      </c>
      <c r="G69" s="208" t="str">
        <f>AW69</f>
        <v>Olimpiai Stadion</v>
      </c>
      <c r="H69" s="384"/>
      <c r="I69" s="195" t="str">
        <f>AE69</f>
        <v>Svájc</v>
      </c>
      <c r="J69" s="209"/>
      <c r="K69" s="210" t="s">
        <v>811</v>
      </c>
      <c r="L69" s="211"/>
      <c r="M69" s="196" t="str">
        <f>AH69</f>
        <v>Törökország</v>
      </c>
      <c r="N69" s="460"/>
      <c r="O69" s="457" t="str">
        <f>IF(AK69,"–","")</f>
        <v/>
      </c>
      <c r="P69" s="461"/>
      <c r="R69" s="590"/>
      <c r="X69" s="303">
        <v>26</v>
      </c>
      <c r="Y69" s="309" t="str">
        <f>AE69&amp;AH69</f>
        <v>SvájcTörökország</v>
      </c>
      <c r="Z69" s="309" t="b">
        <f>AND(J69&lt;&gt;"",L69&lt;&gt;"",COUNTIF(teams,AE69)&gt;0)</f>
        <v>0</v>
      </c>
      <c r="AA69" s="310" t="str">
        <f>IF($Z69,IF(AF69&gt;AG69,AE69,IF(AF69&lt;AG69,AH69,"")),"")</f>
        <v/>
      </c>
      <c r="AB69" s="310" t="str">
        <f>IF($Z69,IF(AF69=AG69,AE69,""),"")</f>
        <v/>
      </c>
      <c r="AC69" s="310" t="str">
        <f>IF($Z69,IF(AF69=AG69,AH69,""),"")</f>
        <v/>
      </c>
      <c r="AD69" s="310" t="str">
        <f>IF($Z69,IF(AF69&gt;AG69,AH69,IF(AF69&lt;AG69,AE69,"")),"")</f>
        <v/>
      </c>
      <c r="AE69" s="309" t="str">
        <f>VLOOKUP($X69,schedule,AE$6,FALSE)</f>
        <v>Svájc</v>
      </c>
      <c r="AF69" s="311" t="str">
        <f>IF($Z69,J69,"")</f>
        <v/>
      </c>
      <c r="AG69" s="311" t="str">
        <f>IF($Z69,L69,"")</f>
        <v/>
      </c>
      <c r="AH69" s="309" t="str">
        <f>VLOOKUP($X69,schedule,AH$6,FALSE)</f>
        <v>Törökország</v>
      </c>
      <c r="AI69" s="311" t="str">
        <f>IF($Z69,AG69,"")</f>
        <v/>
      </c>
      <c r="AJ69" s="311" t="str">
        <f>IF($Z69,AF69,"")</f>
        <v/>
      </c>
      <c r="AK69" s="311" t="b">
        <f>AND(Z69,AB69&lt;&gt;"",COUNTIF(tie.3rdm,Y69)&gt;0)</f>
        <v>0</v>
      </c>
      <c r="AL69" s="311" t="b">
        <f>AND(N69&lt;&gt;"",P69&lt;&gt;"",N69&lt;&gt;P69,J69=L69,AK69)</f>
        <v>0</v>
      </c>
      <c r="AM69" s="452" t="str">
        <f>IF(AL69,IF(AN69&gt;AO69,AE69,AH69),"")</f>
        <v/>
      </c>
      <c r="AN69" s="311" t="str">
        <f>IF(N69="","",N69)</f>
        <v/>
      </c>
      <c r="AO69" s="311" t="str">
        <f>IF(P69="","",P69)</f>
        <v/>
      </c>
      <c r="AP69" s="310" t="str">
        <f>AA69</f>
        <v/>
      </c>
      <c r="AQ69" s="310" t="str">
        <f>AD69</f>
        <v/>
      </c>
      <c r="AR69" s="311" t="str">
        <f t="shared" si="23"/>
        <v>A</v>
      </c>
      <c r="AS69" s="312">
        <f t="shared" si="23"/>
        <v>44367.833333333328</v>
      </c>
      <c r="AT69" s="312">
        <f t="shared" si="23"/>
        <v>44367.749999999993</v>
      </c>
      <c r="AU69" s="312" t="str">
        <f t="shared" si="23"/>
        <v>18:00</v>
      </c>
      <c r="AV69" s="312" t="str">
        <f t="shared" si="23"/>
        <v>Baku</v>
      </c>
      <c r="AW69" s="313" t="str">
        <f t="shared" si="23"/>
        <v>Olimpiai Stadion</v>
      </c>
      <c r="AX69" s="312"/>
      <c r="AY69" s="312"/>
      <c r="BC69" s="311" t="b">
        <f ca="1">ROUNDDOWN(AT69,0)&lt;TODAY()</f>
        <v>0</v>
      </c>
      <c r="BD69" s="311" t="b">
        <f ca="1">AND(AT69&lt;=NOW(),AT69+0.1&gt;=NOW(),NOT(Z69))</f>
        <v>0</v>
      </c>
      <c r="BE69" s="311" t="b">
        <f ca="1">AND(NOT(Z69),AT69&lt;NOW())</f>
        <v>0</v>
      </c>
      <c r="BF69" s="311" t="b">
        <f ca="1">AT69&lt;=NOW()</f>
        <v>0</v>
      </c>
    </row>
    <row r="70" spans="1:60" ht="15.75" customHeight="1" x14ac:dyDescent="0.2">
      <c r="A70" s="765"/>
      <c r="C70" s="197"/>
      <c r="D70" s="198"/>
      <c r="E70" s="198"/>
      <c r="F70" s="54"/>
      <c r="G70" s="54"/>
      <c r="H70" s="35"/>
      <c r="J70" s="199"/>
      <c r="L70" s="199"/>
      <c r="N70" s="192"/>
      <c r="AA70" s="314"/>
      <c r="AB70" s="314"/>
      <c r="AC70" s="314"/>
      <c r="AD70" s="314"/>
      <c r="AP70" s="319"/>
      <c r="AQ70" s="319"/>
      <c r="AR70" s="316"/>
      <c r="AS70" s="317"/>
      <c r="AT70" s="318"/>
      <c r="AU70" s="318"/>
      <c r="AV70" s="319"/>
      <c r="AW70" s="320"/>
      <c r="AX70" s="319"/>
      <c r="AY70" s="319"/>
    </row>
    <row r="71" spans="1:60" ht="9" customHeight="1" x14ac:dyDescent="0.2">
      <c r="A71" s="765"/>
      <c r="C71" s="197"/>
      <c r="D71" s="198"/>
      <c r="E71" s="198"/>
      <c r="F71" s="54"/>
      <c r="G71" s="54"/>
      <c r="H71" s="35"/>
      <c r="J71" s="199"/>
      <c r="L71" s="199"/>
      <c r="N71" s="192"/>
      <c r="AA71" s="314"/>
      <c r="AB71" s="314"/>
      <c r="AC71" s="314"/>
      <c r="AD71" s="314"/>
      <c r="AP71" s="319"/>
      <c r="AQ71" s="319"/>
      <c r="AR71" s="316"/>
      <c r="AS71" s="317"/>
      <c r="AT71" s="318"/>
      <c r="AU71" s="318"/>
      <c r="AV71" s="319"/>
      <c r="AW71" s="320"/>
      <c r="AX71" s="319"/>
      <c r="AY71" s="319"/>
    </row>
    <row r="72" spans="1:60" s="206" customFormat="1" ht="13.5" customHeight="1" x14ac:dyDescent="0.2">
      <c r="A72" s="765"/>
      <c r="B72" s="204"/>
      <c r="C72" s="300" t="s">
        <v>845</v>
      </c>
      <c r="D72" s="301" t="s">
        <v>844</v>
      </c>
      <c r="E72" s="301" t="s">
        <v>562</v>
      </c>
      <c r="F72" s="302"/>
      <c r="G72" s="302" t="s">
        <v>843</v>
      </c>
      <c r="H72" s="302" t="s">
        <v>842</v>
      </c>
      <c r="I72" s="302"/>
      <c r="J72" s="302"/>
      <c r="K72" s="301" t="s">
        <v>642</v>
      </c>
      <c r="L72" s="302"/>
      <c r="M72" s="302"/>
      <c r="N72" s="453"/>
      <c r="O72" s="459"/>
      <c r="P72" s="458" t="str">
        <f>IF(O74&amp;O75&amp;O76&amp;O77&lt;&gt;"","BÜNTETŐK","")</f>
        <v/>
      </c>
      <c r="Q72" s="302"/>
      <c r="R72" s="301" t="s">
        <v>1255</v>
      </c>
      <c r="V72" s="4"/>
      <c r="W72" s="303"/>
      <c r="X72" s="303"/>
      <c r="Y72" s="307"/>
      <c r="Z72" s="307"/>
      <c r="AA72" s="307"/>
      <c r="AB72" s="307"/>
      <c r="AC72" s="307"/>
      <c r="AD72" s="307"/>
      <c r="AE72" s="307"/>
      <c r="AF72" s="307"/>
      <c r="AG72" s="307"/>
      <c r="AH72" s="307"/>
      <c r="AI72" s="307"/>
      <c r="AJ72" s="307"/>
      <c r="AK72" s="307"/>
      <c r="AL72" s="307"/>
      <c r="AM72" s="307"/>
      <c r="AN72" s="307"/>
      <c r="AO72" s="307"/>
      <c r="AP72" s="307"/>
      <c r="AQ72" s="307"/>
      <c r="AR72" s="307"/>
      <c r="AS72" s="307"/>
      <c r="AT72" s="307"/>
      <c r="AU72" s="307"/>
      <c r="AV72" s="307"/>
      <c r="AW72" s="321"/>
      <c r="AX72" s="307"/>
      <c r="AY72" s="307"/>
      <c r="AZ72" s="305"/>
      <c r="BA72" s="4"/>
      <c r="BB72" s="305"/>
      <c r="BC72" s="311" t="b">
        <f ca="1">ROUNDDOWN(AS74,0)=ROUNDDOWN(NOW()-5/24,0)</f>
        <v>0</v>
      </c>
      <c r="BD72" s="305"/>
      <c r="BE72" s="305"/>
      <c r="BF72" s="305"/>
      <c r="BG72" s="305"/>
      <c r="BH72" s="4"/>
    </row>
    <row r="73" spans="1:60" s="206" customFormat="1" ht="5.25" customHeight="1" x14ac:dyDescent="0.2">
      <c r="A73" s="765"/>
      <c r="B73" s="204"/>
      <c r="C73" s="204"/>
      <c r="D73" s="204"/>
      <c r="E73" s="204"/>
      <c r="F73" s="204"/>
      <c r="G73" s="204"/>
      <c r="H73" s="383"/>
      <c r="I73" s="204"/>
      <c r="J73" s="204"/>
      <c r="K73" s="204"/>
      <c r="L73" s="204"/>
      <c r="M73" s="204"/>
      <c r="N73" s="454"/>
      <c r="O73" s="455"/>
      <c r="P73" s="456"/>
      <c r="V73" s="4"/>
      <c r="W73" s="303"/>
      <c r="X73" s="303"/>
      <c r="Y73" s="307"/>
      <c r="Z73" s="307"/>
      <c r="AA73" s="307"/>
      <c r="AB73" s="307"/>
      <c r="AC73" s="307"/>
      <c r="AD73" s="307"/>
      <c r="AE73" s="307"/>
      <c r="AF73" s="307"/>
      <c r="AG73" s="307"/>
      <c r="AH73" s="307"/>
      <c r="AI73" s="307"/>
      <c r="AJ73" s="307"/>
      <c r="AK73" s="307"/>
      <c r="AL73" s="307"/>
      <c r="AM73" s="307"/>
      <c r="AN73" s="307"/>
      <c r="AO73" s="307"/>
      <c r="AP73" s="307"/>
      <c r="AQ73" s="307"/>
      <c r="AR73" s="307"/>
      <c r="AS73" s="307"/>
      <c r="AT73" s="307"/>
      <c r="AU73" s="307"/>
      <c r="AV73" s="307"/>
      <c r="AW73" s="321"/>
      <c r="AX73" s="307"/>
      <c r="AY73" s="307"/>
      <c r="AZ73" s="305"/>
      <c r="BA73" s="4"/>
      <c r="BB73" s="305"/>
      <c r="BC73" s="305"/>
      <c r="BD73" s="305"/>
      <c r="BE73" s="305"/>
      <c r="BF73" s="305"/>
      <c r="BG73" s="305"/>
      <c r="BH73" s="4"/>
    </row>
    <row r="74" spans="1:60" ht="15.75" customHeight="1" x14ac:dyDescent="0.2">
      <c r="A74" s="765"/>
      <c r="B74" s="190"/>
      <c r="C74" s="191">
        <f>ROUNDDOWN(D74,0)</f>
        <v>44368</v>
      </c>
      <c r="D74" s="194">
        <f t="shared" ref="D74:E77" si="24">AS74</f>
        <v>44368.749999999993</v>
      </c>
      <c r="E74" s="194">
        <f t="shared" si="24"/>
        <v>44368.749999999993</v>
      </c>
      <c r="F74" s="207" t="str">
        <f t="shared" ref="F74:G77" si="25">AV74</f>
        <v>Amszterdam</v>
      </c>
      <c r="G74" s="208" t="str">
        <f t="shared" si="25"/>
        <v>Johan Cruijff Arena</v>
      </c>
      <c r="H74" s="384"/>
      <c r="I74" s="195" t="str">
        <f>AE74</f>
        <v>Észak-Macedónia</v>
      </c>
      <c r="J74" s="209"/>
      <c r="K74" s="210" t="s">
        <v>811</v>
      </c>
      <c r="L74" s="211"/>
      <c r="M74" s="196" t="str">
        <f>AH74</f>
        <v>Hollandia</v>
      </c>
      <c r="N74" s="460"/>
      <c r="O74" s="457" t="str">
        <f>IF(AK74,"–","")</f>
        <v/>
      </c>
      <c r="P74" s="461"/>
      <c r="R74" s="590"/>
      <c r="X74" s="303">
        <v>27</v>
      </c>
      <c r="Y74" s="309" t="str">
        <f>AE74&amp;AH74</f>
        <v>Észak-MacedóniaHollandia</v>
      </c>
      <c r="Z74" s="309" t="b">
        <f>AND(J74&lt;&gt;"",L74&lt;&gt;"",COUNTIF(teams,AE74)&gt;0)</f>
        <v>0</v>
      </c>
      <c r="AA74" s="310" t="str">
        <f>IF($Z74,IF(AF74&gt;AG74,AE74,IF(AF74&lt;AG74,AH74,"")),"")</f>
        <v/>
      </c>
      <c r="AB74" s="310" t="str">
        <f>IF($Z74,IF(AF74=AG74,AE74,""),"")</f>
        <v/>
      </c>
      <c r="AC74" s="310" t="str">
        <f>IF($Z74,IF(AF74=AG74,AH74,""),"")</f>
        <v/>
      </c>
      <c r="AD74" s="310" t="str">
        <f>IF($Z74,IF(AF74&gt;AG74,AH74,IF(AF74&lt;AG74,AE74,"")),"")</f>
        <v/>
      </c>
      <c r="AE74" s="309" t="str">
        <f>VLOOKUP($X74,schedule,AE$6,FALSE)</f>
        <v>Észak-Macedónia</v>
      </c>
      <c r="AF74" s="311" t="str">
        <f>IF($Z74,J74,"")</f>
        <v/>
      </c>
      <c r="AG74" s="311" t="str">
        <f>IF($Z74,L74,"")</f>
        <v/>
      </c>
      <c r="AH74" s="309" t="str">
        <f>VLOOKUP($X74,schedule,AH$6,FALSE)</f>
        <v>Hollandia</v>
      </c>
      <c r="AI74" s="311" t="str">
        <f>IF($Z74,AG74,"")</f>
        <v/>
      </c>
      <c r="AJ74" s="311" t="str">
        <f>IF($Z74,AF74,"")</f>
        <v/>
      </c>
      <c r="AK74" s="311" t="b">
        <f>AND(Z74,AB74&lt;&gt;"",COUNTIF(tie.3rdm,Y74)&gt;0)</f>
        <v>0</v>
      </c>
      <c r="AL74" s="311" t="b">
        <f>AND(N74&lt;&gt;"",P74&lt;&gt;"",N74&lt;&gt;P74,J74=L74,AK74)</f>
        <v>0</v>
      </c>
      <c r="AM74" s="452" t="str">
        <f>IF(AL74,IF(AN74&gt;AO74,AE74,AH74),"")</f>
        <v/>
      </c>
      <c r="AN74" s="311" t="str">
        <f>IF(N74="","",N74)</f>
        <v/>
      </c>
      <c r="AO74" s="311" t="str">
        <f>IF(P74="","",P74)</f>
        <v/>
      </c>
      <c r="AP74" s="310" t="str">
        <f>AA74</f>
        <v/>
      </c>
      <c r="AQ74" s="310" t="str">
        <f>AD74</f>
        <v/>
      </c>
      <c r="AR74" s="311" t="str">
        <f t="shared" ref="AR74:AW77" si="26">VLOOKUP($X74,schedule,AR$6,FALSE)</f>
        <v>C</v>
      </c>
      <c r="AS74" s="312">
        <f t="shared" si="26"/>
        <v>44368.749999999993</v>
      </c>
      <c r="AT74" s="312">
        <f t="shared" si="26"/>
        <v>44368.749999999993</v>
      </c>
      <c r="AU74" s="312" t="str">
        <f t="shared" si="26"/>
        <v>18:00</v>
      </c>
      <c r="AV74" s="312" t="str">
        <f t="shared" si="26"/>
        <v>Amszterdam</v>
      </c>
      <c r="AW74" s="313" t="str">
        <f t="shared" si="26"/>
        <v>Johan Cruijff Arena</v>
      </c>
      <c r="AX74" s="312"/>
      <c r="AY74" s="312"/>
      <c r="BC74" s="311" t="b">
        <f ca="1">ROUNDDOWN(AT74,0)&lt;TODAY()</f>
        <v>0</v>
      </c>
      <c r="BD74" s="311" t="b">
        <f ca="1">AND(AT74&lt;=NOW(),AT74+0.1&gt;=NOW(),NOT(Z74))</f>
        <v>0</v>
      </c>
      <c r="BE74" s="311" t="b">
        <f ca="1">AND(NOT(Z74),AT74&lt;NOW())</f>
        <v>0</v>
      </c>
      <c r="BF74" s="311" t="b">
        <f ca="1">AT74&lt;=NOW()</f>
        <v>0</v>
      </c>
    </row>
    <row r="75" spans="1:60" ht="15.75" customHeight="1" x14ac:dyDescent="0.2">
      <c r="A75" s="765"/>
      <c r="B75" s="190"/>
      <c r="C75" s="197"/>
      <c r="D75" s="194">
        <f t="shared" si="24"/>
        <v>44368.791666666657</v>
      </c>
      <c r="E75" s="194">
        <f t="shared" si="24"/>
        <v>44368.749999999993</v>
      </c>
      <c r="F75" s="207" t="str">
        <f t="shared" si="25"/>
        <v>Bukarest</v>
      </c>
      <c r="G75" s="208" t="str">
        <f t="shared" si="25"/>
        <v>Nemzeti Stadion</v>
      </c>
      <c r="H75" s="384"/>
      <c r="I75" s="195" t="str">
        <f>AE75</f>
        <v>Ukrajna</v>
      </c>
      <c r="J75" s="209"/>
      <c r="K75" s="210" t="s">
        <v>811</v>
      </c>
      <c r="L75" s="211"/>
      <c r="M75" s="196" t="str">
        <f>AH75</f>
        <v>Ausztria</v>
      </c>
      <c r="N75" s="460"/>
      <c r="O75" s="457" t="str">
        <f>IF(AK75,"–","")</f>
        <v/>
      </c>
      <c r="P75" s="461"/>
      <c r="R75" s="590"/>
      <c r="X75" s="303">
        <v>28</v>
      </c>
      <c r="Y75" s="309" t="str">
        <f>AE75&amp;AH75</f>
        <v>UkrajnaAusztria</v>
      </c>
      <c r="Z75" s="309" t="b">
        <f>AND(J75&lt;&gt;"",L75&lt;&gt;"",COUNTIF(teams,AE75)&gt;0)</f>
        <v>0</v>
      </c>
      <c r="AA75" s="310" t="str">
        <f>IF($Z75,IF(AF75&gt;AG75,AE75,IF(AF75&lt;AG75,AH75,"")),"")</f>
        <v/>
      </c>
      <c r="AB75" s="310" t="str">
        <f>IF($Z75,IF(AF75=AG75,AE75,""),"")</f>
        <v/>
      </c>
      <c r="AC75" s="310" t="str">
        <f>IF($Z75,IF(AF75=AG75,AH75,""),"")</f>
        <v/>
      </c>
      <c r="AD75" s="310" t="str">
        <f>IF($Z75,IF(AF75&gt;AG75,AH75,IF(AF75&lt;AG75,AE75,"")),"")</f>
        <v/>
      </c>
      <c r="AE75" s="309" t="str">
        <f>VLOOKUP($X75,schedule,AE$6,FALSE)</f>
        <v>Ukrajna</v>
      </c>
      <c r="AF75" s="311" t="str">
        <f>IF($Z75,J75,"")</f>
        <v/>
      </c>
      <c r="AG75" s="311" t="str">
        <f>IF($Z75,L75,"")</f>
        <v/>
      </c>
      <c r="AH75" s="309" t="str">
        <f>VLOOKUP($X75,schedule,AH$6,FALSE)</f>
        <v>Ausztria</v>
      </c>
      <c r="AI75" s="311" t="str">
        <f>IF($Z75,AG75,"")</f>
        <v/>
      </c>
      <c r="AJ75" s="311" t="str">
        <f>IF($Z75,AF75,"")</f>
        <v/>
      </c>
      <c r="AK75" s="311" t="b">
        <f>AND(Z75,AB75&lt;&gt;"",COUNTIF(tie.3rdm,Y75)&gt;0)</f>
        <v>0</v>
      </c>
      <c r="AL75" s="311" t="b">
        <f>AND(N75&lt;&gt;"",P75&lt;&gt;"",N75&lt;&gt;P75,J75=L75,AK75)</f>
        <v>0</v>
      </c>
      <c r="AM75" s="452" t="str">
        <f>IF(AL75,IF(AN75&gt;AO75,AE75,AH75),"")</f>
        <v/>
      </c>
      <c r="AN75" s="311" t="str">
        <f>IF(N75="","",N75)</f>
        <v/>
      </c>
      <c r="AO75" s="311" t="str">
        <f>IF(P75="","",P75)</f>
        <v/>
      </c>
      <c r="AP75" s="310" t="str">
        <f>AA75</f>
        <v/>
      </c>
      <c r="AQ75" s="310" t="str">
        <f>AD75</f>
        <v/>
      </c>
      <c r="AR75" s="311" t="str">
        <f t="shared" si="26"/>
        <v>C</v>
      </c>
      <c r="AS75" s="312">
        <f t="shared" si="26"/>
        <v>44368.791666666657</v>
      </c>
      <c r="AT75" s="312">
        <f t="shared" si="26"/>
        <v>44368.749999999993</v>
      </c>
      <c r="AU75" s="312" t="str">
        <f t="shared" si="26"/>
        <v>18:00</v>
      </c>
      <c r="AV75" s="312" t="str">
        <f t="shared" si="26"/>
        <v>Bukarest</v>
      </c>
      <c r="AW75" s="313" t="str">
        <f t="shared" si="26"/>
        <v>Nemzeti Stadion</v>
      </c>
      <c r="AX75" s="312"/>
      <c r="AY75" s="312"/>
      <c r="BC75" s="311" t="b">
        <f ca="1">ROUNDDOWN(AT75,0)&lt;TODAY()</f>
        <v>0</v>
      </c>
      <c r="BD75" s="311" t="b">
        <f ca="1">AND(AT75&lt;=NOW(),AT75+0.1&gt;=NOW(),NOT(Z75))</f>
        <v>0</v>
      </c>
      <c r="BE75" s="311" t="b">
        <f ca="1">AND(NOT(Z75),AT75&lt;NOW())</f>
        <v>0</v>
      </c>
      <c r="BF75" s="311" t="b">
        <f ca="1">AT75&lt;=NOW()</f>
        <v>0</v>
      </c>
    </row>
    <row r="76" spans="1:60" ht="15.75" customHeight="1" x14ac:dyDescent="0.2">
      <c r="A76" s="765"/>
      <c r="B76" s="190"/>
      <c r="C76" s="190"/>
      <c r="D76" s="194">
        <f t="shared" si="24"/>
        <v>44368.916666666657</v>
      </c>
      <c r="E76" s="194">
        <f t="shared" si="24"/>
        <v>44368.874999999993</v>
      </c>
      <c r="F76" s="207" t="str">
        <f t="shared" si="25"/>
        <v>Szentpétervár</v>
      </c>
      <c r="G76" s="208" t="str">
        <f t="shared" si="25"/>
        <v>Kresztovszkij Stadion</v>
      </c>
      <c r="H76" s="384"/>
      <c r="I76" s="195" t="str">
        <f>AE76</f>
        <v>Finnország</v>
      </c>
      <c r="J76" s="209"/>
      <c r="K76" s="210" t="s">
        <v>811</v>
      </c>
      <c r="L76" s="211"/>
      <c r="M76" s="196" t="str">
        <f>AH76</f>
        <v>Belgium</v>
      </c>
      <c r="N76" s="460"/>
      <c r="O76" s="457" t="str">
        <f>IF(AK76,"–","")</f>
        <v/>
      </c>
      <c r="P76" s="461"/>
      <c r="R76" s="590"/>
      <c r="X76" s="303">
        <v>29</v>
      </c>
      <c r="Y76" s="309" t="str">
        <f>AE76&amp;AH76</f>
        <v>FinnországBelgium</v>
      </c>
      <c r="Z76" s="309" t="b">
        <f>AND(J76&lt;&gt;"",L76&lt;&gt;"",COUNTIF(teams,AE76)&gt;0)</f>
        <v>0</v>
      </c>
      <c r="AA76" s="310" t="str">
        <f>IF($Z76,IF(AF76&gt;AG76,AE76,IF(AF76&lt;AG76,AH76,"")),"")</f>
        <v/>
      </c>
      <c r="AB76" s="310" t="str">
        <f>IF($Z76,IF(AF76=AG76,AE76,""),"")</f>
        <v/>
      </c>
      <c r="AC76" s="310" t="str">
        <f>IF($Z76,IF(AF76=AG76,AH76,""),"")</f>
        <v/>
      </c>
      <c r="AD76" s="310" t="str">
        <f>IF($Z76,IF(AF76&gt;AG76,AH76,IF(AF76&lt;AG76,AE76,"")),"")</f>
        <v/>
      </c>
      <c r="AE76" s="309" t="str">
        <f>VLOOKUP($X76,schedule,AE$6,FALSE)</f>
        <v>Finnország</v>
      </c>
      <c r="AF76" s="311" t="str">
        <f>IF($Z76,J76,"")</f>
        <v/>
      </c>
      <c r="AG76" s="311" t="str">
        <f>IF($Z76,L76,"")</f>
        <v/>
      </c>
      <c r="AH76" s="309" t="str">
        <f>VLOOKUP($X76,schedule,AH$6,FALSE)</f>
        <v>Belgium</v>
      </c>
      <c r="AI76" s="311" t="str">
        <f>IF($Z76,AG76,"")</f>
        <v/>
      </c>
      <c r="AJ76" s="311" t="str">
        <f>IF($Z76,AF76,"")</f>
        <v/>
      </c>
      <c r="AK76" s="311" t="b">
        <f>AND(Z76,AB76&lt;&gt;"",COUNTIF(tie.3rdm,Y76)&gt;0)</f>
        <v>0</v>
      </c>
      <c r="AL76" s="311" t="b">
        <f>AND(N76&lt;&gt;"",P76&lt;&gt;"",N76&lt;&gt;P76,J76=L76,AK76)</f>
        <v>0</v>
      </c>
      <c r="AM76" s="452" t="str">
        <f>IF(AL76,IF(AN76&gt;AO76,AE76,AH76),"")</f>
        <v/>
      </c>
      <c r="AN76" s="311" t="str">
        <f>IF(N76="","",N76)</f>
        <v/>
      </c>
      <c r="AO76" s="311" t="str">
        <f>IF(P76="","",P76)</f>
        <v/>
      </c>
      <c r="AP76" s="310" t="str">
        <f>AA76</f>
        <v/>
      </c>
      <c r="AQ76" s="310" t="str">
        <f>AD76</f>
        <v/>
      </c>
      <c r="AR76" s="311" t="str">
        <f t="shared" si="26"/>
        <v>B</v>
      </c>
      <c r="AS76" s="312">
        <f t="shared" si="26"/>
        <v>44368.916666666657</v>
      </c>
      <c r="AT76" s="312">
        <f t="shared" si="26"/>
        <v>44368.874999999993</v>
      </c>
      <c r="AU76" s="312" t="str">
        <f t="shared" si="26"/>
        <v>21:00</v>
      </c>
      <c r="AV76" s="312" t="str">
        <f t="shared" si="26"/>
        <v>Szentpétervár</v>
      </c>
      <c r="AW76" s="313" t="str">
        <f t="shared" si="26"/>
        <v>Kresztovszkij Stadion</v>
      </c>
      <c r="AX76" s="312"/>
      <c r="AY76" s="312"/>
      <c r="BC76" s="311" t="b">
        <f ca="1">ROUNDDOWN(AT76,0)&lt;TODAY()</f>
        <v>0</v>
      </c>
      <c r="BD76" s="311" t="b">
        <f ca="1">AND(AT76&lt;=NOW(),AT76+0.1&gt;=NOW(),NOT(Z76))</f>
        <v>0</v>
      </c>
      <c r="BE76" s="311" t="b">
        <f ca="1">AND(NOT(Z76),AT76&lt;NOW())</f>
        <v>0</v>
      </c>
      <c r="BF76" s="311" t="b">
        <f ca="1">AT76&lt;=NOW()</f>
        <v>0</v>
      </c>
    </row>
    <row r="77" spans="1:60" ht="15.75" customHeight="1" x14ac:dyDescent="0.2">
      <c r="A77" s="765"/>
      <c r="B77" s="190"/>
      <c r="C77" s="190"/>
      <c r="D77" s="194">
        <f t="shared" si="24"/>
        <v>44368.874999999993</v>
      </c>
      <c r="E77" s="194">
        <f t="shared" si="24"/>
        <v>44368.874999999993</v>
      </c>
      <c r="F77" s="207" t="str">
        <f t="shared" si="25"/>
        <v>Koppenhága</v>
      </c>
      <c r="G77" s="208" t="str">
        <f t="shared" si="25"/>
        <v>Parken Stadion</v>
      </c>
      <c r="H77" s="384"/>
      <c r="I77" s="195" t="str">
        <f>AE77</f>
        <v>Oroszország</v>
      </c>
      <c r="J77" s="209"/>
      <c r="K77" s="210" t="s">
        <v>811</v>
      </c>
      <c r="L77" s="211"/>
      <c r="M77" s="196" t="str">
        <f>AH77</f>
        <v>Dánia</v>
      </c>
      <c r="N77" s="460"/>
      <c r="O77" s="457" t="str">
        <f>IF(AK77,"–","")</f>
        <v/>
      </c>
      <c r="P77" s="461"/>
      <c r="R77" s="590"/>
      <c r="X77" s="303">
        <v>30</v>
      </c>
      <c r="Y77" s="309" t="str">
        <f>AE77&amp;AH77</f>
        <v>OroszországDánia</v>
      </c>
      <c r="Z77" s="309" t="b">
        <f>AND(J77&lt;&gt;"",L77&lt;&gt;"",COUNTIF(teams,AE77)&gt;0)</f>
        <v>0</v>
      </c>
      <c r="AA77" s="310" t="str">
        <f>IF($Z77,IF(AF77&gt;AG77,AE77,IF(AF77&lt;AG77,AH77,"")),"")</f>
        <v/>
      </c>
      <c r="AB77" s="310" t="str">
        <f>IF($Z77,IF(AF77=AG77,AE77,""),"")</f>
        <v/>
      </c>
      <c r="AC77" s="310" t="str">
        <f>IF($Z77,IF(AF77=AG77,AH77,""),"")</f>
        <v/>
      </c>
      <c r="AD77" s="310" t="str">
        <f>IF($Z77,IF(AF77&gt;AG77,AH77,IF(AF77&lt;AG77,AE77,"")),"")</f>
        <v/>
      </c>
      <c r="AE77" s="309" t="str">
        <f>VLOOKUP($X77,schedule,AE$6,FALSE)</f>
        <v>Oroszország</v>
      </c>
      <c r="AF77" s="311" t="str">
        <f>IF($Z77,J77,"")</f>
        <v/>
      </c>
      <c r="AG77" s="311" t="str">
        <f>IF($Z77,L77,"")</f>
        <v/>
      </c>
      <c r="AH77" s="309" t="str">
        <f>VLOOKUP($X77,schedule,AH$6,FALSE)</f>
        <v>Dánia</v>
      </c>
      <c r="AI77" s="311" t="str">
        <f>IF($Z77,AG77,"")</f>
        <v/>
      </c>
      <c r="AJ77" s="311" t="str">
        <f>IF($Z77,AF77,"")</f>
        <v/>
      </c>
      <c r="AK77" s="311" t="b">
        <f>AND(Z77,AB77&lt;&gt;"",COUNTIF(tie.3rdm,Y77)&gt;0)</f>
        <v>0</v>
      </c>
      <c r="AL77" s="311" t="b">
        <f>AND(N77&lt;&gt;"",P77&lt;&gt;"",N77&lt;&gt;P77,J77=L77,AK77)</f>
        <v>0</v>
      </c>
      <c r="AM77" s="452" t="str">
        <f>IF(AL77,IF(AN77&gt;AO77,AE77,AH77),"")</f>
        <v/>
      </c>
      <c r="AN77" s="311" t="str">
        <f>IF(N77="","",N77)</f>
        <v/>
      </c>
      <c r="AO77" s="311" t="str">
        <f>IF(P77="","",P77)</f>
        <v/>
      </c>
      <c r="AP77" s="310" t="str">
        <f>AA77</f>
        <v/>
      </c>
      <c r="AQ77" s="310" t="str">
        <f>AD77</f>
        <v/>
      </c>
      <c r="AR77" s="311" t="str">
        <f t="shared" si="26"/>
        <v>B</v>
      </c>
      <c r="AS77" s="312">
        <f t="shared" si="26"/>
        <v>44368.874999999993</v>
      </c>
      <c r="AT77" s="312">
        <f t="shared" si="26"/>
        <v>44368.874999999993</v>
      </c>
      <c r="AU77" s="312" t="str">
        <f t="shared" si="26"/>
        <v>21:00</v>
      </c>
      <c r="AV77" s="312" t="str">
        <f t="shared" si="26"/>
        <v>Koppenhága</v>
      </c>
      <c r="AW77" s="313" t="str">
        <f t="shared" si="26"/>
        <v>Parken Stadion</v>
      </c>
      <c r="AX77" s="312"/>
      <c r="AY77" s="312"/>
      <c r="BC77" s="311" t="b">
        <f ca="1">ROUNDDOWN(AT77,0)&lt;TODAY()</f>
        <v>0</v>
      </c>
      <c r="BD77" s="311" t="b">
        <f ca="1">AND(AT77&lt;=NOW(),AT77+0.1&gt;=NOW(),NOT(Z77))</f>
        <v>0</v>
      </c>
      <c r="BE77" s="311" t="b">
        <f ca="1">AND(NOT(Z77),AT77&lt;NOW())</f>
        <v>0</v>
      </c>
      <c r="BF77" s="311" t="b">
        <f ca="1">AT77&lt;=NOW()</f>
        <v>0</v>
      </c>
    </row>
    <row r="78" spans="1:60" ht="15.75" customHeight="1" x14ac:dyDescent="0.2">
      <c r="A78" s="765"/>
      <c r="C78" s="197"/>
      <c r="D78" s="198"/>
      <c r="E78" s="198"/>
      <c r="F78" s="54"/>
      <c r="G78" s="54"/>
      <c r="H78" s="35"/>
      <c r="J78" s="199"/>
      <c r="L78" s="199"/>
      <c r="N78" s="192"/>
      <c r="AA78" s="314"/>
      <c r="AB78" s="314"/>
      <c r="AC78" s="314"/>
      <c r="AD78" s="314"/>
      <c r="AP78" s="319"/>
      <c r="AQ78" s="319"/>
      <c r="AR78" s="316"/>
      <c r="AS78" s="317"/>
      <c r="AT78" s="318"/>
      <c r="AU78" s="318"/>
      <c r="AV78" s="319"/>
      <c r="AW78" s="320"/>
      <c r="AX78" s="319"/>
      <c r="AY78" s="319"/>
    </row>
    <row r="79" spans="1:60" ht="9" customHeight="1" x14ac:dyDescent="0.2">
      <c r="A79" s="765"/>
      <c r="C79" s="197"/>
      <c r="D79" s="198"/>
      <c r="E79" s="198"/>
      <c r="F79" s="54"/>
      <c r="G79" s="54"/>
      <c r="H79" s="35"/>
      <c r="J79" s="199"/>
      <c r="L79" s="199"/>
      <c r="N79" s="192"/>
      <c r="AA79" s="314"/>
      <c r="AB79" s="314"/>
      <c r="AC79" s="314"/>
      <c r="AD79" s="314"/>
      <c r="AP79" s="319"/>
      <c r="AQ79" s="319"/>
      <c r="AR79" s="316"/>
      <c r="AS79" s="317"/>
      <c r="AT79" s="318"/>
      <c r="AU79" s="318"/>
      <c r="AV79" s="319"/>
      <c r="AW79" s="320"/>
      <c r="AX79" s="319"/>
      <c r="AY79" s="319"/>
    </row>
    <row r="80" spans="1:60" s="206" customFormat="1" ht="13.5" customHeight="1" x14ac:dyDescent="0.2">
      <c r="A80" s="765"/>
      <c r="B80" s="204"/>
      <c r="C80" s="300" t="s">
        <v>845</v>
      </c>
      <c r="D80" s="301" t="s">
        <v>844</v>
      </c>
      <c r="E80" s="301" t="s">
        <v>562</v>
      </c>
      <c r="F80" s="302"/>
      <c r="G80" s="302" t="s">
        <v>843</v>
      </c>
      <c r="H80" s="302" t="s">
        <v>842</v>
      </c>
      <c r="I80" s="302"/>
      <c r="J80" s="302"/>
      <c r="K80" s="301" t="s">
        <v>642</v>
      </c>
      <c r="L80" s="302"/>
      <c r="M80" s="302"/>
      <c r="N80" s="453"/>
      <c r="O80" s="459"/>
      <c r="P80" s="458" t="str">
        <f>IF(O82&amp;O83&amp;O84&lt;&gt;"","BÜNTETŐK","")</f>
        <v/>
      </c>
      <c r="Q80" s="302"/>
      <c r="R80" s="301" t="s">
        <v>1255</v>
      </c>
      <c r="V80" s="4"/>
      <c r="W80" s="303"/>
      <c r="X80" s="303"/>
      <c r="Y80" s="307"/>
      <c r="Z80" s="307"/>
      <c r="AA80" s="307"/>
      <c r="AB80" s="307"/>
      <c r="AC80" s="307"/>
      <c r="AD80" s="307"/>
      <c r="AE80" s="307"/>
      <c r="AF80" s="307"/>
      <c r="AG80" s="307"/>
      <c r="AH80" s="307"/>
      <c r="AI80" s="307"/>
      <c r="AJ80" s="307"/>
      <c r="AK80" s="307"/>
      <c r="AL80" s="307"/>
      <c r="AM80" s="307"/>
      <c r="AN80" s="307"/>
      <c r="AO80" s="307"/>
      <c r="AP80" s="307"/>
      <c r="AQ80" s="307"/>
      <c r="AR80" s="307"/>
      <c r="AS80" s="307"/>
      <c r="AT80" s="307"/>
      <c r="AU80" s="307"/>
      <c r="AV80" s="307"/>
      <c r="AW80" s="321"/>
      <c r="AX80" s="307"/>
      <c r="AY80" s="307"/>
      <c r="AZ80" s="305"/>
      <c r="BA80" s="4"/>
      <c r="BB80" s="305"/>
      <c r="BC80" s="311" t="b">
        <f ca="1">ROUNDDOWN(AS82,0)=ROUNDDOWN(NOW()-5/24,0)</f>
        <v>0</v>
      </c>
      <c r="BD80" s="305"/>
      <c r="BE80" s="305"/>
      <c r="BF80" s="305"/>
      <c r="BG80" s="305"/>
      <c r="BH80" s="4"/>
    </row>
    <row r="81" spans="1:60" s="206" customFormat="1" ht="5.25" customHeight="1" x14ac:dyDescent="0.2">
      <c r="A81" s="765"/>
      <c r="B81" s="204"/>
      <c r="C81" s="204"/>
      <c r="D81" s="204"/>
      <c r="E81" s="204"/>
      <c r="F81" s="204"/>
      <c r="G81" s="204"/>
      <c r="H81" s="383"/>
      <c r="I81" s="204"/>
      <c r="J81" s="204"/>
      <c r="K81" s="204"/>
      <c r="L81" s="204"/>
      <c r="M81" s="204"/>
      <c r="N81" s="454"/>
      <c r="O81" s="455"/>
      <c r="P81" s="456"/>
      <c r="V81" s="4"/>
      <c r="W81" s="303"/>
      <c r="X81" s="303"/>
      <c r="Y81" s="307"/>
      <c r="Z81" s="307"/>
      <c r="AA81" s="307"/>
      <c r="AB81" s="307"/>
      <c r="AC81" s="307"/>
      <c r="AD81" s="307"/>
      <c r="AE81" s="307"/>
      <c r="AF81" s="307"/>
      <c r="AG81" s="307"/>
      <c r="AH81" s="307"/>
      <c r="AI81" s="307"/>
      <c r="AJ81" s="307"/>
      <c r="AK81" s="307"/>
      <c r="AL81" s="307"/>
      <c r="AM81" s="307"/>
      <c r="AN81" s="307"/>
      <c r="AO81" s="307"/>
      <c r="AP81" s="307"/>
      <c r="AQ81" s="307"/>
      <c r="AR81" s="307"/>
      <c r="AS81" s="307"/>
      <c r="AT81" s="307"/>
      <c r="AU81" s="307"/>
      <c r="AV81" s="307"/>
      <c r="AW81" s="321"/>
      <c r="AX81" s="307"/>
      <c r="AY81" s="307"/>
      <c r="AZ81" s="305"/>
      <c r="BA81" s="4"/>
      <c r="BB81" s="305"/>
      <c r="BC81" s="305"/>
      <c r="BD81" s="305"/>
      <c r="BE81" s="305"/>
      <c r="BF81" s="305"/>
      <c r="BG81" s="305"/>
      <c r="BH81" s="4"/>
    </row>
    <row r="82" spans="1:60" ht="15.75" customHeight="1" x14ac:dyDescent="0.2">
      <c r="A82" s="765"/>
      <c r="B82" s="190"/>
      <c r="C82" s="191">
        <f>ROUNDDOWN(D82,0)</f>
        <v>44369</v>
      </c>
      <c r="D82" s="194">
        <f>AS82</f>
        <v>44369.833333333328</v>
      </c>
      <c r="E82" s="194">
        <f>AT82</f>
        <v>44369.874999999993</v>
      </c>
      <c r="F82" s="207" t="str">
        <f>AV82</f>
        <v>London</v>
      </c>
      <c r="G82" s="208" t="str">
        <f>AW82</f>
        <v>Wembley Stadion</v>
      </c>
      <c r="H82" s="384"/>
      <c r="I82" s="195" t="str">
        <f>AE82</f>
        <v>Csehország</v>
      </c>
      <c r="J82" s="209"/>
      <c r="K82" s="210" t="s">
        <v>811</v>
      </c>
      <c r="L82" s="211"/>
      <c r="M82" s="196" t="str">
        <f>AH82</f>
        <v>Anglia</v>
      </c>
      <c r="N82" s="460"/>
      <c r="O82" s="457" t="str">
        <f>IF(AK82,"–","")</f>
        <v/>
      </c>
      <c r="P82" s="461"/>
      <c r="R82" s="590"/>
      <c r="X82" s="303">
        <v>31</v>
      </c>
      <c r="Y82" s="309" t="str">
        <f>AE82&amp;AH82</f>
        <v>CsehországAnglia</v>
      </c>
      <c r="Z82" s="309" t="b">
        <f>AND(J82&lt;&gt;"",L82&lt;&gt;"",COUNTIF(teams,AE82)&gt;0)</f>
        <v>0</v>
      </c>
      <c r="AA82" s="310" t="str">
        <f>IF($Z82,IF(AF82&gt;AG82,AE82,IF(AF82&lt;AG82,AH82,"")),"")</f>
        <v/>
      </c>
      <c r="AB82" s="310" t="str">
        <f>IF($Z82,IF(AF82=AG82,AE82,""),"")</f>
        <v/>
      </c>
      <c r="AC82" s="310" t="str">
        <f>IF($Z82,IF(AF82=AG82,AH82,""),"")</f>
        <v/>
      </c>
      <c r="AD82" s="310" t="str">
        <f>IF($Z82,IF(AF82&gt;AG82,AH82,IF(AF82&lt;AG82,AE82,"")),"")</f>
        <v/>
      </c>
      <c r="AE82" s="309" t="str">
        <f>VLOOKUP($X82,schedule,AE$6,FALSE)</f>
        <v>Csehország</v>
      </c>
      <c r="AF82" s="311" t="str">
        <f>IF($Z82,J82,"")</f>
        <v/>
      </c>
      <c r="AG82" s="311" t="str">
        <f>IF($Z82,L82,"")</f>
        <v/>
      </c>
      <c r="AH82" s="309" t="str">
        <f>VLOOKUP($X82,schedule,AH$6,FALSE)</f>
        <v>Anglia</v>
      </c>
      <c r="AI82" s="311" t="str">
        <f>IF($Z82,AG82,"")</f>
        <v/>
      </c>
      <c r="AJ82" s="311" t="str">
        <f>IF($Z82,AF82,"")</f>
        <v/>
      </c>
      <c r="AK82" s="311" t="b">
        <f>AND(Z82,AB82&lt;&gt;"",COUNTIF(tie.3rdm,Y82)&gt;0)</f>
        <v>0</v>
      </c>
      <c r="AL82" s="311" t="b">
        <f>AND(N82&lt;&gt;"",P82&lt;&gt;"",N82&lt;&gt;P82,J82=L82,AK82)</f>
        <v>0</v>
      </c>
      <c r="AM82" s="452" t="str">
        <f>IF(AL82,IF(AN82&gt;AO82,AE82,AH82),"")</f>
        <v/>
      </c>
      <c r="AN82" s="311" t="str">
        <f>IF(N82="","",N82)</f>
        <v/>
      </c>
      <c r="AO82" s="311" t="str">
        <f>IF(P82="","",P82)</f>
        <v/>
      </c>
      <c r="AP82" s="310" t="str">
        <f>AA82</f>
        <v/>
      </c>
      <c r="AQ82" s="310" t="str">
        <f>AD82</f>
        <v/>
      </c>
      <c r="AR82" s="311" t="str">
        <f t="shared" ref="AR82:AW83" si="27">VLOOKUP($X82,schedule,AR$6,FALSE)</f>
        <v>D</v>
      </c>
      <c r="AS82" s="312">
        <f t="shared" si="27"/>
        <v>44369.833333333328</v>
      </c>
      <c r="AT82" s="312">
        <f t="shared" si="27"/>
        <v>44369.874999999993</v>
      </c>
      <c r="AU82" s="312" t="str">
        <f t="shared" si="27"/>
        <v>21:00</v>
      </c>
      <c r="AV82" s="312" t="str">
        <f t="shared" si="27"/>
        <v>London</v>
      </c>
      <c r="AW82" s="313" t="str">
        <f t="shared" si="27"/>
        <v>Wembley Stadion</v>
      </c>
      <c r="AX82" s="312"/>
      <c r="AY82" s="312"/>
      <c r="BC82" s="311" t="b">
        <f ca="1">ROUNDDOWN(AT82,0)&lt;TODAY()</f>
        <v>0</v>
      </c>
      <c r="BD82" s="311" t="b">
        <f ca="1">AND(AT82&lt;=NOW(),AT82+0.1&gt;=NOW(),NOT(Z82))</f>
        <v>0</v>
      </c>
      <c r="BE82" s="311" t="b">
        <f ca="1">AND(NOT(Z82),AT82&lt;NOW())</f>
        <v>0</v>
      </c>
      <c r="BF82" s="311" t="b">
        <f ca="1">AT82&lt;=NOW()</f>
        <v>0</v>
      </c>
    </row>
    <row r="83" spans="1:60" ht="15.75" customHeight="1" x14ac:dyDescent="0.2">
      <c r="A83" s="765"/>
      <c r="B83" s="190"/>
      <c r="C83" s="197"/>
      <c r="D83" s="194">
        <f>AS83</f>
        <v>44369.833333333328</v>
      </c>
      <c r="E83" s="194">
        <f>AT83</f>
        <v>44369.874999999993</v>
      </c>
      <c r="F83" s="207" t="str">
        <f>AV83</f>
        <v>Glasgow</v>
      </c>
      <c r="G83" s="208" t="str">
        <f>AW83</f>
        <v>Hampden Park</v>
      </c>
      <c r="H83" s="384"/>
      <c r="I83" s="195" t="str">
        <f>AE83</f>
        <v>Horvátország</v>
      </c>
      <c r="J83" s="209"/>
      <c r="K83" s="210" t="s">
        <v>811</v>
      </c>
      <c r="L83" s="211"/>
      <c r="M83" s="196" t="str">
        <f>AH83</f>
        <v>Skócia</v>
      </c>
      <c r="N83" s="460"/>
      <c r="O83" s="457" t="str">
        <f>IF(AK83,"–","")</f>
        <v/>
      </c>
      <c r="P83" s="461"/>
      <c r="R83" s="590"/>
      <c r="X83" s="303">
        <v>32</v>
      </c>
      <c r="Y83" s="309" t="str">
        <f>AE83&amp;AH83</f>
        <v>HorvátországSkócia</v>
      </c>
      <c r="Z83" s="309" t="b">
        <f>AND(J83&lt;&gt;"",L83&lt;&gt;"",COUNTIF(teams,AE83)&gt;0)</f>
        <v>0</v>
      </c>
      <c r="AA83" s="310" t="str">
        <f>IF($Z83,IF(AF83&gt;AG83,AE83,IF(AF83&lt;AG83,AH83,"")),"")</f>
        <v/>
      </c>
      <c r="AB83" s="310" t="str">
        <f>IF($Z83,IF(AF83=AG83,AE83,""),"")</f>
        <v/>
      </c>
      <c r="AC83" s="310" t="str">
        <f>IF($Z83,IF(AF83=AG83,AH83,""),"")</f>
        <v/>
      </c>
      <c r="AD83" s="310" t="str">
        <f>IF($Z83,IF(AF83&gt;AG83,AH83,IF(AF83&lt;AG83,AE83,"")),"")</f>
        <v/>
      </c>
      <c r="AE83" s="309" t="str">
        <f>VLOOKUP($X83,schedule,AE$6,FALSE)</f>
        <v>Horvátország</v>
      </c>
      <c r="AF83" s="311" t="str">
        <f>IF($Z83,J83,"")</f>
        <v/>
      </c>
      <c r="AG83" s="311" t="str">
        <f>IF($Z83,L83,"")</f>
        <v/>
      </c>
      <c r="AH83" s="309" t="str">
        <f>VLOOKUP($X83,schedule,AH$6,FALSE)</f>
        <v>Skócia</v>
      </c>
      <c r="AI83" s="311" t="str">
        <f>IF($Z83,AG83,"")</f>
        <v/>
      </c>
      <c r="AJ83" s="311" t="str">
        <f>IF($Z83,AF83,"")</f>
        <v/>
      </c>
      <c r="AK83" s="311" t="b">
        <f>AND(Z83,AB83&lt;&gt;"",COUNTIF(tie.3rdm,Y83)&gt;0)</f>
        <v>0</v>
      </c>
      <c r="AL83" s="311" t="b">
        <f>AND(N83&lt;&gt;"",P83&lt;&gt;"",N83&lt;&gt;P83,J83=L83,AK83)</f>
        <v>0</v>
      </c>
      <c r="AM83" s="452" t="str">
        <f>IF(AL83,IF(AN83&gt;AO83,AE83,AH83),"")</f>
        <v/>
      </c>
      <c r="AN83" s="311" t="str">
        <f>IF(N83="","",N83)</f>
        <v/>
      </c>
      <c r="AO83" s="311" t="str">
        <f>IF(P83="","",P83)</f>
        <v/>
      </c>
      <c r="AP83" s="310" t="str">
        <f>AA83</f>
        <v/>
      </c>
      <c r="AQ83" s="310" t="str">
        <f>AD83</f>
        <v/>
      </c>
      <c r="AR83" s="311" t="str">
        <f t="shared" si="27"/>
        <v>D</v>
      </c>
      <c r="AS83" s="312">
        <f t="shared" si="27"/>
        <v>44369.833333333328</v>
      </c>
      <c r="AT83" s="312">
        <f t="shared" si="27"/>
        <v>44369.874999999993</v>
      </c>
      <c r="AU83" s="312" t="str">
        <f t="shared" si="27"/>
        <v>21:00</v>
      </c>
      <c r="AV83" s="312" t="str">
        <f t="shared" si="27"/>
        <v>Glasgow</v>
      </c>
      <c r="AW83" s="313" t="str">
        <f t="shared" si="27"/>
        <v>Hampden Park</v>
      </c>
      <c r="AX83" s="312"/>
      <c r="AY83" s="312"/>
      <c r="BC83" s="311" t="b">
        <f ca="1">ROUNDDOWN(AT83,0)&lt;TODAY()</f>
        <v>0</v>
      </c>
      <c r="BD83" s="311" t="b">
        <f ca="1">AND(AT83&lt;=NOW(),AT83+0.1&gt;=NOW(),NOT(Z83))</f>
        <v>0</v>
      </c>
      <c r="BE83" s="311" t="b">
        <f ca="1">AND(NOT(Z83),AT83&lt;NOW())</f>
        <v>0</v>
      </c>
      <c r="BF83" s="311" t="b">
        <f ca="1">AT83&lt;=NOW()</f>
        <v>0</v>
      </c>
    </row>
    <row r="84" spans="1:60" ht="15.75" customHeight="1" x14ac:dyDescent="0.2">
      <c r="A84" s="765"/>
      <c r="C84" s="197"/>
      <c r="D84" s="198"/>
      <c r="E84" s="198"/>
      <c r="F84" s="54"/>
      <c r="G84" s="54"/>
      <c r="H84" s="35"/>
      <c r="J84" s="199"/>
      <c r="L84" s="199"/>
      <c r="N84" s="192"/>
      <c r="AA84" s="314"/>
      <c r="AB84" s="314"/>
      <c r="AC84" s="314"/>
      <c r="AD84" s="314"/>
      <c r="AP84" s="319"/>
      <c r="AQ84" s="319"/>
      <c r="AR84" s="316"/>
      <c r="AS84" s="317"/>
      <c r="AT84" s="318"/>
      <c r="AU84" s="318"/>
      <c r="AV84" s="319"/>
      <c r="AW84" s="320"/>
      <c r="AX84" s="319"/>
      <c r="AY84" s="319"/>
    </row>
    <row r="85" spans="1:60" ht="9" customHeight="1" x14ac:dyDescent="0.2">
      <c r="A85" s="765"/>
      <c r="C85" s="197"/>
      <c r="D85" s="198"/>
      <c r="E85" s="198"/>
      <c r="F85" s="54"/>
      <c r="G85" s="54"/>
      <c r="H85" s="35"/>
      <c r="J85" s="199"/>
      <c r="L85" s="199"/>
      <c r="N85" s="192"/>
      <c r="AA85" s="314"/>
      <c r="AB85" s="314"/>
      <c r="AC85" s="314"/>
      <c r="AD85" s="314"/>
      <c r="AP85" s="319"/>
      <c r="AQ85" s="319"/>
      <c r="AR85" s="316"/>
      <c r="AS85" s="317"/>
      <c r="AT85" s="318"/>
      <c r="AU85" s="318"/>
      <c r="AV85" s="319"/>
      <c r="AW85" s="320"/>
      <c r="AX85" s="319"/>
      <c r="AY85" s="319"/>
    </row>
    <row r="86" spans="1:60" s="206" customFormat="1" ht="13.5" customHeight="1" x14ac:dyDescent="0.2">
      <c r="A86" s="765"/>
      <c r="B86" s="204"/>
      <c r="C86" s="300" t="s">
        <v>845</v>
      </c>
      <c r="D86" s="301" t="s">
        <v>844</v>
      </c>
      <c r="E86" s="301" t="s">
        <v>562</v>
      </c>
      <c r="F86" s="302"/>
      <c r="G86" s="302" t="s">
        <v>843</v>
      </c>
      <c r="H86" s="302" t="s">
        <v>842</v>
      </c>
      <c r="I86" s="302"/>
      <c r="J86" s="302"/>
      <c r="K86" s="301" t="s">
        <v>642</v>
      </c>
      <c r="L86" s="302"/>
      <c r="M86" s="302"/>
      <c r="N86" s="453"/>
      <c r="O86" s="459"/>
      <c r="P86" s="458" t="str">
        <f>IF(O88&amp;O89&amp;O90&amp;O91&lt;&gt;"","BÜNTETŐK","")</f>
        <v/>
      </c>
      <c r="Q86" s="302"/>
      <c r="R86" s="301" t="s">
        <v>1255</v>
      </c>
      <c r="V86" s="4"/>
      <c r="W86" s="303"/>
      <c r="X86" s="303"/>
      <c r="Y86" s="307"/>
      <c r="Z86" s="307"/>
      <c r="AA86" s="307"/>
      <c r="AB86" s="307"/>
      <c r="AC86" s="307"/>
      <c r="AD86" s="307"/>
      <c r="AE86" s="307"/>
      <c r="AF86" s="307"/>
      <c r="AG86" s="307"/>
      <c r="AH86" s="307"/>
      <c r="AI86" s="307"/>
      <c r="AJ86" s="307"/>
      <c r="AK86" s="307"/>
      <c r="AL86" s="307"/>
      <c r="AM86" s="307"/>
      <c r="AN86" s="307"/>
      <c r="AO86" s="307"/>
      <c r="AP86" s="307"/>
      <c r="AQ86" s="307"/>
      <c r="AR86" s="307"/>
      <c r="AS86" s="307"/>
      <c r="AT86" s="307"/>
      <c r="AU86" s="307"/>
      <c r="AV86" s="307"/>
      <c r="AW86" s="321"/>
      <c r="AX86" s="307"/>
      <c r="AY86" s="307"/>
      <c r="AZ86" s="305"/>
      <c r="BA86" s="4"/>
      <c r="BB86" s="305"/>
      <c r="BC86" s="311" t="b">
        <f ca="1">ROUNDDOWN(AS88,0)=ROUNDDOWN(NOW()-5/24,0)</f>
        <v>0</v>
      </c>
      <c r="BD86" s="305"/>
      <c r="BE86" s="305"/>
      <c r="BF86" s="305"/>
      <c r="BG86" s="305"/>
      <c r="BH86" s="4"/>
    </row>
    <row r="87" spans="1:60" s="206" customFormat="1" ht="5.25" customHeight="1" x14ac:dyDescent="0.2">
      <c r="A87" s="765"/>
      <c r="B87" s="204"/>
      <c r="C87" s="204"/>
      <c r="D87" s="204"/>
      <c r="E87" s="204"/>
      <c r="F87" s="204"/>
      <c r="G87" s="204"/>
      <c r="H87" s="383"/>
      <c r="I87" s="204"/>
      <c r="J87" s="204"/>
      <c r="K87" s="204"/>
      <c r="L87" s="204"/>
      <c r="M87" s="204"/>
      <c r="N87" s="454"/>
      <c r="O87" s="455"/>
      <c r="P87" s="456"/>
      <c r="V87" s="4"/>
      <c r="W87" s="303"/>
      <c r="X87" s="303"/>
      <c r="Y87" s="307"/>
      <c r="Z87" s="307"/>
      <c r="AA87" s="307"/>
      <c r="AB87" s="307"/>
      <c r="AC87" s="307"/>
      <c r="AD87" s="307"/>
      <c r="AE87" s="307"/>
      <c r="AF87" s="307"/>
      <c r="AG87" s="307"/>
      <c r="AH87" s="307"/>
      <c r="AI87" s="307"/>
      <c r="AJ87" s="307"/>
      <c r="AK87" s="307"/>
      <c r="AL87" s="307"/>
      <c r="AM87" s="307"/>
      <c r="AN87" s="307"/>
      <c r="AO87" s="307"/>
      <c r="AP87" s="307"/>
      <c r="AQ87" s="307"/>
      <c r="AR87" s="307"/>
      <c r="AS87" s="307"/>
      <c r="AT87" s="307"/>
      <c r="AU87" s="307"/>
      <c r="AV87" s="307"/>
      <c r="AW87" s="321"/>
      <c r="AX87" s="307"/>
      <c r="AY87" s="307"/>
      <c r="AZ87" s="305"/>
      <c r="BA87" s="4"/>
      <c r="BB87" s="305"/>
      <c r="BC87" s="305"/>
      <c r="BD87" s="305"/>
      <c r="BE87" s="305"/>
      <c r="BF87" s="305"/>
      <c r="BG87" s="305"/>
      <c r="BH87" s="4"/>
    </row>
    <row r="88" spans="1:60" ht="15.75" customHeight="1" x14ac:dyDescent="0.2">
      <c r="A88" s="765"/>
      <c r="B88" s="190"/>
      <c r="C88" s="191">
        <f>ROUNDDOWN(D88,0)</f>
        <v>44370</v>
      </c>
      <c r="D88" s="194">
        <f t="shared" ref="D88:E91" si="28">AS88</f>
        <v>44370.749999999993</v>
      </c>
      <c r="E88" s="194">
        <f t="shared" si="28"/>
        <v>44370.749999999993</v>
      </c>
      <c r="F88" s="207" t="str">
        <f t="shared" ref="F88:G91" si="29">AV88</f>
        <v>Sevilla</v>
      </c>
      <c r="G88" s="208" t="str">
        <f t="shared" si="29"/>
        <v>R. Sánchez-Pizjuán Stadion</v>
      </c>
      <c r="H88" s="384"/>
      <c r="I88" s="195" t="str">
        <f>AE88</f>
        <v>Szlovákia</v>
      </c>
      <c r="J88" s="209"/>
      <c r="K88" s="210" t="s">
        <v>811</v>
      </c>
      <c r="L88" s="211"/>
      <c r="M88" s="196" t="str">
        <f>AH88</f>
        <v>Spanyolország</v>
      </c>
      <c r="N88" s="460"/>
      <c r="O88" s="457" t="str">
        <f>IF(AK88,"–","")</f>
        <v/>
      </c>
      <c r="P88" s="461"/>
      <c r="R88" s="590"/>
      <c r="X88" s="303">
        <v>33</v>
      </c>
      <c r="Y88" s="309" t="str">
        <f>AE88&amp;AH88</f>
        <v>SzlovákiaSpanyolország</v>
      </c>
      <c r="Z88" s="309" t="b">
        <f>AND(J88&lt;&gt;"",L88&lt;&gt;"",COUNTIF(teams,AE88)&gt;0)</f>
        <v>0</v>
      </c>
      <c r="AA88" s="310" t="str">
        <f>IF($Z88,IF(AF88&gt;AG88,AE88,IF(AF88&lt;AG88,AH88,"")),"")</f>
        <v/>
      </c>
      <c r="AB88" s="310" t="str">
        <f>IF($Z88,IF(AF88=AG88,AE88,""),"")</f>
        <v/>
      </c>
      <c r="AC88" s="310" t="str">
        <f>IF($Z88,IF(AF88=AG88,AH88,""),"")</f>
        <v/>
      </c>
      <c r="AD88" s="310" t="str">
        <f>IF($Z88,IF(AF88&gt;AG88,AH88,IF(AF88&lt;AG88,AE88,"")),"")</f>
        <v/>
      </c>
      <c r="AE88" s="309" t="str">
        <f>VLOOKUP($X88,schedule,AE$6,FALSE)</f>
        <v>Szlovákia</v>
      </c>
      <c r="AF88" s="311" t="str">
        <f>IF($Z88,J88,"")</f>
        <v/>
      </c>
      <c r="AG88" s="311" t="str">
        <f>IF($Z88,L88,"")</f>
        <v/>
      </c>
      <c r="AH88" s="309" t="str">
        <f>VLOOKUP($X88,schedule,AH$6,FALSE)</f>
        <v>Spanyolország</v>
      </c>
      <c r="AI88" s="311" t="str">
        <f>IF($Z88,AG88,"")</f>
        <v/>
      </c>
      <c r="AJ88" s="311" t="str">
        <f>IF($Z88,AF88,"")</f>
        <v/>
      </c>
      <c r="AK88" s="311" t="b">
        <f>AND(Z88,AB88&lt;&gt;"",COUNTIF(tie.3rdm,Y88)&gt;0)</f>
        <v>0</v>
      </c>
      <c r="AL88" s="311" t="b">
        <f>AND(N88&lt;&gt;"",P88&lt;&gt;"",N88&lt;&gt;P88,J88=L88,AK88)</f>
        <v>0</v>
      </c>
      <c r="AM88" s="452" t="str">
        <f>IF(AL88,IF(AN88&gt;AO88,AE88,AH88),"")</f>
        <v/>
      </c>
      <c r="AN88" s="311" t="str">
        <f>IF(N88="","",N88)</f>
        <v/>
      </c>
      <c r="AO88" s="311" t="str">
        <f>IF(P88="","",P88)</f>
        <v/>
      </c>
      <c r="AP88" s="310" t="str">
        <f>AA88</f>
        <v/>
      </c>
      <c r="AQ88" s="310" t="str">
        <f>AD88</f>
        <v/>
      </c>
      <c r="AR88" s="311" t="str">
        <f t="shared" ref="AR88:AW91" si="30">VLOOKUP($X88,schedule,AR$6,FALSE)</f>
        <v>E</v>
      </c>
      <c r="AS88" s="312">
        <f t="shared" si="30"/>
        <v>44370.749999999993</v>
      </c>
      <c r="AT88" s="312">
        <f t="shared" si="30"/>
        <v>44370.749999999993</v>
      </c>
      <c r="AU88" s="312" t="str">
        <f t="shared" si="30"/>
        <v>18:00</v>
      </c>
      <c r="AV88" s="312" t="str">
        <f t="shared" si="30"/>
        <v>Sevilla</v>
      </c>
      <c r="AW88" s="313" t="str">
        <f t="shared" si="30"/>
        <v>R. Sánchez-Pizjuán Stadion</v>
      </c>
      <c r="AX88" s="312"/>
      <c r="AY88" s="312"/>
      <c r="BC88" s="311" t="b">
        <f ca="1">ROUNDDOWN(AT88,0)&lt;TODAY()</f>
        <v>0</v>
      </c>
      <c r="BD88" s="311" t="b">
        <f ca="1">AND(AT88&lt;=NOW(),AT88+0.1&gt;=NOW(),NOT(Z88))</f>
        <v>0</v>
      </c>
      <c r="BE88" s="311" t="b">
        <f ca="1">AND(NOT(Z88),AT88&lt;NOW())</f>
        <v>0</v>
      </c>
      <c r="BF88" s="311" t="b">
        <f ca="1">AT88&lt;=NOW()</f>
        <v>0</v>
      </c>
    </row>
    <row r="89" spans="1:60" ht="15.75" customHeight="1" x14ac:dyDescent="0.2">
      <c r="A89" s="765"/>
      <c r="B89" s="190"/>
      <c r="C89" s="197"/>
      <c r="D89" s="194">
        <f t="shared" si="28"/>
        <v>44370.791666666657</v>
      </c>
      <c r="E89" s="194">
        <f t="shared" si="28"/>
        <v>44370.749999999993</v>
      </c>
      <c r="F89" s="207" t="str">
        <f t="shared" si="29"/>
        <v>Szentpétervár</v>
      </c>
      <c r="G89" s="208" t="str">
        <f t="shared" si="29"/>
        <v>Kresztovszkij Stadion</v>
      </c>
      <c r="H89" s="384"/>
      <c r="I89" s="195" t="str">
        <f>AE89</f>
        <v>Svédország</v>
      </c>
      <c r="J89" s="209"/>
      <c r="K89" s="210" t="s">
        <v>811</v>
      </c>
      <c r="L89" s="211"/>
      <c r="M89" s="196" t="str">
        <f>AH89</f>
        <v>Lengyelország</v>
      </c>
      <c r="N89" s="460"/>
      <c r="O89" s="457" t="str">
        <f>IF(AK89,"–","")</f>
        <v/>
      </c>
      <c r="P89" s="461"/>
      <c r="R89" s="590"/>
      <c r="X89" s="303">
        <v>34</v>
      </c>
      <c r="Y89" s="309" t="str">
        <f>AE89&amp;AH89</f>
        <v>SvédországLengyelország</v>
      </c>
      <c r="Z89" s="309" t="b">
        <f>AND(J89&lt;&gt;"",L89&lt;&gt;"",COUNTIF(teams,AE89)&gt;0)</f>
        <v>0</v>
      </c>
      <c r="AA89" s="310" t="str">
        <f>IF($Z89,IF(AF89&gt;AG89,AE89,IF(AF89&lt;AG89,AH89,"")),"")</f>
        <v/>
      </c>
      <c r="AB89" s="310" t="str">
        <f>IF($Z89,IF(AF89=AG89,AE89,""),"")</f>
        <v/>
      </c>
      <c r="AC89" s="310" t="str">
        <f>IF($Z89,IF(AF89=AG89,AH89,""),"")</f>
        <v/>
      </c>
      <c r="AD89" s="310" t="str">
        <f>IF($Z89,IF(AF89&gt;AG89,AH89,IF(AF89&lt;AG89,AE89,"")),"")</f>
        <v/>
      </c>
      <c r="AE89" s="309" t="str">
        <f>VLOOKUP($X89,schedule,AE$6,FALSE)</f>
        <v>Svédország</v>
      </c>
      <c r="AF89" s="311" t="str">
        <f>IF($Z89,J89,"")</f>
        <v/>
      </c>
      <c r="AG89" s="311" t="str">
        <f>IF($Z89,L89,"")</f>
        <v/>
      </c>
      <c r="AH89" s="309" t="str">
        <f>VLOOKUP($X89,schedule,AH$6,FALSE)</f>
        <v>Lengyelország</v>
      </c>
      <c r="AI89" s="311" t="str">
        <f>IF($Z89,AG89,"")</f>
        <v/>
      </c>
      <c r="AJ89" s="311" t="str">
        <f>IF($Z89,AF89,"")</f>
        <v/>
      </c>
      <c r="AK89" s="311" t="b">
        <f>AND(Z89,AB89&lt;&gt;"",COUNTIF(tie.3rdm,Y89)&gt;0)</f>
        <v>0</v>
      </c>
      <c r="AL89" s="311" t="b">
        <f>AND(N89&lt;&gt;"",P89&lt;&gt;"",N89&lt;&gt;P89,J89=L89,AK89)</f>
        <v>0</v>
      </c>
      <c r="AM89" s="452" t="str">
        <f>IF(AL89,IF(AN89&gt;AO89,AE89,AH89),"")</f>
        <v/>
      </c>
      <c r="AN89" s="311" t="str">
        <f>IF(N89="","",N89)</f>
        <v/>
      </c>
      <c r="AO89" s="311" t="str">
        <f>IF(P89="","",P89)</f>
        <v/>
      </c>
      <c r="AP89" s="310" t="str">
        <f>AA89</f>
        <v/>
      </c>
      <c r="AQ89" s="310" t="str">
        <f>AD89</f>
        <v/>
      </c>
      <c r="AR89" s="311" t="str">
        <f t="shared" si="30"/>
        <v>E</v>
      </c>
      <c r="AS89" s="312">
        <f t="shared" si="30"/>
        <v>44370.791666666657</v>
      </c>
      <c r="AT89" s="312">
        <f t="shared" si="30"/>
        <v>44370.749999999993</v>
      </c>
      <c r="AU89" s="312" t="str">
        <f t="shared" si="30"/>
        <v>18:00</v>
      </c>
      <c r="AV89" s="312" t="str">
        <f t="shared" si="30"/>
        <v>Szentpétervár</v>
      </c>
      <c r="AW89" s="313" t="str">
        <f t="shared" si="30"/>
        <v>Kresztovszkij Stadion</v>
      </c>
      <c r="AX89" s="312"/>
      <c r="AY89" s="312"/>
      <c r="BC89" s="311" t="b">
        <f ca="1">ROUNDDOWN(AT89,0)&lt;TODAY()</f>
        <v>0</v>
      </c>
      <c r="BD89" s="311" t="b">
        <f ca="1">AND(AT89&lt;=NOW(),AT89+0.1&gt;=NOW(),NOT(Z89))</f>
        <v>0</v>
      </c>
      <c r="BE89" s="311" t="b">
        <f ca="1">AND(NOT(Z89),AT89&lt;NOW())</f>
        <v>0</v>
      </c>
      <c r="BF89" s="311" t="b">
        <f ca="1">AT89&lt;=NOW()</f>
        <v>0</v>
      </c>
    </row>
    <row r="90" spans="1:60" ht="15.75" customHeight="1" x14ac:dyDescent="0.2">
      <c r="A90" s="765"/>
      <c r="B90" s="190"/>
      <c r="C90" s="190"/>
      <c r="D90" s="194">
        <f t="shared" si="28"/>
        <v>44370.874999999993</v>
      </c>
      <c r="E90" s="194">
        <f t="shared" si="28"/>
        <v>44370.874999999993</v>
      </c>
      <c r="F90" s="207" t="str">
        <f t="shared" si="29"/>
        <v>München</v>
      </c>
      <c r="G90" s="208" t="str">
        <f t="shared" si="29"/>
        <v>München Arena</v>
      </c>
      <c r="H90" s="384"/>
      <c r="I90" s="195" t="str">
        <f>AE90</f>
        <v>Németország</v>
      </c>
      <c r="J90" s="209"/>
      <c r="K90" s="210" t="s">
        <v>811</v>
      </c>
      <c r="L90" s="211"/>
      <c r="M90" s="196" t="str">
        <f>AH90</f>
        <v>MAGYARORSZÁG</v>
      </c>
      <c r="N90" s="460"/>
      <c r="O90" s="457" t="str">
        <f>IF(AK90,"–","")</f>
        <v/>
      </c>
      <c r="P90" s="461"/>
      <c r="R90" s="590"/>
      <c r="X90" s="303">
        <v>35</v>
      </c>
      <c r="Y90" s="309" t="str">
        <f>AE90&amp;AH90</f>
        <v>NémetországMAGYARORSZÁG</v>
      </c>
      <c r="Z90" s="309" t="b">
        <f>AND(J90&lt;&gt;"",L90&lt;&gt;"",COUNTIF(teams,AE90)&gt;0)</f>
        <v>0</v>
      </c>
      <c r="AA90" s="310" t="str">
        <f>IF($Z90,IF(AF90&gt;AG90,AE90,IF(AF90&lt;AG90,AH90,"")),"")</f>
        <v/>
      </c>
      <c r="AB90" s="310" t="str">
        <f>IF($Z90,IF(AF90=AG90,AE90,""),"")</f>
        <v/>
      </c>
      <c r="AC90" s="310" t="str">
        <f>IF($Z90,IF(AF90=AG90,AH90,""),"")</f>
        <v/>
      </c>
      <c r="AD90" s="310" t="str">
        <f>IF($Z90,IF(AF90&gt;AG90,AH90,IF(AF90&lt;AG90,AE90,"")),"")</f>
        <v/>
      </c>
      <c r="AE90" s="309" t="str">
        <f>VLOOKUP($X90,schedule,AE$6,FALSE)</f>
        <v>Németország</v>
      </c>
      <c r="AF90" s="311" t="str">
        <f>IF($Z90,J90,"")</f>
        <v/>
      </c>
      <c r="AG90" s="311" t="str">
        <f>IF($Z90,L90,"")</f>
        <v/>
      </c>
      <c r="AH90" s="309" t="str">
        <f>VLOOKUP($X90,schedule,AH$6,FALSE)</f>
        <v>MAGYARORSZÁG</v>
      </c>
      <c r="AI90" s="311" t="str">
        <f>IF($Z90,AG90,"")</f>
        <v/>
      </c>
      <c r="AJ90" s="311" t="str">
        <f>IF($Z90,AF90,"")</f>
        <v/>
      </c>
      <c r="AK90" s="311" t="b">
        <f>AND(Z90,AB90&lt;&gt;"",COUNTIF(tie.3rdm,Y90)&gt;0)</f>
        <v>0</v>
      </c>
      <c r="AL90" s="311" t="b">
        <f>AND(N90&lt;&gt;"",P90&lt;&gt;"",N90&lt;&gt;P90,J90=L90,AK90)</f>
        <v>0</v>
      </c>
      <c r="AM90" s="452" t="str">
        <f>IF(AL90,IF(AN90&gt;AO90,AE90,AH90),"")</f>
        <v/>
      </c>
      <c r="AN90" s="311" t="str">
        <f>IF(N90="","",N90)</f>
        <v/>
      </c>
      <c r="AO90" s="311" t="str">
        <f>IF(P90="","",P90)</f>
        <v/>
      </c>
      <c r="AP90" s="310" t="str">
        <f>AA90</f>
        <v/>
      </c>
      <c r="AQ90" s="310" t="str">
        <f>AD90</f>
        <v/>
      </c>
      <c r="AR90" s="311" t="str">
        <f t="shared" si="30"/>
        <v>F</v>
      </c>
      <c r="AS90" s="312">
        <f t="shared" si="30"/>
        <v>44370.874999999993</v>
      </c>
      <c r="AT90" s="312">
        <f t="shared" si="30"/>
        <v>44370.874999999993</v>
      </c>
      <c r="AU90" s="312" t="str">
        <f t="shared" si="30"/>
        <v>21:00</v>
      </c>
      <c r="AV90" s="312" t="str">
        <f t="shared" si="30"/>
        <v>München</v>
      </c>
      <c r="AW90" s="313" t="str">
        <f t="shared" si="30"/>
        <v>München Arena</v>
      </c>
      <c r="AX90" s="312"/>
      <c r="AY90" s="312"/>
      <c r="BC90" s="311" t="b">
        <f ca="1">ROUNDDOWN(AT90,0)&lt;TODAY()</f>
        <v>0</v>
      </c>
      <c r="BD90" s="311" t="b">
        <f ca="1">AND(AT90&lt;=NOW(),AT90+0.1&gt;=NOW(),NOT(Z90))</f>
        <v>0</v>
      </c>
      <c r="BE90" s="311" t="b">
        <f ca="1">AND(NOT(Z90),AT90&lt;NOW())</f>
        <v>0</v>
      </c>
      <c r="BF90" s="311" t="b">
        <f ca="1">AT90&lt;=NOW()</f>
        <v>0</v>
      </c>
    </row>
    <row r="91" spans="1:60" ht="15.75" customHeight="1" x14ac:dyDescent="0.2">
      <c r="A91" s="765"/>
      <c r="B91" s="190"/>
      <c r="C91" s="190"/>
      <c r="D91" s="194">
        <f t="shared" si="28"/>
        <v>44370.874999999993</v>
      </c>
      <c r="E91" s="194">
        <f t="shared" si="28"/>
        <v>44370.874999999993</v>
      </c>
      <c r="F91" s="207" t="str">
        <f t="shared" si="29"/>
        <v>Budapest</v>
      </c>
      <c r="G91" s="208" t="str">
        <f t="shared" si="29"/>
        <v>Puskás Ferenc Stadion</v>
      </c>
      <c r="H91" s="384"/>
      <c r="I91" s="195" t="str">
        <f>AE91</f>
        <v>Portugália</v>
      </c>
      <c r="J91" s="209"/>
      <c r="K91" s="210" t="s">
        <v>811</v>
      </c>
      <c r="L91" s="211"/>
      <c r="M91" s="196" t="str">
        <f>AH91</f>
        <v>Franciaország</v>
      </c>
      <c r="N91" s="460"/>
      <c r="O91" s="457" t="str">
        <f>IF(AK91,"–","")</f>
        <v/>
      </c>
      <c r="P91" s="461"/>
      <c r="R91" s="590"/>
      <c r="X91" s="303">
        <v>36</v>
      </c>
      <c r="Y91" s="309" t="str">
        <f>AE91&amp;AH91</f>
        <v>PortugáliaFranciaország</v>
      </c>
      <c r="Z91" s="309" t="b">
        <f>AND(J91&lt;&gt;"",L91&lt;&gt;"",COUNTIF(teams,AE91)&gt;0)</f>
        <v>0</v>
      </c>
      <c r="AA91" s="310" t="str">
        <f>IF($Z91,IF(AF91&gt;AG91,AE91,IF(AF91&lt;AG91,AH91,"")),"")</f>
        <v/>
      </c>
      <c r="AB91" s="310" t="str">
        <f>IF($Z91,IF(AF91=AG91,AE91,""),"")</f>
        <v/>
      </c>
      <c r="AC91" s="310" t="str">
        <f>IF($Z91,IF(AF91=AG91,AH91,""),"")</f>
        <v/>
      </c>
      <c r="AD91" s="310" t="str">
        <f>IF($Z91,IF(AF91&gt;AG91,AH91,IF(AF91&lt;AG91,AE91,"")),"")</f>
        <v/>
      </c>
      <c r="AE91" s="309" t="str">
        <f>VLOOKUP($X91,schedule,AE$6,FALSE)</f>
        <v>Portugália</v>
      </c>
      <c r="AF91" s="311" t="str">
        <f>IF($Z91,J91,"")</f>
        <v/>
      </c>
      <c r="AG91" s="311" t="str">
        <f>IF($Z91,L91,"")</f>
        <v/>
      </c>
      <c r="AH91" s="309" t="str">
        <f>VLOOKUP($X91,schedule,AH$6,FALSE)</f>
        <v>Franciaország</v>
      </c>
      <c r="AI91" s="311" t="str">
        <f>IF($Z91,AG91,"")</f>
        <v/>
      </c>
      <c r="AJ91" s="311" t="str">
        <f>IF($Z91,AF91,"")</f>
        <v/>
      </c>
      <c r="AK91" s="311" t="b">
        <f>AND(Z91,AB91&lt;&gt;"",COUNTIF(tie.3rdm,Y91)&gt;0)</f>
        <v>0</v>
      </c>
      <c r="AL91" s="311" t="b">
        <f>AND(N91&lt;&gt;"",P91&lt;&gt;"",N91&lt;&gt;P91,J91=L91,AK91)</f>
        <v>0</v>
      </c>
      <c r="AM91" s="452" t="str">
        <f>IF(AL91,IF(AN91&gt;AO91,AE91,AH91),"")</f>
        <v/>
      </c>
      <c r="AN91" s="311" t="str">
        <f>IF(N91="","",N91)</f>
        <v/>
      </c>
      <c r="AO91" s="311" t="str">
        <f>IF(P91="","",P91)</f>
        <v/>
      </c>
      <c r="AP91" s="310" t="str">
        <f>AA91</f>
        <v/>
      </c>
      <c r="AQ91" s="310" t="str">
        <f>AD91</f>
        <v/>
      </c>
      <c r="AR91" s="311" t="str">
        <f t="shared" si="30"/>
        <v>F</v>
      </c>
      <c r="AS91" s="312">
        <f t="shared" si="30"/>
        <v>44370.874999999993</v>
      </c>
      <c r="AT91" s="312">
        <f t="shared" si="30"/>
        <v>44370.874999999993</v>
      </c>
      <c r="AU91" s="312" t="str">
        <f t="shared" si="30"/>
        <v>21:00</v>
      </c>
      <c r="AV91" s="312" t="str">
        <f t="shared" si="30"/>
        <v>Budapest</v>
      </c>
      <c r="AW91" s="313" t="str">
        <f t="shared" si="30"/>
        <v>Puskás Ferenc Stadion</v>
      </c>
      <c r="AX91" s="312"/>
      <c r="AY91" s="312"/>
      <c r="BC91" s="311" t="b">
        <f ca="1">ROUNDDOWN(AT91,0)&lt;TODAY()</f>
        <v>0</v>
      </c>
      <c r="BD91" s="311" t="b">
        <f ca="1">AND(AT91&lt;=NOW(),AT91+0.1&gt;=NOW(),NOT(Z91))</f>
        <v>0</v>
      </c>
      <c r="BE91" s="311" t="b">
        <f ca="1">AND(NOT(Z91),AT91&lt;NOW())</f>
        <v>0</v>
      </c>
      <c r="BF91" s="311" t="b">
        <f ca="1">AT91&lt;=NOW()</f>
        <v>0</v>
      </c>
    </row>
    <row r="92" spans="1:60" ht="15.75" customHeight="1" x14ac:dyDescent="0.2">
      <c r="A92" s="765"/>
      <c r="C92" s="197"/>
      <c r="D92" s="198"/>
      <c r="E92" s="198"/>
      <c r="F92" s="54"/>
      <c r="G92" s="54"/>
      <c r="H92" s="35"/>
      <c r="J92" s="199"/>
      <c r="L92" s="199"/>
      <c r="N92" s="192"/>
      <c r="X92" s="444"/>
      <c r="Y92" s="444"/>
      <c r="Z92" s="444"/>
      <c r="AA92" s="445"/>
      <c r="AB92" s="445"/>
      <c r="AC92" s="445"/>
      <c r="AD92" s="445"/>
      <c r="AE92" s="444"/>
      <c r="AF92" s="446"/>
      <c r="AG92" s="446"/>
      <c r="AH92" s="444"/>
      <c r="AI92" s="446"/>
      <c r="AJ92" s="446"/>
      <c r="AK92" s="446"/>
      <c r="AL92" s="446"/>
      <c r="AM92" s="446"/>
      <c r="AN92" s="446"/>
      <c r="AO92" s="446"/>
      <c r="AP92" s="447"/>
      <c r="AQ92" s="447"/>
      <c r="AR92" s="448"/>
      <c r="AS92" s="449"/>
      <c r="AT92" s="450"/>
      <c r="AU92" s="450"/>
      <c r="AV92" s="447"/>
      <c r="AW92" s="451"/>
      <c r="AX92" s="447"/>
      <c r="AY92" s="447"/>
    </row>
    <row r="93" spans="1:60" ht="15.75" customHeight="1" x14ac:dyDescent="0.2">
      <c r="A93" s="765"/>
      <c r="C93" s="197"/>
      <c r="D93" s="198"/>
      <c r="E93" s="198"/>
      <c r="F93" s="54"/>
      <c r="G93" s="54"/>
      <c r="H93" s="35"/>
      <c r="J93" s="199"/>
      <c r="L93" s="199"/>
      <c r="N93" s="192"/>
      <c r="AA93" s="314"/>
      <c r="AB93" s="314"/>
      <c r="AC93" s="314"/>
      <c r="AD93" s="314"/>
      <c r="AP93" s="319"/>
      <c r="AQ93" s="319"/>
      <c r="AR93" s="316"/>
      <c r="AS93" s="317"/>
      <c r="AT93" s="318"/>
      <c r="AU93" s="318"/>
      <c r="AV93" s="319"/>
      <c r="AW93" s="320"/>
      <c r="AX93" s="319"/>
      <c r="AY93" s="319"/>
    </row>
    <row r="94" spans="1:60" ht="15.75" customHeight="1" x14ac:dyDescent="0.2">
      <c r="A94" s="765"/>
      <c r="B94" s="193"/>
      <c r="C94" s="201"/>
      <c r="H94" s="35"/>
      <c r="I94" s="202"/>
      <c r="K94" s="200"/>
      <c r="M94" s="203"/>
      <c r="AW94" s="314"/>
    </row>
    <row r="95" spans="1:60" ht="9" customHeight="1" x14ac:dyDescent="0.2">
      <c r="A95" s="765"/>
      <c r="C95" s="197"/>
      <c r="D95" s="198"/>
      <c r="E95" s="198"/>
      <c r="F95" s="54"/>
      <c r="G95" s="54"/>
      <c r="H95" s="35"/>
      <c r="J95" s="199"/>
      <c r="L95" s="199"/>
      <c r="N95" s="192"/>
      <c r="AA95" s="314"/>
      <c r="AB95" s="314"/>
      <c r="AC95" s="314"/>
      <c r="AD95" s="314"/>
      <c r="AP95" s="319"/>
      <c r="AQ95" s="319"/>
      <c r="AR95" s="316"/>
      <c r="AS95" s="317"/>
      <c r="AT95" s="318"/>
      <c r="AU95" s="318"/>
      <c r="AV95" s="319"/>
      <c r="AW95" s="320"/>
      <c r="AX95" s="319"/>
      <c r="AY95" s="319"/>
    </row>
    <row r="96" spans="1:60" s="206" customFormat="1" ht="13.5" customHeight="1" x14ac:dyDescent="0.2">
      <c r="A96" s="765"/>
      <c r="B96" s="204"/>
      <c r="C96" s="300" t="s">
        <v>845</v>
      </c>
      <c r="D96" s="301" t="s">
        <v>844</v>
      </c>
      <c r="E96" s="301" t="s">
        <v>562</v>
      </c>
      <c r="F96" s="302"/>
      <c r="G96" s="302" t="s">
        <v>843</v>
      </c>
      <c r="H96" s="302" t="s">
        <v>1191</v>
      </c>
      <c r="I96" s="302"/>
      <c r="J96" s="302"/>
      <c r="K96" s="301" t="s">
        <v>1189</v>
      </c>
      <c r="L96" s="302"/>
      <c r="M96" s="302"/>
      <c r="N96" s="302"/>
      <c r="O96" s="302"/>
      <c r="P96" s="458" t="str">
        <f>IF(O98&amp;O99&lt;&gt;"","BÜNTETŐK","")</f>
        <v/>
      </c>
      <c r="Q96" s="302"/>
      <c r="R96" s="301" t="s">
        <v>1255</v>
      </c>
      <c r="V96" s="4"/>
      <c r="W96" s="303"/>
      <c r="X96" s="303"/>
      <c r="Y96" s="307"/>
      <c r="Z96" s="307"/>
      <c r="AA96" s="307"/>
      <c r="AB96" s="307"/>
      <c r="AC96" s="307"/>
      <c r="AD96" s="307"/>
      <c r="AE96" s="307"/>
      <c r="AF96" s="307"/>
      <c r="AG96" s="307"/>
      <c r="AH96" s="307"/>
      <c r="AI96" s="307"/>
      <c r="AJ96" s="307"/>
      <c r="AK96" s="307"/>
      <c r="AL96" s="307"/>
      <c r="AM96" s="307"/>
      <c r="AN96" s="307"/>
      <c r="AO96" s="307"/>
      <c r="AP96" s="307"/>
      <c r="AQ96" s="307"/>
      <c r="AR96" s="307"/>
      <c r="AS96" s="307"/>
      <c r="AT96" s="307"/>
      <c r="AU96" s="307"/>
      <c r="AV96" s="307"/>
      <c r="AW96" s="321"/>
      <c r="AX96" s="307"/>
      <c r="AY96" s="307"/>
      <c r="AZ96" s="305"/>
      <c r="BA96" s="4"/>
      <c r="BB96" s="305"/>
      <c r="BC96" s="311" t="b">
        <f ca="1">ROUNDDOWN(AS98,0)=ROUNDDOWN(NOW()-5/24,0)</f>
        <v>0</v>
      </c>
      <c r="BD96" s="305"/>
      <c r="BE96" s="305"/>
      <c r="BF96" s="305"/>
      <c r="BG96" s="305"/>
      <c r="BH96" s="4"/>
    </row>
    <row r="97" spans="1:60" s="206" customFormat="1" ht="5.25" customHeight="1" x14ac:dyDescent="0.2">
      <c r="A97" s="765"/>
      <c r="B97" s="204"/>
      <c r="C97" s="204"/>
      <c r="D97" s="204"/>
      <c r="E97" s="204"/>
      <c r="F97" s="204"/>
      <c r="G97" s="204"/>
      <c r="H97" s="383"/>
      <c r="I97" s="204"/>
      <c r="J97" s="204"/>
      <c r="K97" s="204"/>
      <c r="L97" s="204"/>
      <c r="M97" s="204"/>
      <c r="N97" s="204"/>
      <c r="O97" s="205"/>
      <c r="V97" s="4"/>
      <c r="W97" s="303"/>
      <c r="X97" s="303"/>
      <c r="Y97" s="307"/>
      <c r="Z97" s="307"/>
      <c r="AA97" s="307"/>
      <c r="AB97" s="307"/>
      <c r="AC97" s="307"/>
      <c r="AD97" s="307"/>
      <c r="AE97" s="307"/>
      <c r="AF97" s="307"/>
      <c r="AG97" s="307"/>
      <c r="AH97" s="307"/>
      <c r="AI97" s="307"/>
      <c r="AJ97" s="307"/>
      <c r="AK97" s="307"/>
      <c r="AL97" s="307"/>
      <c r="AM97" s="307"/>
      <c r="AN97" s="307"/>
      <c r="AO97" s="307"/>
      <c r="AP97" s="307"/>
      <c r="AQ97" s="307"/>
      <c r="AR97" s="307"/>
      <c r="AS97" s="307"/>
      <c r="AT97" s="307"/>
      <c r="AU97" s="307"/>
      <c r="AV97" s="307"/>
      <c r="AW97" s="321"/>
      <c r="AX97" s="307"/>
      <c r="AY97" s="307"/>
      <c r="AZ97" s="305"/>
      <c r="BA97" s="4"/>
      <c r="BB97" s="305"/>
      <c r="BC97" s="305"/>
      <c r="BD97" s="305"/>
      <c r="BE97" s="305"/>
      <c r="BF97" s="305"/>
      <c r="BG97" s="305"/>
      <c r="BH97" s="4"/>
    </row>
    <row r="98" spans="1:60" ht="15.75" customHeight="1" x14ac:dyDescent="0.2">
      <c r="A98" s="765"/>
      <c r="B98" s="190"/>
      <c r="C98" s="191">
        <f>ROUNDDOWN(D98,0)</f>
        <v>44373</v>
      </c>
      <c r="D98" s="194">
        <f>AS98</f>
        <v>44373.749999999993</v>
      </c>
      <c r="E98" s="194">
        <f>AT98</f>
        <v>44373.749999999993</v>
      </c>
      <c r="F98" s="207" t="str">
        <f>AV98</f>
        <v>Amszterdam</v>
      </c>
      <c r="G98" s="208" t="str">
        <f>AW98</f>
        <v>Johan Cruijff Arena</v>
      </c>
      <c r="H98" s="384"/>
      <c r="I98" s="195" t="str">
        <f>AE98</f>
        <v>A csoport 2. hely</v>
      </c>
      <c r="J98" s="209"/>
      <c r="K98" s="210" t="s">
        <v>811</v>
      </c>
      <c r="L98" s="211"/>
      <c r="M98" s="196" t="str">
        <f>AH98</f>
        <v>B csoport 2. hely</v>
      </c>
      <c r="N98" s="460"/>
      <c r="O98" s="457" t="str">
        <f>IF(AK98,"–","")</f>
        <v/>
      </c>
      <c r="P98" s="461"/>
      <c r="R98" s="590"/>
      <c r="X98" s="303">
        <v>38</v>
      </c>
      <c r="Y98" s="309" t="str">
        <f>AE98&amp;AH98</f>
        <v>A csoport 2. helyB csoport 2. hely</v>
      </c>
      <c r="Z98" s="309" t="b">
        <f>AND(J98&lt;&gt;"",L98&lt;&gt;"",COUNTIF(teams,AE98)&gt;0)</f>
        <v>0</v>
      </c>
      <c r="AA98" s="310" t="str">
        <f>IF($Z98,IF(AF98&gt;AG98,AE98,IF(AF98&lt;AG98,AH98,"")),"")</f>
        <v/>
      </c>
      <c r="AB98" s="310" t="str">
        <f>IF($Z98,IF(AF98=AG98,AE98,""),"")</f>
        <v/>
      </c>
      <c r="AC98" s="310" t="str">
        <f>IF($Z98,IF(AF98=AG98,AH98,""),"")</f>
        <v/>
      </c>
      <c r="AD98" s="310" t="str">
        <f>IF($Z98,IF(AF98&gt;AG98,AH98,IF(AF98&lt;AG98,AE98,"")),"")</f>
        <v/>
      </c>
      <c r="AE98" s="309" t="str">
        <f>VLOOKUP($X98,schedule,AE$6,FALSE)</f>
        <v>A csoport 2. hely</v>
      </c>
      <c r="AF98" s="311" t="str">
        <f>IF($Z98,J98,"")</f>
        <v/>
      </c>
      <c r="AG98" s="311" t="str">
        <f>IF($Z98,L98,"")</f>
        <v/>
      </c>
      <c r="AH98" s="309" t="str">
        <f>VLOOKUP($X98,schedule,AH$6,FALSE)</f>
        <v>B csoport 2. hely</v>
      </c>
      <c r="AI98" s="311" t="str">
        <f>IF($Z98,AG98,"")</f>
        <v/>
      </c>
      <c r="AJ98" s="311" t="str">
        <f>IF($Z98,AF98,"")</f>
        <v/>
      </c>
      <c r="AK98" s="311" t="b">
        <f>AB98&lt;&gt;""</f>
        <v>0</v>
      </c>
      <c r="AL98" s="311" t="b">
        <f>AND(N98&lt;&gt;"",P98&lt;&gt;"",N98&lt;&gt;P98,J98=L98,Z98)</f>
        <v>0</v>
      </c>
      <c r="AM98" s="311" t="b">
        <f>OR(AND(Z98,AB98=""),AL98)</f>
        <v>0</v>
      </c>
      <c r="AN98" s="311" t="str">
        <f>IF(N98="","",N98)</f>
        <v/>
      </c>
      <c r="AO98" s="311" t="str">
        <f>IF(P98="","",P98)</f>
        <v/>
      </c>
      <c r="AP98" s="310" t="str">
        <f>IF(AL98,IF(N98&gt;P98,I98,M98),AA98)</f>
        <v/>
      </c>
      <c r="AQ98" s="310" t="str">
        <f>IF(NOT(AM98),"",IF(AP98=AE98,AH98,AE98))</f>
        <v/>
      </c>
      <c r="AR98" s="311" t="str">
        <f t="shared" ref="AR98:AW98" si="31">VLOOKUP($X98,schedule,AR$6,FALSE)</f>
        <v>8/8</v>
      </c>
      <c r="AS98" s="312">
        <f t="shared" si="31"/>
        <v>44373.749999999993</v>
      </c>
      <c r="AT98" s="312">
        <f t="shared" si="31"/>
        <v>44373.749999999993</v>
      </c>
      <c r="AU98" s="312" t="str">
        <f t="shared" si="31"/>
        <v>18:00</v>
      </c>
      <c r="AV98" s="312" t="str">
        <f t="shared" si="31"/>
        <v>Amszterdam</v>
      </c>
      <c r="AW98" s="313" t="str">
        <f t="shared" si="31"/>
        <v>Johan Cruijff Arena</v>
      </c>
      <c r="AX98" s="312" t="b">
        <f>VLOOKUP($X98,schedule,AX$6,FALSE)=""</f>
        <v>0</v>
      </c>
      <c r="AY98" s="312" t="b">
        <f>VLOOKUP($X98,schedule,AY$6,FALSE)=""</f>
        <v>0</v>
      </c>
      <c r="BC98" s="311" t="b">
        <f ca="1">ROUNDDOWN(AT98,0)&lt;TODAY()</f>
        <v>0</v>
      </c>
      <c r="BD98" s="311" t="b">
        <f ca="1">AND(AT98&lt;=NOW(),AT98+0.1&gt;=NOW(),NOT(AM98))</f>
        <v>0</v>
      </c>
      <c r="BE98" s="311" t="b">
        <f ca="1">AND(NOT(AM98),AT98&lt;NOW())</f>
        <v>0</v>
      </c>
      <c r="BF98" s="311" t="b">
        <f ca="1">AT98&lt;=NOW()</f>
        <v>0</v>
      </c>
    </row>
    <row r="99" spans="1:60" ht="15.75" customHeight="1" x14ac:dyDescent="0.2">
      <c r="A99" s="765"/>
      <c r="B99" s="190"/>
      <c r="C99" s="191"/>
      <c r="D99" s="194">
        <f>AS99</f>
        <v>44373.833333333328</v>
      </c>
      <c r="E99" s="194">
        <f>AT99</f>
        <v>44373.874999999993</v>
      </c>
      <c r="F99" s="207" t="str">
        <f>AV99</f>
        <v>London</v>
      </c>
      <c r="G99" s="208" t="str">
        <f>AW99</f>
        <v>Wembley Stadion</v>
      </c>
      <c r="H99" s="384"/>
      <c r="I99" s="195" t="str">
        <f>AE99</f>
        <v>A csoport 1. hely</v>
      </c>
      <c r="J99" s="209"/>
      <c r="K99" s="210" t="s">
        <v>811</v>
      </c>
      <c r="L99" s="211"/>
      <c r="M99" s="196" t="str">
        <f>AH99</f>
        <v>C csoport 2. hely</v>
      </c>
      <c r="N99" s="460"/>
      <c r="O99" s="457" t="str">
        <f>IF(AK99,"–","")</f>
        <v/>
      </c>
      <c r="P99" s="461"/>
      <c r="R99" s="590"/>
      <c r="X99" s="303">
        <v>37</v>
      </c>
      <c r="Y99" s="309" t="str">
        <f>AE99&amp;AH99</f>
        <v>A csoport 1. helyC csoport 2. hely</v>
      </c>
      <c r="Z99" s="309" t="b">
        <f>AND(J99&lt;&gt;"",L99&lt;&gt;"",COUNTIF(teams,AE99)&gt;0)</f>
        <v>0</v>
      </c>
      <c r="AA99" s="310" t="str">
        <f>IF($Z99,IF(AF99&gt;AG99,AE99,IF(AF99&lt;AG99,AH99,"")),"")</f>
        <v/>
      </c>
      <c r="AB99" s="310" t="str">
        <f>IF($Z99,IF(AF99=AG99,AE99,""),"")</f>
        <v/>
      </c>
      <c r="AC99" s="310" t="str">
        <f>IF($Z99,IF(AF99=AG99,AH99,""),"")</f>
        <v/>
      </c>
      <c r="AD99" s="310" t="str">
        <f>IF($Z99,IF(AF99&gt;AG99,AH99,IF(AF99&lt;AG99,AE99,"")),"")</f>
        <v/>
      </c>
      <c r="AE99" s="309" t="str">
        <f>VLOOKUP($X99,schedule,AE$6,FALSE)</f>
        <v>A csoport 1. hely</v>
      </c>
      <c r="AF99" s="311" t="str">
        <f>IF($Z99,J99,"")</f>
        <v/>
      </c>
      <c r="AG99" s="311" t="str">
        <f>IF($Z99,L99,"")</f>
        <v/>
      </c>
      <c r="AH99" s="309" t="str">
        <f>VLOOKUP($X99,schedule,AH$6,FALSE)</f>
        <v>C csoport 2. hely</v>
      </c>
      <c r="AI99" s="311" t="str">
        <f>IF($Z99,AG99,"")</f>
        <v/>
      </c>
      <c r="AJ99" s="311" t="str">
        <f>IF($Z99,AF99,"")</f>
        <v/>
      </c>
      <c r="AK99" s="311" t="b">
        <f>AB99&lt;&gt;""</f>
        <v>0</v>
      </c>
      <c r="AL99" s="311" t="b">
        <f>AND(N99&lt;&gt;"",P99&lt;&gt;"",N99&lt;&gt;P99,J99=L99,Z99)</f>
        <v>0</v>
      </c>
      <c r="AM99" s="311" t="b">
        <f>OR(AND(Z99,AB99=""),AL99)</f>
        <v>0</v>
      </c>
      <c r="AN99" s="311" t="str">
        <f>IF(N99="","",N99)</f>
        <v/>
      </c>
      <c r="AO99" s="311" t="str">
        <f>IF(P99="","",P99)</f>
        <v/>
      </c>
      <c r="AP99" s="310" t="str">
        <f>IF(AL99,IF(N99&gt;P99,I99,M99),AA99)</f>
        <v/>
      </c>
      <c r="AQ99" s="310" t="str">
        <f>IF(NOT(AM99),"",IF(AP99=AE99,AH99,AE99))</f>
        <v/>
      </c>
      <c r="AR99" s="311" t="str">
        <f t="shared" ref="AR99:AW99" si="32">VLOOKUP($X99,schedule,AR$6,FALSE)</f>
        <v>2/8</v>
      </c>
      <c r="AS99" s="312">
        <f t="shared" si="32"/>
        <v>44373.833333333328</v>
      </c>
      <c r="AT99" s="312">
        <f t="shared" si="32"/>
        <v>44373.874999999993</v>
      </c>
      <c r="AU99" s="312" t="str">
        <f t="shared" si="32"/>
        <v>21:00</v>
      </c>
      <c r="AV99" s="312" t="str">
        <f t="shared" si="32"/>
        <v>London</v>
      </c>
      <c r="AW99" s="313" t="str">
        <f t="shared" si="32"/>
        <v>Wembley Stadion</v>
      </c>
      <c r="AX99" s="312" t="b">
        <f>VLOOKUP($X99,schedule,AX$6,FALSE)=""</f>
        <v>0</v>
      </c>
      <c r="AY99" s="312" t="b">
        <f>VLOOKUP($X99,schedule,AY$6,FALSE)=""</f>
        <v>0</v>
      </c>
      <c r="BC99" s="311" t="b">
        <f ca="1">ROUNDDOWN(AT99,0)&lt;TODAY()</f>
        <v>0</v>
      </c>
      <c r="BD99" s="311" t="b">
        <f ca="1">AND(AT99&lt;=NOW(),AT99+0.1&gt;=NOW(),NOT(AM99))</f>
        <v>0</v>
      </c>
      <c r="BE99" s="311" t="b">
        <f ca="1">AND(NOT(AM99),AT99&lt;NOW())</f>
        <v>0</v>
      </c>
      <c r="BF99" s="311" t="b">
        <f ca="1">AT99&lt;=NOW()</f>
        <v>0</v>
      </c>
    </row>
    <row r="100" spans="1:60" ht="15.75" customHeight="1" x14ac:dyDescent="0.2">
      <c r="A100" s="765"/>
      <c r="B100" s="190"/>
      <c r="C100" s="191"/>
      <c r="D100" s="417"/>
      <c r="E100" s="417"/>
      <c r="F100" s="418"/>
      <c r="G100" s="419"/>
      <c r="H100" s="35"/>
      <c r="I100" s="420"/>
      <c r="J100" s="421"/>
      <c r="K100" s="422"/>
      <c r="L100" s="423"/>
      <c r="M100" s="424"/>
      <c r="N100" s="192"/>
      <c r="AA100" s="314"/>
      <c r="AB100" s="314"/>
      <c r="AC100" s="314"/>
      <c r="AD100" s="314"/>
      <c r="AP100" s="314"/>
      <c r="AQ100" s="314"/>
      <c r="AR100" s="315"/>
      <c r="AS100" s="425"/>
      <c r="AT100" s="425"/>
      <c r="AU100" s="425"/>
      <c r="AV100" s="425"/>
      <c r="AW100" s="426"/>
      <c r="AX100" s="425"/>
      <c r="AY100" s="425"/>
      <c r="BC100" s="315"/>
      <c r="BD100" s="315"/>
      <c r="BE100" s="315"/>
      <c r="BF100" s="315"/>
    </row>
    <row r="101" spans="1:60" ht="9" customHeight="1" x14ac:dyDescent="0.2">
      <c r="A101" s="765"/>
      <c r="C101" s="197"/>
      <c r="D101" s="198"/>
      <c r="E101" s="198"/>
      <c r="F101" s="54"/>
      <c r="G101" s="54"/>
      <c r="H101" s="35"/>
      <c r="J101" s="199"/>
      <c r="L101" s="199"/>
      <c r="N101" s="192"/>
      <c r="AA101" s="314"/>
      <c r="AB101" s="314"/>
      <c r="AC101" s="314"/>
      <c r="AD101" s="314"/>
      <c r="AP101" s="319"/>
      <c r="AQ101" s="319"/>
      <c r="AR101" s="316"/>
      <c r="AS101" s="317"/>
      <c r="AT101" s="318"/>
      <c r="AU101" s="318"/>
      <c r="AV101" s="319"/>
      <c r="AW101" s="320"/>
      <c r="AX101" s="319"/>
      <c r="AY101" s="319"/>
    </row>
    <row r="102" spans="1:60" s="206" customFormat="1" ht="13.5" customHeight="1" x14ac:dyDescent="0.2">
      <c r="A102" s="765"/>
      <c r="B102" s="204"/>
      <c r="C102" s="300" t="s">
        <v>845</v>
      </c>
      <c r="D102" s="301" t="s">
        <v>844</v>
      </c>
      <c r="E102" s="301" t="s">
        <v>562</v>
      </c>
      <c r="F102" s="302"/>
      <c r="G102" s="302" t="s">
        <v>843</v>
      </c>
      <c r="H102" s="302" t="s">
        <v>1191</v>
      </c>
      <c r="I102" s="302"/>
      <c r="J102" s="302"/>
      <c r="K102" s="301" t="s">
        <v>1189</v>
      </c>
      <c r="L102" s="302"/>
      <c r="M102" s="302"/>
      <c r="N102" s="302"/>
      <c r="O102" s="302"/>
      <c r="P102" s="458" t="str">
        <f>IF(O104&amp;O105&lt;&gt;"","BÜNTETŐK","")</f>
        <v/>
      </c>
      <c r="Q102" s="302"/>
      <c r="R102" s="301" t="s">
        <v>1255</v>
      </c>
      <c r="V102" s="4"/>
      <c r="W102" s="303"/>
      <c r="X102" s="303"/>
      <c r="Y102" s="307"/>
      <c r="Z102" s="307"/>
      <c r="AA102" s="307"/>
      <c r="AB102" s="307"/>
      <c r="AC102" s="307"/>
      <c r="AD102" s="307"/>
      <c r="AE102" s="307"/>
      <c r="AF102" s="307"/>
      <c r="AG102" s="307"/>
      <c r="AH102" s="307"/>
      <c r="AI102" s="307"/>
      <c r="AJ102" s="307"/>
      <c r="AK102" s="307"/>
      <c r="AL102" s="307"/>
      <c r="AM102" s="307"/>
      <c r="AN102" s="307"/>
      <c r="AO102" s="307"/>
      <c r="AP102" s="307"/>
      <c r="AQ102" s="307"/>
      <c r="AR102" s="307"/>
      <c r="AS102" s="307"/>
      <c r="AT102" s="307"/>
      <c r="AU102" s="307"/>
      <c r="AV102" s="307"/>
      <c r="AW102" s="321"/>
      <c r="AX102" s="307"/>
      <c r="AY102" s="307"/>
      <c r="AZ102" s="305"/>
      <c r="BA102" s="4"/>
      <c r="BB102" s="305"/>
      <c r="BC102" s="311" t="b">
        <f ca="1">ROUNDDOWN(AS104,0)=ROUNDDOWN(NOW()-5/24,0)</f>
        <v>0</v>
      </c>
      <c r="BD102" s="305"/>
      <c r="BE102" s="305"/>
      <c r="BF102" s="305"/>
      <c r="BG102" s="305"/>
      <c r="BH102" s="4"/>
    </row>
    <row r="103" spans="1:60" s="206" customFormat="1" ht="5.25" customHeight="1" x14ac:dyDescent="0.2">
      <c r="A103" s="765"/>
      <c r="B103" s="204"/>
      <c r="C103" s="204"/>
      <c r="D103" s="204"/>
      <c r="E103" s="204"/>
      <c r="F103" s="204"/>
      <c r="G103" s="204"/>
      <c r="H103" s="383"/>
      <c r="I103" s="204"/>
      <c r="J103" s="204"/>
      <c r="K103" s="204"/>
      <c r="L103" s="204"/>
      <c r="M103" s="204"/>
      <c r="N103" s="204"/>
      <c r="O103" s="205"/>
      <c r="V103" s="4"/>
      <c r="W103" s="303"/>
      <c r="X103" s="303"/>
      <c r="Y103" s="307"/>
      <c r="Z103" s="307"/>
      <c r="AA103" s="307"/>
      <c r="AB103" s="307"/>
      <c r="AC103" s="307"/>
      <c r="AD103" s="307"/>
      <c r="AE103" s="307"/>
      <c r="AF103" s="307"/>
      <c r="AG103" s="307"/>
      <c r="AH103" s="307"/>
      <c r="AI103" s="307"/>
      <c r="AJ103" s="307"/>
      <c r="AK103" s="307"/>
      <c r="AL103" s="307"/>
      <c r="AM103" s="307"/>
      <c r="AN103" s="307"/>
      <c r="AO103" s="307"/>
      <c r="AP103" s="307"/>
      <c r="AQ103" s="307"/>
      <c r="AR103" s="307"/>
      <c r="AS103" s="307"/>
      <c r="AT103" s="307"/>
      <c r="AU103" s="307"/>
      <c r="AV103" s="307"/>
      <c r="AW103" s="321"/>
      <c r="AX103" s="307"/>
      <c r="AY103" s="307"/>
      <c r="AZ103" s="305"/>
      <c r="BA103" s="4"/>
      <c r="BB103" s="305"/>
      <c r="BC103" s="305"/>
      <c r="BD103" s="305"/>
      <c r="BE103" s="305"/>
      <c r="BF103" s="305"/>
      <c r="BG103" s="305"/>
      <c r="BH103" s="4"/>
    </row>
    <row r="104" spans="1:60" ht="15.75" customHeight="1" x14ac:dyDescent="0.2">
      <c r="A104" s="765"/>
      <c r="B104" s="190"/>
      <c r="C104" s="191">
        <f>ROUNDDOWN(D104,0)</f>
        <v>44374</v>
      </c>
      <c r="D104" s="194">
        <f>AS104</f>
        <v>44374.749999999993</v>
      </c>
      <c r="E104" s="194">
        <f>AT104</f>
        <v>44374.749999999993</v>
      </c>
      <c r="F104" s="207" t="str">
        <f>AV104</f>
        <v>Budapest</v>
      </c>
      <c r="G104" s="208" t="str">
        <f>AW104</f>
        <v>Puskás Ferenc Stadion</v>
      </c>
      <c r="H104" s="384"/>
      <c r="I104" s="195" t="str">
        <f>AE104</f>
        <v>C csoport 1. hely</v>
      </c>
      <c r="J104" s="209"/>
      <c r="K104" s="210" t="s">
        <v>811</v>
      </c>
      <c r="L104" s="211"/>
      <c r="M104" s="196" t="str">
        <f>AH104</f>
        <v>D/E/F csoport 3. hely</v>
      </c>
      <c r="N104" s="460"/>
      <c r="O104" s="457" t="str">
        <f>IF(AK104,"–","")</f>
        <v/>
      </c>
      <c r="P104" s="461"/>
      <c r="R104" s="590"/>
      <c r="X104" s="303">
        <v>40</v>
      </c>
      <c r="Y104" s="309" t="str">
        <f>AE104&amp;AH104</f>
        <v>C csoport 1. helyD/E/F csoport 3. hely</v>
      </c>
      <c r="Z104" s="309" t="b">
        <f>AND(J104&lt;&gt;"",L104&lt;&gt;"",COUNTIF(teams,AE104)&gt;0)</f>
        <v>0</v>
      </c>
      <c r="AA104" s="310" t="str">
        <f>IF($Z104,IF(AF104&gt;AG104,AE104,IF(AF104&lt;AG104,AH104,"")),"")</f>
        <v/>
      </c>
      <c r="AB104" s="310" t="str">
        <f>IF($Z104,IF(AF104=AG104,AE104,""),"")</f>
        <v/>
      </c>
      <c r="AC104" s="310" t="str">
        <f>IF($Z104,IF(AF104=AG104,AH104,""),"")</f>
        <v/>
      </c>
      <c r="AD104" s="310" t="str">
        <f>IF($Z104,IF(AF104&gt;AG104,AH104,IF(AF104&lt;AG104,AE104,"")),"")</f>
        <v/>
      </c>
      <c r="AE104" s="309" t="str">
        <f>VLOOKUP($X104,schedule,AE$6,FALSE)</f>
        <v>C csoport 1. hely</v>
      </c>
      <c r="AF104" s="311" t="str">
        <f>IF($Z104,J104,"")</f>
        <v/>
      </c>
      <c r="AG104" s="311" t="str">
        <f>IF($Z104,L104,"")</f>
        <v/>
      </c>
      <c r="AH104" s="309" t="str">
        <f>VLOOKUP($X104,schedule,AH$6,FALSE)</f>
        <v>D/E/F csoport 3. hely</v>
      </c>
      <c r="AI104" s="311" t="str">
        <f>IF($Z104,AG104,"")</f>
        <v/>
      </c>
      <c r="AJ104" s="311" t="str">
        <f>IF($Z104,AF104,"")</f>
        <v/>
      </c>
      <c r="AK104" s="311" t="b">
        <f>AB104&lt;&gt;""</f>
        <v>0</v>
      </c>
      <c r="AL104" s="311" t="b">
        <f>AND(N104&lt;&gt;"",P104&lt;&gt;"",N104&lt;&gt;P104,J104=L104,Z104)</f>
        <v>0</v>
      </c>
      <c r="AM104" s="311" t="b">
        <f>OR(AND(Z104,AB104=""),AL104)</f>
        <v>0</v>
      </c>
      <c r="AN104" s="311" t="str">
        <f>IF(N104="","",N104)</f>
        <v/>
      </c>
      <c r="AO104" s="311" t="str">
        <f>IF(P104="","",P104)</f>
        <v/>
      </c>
      <c r="AP104" s="310" t="str">
        <f>IF(AL104,IF(N104&gt;P104,I104,M104),AA104)</f>
        <v/>
      </c>
      <c r="AQ104" s="310" t="str">
        <f>IF(NOT(AM104),"",IF(AP104=AE104,AH104,AE104))</f>
        <v/>
      </c>
      <c r="AR104" s="311" t="str">
        <f t="shared" ref="AR104:AW105" si="33">VLOOKUP($X104,schedule,AR$6,FALSE)</f>
        <v>7/8</v>
      </c>
      <c r="AS104" s="312">
        <f t="shared" si="33"/>
        <v>44374.749999999993</v>
      </c>
      <c r="AT104" s="312">
        <f t="shared" si="33"/>
        <v>44374.749999999993</v>
      </c>
      <c r="AU104" s="312" t="str">
        <f t="shared" si="33"/>
        <v>18:00</v>
      </c>
      <c r="AV104" s="312" t="str">
        <f t="shared" si="33"/>
        <v>Budapest</v>
      </c>
      <c r="AW104" s="313" t="str">
        <f t="shared" si="33"/>
        <v>Puskás Ferenc Stadion</v>
      </c>
      <c r="AX104" s="312" t="b">
        <f>VLOOKUP($X104,schedule,AX$6,FALSE)=""</f>
        <v>0</v>
      </c>
      <c r="AY104" s="312" t="b">
        <f>VLOOKUP($X104,schedule,AY$6,FALSE)=""</f>
        <v>0</v>
      </c>
      <c r="BC104" s="311" t="b">
        <f ca="1">ROUNDDOWN(AT104,0)&lt;TODAY()</f>
        <v>0</v>
      </c>
      <c r="BD104" s="311" t="b">
        <f ca="1">AND(AT104&lt;=NOW(),AT104+0.1&gt;=NOW(),NOT(AM104))</f>
        <v>0</v>
      </c>
      <c r="BE104" s="311" t="b">
        <f ca="1">AND(NOT(AM104),AT104&lt;NOW())</f>
        <v>0</v>
      </c>
      <c r="BF104" s="311" t="b">
        <f ca="1">AT104&lt;=NOW()</f>
        <v>0</v>
      </c>
    </row>
    <row r="105" spans="1:60" ht="15.75" customHeight="1" x14ac:dyDescent="0.2">
      <c r="A105" s="765"/>
      <c r="B105" s="190"/>
      <c r="C105" s="191"/>
      <c r="D105" s="194">
        <f>AS105</f>
        <v>44374.874999999993</v>
      </c>
      <c r="E105" s="194">
        <f>AT105</f>
        <v>44374.874999999993</v>
      </c>
      <c r="F105" s="207" t="str">
        <f>AV105</f>
        <v>Sevilla</v>
      </c>
      <c r="G105" s="208" t="str">
        <f>AW105</f>
        <v>R. Sánchez-Pizjuán Stadion</v>
      </c>
      <c r="H105" s="384"/>
      <c r="I105" s="195" t="str">
        <f>AE105</f>
        <v>B csoport 1. hely</v>
      </c>
      <c r="J105" s="209"/>
      <c r="K105" s="210" t="s">
        <v>811</v>
      </c>
      <c r="L105" s="211"/>
      <c r="M105" s="196" t="str">
        <f>AH105</f>
        <v>A/D/E/F csoport 3. hely</v>
      </c>
      <c r="N105" s="460"/>
      <c r="O105" s="457" t="str">
        <f>IF(AK105,"–","")</f>
        <v/>
      </c>
      <c r="P105" s="461"/>
      <c r="R105" s="590"/>
      <c r="X105" s="303">
        <v>39</v>
      </c>
      <c r="Y105" s="309" t="str">
        <f>AE105&amp;AH105</f>
        <v>B csoport 1. helyA/D/E/F csoport 3. hely</v>
      </c>
      <c r="Z105" s="309" t="b">
        <f>AND(J105&lt;&gt;"",L105&lt;&gt;"",COUNTIF(teams,AE105)&gt;0)</f>
        <v>0</v>
      </c>
      <c r="AA105" s="310" t="str">
        <f>IF($Z105,IF(AF105&gt;AG105,AE105,IF(AF105&lt;AG105,AH105,"")),"")</f>
        <v/>
      </c>
      <c r="AB105" s="310" t="str">
        <f>IF($Z105,IF(AF105=AG105,AE105,""),"")</f>
        <v/>
      </c>
      <c r="AC105" s="310" t="str">
        <f>IF($Z105,IF(AF105=AG105,AH105,""),"")</f>
        <v/>
      </c>
      <c r="AD105" s="310" t="str">
        <f>IF($Z105,IF(AF105&gt;AG105,AH105,IF(AF105&lt;AG105,AE105,"")),"")</f>
        <v/>
      </c>
      <c r="AE105" s="309" t="str">
        <f>VLOOKUP($X105,schedule,AE$6,FALSE)</f>
        <v>B csoport 1. hely</v>
      </c>
      <c r="AF105" s="311" t="str">
        <f>IF($Z105,J105,"")</f>
        <v/>
      </c>
      <c r="AG105" s="311" t="str">
        <f>IF($Z105,L105,"")</f>
        <v/>
      </c>
      <c r="AH105" s="309" t="str">
        <f>VLOOKUP($X105,schedule,AH$6,FALSE)</f>
        <v>A/D/E/F csoport 3. hely</v>
      </c>
      <c r="AI105" s="311" t="str">
        <f>IF($Z105,AG105,"")</f>
        <v/>
      </c>
      <c r="AJ105" s="311" t="str">
        <f>IF($Z105,AF105,"")</f>
        <v/>
      </c>
      <c r="AK105" s="311" t="b">
        <f>AB105&lt;&gt;""</f>
        <v>0</v>
      </c>
      <c r="AL105" s="311" t="b">
        <f>AND(N105&lt;&gt;"",P105&lt;&gt;"",N105&lt;&gt;P105,J105=L105,Z105)</f>
        <v>0</v>
      </c>
      <c r="AM105" s="311" t="b">
        <f>OR(AND(Z105,AB105=""),AL105)</f>
        <v>0</v>
      </c>
      <c r="AN105" s="311" t="str">
        <f>IF(N105="","",N105)</f>
        <v/>
      </c>
      <c r="AO105" s="311" t="str">
        <f>IF(P105="","",P105)</f>
        <v/>
      </c>
      <c r="AP105" s="310" t="str">
        <f>IF(AL105,IF(N105&gt;P105,I105,M105),AA105)</f>
        <v/>
      </c>
      <c r="AQ105" s="310" t="str">
        <f>IF(NOT(AM105),"",IF(AP105=AE105,AH105,AE105))</f>
        <v/>
      </c>
      <c r="AR105" s="311" t="str">
        <f t="shared" si="33"/>
        <v>1/8</v>
      </c>
      <c r="AS105" s="312">
        <f t="shared" si="33"/>
        <v>44374.874999999993</v>
      </c>
      <c r="AT105" s="312">
        <f t="shared" si="33"/>
        <v>44374.874999999993</v>
      </c>
      <c r="AU105" s="312" t="str">
        <f t="shared" si="33"/>
        <v>21:00</v>
      </c>
      <c r="AV105" s="312" t="str">
        <f t="shared" si="33"/>
        <v>Sevilla</v>
      </c>
      <c r="AW105" s="313" t="str">
        <f t="shared" si="33"/>
        <v>R. Sánchez-Pizjuán Stadion</v>
      </c>
      <c r="AX105" s="312" t="b">
        <f>VLOOKUP($X105,schedule,AX$6,FALSE)=""</f>
        <v>0</v>
      </c>
      <c r="AY105" s="312" t="b">
        <f>VLOOKUP($X105,schedule,AY$6,FALSE)=""</f>
        <v>0</v>
      </c>
      <c r="BC105" s="311" t="b">
        <f ca="1">ROUNDDOWN(AT105,0)&lt;TODAY()</f>
        <v>0</v>
      </c>
      <c r="BD105" s="311" t="b">
        <f ca="1">AND(AT105&lt;=NOW(),AT105+0.1&gt;=NOW(),NOT(AM105))</f>
        <v>0</v>
      </c>
      <c r="BE105" s="311" t="b">
        <f ca="1">AND(NOT(AM105),AT105&lt;NOW())</f>
        <v>0</v>
      </c>
      <c r="BF105" s="311" t="b">
        <f ca="1">AT105&lt;=NOW()</f>
        <v>0</v>
      </c>
    </row>
    <row r="106" spans="1:60" ht="15.75" customHeight="1" x14ac:dyDescent="0.2">
      <c r="A106" s="765"/>
      <c r="B106" s="190"/>
      <c r="C106" s="191"/>
      <c r="D106" s="417"/>
      <c r="E106" s="417"/>
      <c r="F106" s="418"/>
      <c r="G106" s="419"/>
      <c r="H106" s="35"/>
      <c r="I106" s="420"/>
      <c r="J106" s="421"/>
      <c r="K106" s="422"/>
      <c r="L106" s="423"/>
      <c r="M106" s="424"/>
      <c r="N106" s="192"/>
      <c r="AA106" s="314"/>
      <c r="AB106" s="314"/>
      <c r="AC106" s="314"/>
      <c r="AD106" s="314"/>
      <c r="AP106" s="314"/>
      <c r="AQ106" s="314"/>
      <c r="AR106" s="315"/>
      <c r="AS106" s="425"/>
      <c r="AT106" s="425"/>
      <c r="AU106" s="425"/>
      <c r="AV106" s="425"/>
      <c r="AW106" s="426"/>
      <c r="AX106" s="425"/>
      <c r="AY106" s="425"/>
      <c r="BC106" s="315"/>
      <c r="BD106" s="315"/>
      <c r="BE106" s="315"/>
      <c r="BF106" s="315"/>
    </row>
    <row r="107" spans="1:60" ht="9" customHeight="1" x14ac:dyDescent="0.2">
      <c r="A107" s="765"/>
      <c r="C107" s="197"/>
      <c r="D107" s="198"/>
      <c r="E107" s="198"/>
      <c r="F107" s="54"/>
      <c r="G107" s="54"/>
      <c r="H107" s="35"/>
      <c r="J107" s="199"/>
      <c r="L107" s="199"/>
      <c r="N107" s="192"/>
      <c r="AA107" s="314"/>
      <c r="AB107" s="314"/>
      <c r="AC107" s="314"/>
      <c r="AD107" s="314"/>
      <c r="AP107" s="319"/>
      <c r="AQ107" s="319"/>
      <c r="AR107" s="316"/>
      <c r="AS107" s="317"/>
      <c r="AT107" s="318"/>
      <c r="AU107" s="318"/>
      <c r="AV107" s="319"/>
      <c r="AW107" s="320"/>
      <c r="AX107" s="319"/>
      <c r="AY107" s="319"/>
    </row>
    <row r="108" spans="1:60" s="206" customFormat="1" ht="13.5" customHeight="1" x14ac:dyDescent="0.2">
      <c r="A108" s="765"/>
      <c r="B108" s="204"/>
      <c r="C108" s="300" t="s">
        <v>845</v>
      </c>
      <c r="D108" s="301" t="s">
        <v>844</v>
      </c>
      <c r="E108" s="301" t="s">
        <v>562</v>
      </c>
      <c r="F108" s="302"/>
      <c r="G108" s="302" t="s">
        <v>843</v>
      </c>
      <c r="H108" s="302" t="s">
        <v>1191</v>
      </c>
      <c r="I108" s="302"/>
      <c r="J108" s="302"/>
      <c r="K108" s="301" t="s">
        <v>1189</v>
      </c>
      <c r="L108" s="302"/>
      <c r="M108" s="302"/>
      <c r="N108" s="302"/>
      <c r="O108" s="302"/>
      <c r="P108" s="458" t="str">
        <f>IF(O110&amp;O111&lt;&gt;"","BÜNTETŐK","")</f>
        <v/>
      </c>
      <c r="Q108" s="302"/>
      <c r="R108" s="301" t="s">
        <v>1255</v>
      </c>
      <c r="V108" s="4"/>
      <c r="W108" s="303"/>
      <c r="X108" s="303"/>
      <c r="Y108" s="307"/>
      <c r="Z108" s="307"/>
      <c r="AA108" s="307"/>
      <c r="AB108" s="307"/>
      <c r="AC108" s="307"/>
      <c r="AD108" s="307"/>
      <c r="AE108" s="307"/>
      <c r="AF108" s="307"/>
      <c r="AG108" s="307"/>
      <c r="AH108" s="307"/>
      <c r="AI108" s="307"/>
      <c r="AJ108" s="307"/>
      <c r="AK108" s="307"/>
      <c r="AL108" s="307"/>
      <c r="AM108" s="307"/>
      <c r="AN108" s="307"/>
      <c r="AO108" s="307"/>
      <c r="AP108" s="307"/>
      <c r="AQ108" s="307"/>
      <c r="AR108" s="307"/>
      <c r="AS108" s="307"/>
      <c r="AT108" s="307"/>
      <c r="AU108" s="307"/>
      <c r="AV108" s="307"/>
      <c r="AW108" s="321"/>
      <c r="AX108" s="307"/>
      <c r="AY108" s="307"/>
      <c r="AZ108" s="305"/>
      <c r="BA108" s="4"/>
      <c r="BB108" s="305"/>
      <c r="BC108" s="311" t="b">
        <f ca="1">ROUNDDOWN(AS110,0)=ROUNDDOWN(NOW()-5/24,0)</f>
        <v>0</v>
      </c>
      <c r="BD108" s="305"/>
      <c r="BE108" s="305"/>
      <c r="BF108" s="305"/>
      <c r="BG108" s="305"/>
      <c r="BH108" s="4"/>
    </row>
    <row r="109" spans="1:60" s="206" customFormat="1" ht="5.25" customHeight="1" x14ac:dyDescent="0.2">
      <c r="A109" s="765"/>
      <c r="B109" s="204"/>
      <c r="C109" s="204"/>
      <c r="D109" s="204"/>
      <c r="E109" s="204"/>
      <c r="F109" s="204"/>
      <c r="G109" s="204"/>
      <c r="H109" s="383"/>
      <c r="I109" s="204"/>
      <c r="J109" s="204"/>
      <c r="K109" s="204"/>
      <c r="L109" s="204"/>
      <c r="M109" s="204"/>
      <c r="N109" s="204"/>
      <c r="O109" s="205"/>
      <c r="V109" s="4"/>
      <c r="W109" s="303"/>
      <c r="X109" s="303"/>
      <c r="Y109" s="307"/>
      <c r="Z109" s="307"/>
      <c r="AA109" s="307"/>
      <c r="AB109" s="307"/>
      <c r="AC109" s="307"/>
      <c r="AD109" s="307"/>
      <c r="AE109" s="307"/>
      <c r="AF109" s="307"/>
      <c r="AG109" s="307"/>
      <c r="AH109" s="307"/>
      <c r="AI109" s="307"/>
      <c r="AJ109" s="307"/>
      <c r="AK109" s="307"/>
      <c r="AL109" s="307"/>
      <c r="AM109" s="307"/>
      <c r="AN109" s="307"/>
      <c r="AO109" s="307"/>
      <c r="AP109" s="307"/>
      <c r="AQ109" s="307"/>
      <c r="AR109" s="307"/>
      <c r="AS109" s="307"/>
      <c r="AT109" s="307"/>
      <c r="AU109" s="307"/>
      <c r="AV109" s="307"/>
      <c r="AW109" s="321"/>
      <c r="AX109" s="307"/>
      <c r="AY109" s="307"/>
      <c r="AZ109" s="305"/>
      <c r="BA109" s="4"/>
      <c r="BB109" s="305"/>
      <c r="BC109" s="305"/>
      <c r="BD109" s="305"/>
      <c r="BE109" s="305"/>
      <c r="BF109" s="305"/>
      <c r="BG109" s="305"/>
      <c r="BH109" s="4"/>
    </row>
    <row r="110" spans="1:60" ht="15.75" customHeight="1" x14ac:dyDescent="0.2">
      <c r="A110" s="765"/>
      <c r="B110" s="190"/>
      <c r="C110" s="191">
        <f>ROUNDDOWN(D110,0)</f>
        <v>44375</v>
      </c>
      <c r="D110" s="194">
        <f>AS110</f>
        <v>44375.749999999993</v>
      </c>
      <c r="E110" s="194">
        <f>AT110</f>
        <v>44375.749999999993</v>
      </c>
      <c r="F110" s="207" t="str">
        <f>AV110</f>
        <v>Koppenhága</v>
      </c>
      <c r="G110" s="208" t="str">
        <f>AW110</f>
        <v>Parken Stadion</v>
      </c>
      <c r="H110" s="384"/>
      <c r="I110" s="195" t="str">
        <f>AE110</f>
        <v>D csoport 2. hely</v>
      </c>
      <c r="J110" s="209"/>
      <c r="K110" s="210" t="s">
        <v>811</v>
      </c>
      <c r="L110" s="211"/>
      <c r="M110" s="196" t="str">
        <f>AH110</f>
        <v>E csoport 2. hely</v>
      </c>
      <c r="N110" s="460"/>
      <c r="O110" s="457" t="str">
        <f>IF(AK110,"–","")</f>
        <v/>
      </c>
      <c r="P110" s="461"/>
      <c r="R110" s="590"/>
      <c r="X110" s="303">
        <v>42</v>
      </c>
      <c r="Y110" s="309" t="str">
        <f>AE110&amp;AH110</f>
        <v>D csoport 2. helyE csoport 2. hely</v>
      </c>
      <c r="Z110" s="309" t="b">
        <f>AND(J110&lt;&gt;"",L110&lt;&gt;"",COUNTIF(teams,AE110)&gt;0)</f>
        <v>0</v>
      </c>
      <c r="AA110" s="310" t="str">
        <f>IF($Z110,IF(AF110&gt;AG110,AE110,IF(AF110&lt;AG110,AH110,"")),"")</f>
        <v/>
      </c>
      <c r="AB110" s="310" t="str">
        <f>IF($Z110,IF(AF110=AG110,AE110,""),"")</f>
        <v/>
      </c>
      <c r="AC110" s="310" t="str">
        <f>IF($Z110,IF(AF110=AG110,AH110,""),"")</f>
        <v/>
      </c>
      <c r="AD110" s="310" t="str">
        <f>IF($Z110,IF(AF110&gt;AG110,AH110,IF(AF110&lt;AG110,AE110,"")),"")</f>
        <v/>
      </c>
      <c r="AE110" s="309" t="str">
        <f>VLOOKUP($X110,schedule,AE$6,FALSE)</f>
        <v>D csoport 2. hely</v>
      </c>
      <c r="AF110" s="311" t="str">
        <f>IF($Z110,J110,"")</f>
        <v/>
      </c>
      <c r="AG110" s="311" t="str">
        <f>IF($Z110,L110,"")</f>
        <v/>
      </c>
      <c r="AH110" s="309" t="str">
        <f>VLOOKUP($X110,schedule,AH$6,FALSE)</f>
        <v>E csoport 2. hely</v>
      </c>
      <c r="AI110" s="311" t="str">
        <f>IF($Z110,AG110,"")</f>
        <v/>
      </c>
      <c r="AJ110" s="311" t="str">
        <f>IF($Z110,AF110,"")</f>
        <v/>
      </c>
      <c r="AK110" s="311" t="b">
        <f>AB110&lt;&gt;""</f>
        <v>0</v>
      </c>
      <c r="AL110" s="311" t="b">
        <f>AND(N110&lt;&gt;"",P110&lt;&gt;"",N110&lt;&gt;P110,J110=L110,Z110)</f>
        <v>0</v>
      </c>
      <c r="AM110" s="311" t="b">
        <f>OR(AND(Z110,AB110=""),AL110)</f>
        <v>0</v>
      </c>
      <c r="AN110" s="311" t="str">
        <f>IF(N110="","",N110)</f>
        <v/>
      </c>
      <c r="AO110" s="311" t="str">
        <f>IF(P110="","",P110)</f>
        <v/>
      </c>
      <c r="AP110" s="310" t="str">
        <f>IF(AL110,IF(N110&gt;P110,I110,M110),AA110)</f>
        <v/>
      </c>
      <c r="AQ110" s="310" t="str">
        <f>IF(NOT(AM110),"",IF(AP110=AE110,AH110,AE110))</f>
        <v/>
      </c>
      <c r="AR110" s="311" t="str">
        <f t="shared" ref="AR110:AW111" si="34">VLOOKUP($X110,schedule,AR$6,FALSE)</f>
        <v>4/8</v>
      </c>
      <c r="AS110" s="312">
        <f t="shared" si="34"/>
        <v>44375.749999999993</v>
      </c>
      <c r="AT110" s="312">
        <f t="shared" si="34"/>
        <v>44375.749999999993</v>
      </c>
      <c r="AU110" s="312" t="str">
        <f t="shared" si="34"/>
        <v>18:00</v>
      </c>
      <c r="AV110" s="312" t="str">
        <f t="shared" si="34"/>
        <v>Koppenhága</v>
      </c>
      <c r="AW110" s="313" t="str">
        <f t="shared" si="34"/>
        <v>Parken Stadion</v>
      </c>
      <c r="AX110" s="312" t="b">
        <f>VLOOKUP($X110,schedule,AX$6,FALSE)=""</f>
        <v>0</v>
      </c>
      <c r="AY110" s="312" t="b">
        <f>VLOOKUP($X110,schedule,AY$6,FALSE)=""</f>
        <v>0</v>
      </c>
      <c r="BC110" s="311" t="b">
        <f ca="1">ROUNDDOWN(AT110,0)&lt;TODAY()</f>
        <v>0</v>
      </c>
      <c r="BD110" s="311" t="b">
        <f ca="1">AND(AT110&lt;=NOW(),AT110+0.1&gt;=NOW(),NOT(AM110))</f>
        <v>0</v>
      </c>
      <c r="BE110" s="311" t="b">
        <f ca="1">AND(NOT(AM110),AT110&lt;NOW())</f>
        <v>0</v>
      </c>
      <c r="BF110" s="311" t="b">
        <f ca="1">AT110&lt;=NOW()</f>
        <v>0</v>
      </c>
    </row>
    <row r="111" spans="1:60" ht="15.75" customHeight="1" x14ac:dyDescent="0.2">
      <c r="A111" s="765"/>
      <c r="B111" s="190"/>
      <c r="C111" s="191"/>
      <c r="D111" s="194">
        <f>AS111</f>
        <v>44375.916666666657</v>
      </c>
      <c r="E111" s="194">
        <f>AT111</f>
        <v>44375.874999999993</v>
      </c>
      <c r="F111" s="207" t="str">
        <f>AV111</f>
        <v>Bukarest</v>
      </c>
      <c r="G111" s="208" t="str">
        <f>AW111</f>
        <v>Nemzeti Stadion</v>
      </c>
      <c r="H111" s="384"/>
      <c r="I111" s="195" t="str">
        <f>AE111</f>
        <v>F csoport 1. hely</v>
      </c>
      <c r="J111" s="209"/>
      <c r="K111" s="210" t="s">
        <v>811</v>
      </c>
      <c r="L111" s="211"/>
      <c r="M111" s="196" t="str">
        <f>AH111</f>
        <v>A/B/C csoport 3. hely</v>
      </c>
      <c r="N111" s="460"/>
      <c r="O111" s="457" t="str">
        <f>IF(AK111,"–","")</f>
        <v/>
      </c>
      <c r="P111" s="461"/>
      <c r="R111" s="590"/>
      <c r="X111" s="303">
        <v>41</v>
      </c>
      <c r="Y111" s="309" t="str">
        <f>AE111&amp;AH111</f>
        <v>F csoport 1. helyA/B/C csoport 3. hely</v>
      </c>
      <c r="Z111" s="309" t="b">
        <f>AND(J111&lt;&gt;"",L111&lt;&gt;"",COUNTIF(teams,AE111)&gt;0)</f>
        <v>0</v>
      </c>
      <c r="AA111" s="310" t="str">
        <f>IF($Z111,IF(AF111&gt;AG111,AE111,IF(AF111&lt;AG111,AH111,"")),"")</f>
        <v/>
      </c>
      <c r="AB111" s="310" t="str">
        <f>IF($Z111,IF(AF111=AG111,AE111,""),"")</f>
        <v/>
      </c>
      <c r="AC111" s="310" t="str">
        <f>IF($Z111,IF(AF111=AG111,AH111,""),"")</f>
        <v/>
      </c>
      <c r="AD111" s="310" t="str">
        <f>IF($Z111,IF(AF111&gt;AG111,AH111,IF(AF111&lt;AG111,AE111,"")),"")</f>
        <v/>
      </c>
      <c r="AE111" s="309" t="str">
        <f>VLOOKUP($X111,schedule,AE$6,FALSE)</f>
        <v>F csoport 1. hely</v>
      </c>
      <c r="AF111" s="311" t="str">
        <f>IF($Z111,J111,"")</f>
        <v/>
      </c>
      <c r="AG111" s="311" t="str">
        <f>IF($Z111,L111,"")</f>
        <v/>
      </c>
      <c r="AH111" s="309" t="str">
        <f>VLOOKUP($X111,schedule,AH$6,FALSE)</f>
        <v>A/B/C csoport 3. hely</v>
      </c>
      <c r="AI111" s="311" t="str">
        <f>IF($Z111,AG111,"")</f>
        <v/>
      </c>
      <c r="AJ111" s="311" t="str">
        <f>IF($Z111,AF111,"")</f>
        <v/>
      </c>
      <c r="AK111" s="311" t="b">
        <f>AB111&lt;&gt;""</f>
        <v>0</v>
      </c>
      <c r="AL111" s="311" t="b">
        <f>AND(N111&lt;&gt;"",P111&lt;&gt;"",N111&lt;&gt;P111,J111=L111,Z111)</f>
        <v>0</v>
      </c>
      <c r="AM111" s="311" t="b">
        <f>OR(AND(Z111,AB111=""),AL111)</f>
        <v>0</v>
      </c>
      <c r="AN111" s="311" t="str">
        <f>IF(N111="","",N111)</f>
        <v/>
      </c>
      <c r="AO111" s="311" t="str">
        <f>IF(P111="","",P111)</f>
        <v/>
      </c>
      <c r="AP111" s="310" t="str">
        <f>IF(AL111,IF(N111&gt;P111,I111,M111),AA111)</f>
        <v/>
      </c>
      <c r="AQ111" s="310" t="str">
        <f>IF(NOT(AM111),"",IF(AP111=AE111,AH111,AE111))</f>
        <v/>
      </c>
      <c r="AR111" s="311" t="str">
        <f t="shared" si="34"/>
        <v>3/8</v>
      </c>
      <c r="AS111" s="312">
        <f t="shared" si="34"/>
        <v>44375.916666666657</v>
      </c>
      <c r="AT111" s="312">
        <f t="shared" si="34"/>
        <v>44375.874999999993</v>
      </c>
      <c r="AU111" s="312" t="str">
        <f t="shared" si="34"/>
        <v>21:00</v>
      </c>
      <c r="AV111" s="312" t="str">
        <f t="shared" si="34"/>
        <v>Bukarest</v>
      </c>
      <c r="AW111" s="313" t="str">
        <f t="shared" si="34"/>
        <v>Nemzeti Stadion</v>
      </c>
      <c r="AX111" s="312" t="b">
        <f>VLOOKUP($X111,schedule,AX$6,FALSE)=""</f>
        <v>0</v>
      </c>
      <c r="AY111" s="312" t="b">
        <f>VLOOKUP($X111,schedule,AY$6,FALSE)=""</f>
        <v>0</v>
      </c>
      <c r="BC111" s="311" t="b">
        <f ca="1">ROUNDDOWN(AT111,0)&lt;TODAY()</f>
        <v>0</v>
      </c>
      <c r="BD111" s="311" t="b">
        <f ca="1">AND(AT111&lt;=NOW(),AT111+0.1&gt;=NOW(),NOT(AM111))</f>
        <v>0</v>
      </c>
      <c r="BE111" s="311" t="b">
        <f ca="1">AND(NOT(AM111),AT111&lt;NOW())</f>
        <v>0</v>
      </c>
      <c r="BF111" s="311" t="b">
        <f ca="1">AT111&lt;=NOW()</f>
        <v>0</v>
      </c>
    </row>
    <row r="112" spans="1:60" ht="15.75" customHeight="1" x14ac:dyDescent="0.2">
      <c r="A112" s="765"/>
      <c r="B112" s="190"/>
      <c r="C112" s="191"/>
      <c r="D112" s="417"/>
      <c r="E112" s="417"/>
      <c r="F112" s="418"/>
      <c r="G112" s="419"/>
      <c r="H112" s="35"/>
      <c r="I112" s="420"/>
      <c r="J112" s="421"/>
      <c r="K112" s="422"/>
      <c r="L112" s="423"/>
      <c r="M112" s="424"/>
      <c r="N112" s="192"/>
      <c r="AA112" s="314"/>
      <c r="AB112" s="314"/>
      <c r="AC112" s="314"/>
      <c r="AD112" s="314"/>
      <c r="AP112" s="314"/>
      <c r="AQ112" s="314"/>
      <c r="AR112" s="315"/>
      <c r="AS112" s="425"/>
      <c r="AT112" s="425"/>
      <c r="AU112" s="425"/>
      <c r="AV112" s="425"/>
      <c r="AW112" s="426"/>
      <c r="AX112" s="425"/>
      <c r="AY112" s="425"/>
      <c r="BC112" s="315"/>
      <c r="BD112" s="315"/>
      <c r="BE112" s="315"/>
      <c r="BF112" s="315"/>
    </row>
    <row r="113" spans="1:60" ht="9" customHeight="1" x14ac:dyDescent="0.2">
      <c r="A113" s="765"/>
      <c r="C113" s="197"/>
      <c r="D113" s="198"/>
      <c r="E113" s="198"/>
      <c r="F113" s="54"/>
      <c r="G113" s="54"/>
      <c r="H113" s="35"/>
      <c r="J113" s="199"/>
      <c r="L113" s="199"/>
      <c r="N113" s="192"/>
      <c r="AA113" s="314"/>
      <c r="AB113" s="314"/>
      <c r="AC113" s="314"/>
      <c r="AD113" s="314"/>
      <c r="AP113" s="319"/>
      <c r="AQ113" s="319"/>
      <c r="AR113" s="316"/>
      <c r="AS113" s="317"/>
      <c r="AT113" s="318"/>
      <c r="AU113" s="318"/>
      <c r="AV113" s="319"/>
      <c r="AW113" s="320"/>
      <c r="AX113" s="319"/>
      <c r="AY113" s="319"/>
    </row>
    <row r="114" spans="1:60" s="206" customFormat="1" ht="13.5" customHeight="1" x14ac:dyDescent="0.2">
      <c r="A114" s="765"/>
      <c r="B114" s="204"/>
      <c r="C114" s="300" t="s">
        <v>845</v>
      </c>
      <c r="D114" s="301" t="s">
        <v>844</v>
      </c>
      <c r="E114" s="301" t="s">
        <v>562</v>
      </c>
      <c r="F114" s="302"/>
      <c r="G114" s="302" t="s">
        <v>843</v>
      </c>
      <c r="H114" s="302" t="s">
        <v>1191</v>
      </c>
      <c r="I114" s="302"/>
      <c r="J114" s="302"/>
      <c r="K114" s="301" t="s">
        <v>1189</v>
      </c>
      <c r="L114" s="302"/>
      <c r="M114" s="302"/>
      <c r="N114" s="302"/>
      <c r="O114" s="302"/>
      <c r="P114" s="458" t="str">
        <f>IF(O116&amp;O117&lt;&gt;"","BÜNTETŐK","")</f>
        <v/>
      </c>
      <c r="Q114" s="302"/>
      <c r="R114" s="301" t="s">
        <v>1255</v>
      </c>
      <c r="V114" s="4"/>
      <c r="W114" s="303"/>
      <c r="X114" s="303"/>
      <c r="Y114" s="307"/>
      <c r="Z114" s="307"/>
      <c r="AA114" s="307"/>
      <c r="AB114" s="307"/>
      <c r="AC114" s="307"/>
      <c r="AD114" s="307"/>
      <c r="AE114" s="307"/>
      <c r="AF114" s="307"/>
      <c r="AG114" s="307"/>
      <c r="AH114" s="307"/>
      <c r="AI114" s="307"/>
      <c r="AJ114" s="307"/>
      <c r="AK114" s="307"/>
      <c r="AL114" s="307"/>
      <c r="AM114" s="307"/>
      <c r="AN114" s="307"/>
      <c r="AO114" s="307"/>
      <c r="AP114" s="307"/>
      <c r="AQ114" s="307"/>
      <c r="AR114" s="307"/>
      <c r="AS114" s="307"/>
      <c r="AT114" s="307"/>
      <c r="AU114" s="307"/>
      <c r="AV114" s="307"/>
      <c r="AW114" s="321"/>
      <c r="AX114" s="307"/>
      <c r="AY114" s="307"/>
      <c r="AZ114" s="305"/>
      <c r="BA114" s="4"/>
      <c r="BB114" s="305"/>
      <c r="BC114" s="311" t="b">
        <f ca="1">ROUNDDOWN(AS116,0)=ROUNDDOWN(NOW()-5/24,0)</f>
        <v>0</v>
      </c>
      <c r="BD114" s="305"/>
      <c r="BE114" s="305"/>
      <c r="BF114" s="305"/>
      <c r="BG114" s="305"/>
      <c r="BH114" s="4"/>
    </row>
    <row r="115" spans="1:60" s="206" customFormat="1" ht="5.25" customHeight="1" x14ac:dyDescent="0.2">
      <c r="A115" s="765"/>
      <c r="B115" s="204"/>
      <c r="C115" s="204"/>
      <c r="D115" s="204"/>
      <c r="E115" s="204"/>
      <c r="F115" s="204"/>
      <c r="G115" s="204"/>
      <c r="H115" s="383"/>
      <c r="I115" s="204"/>
      <c r="J115" s="204"/>
      <c r="K115" s="204"/>
      <c r="L115" s="204"/>
      <c r="M115" s="204"/>
      <c r="N115" s="204"/>
      <c r="O115" s="205"/>
      <c r="V115" s="4"/>
      <c r="W115" s="303"/>
      <c r="X115" s="303"/>
      <c r="Y115" s="307"/>
      <c r="Z115" s="307"/>
      <c r="AA115" s="307"/>
      <c r="AB115" s="307"/>
      <c r="AC115" s="307"/>
      <c r="AD115" s="307"/>
      <c r="AE115" s="307"/>
      <c r="AF115" s="307"/>
      <c r="AG115" s="307"/>
      <c r="AH115" s="307"/>
      <c r="AI115" s="307"/>
      <c r="AJ115" s="307"/>
      <c r="AK115" s="307"/>
      <c r="AL115" s="307"/>
      <c r="AM115" s="307"/>
      <c r="AN115" s="307"/>
      <c r="AO115" s="307"/>
      <c r="AP115" s="307"/>
      <c r="AQ115" s="307"/>
      <c r="AR115" s="307"/>
      <c r="AS115" s="307"/>
      <c r="AT115" s="307"/>
      <c r="AU115" s="307"/>
      <c r="AV115" s="307"/>
      <c r="AW115" s="321"/>
      <c r="AX115" s="307"/>
      <c r="AY115" s="307"/>
      <c r="AZ115" s="305"/>
      <c r="BA115" s="4"/>
      <c r="BB115" s="305"/>
      <c r="BC115" s="305"/>
      <c r="BD115" s="305"/>
      <c r="BE115" s="305"/>
      <c r="BF115" s="305"/>
      <c r="BG115" s="305"/>
      <c r="BH115" s="4"/>
    </row>
    <row r="116" spans="1:60" ht="15.75" customHeight="1" x14ac:dyDescent="0.2">
      <c r="A116" s="765"/>
      <c r="B116" s="190"/>
      <c r="C116" s="191">
        <f>ROUNDDOWN(D116,0)</f>
        <v>44376</v>
      </c>
      <c r="D116" s="194">
        <f>AS116</f>
        <v>44376.708333333321</v>
      </c>
      <c r="E116" s="194">
        <f>AT116</f>
        <v>44376.749999999985</v>
      </c>
      <c r="F116" s="207" t="str">
        <f>AV116</f>
        <v>London</v>
      </c>
      <c r="G116" s="208" t="str">
        <f>AW116</f>
        <v>Wembley Stadion</v>
      </c>
      <c r="H116" s="384"/>
      <c r="I116" s="195" t="str">
        <f>AE116</f>
        <v>D csoport 1. hely</v>
      </c>
      <c r="J116" s="209"/>
      <c r="K116" s="210" t="s">
        <v>811</v>
      </c>
      <c r="L116" s="211"/>
      <c r="M116" s="196" t="str">
        <f>AH116</f>
        <v>F csoport 2. hely</v>
      </c>
      <c r="N116" s="460"/>
      <c r="O116" s="457" t="str">
        <f>IF(AK116,"–","")</f>
        <v/>
      </c>
      <c r="P116" s="461"/>
      <c r="R116" s="590"/>
      <c r="X116" s="303">
        <v>44</v>
      </c>
      <c r="Y116" s="309" t="str">
        <f>AE116&amp;AH116</f>
        <v>D csoport 1. helyF csoport 2. hely</v>
      </c>
      <c r="Z116" s="309" t="b">
        <f>AND(J116&lt;&gt;"",L116&lt;&gt;"",COUNTIF(teams,AE116)&gt;0)</f>
        <v>0</v>
      </c>
      <c r="AA116" s="310" t="str">
        <f>IF($Z116,IF(AF116&gt;AG116,AE116,IF(AF116&lt;AG116,AH116,"")),"")</f>
        <v/>
      </c>
      <c r="AB116" s="310" t="str">
        <f>IF($Z116,IF(AF116=AG116,AE116,""),"")</f>
        <v/>
      </c>
      <c r="AC116" s="310" t="str">
        <f>IF($Z116,IF(AF116=AG116,AH116,""),"")</f>
        <v/>
      </c>
      <c r="AD116" s="310" t="str">
        <f>IF($Z116,IF(AF116&gt;AG116,AH116,IF(AF116&lt;AG116,AE116,"")),"")</f>
        <v/>
      </c>
      <c r="AE116" s="309" t="str">
        <f>VLOOKUP($X116,schedule,AE$6,FALSE)</f>
        <v>D csoport 1. hely</v>
      </c>
      <c r="AF116" s="311" t="str">
        <f>IF($Z116,J116,"")</f>
        <v/>
      </c>
      <c r="AG116" s="311" t="str">
        <f>IF($Z116,L116,"")</f>
        <v/>
      </c>
      <c r="AH116" s="309" t="str">
        <f>VLOOKUP($X116,schedule,AH$6,FALSE)</f>
        <v>F csoport 2. hely</v>
      </c>
      <c r="AI116" s="311" t="str">
        <f>IF($Z116,AG116,"")</f>
        <v/>
      </c>
      <c r="AJ116" s="311" t="str">
        <f>IF($Z116,AF116,"")</f>
        <v/>
      </c>
      <c r="AK116" s="311" t="b">
        <f>AB116&lt;&gt;""</f>
        <v>0</v>
      </c>
      <c r="AL116" s="311" t="b">
        <f>AND(N116&lt;&gt;"",P116&lt;&gt;"",N116&lt;&gt;P116,J116=L116,Z116)</f>
        <v>0</v>
      </c>
      <c r="AM116" s="311" t="b">
        <f>OR(AND(Z116,AB116=""),AL116)</f>
        <v>0</v>
      </c>
      <c r="AN116" s="311" t="str">
        <f>IF(N116="","",N116)</f>
        <v/>
      </c>
      <c r="AO116" s="311" t="str">
        <f>IF(P116="","",P116)</f>
        <v/>
      </c>
      <c r="AP116" s="310" t="str">
        <f>IF(AL116,IF(N116&gt;P116,I116,M116),AA116)</f>
        <v/>
      </c>
      <c r="AQ116" s="310" t="str">
        <f>IF(NOT(AM116),"",IF(AP116=AE116,AH116,AE116))</f>
        <v/>
      </c>
      <c r="AR116" s="311" t="str">
        <f t="shared" ref="AR116:AW116" si="35">VLOOKUP($X116,schedule,AR$6,FALSE)</f>
        <v>6/8</v>
      </c>
      <c r="AS116" s="312">
        <f t="shared" si="35"/>
        <v>44376.708333333321</v>
      </c>
      <c r="AT116" s="312">
        <f t="shared" si="35"/>
        <v>44376.749999999985</v>
      </c>
      <c r="AU116" s="312" t="str">
        <f t="shared" si="35"/>
        <v>18:00</v>
      </c>
      <c r="AV116" s="312" t="str">
        <f t="shared" si="35"/>
        <v>London</v>
      </c>
      <c r="AW116" s="313" t="str">
        <f t="shared" si="35"/>
        <v>Wembley Stadion</v>
      </c>
      <c r="AX116" s="312" t="b">
        <f>VLOOKUP($X116,schedule,AX$6,FALSE)=""</f>
        <v>0</v>
      </c>
      <c r="AY116" s="312" t="b">
        <f>VLOOKUP($X116,schedule,AY$6,FALSE)=""</f>
        <v>0</v>
      </c>
      <c r="BC116" s="311" t="b">
        <f ca="1">ROUNDDOWN(AT116,0)&lt;TODAY()</f>
        <v>0</v>
      </c>
      <c r="BD116" s="311" t="b">
        <f ca="1">AND(AT116&lt;=NOW(),AT116+0.1&gt;=NOW(),NOT(AM116))</f>
        <v>0</v>
      </c>
      <c r="BE116" s="311" t="b">
        <f ca="1">AND(NOT(AM116),AT116&lt;NOW())</f>
        <v>0</v>
      </c>
      <c r="BF116" s="311" t="b">
        <f ca="1">AT116&lt;=NOW()</f>
        <v>0</v>
      </c>
    </row>
    <row r="117" spans="1:60" ht="15.75" customHeight="1" x14ac:dyDescent="0.2">
      <c r="A117" s="765"/>
      <c r="B117" s="190"/>
      <c r="C117" s="191"/>
      <c r="D117" s="194">
        <f>AS117</f>
        <v>44376.833333333321</v>
      </c>
      <c r="E117" s="194">
        <f>AT117</f>
        <v>44376.874999999985</v>
      </c>
      <c r="F117" s="207" t="str">
        <f>AV117</f>
        <v>Glasgow</v>
      </c>
      <c r="G117" s="208" t="str">
        <f>AW117</f>
        <v>Hampden Park</v>
      </c>
      <c r="H117" s="384"/>
      <c r="I117" s="195" t="str">
        <f>AE117</f>
        <v>E csoport 1. hely</v>
      </c>
      <c r="J117" s="209"/>
      <c r="K117" s="210" t="s">
        <v>811</v>
      </c>
      <c r="L117" s="211"/>
      <c r="M117" s="196" t="str">
        <f>AH117</f>
        <v>A/B/C/D csoport 3. hely</v>
      </c>
      <c r="N117" s="460"/>
      <c r="O117" s="457" t="str">
        <f>IF(AK117,"–","")</f>
        <v/>
      </c>
      <c r="P117" s="461"/>
      <c r="R117" s="590"/>
      <c r="X117" s="303">
        <v>43</v>
      </c>
      <c r="Y117" s="309" t="str">
        <f>AE117&amp;AH117</f>
        <v>E csoport 1. helyA/B/C/D csoport 3. hely</v>
      </c>
      <c r="Z117" s="309" t="b">
        <f>AND(J117&lt;&gt;"",L117&lt;&gt;"",COUNTIF(teams,AE117)&gt;0)</f>
        <v>0</v>
      </c>
      <c r="AA117" s="310" t="str">
        <f>IF($Z117,IF(AF117&gt;AG117,AE117,IF(AF117&lt;AG117,AH117,"")),"")</f>
        <v/>
      </c>
      <c r="AB117" s="310" t="str">
        <f>IF($Z117,IF(AF117=AG117,AE117,""),"")</f>
        <v/>
      </c>
      <c r="AC117" s="310" t="str">
        <f>IF($Z117,IF(AF117=AG117,AH117,""),"")</f>
        <v/>
      </c>
      <c r="AD117" s="310" t="str">
        <f>IF($Z117,IF(AF117&gt;AG117,AH117,IF(AF117&lt;AG117,AE117,"")),"")</f>
        <v/>
      </c>
      <c r="AE117" s="309" t="str">
        <f>VLOOKUP($X117,schedule,AE$6,FALSE)</f>
        <v>E csoport 1. hely</v>
      </c>
      <c r="AF117" s="311" t="str">
        <f>IF($Z117,J117,"")</f>
        <v/>
      </c>
      <c r="AG117" s="311" t="str">
        <f>IF($Z117,L117,"")</f>
        <v/>
      </c>
      <c r="AH117" s="309" t="str">
        <f>VLOOKUP($X117,schedule,AH$6,FALSE)</f>
        <v>A/B/C/D csoport 3. hely</v>
      </c>
      <c r="AI117" s="311" t="str">
        <f>IF($Z117,AG117,"")</f>
        <v/>
      </c>
      <c r="AJ117" s="311" t="str">
        <f>IF($Z117,AF117,"")</f>
        <v/>
      </c>
      <c r="AK117" s="311" t="b">
        <f>AB117&lt;&gt;""</f>
        <v>0</v>
      </c>
      <c r="AL117" s="311" t="b">
        <f>AND(N117&lt;&gt;"",P117&lt;&gt;"",N117&lt;&gt;P117,J117=L117,Z117)</f>
        <v>0</v>
      </c>
      <c r="AM117" s="311" t="b">
        <f>OR(AND(Z117,AB117=""),AL117)</f>
        <v>0</v>
      </c>
      <c r="AN117" s="311" t="str">
        <f>IF(N117="","",N117)</f>
        <v/>
      </c>
      <c r="AO117" s="311" t="str">
        <f>IF(P117="","",P117)</f>
        <v/>
      </c>
      <c r="AP117" s="310" t="str">
        <f>IF(AL117,IF(N117&gt;P117,I117,M117),AA117)</f>
        <v/>
      </c>
      <c r="AQ117" s="310" t="str">
        <f>IF(NOT(AM117),"",IF(AP117=AE117,AH117,AE117))</f>
        <v/>
      </c>
      <c r="AR117" s="311" t="str">
        <f t="shared" ref="AR117:AW117" si="36">VLOOKUP($X117,schedule,AR$6,FALSE)</f>
        <v>5/8</v>
      </c>
      <c r="AS117" s="312">
        <f t="shared" si="36"/>
        <v>44376.833333333321</v>
      </c>
      <c r="AT117" s="312">
        <f t="shared" si="36"/>
        <v>44376.874999999985</v>
      </c>
      <c r="AU117" s="312" t="str">
        <f t="shared" si="36"/>
        <v>21:00</v>
      </c>
      <c r="AV117" s="312" t="str">
        <f t="shared" si="36"/>
        <v>Glasgow</v>
      </c>
      <c r="AW117" s="313" t="str">
        <f t="shared" si="36"/>
        <v>Hampden Park</v>
      </c>
      <c r="AX117" s="312" t="b">
        <f>VLOOKUP($X117,schedule,AX$6,FALSE)=""</f>
        <v>0</v>
      </c>
      <c r="AY117" s="312" t="b">
        <f>VLOOKUP($X117,schedule,AY$6,FALSE)=""</f>
        <v>0</v>
      </c>
      <c r="BC117" s="311" t="b">
        <f ca="1">ROUNDDOWN(AT117,0)&lt;TODAY()</f>
        <v>0</v>
      </c>
      <c r="BD117" s="311" t="b">
        <f ca="1">AND(AT117&lt;=NOW(),AT117+0.1&gt;=NOW(),NOT(AM117))</f>
        <v>0</v>
      </c>
      <c r="BE117" s="311" t="b">
        <f ca="1">AND(NOT(AM117),AT117&lt;NOW())</f>
        <v>0</v>
      </c>
      <c r="BF117" s="311" t="b">
        <f ca="1">AT117&lt;=NOW()</f>
        <v>0</v>
      </c>
    </row>
    <row r="118" spans="1:60" ht="15.75" customHeight="1" x14ac:dyDescent="0.2">
      <c r="A118" s="765"/>
      <c r="B118" s="193"/>
      <c r="C118" s="201"/>
      <c r="H118" s="35"/>
      <c r="I118" s="202"/>
      <c r="K118" s="200"/>
      <c r="M118" s="203"/>
      <c r="AW118" s="314"/>
    </row>
    <row r="119" spans="1:60" ht="15.75" customHeight="1" x14ac:dyDescent="0.2">
      <c r="A119" s="765"/>
      <c r="B119" s="193"/>
      <c r="C119" s="201"/>
      <c r="H119" s="35"/>
      <c r="I119" s="202"/>
      <c r="K119" s="200"/>
      <c r="M119" s="203"/>
      <c r="AW119" s="314"/>
    </row>
    <row r="120" spans="1:60" ht="15.75" customHeight="1" x14ac:dyDescent="0.2">
      <c r="A120" s="765"/>
      <c r="B120" s="193"/>
      <c r="C120" s="462"/>
      <c r="H120" s="35"/>
      <c r="I120" s="202"/>
      <c r="K120" s="200"/>
      <c r="M120" s="203"/>
      <c r="AE120" s="305"/>
      <c r="AW120" s="314"/>
    </row>
    <row r="121" spans="1:60" ht="9" customHeight="1" x14ac:dyDescent="0.2">
      <c r="A121" s="765"/>
      <c r="C121" s="197"/>
      <c r="D121" s="198"/>
      <c r="E121" s="198"/>
      <c r="F121" s="54"/>
      <c r="G121" s="54"/>
      <c r="H121" s="35"/>
      <c r="J121" s="199"/>
      <c r="L121" s="199"/>
      <c r="N121" s="192"/>
      <c r="AA121" s="314"/>
      <c r="AB121" s="314"/>
      <c r="AC121" s="314"/>
      <c r="AD121" s="314"/>
      <c r="AP121" s="319"/>
      <c r="AQ121" s="319"/>
      <c r="AR121" s="316"/>
      <c r="AS121" s="317"/>
      <c r="AT121" s="318"/>
      <c r="AU121" s="318"/>
      <c r="AV121" s="319"/>
      <c r="AW121" s="320"/>
      <c r="AX121" s="319"/>
      <c r="AY121" s="319"/>
    </row>
    <row r="122" spans="1:60" s="206" customFormat="1" ht="13.5" customHeight="1" x14ac:dyDescent="0.2">
      <c r="A122" s="765"/>
      <c r="B122" s="204"/>
      <c r="C122" s="300" t="s">
        <v>845</v>
      </c>
      <c r="D122" s="301" t="s">
        <v>844</v>
      </c>
      <c r="E122" s="301" t="s">
        <v>562</v>
      </c>
      <c r="F122" s="302"/>
      <c r="G122" s="302" t="s">
        <v>843</v>
      </c>
      <c r="H122" s="302" t="s">
        <v>1191</v>
      </c>
      <c r="I122" s="302"/>
      <c r="J122" s="302"/>
      <c r="K122" s="301" t="s">
        <v>1190</v>
      </c>
      <c r="L122" s="302"/>
      <c r="M122" s="302"/>
      <c r="N122" s="302"/>
      <c r="O122" s="302"/>
      <c r="P122" s="458" t="str">
        <f>IF(O124&amp;O125&lt;&gt;"","BÜNTETŐK","")</f>
        <v/>
      </c>
      <c r="Q122" s="302"/>
      <c r="R122" s="301" t="s">
        <v>1255</v>
      </c>
      <c r="V122" s="4"/>
      <c r="W122" s="303"/>
      <c r="X122" s="303"/>
      <c r="Y122" s="307"/>
      <c r="Z122" s="307"/>
      <c r="AA122" s="307"/>
      <c r="AB122" s="307"/>
      <c r="AC122" s="307"/>
      <c r="AD122" s="307"/>
      <c r="AE122" s="307"/>
      <c r="AF122" s="307"/>
      <c r="AG122" s="307"/>
      <c r="AH122" s="307"/>
      <c r="AI122" s="307"/>
      <c r="AJ122" s="307"/>
      <c r="AK122" s="307"/>
      <c r="AL122" s="307"/>
      <c r="AM122" s="307"/>
      <c r="AN122" s="307"/>
      <c r="AO122" s="307"/>
      <c r="AP122" s="307"/>
      <c r="AQ122" s="307"/>
      <c r="AR122" s="307"/>
      <c r="AS122" s="307"/>
      <c r="AT122" s="307"/>
      <c r="AU122" s="307"/>
      <c r="AV122" s="307"/>
      <c r="AW122" s="321"/>
      <c r="AX122" s="307"/>
      <c r="AY122" s="307"/>
      <c r="AZ122" s="305"/>
      <c r="BA122" s="4"/>
      <c r="BB122" s="305"/>
      <c r="BC122" s="311" t="b">
        <f ca="1">ROUNDDOWN(AS124,0)=ROUNDDOWN(NOW()-5/24,0)</f>
        <v>0</v>
      </c>
      <c r="BD122" s="305"/>
      <c r="BE122" s="305"/>
      <c r="BF122" s="305"/>
      <c r="BG122" s="305"/>
      <c r="BH122" s="4"/>
    </row>
    <row r="123" spans="1:60" s="206" customFormat="1" ht="5.25" customHeight="1" x14ac:dyDescent="0.2">
      <c r="A123" s="765"/>
      <c r="B123" s="204"/>
      <c r="C123" s="204"/>
      <c r="D123" s="204"/>
      <c r="E123" s="204"/>
      <c r="F123" s="204"/>
      <c r="G123" s="204"/>
      <c r="H123" s="383"/>
      <c r="I123" s="204"/>
      <c r="J123" s="204"/>
      <c r="K123" s="204"/>
      <c r="L123" s="204"/>
      <c r="M123" s="204"/>
      <c r="N123" s="204"/>
      <c r="O123" s="205"/>
      <c r="V123" s="4"/>
      <c r="W123" s="303"/>
      <c r="X123" s="303"/>
      <c r="Y123" s="307"/>
      <c r="Z123" s="307"/>
      <c r="AA123" s="307"/>
      <c r="AB123" s="307"/>
      <c r="AC123" s="307"/>
      <c r="AD123" s="307"/>
      <c r="AE123" s="307"/>
      <c r="AF123" s="307"/>
      <c r="AG123" s="307"/>
      <c r="AH123" s="307"/>
      <c r="AI123" s="307"/>
      <c r="AJ123" s="307"/>
      <c r="AK123" s="307"/>
      <c r="AL123" s="307"/>
      <c r="AM123" s="307"/>
      <c r="AN123" s="307"/>
      <c r="AO123" s="307"/>
      <c r="AP123" s="307"/>
      <c r="AQ123" s="307"/>
      <c r="AR123" s="307"/>
      <c r="AS123" s="307"/>
      <c r="AT123" s="307"/>
      <c r="AU123" s="307"/>
      <c r="AV123" s="307"/>
      <c r="AW123" s="321"/>
      <c r="AX123" s="307"/>
      <c r="AY123" s="307"/>
      <c r="AZ123" s="305"/>
      <c r="BA123" s="4"/>
      <c r="BB123" s="305"/>
      <c r="BC123" s="305"/>
      <c r="BD123" s="305"/>
      <c r="BE123" s="305"/>
      <c r="BF123" s="305"/>
      <c r="BG123" s="305"/>
      <c r="BH123" s="4"/>
    </row>
    <row r="124" spans="1:60" ht="15.75" customHeight="1" x14ac:dyDescent="0.2">
      <c r="A124" s="765"/>
      <c r="B124" s="190"/>
      <c r="C124" s="191">
        <f>ROUNDDOWN(D124,0)</f>
        <v>44379</v>
      </c>
      <c r="D124" s="194">
        <f>AS124</f>
        <v>44379.791666666657</v>
      </c>
      <c r="E124" s="194">
        <f>AT124</f>
        <v>44379.749999999993</v>
      </c>
      <c r="F124" s="207" t="str">
        <f>AV124</f>
        <v>Szentpétervár</v>
      </c>
      <c r="G124" s="208" t="str">
        <f>AW124</f>
        <v>Kresztovszkij Stadion</v>
      </c>
      <c r="H124" s="384"/>
      <c r="I124" s="195" t="str">
        <f>AE124</f>
        <v>3/8 győztese</v>
      </c>
      <c r="J124" s="209"/>
      <c r="K124" s="210" t="s">
        <v>811</v>
      </c>
      <c r="L124" s="211"/>
      <c r="M124" s="196" t="str">
        <f>AH124</f>
        <v>4/8 győztese</v>
      </c>
      <c r="N124" s="460"/>
      <c r="O124" s="457" t="str">
        <f>IF(AK124,"–","")</f>
        <v/>
      </c>
      <c r="P124" s="461"/>
      <c r="R124" s="590"/>
      <c r="X124" s="303">
        <v>45</v>
      </c>
      <c r="Y124" s="309" t="str">
        <f>AE124&amp;AH124</f>
        <v>3/8 győztese4/8 győztese</v>
      </c>
      <c r="Z124" s="309" t="b">
        <f>AND(J124&lt;&gt;"",L124&lt;&gt;"",COUNTIF(teams,AE124)&gt;0)</f>
        <v>0</v>
      </c>
      <c r="AA124" s="310" t="str">
        <f>IF($Z124,IF(AF124&gt;AG124,AE124,IF(AF124&lt;AG124,AH124,"")),"")</f>
        <v/>
      </c>
      <c r="AB124" s="310" t="str">
        <f>IF($Z124,IF(AF124=AG124,AE124,""),"")</f>
        <v/>
      </c>
      <c r="AC124" s="310" t="str">
        <f>IF($Z124,IF(AF124=AG124,AH124,""),"")</f>
        <v/>
      </c>
      <c r="AD124" s="310" t="str">
        <f>IF($Z124,IF(AF124&gt;AG124,AH124,IF(AF124&lt;AG124,AE124,"")),"")</f>
        <v/>
      </c>
      <c r="AE124" s="309" t="str">
        <f>VLOOKUP($X124,schedule,AE$6,FALSE)</f>
        <v>3/8 győztese</v>
      </c>
      <c r="AF124" s="311" t="str">
        <f>IF($Z124,J124,"")</f>
        <v/>
      </c>
      <c r="AG124" s="311" t="str">
        <f>IF($Z124,L124,"")</f>
        <v/>
      </c>
      <c r="AH124" s="309" t="str">
        <f>VLOOKUP($X124,schedule,AH$6,FALSE)</f>
        <v>4/8 győztese</v>
      </c>
      <c r="AI124" s="311" t="str">
        <f>IF($Z124,AG124,"")</f>
        <v/>
      </c>
      <c r="AJ124" s="311" t="str">
        <f>IF($Z124,AF124,"")</f>
        <v/>
      </c>
      <c r="AK124" s="311" t="b">
        <f>AB124&lt;&gt;""</f>
        <v>0</v>
      </c>
      <c r="AL124" s="311" t="b">
        <f>AND(N124&lt;&gt;"",P124&lt;&gt;"",N124&lt;&gt;P124,J124=L124,Z124)</f>
        <v>0</v>
      </c>
      <c r="AM124" s="311" t="b">
        <f>OR(AND(Z124,AB124=""),AL124)</f>
        <v>0</v>
      </c>
      <c r="AN124" s="311" t="str">
        <f>IF(N124="","",N124)</f>
        <v/>
      </c>
      <c r="AO124" s="311" t="str">
        <f>IF(P124="","",P124)</f>
        <v/>
      </c>
      <c r="AP124" s="310" t="str">
        <f>IF(AL124,IF(N124&gt;P124,I124,M124),AA124)</f>
        <v/>
      </c>
      <c r="AQ124" s="310" t="str">
        <f>IF(NOT(AM124),"",IF(AP124=AE124,AH124,AE124))</f>
        <v/>
      </c>
      <c r="AR124" s="311" t="str">
        <f t="shared" ref="AR124:AW124" si="37">VLOOKUP($X124,schedule,AR$6,FALSE)</f>
        <v>2/4</v>
      </c>
      <c r="AS124" s="312">
        <f t="shared" si="37"/>
        <v>44379.791666666657</v>
      </c>
      <c r="AT124" s="312">
        <f t="shared" si="37"/>
        <v>44379.749999999993</v>
      </c>
      <c r="AU124" s="312" t="str">
        <f t="shared" si="37"/>
        <v>18:00</v>
      </c>
      <c r="AV124" s="312" t="str">
        <f t="shared" si="37"/>
        <v>Szentpétervár</v>
      </c>
      <c r="AW124" s="313" t="str">
        <f t="shared" si="37"/>
        <v>Kresztovszkij Stadion</v>
      </c>
      <c r="AX124" s="312" t="b">
        <f>VLOOKUP($X124,schedule,AX$6,FALSE)=""</f>
        <v>1</v>
      </c>
      <c r="AY124" s="312" t="b">
        <f>VLOOKUP($X124,schedule,AY$6,FALSE)=""</f>
        <v>1</v>
      </c>
      <c r="BC124" s="311" t="b">
        <f ca="1">ROUNDDOWN(AT124,0)&lt;TODAY()</f>
        <v>0</v>
      </c>
      <c r="BD124" s="311" t="b">
        <f ca="1">AND(AT124&lt;=NOW(),AT124+0.1&gt;=NOW(),NOT(AM124))</f>
        <v>0</v>
      </c>
      <c r="BE124" s="311" t="b">
        <f ca="1">AND(NOT(AM124),AT124&lt;NOW())</f>
        <v>0</v>
      </c>
      <c r="BF124" s="311" t="b">
        <f ca="1">AT124&lt;=NOW()</f>
        <v>0</v>
      </c>
    </row>
    <row r="125" spans="1:60" ht="15.75" customHeight="1" x14ac:dyDescent="0.2">
      <c r="A125" s="765"/>
      <c r="B125" s="190"/>
      <c r="C125" s="191"/>
      <c r="D125" s="194">
        <f>AS125</f>
        <v>44379.874999999993</v>
      </c>
      <c r="E125" s="194">
        <f>AT125</f>
        <v>44379.874999999993</v>
      </c>
      <c r="F125" s="207" t="str">
        <f>AV125</f>
        <v>München</v>
      </c>
      <c r="G125" s="208" t="str">
        <f>AW125</f>
        <v>München Arena</v>
      </c>
      <c r="H125" s="384"/>
      <c r="I125" s="195" t="str">
        <f>AE125</f>
        <v>1/8 győztese</v>
      </c>
      <c r="J125" s="209"/>
      <c r="K125" s="210" t="s">
        <v>811</v>
      </c>
      <c r="L125" s="211"/>
      <c r="M125" s="196" t="str">
        <f>AH125</f>
        <v>2/8 győztese</v>
      </c>
      <c r="N125" s="460"/>
      <c r="O125" s="457" t="str">
        <f>IF(AK125,"–","")</f>
        <v/>
      </c>
      <c r="P125" s="461"/>
      <c r="R125" s="590"/>
      <c r="X125" s="303">
        <v>46</v>
      </c>
      <c r="Y125" s="309" t="str">
        <f>AE125&amp;AH125</f>
        <v>1/8 győztese2/8 győztese</v>
      </c>
      <c r="Z125" s="309" t="b">
        <f>AND(J125&lt;&gt;"",L125&lt;&gt;"",COUNTIF(teams,AE125)&gt;0)</f>
        <v>0</v>
      </c>
      <c r="AA125" s="310" t="str">
        <f>IF($Z125,IF(AF125&gt;AG125,AE125,IF(AF125&lt;AG125,AH125,"")),"")</f>
        <v/>
      </c>
      <c r="AB125" s="310" t="str">
        <f>IF($Z125,IF(AF125=AG125,AE125,""),"")</f>
        <v/>
      </c>
      <c r="AC125" s="310" t="str">
        <f>IF($Z125,IF(AF125=AG125,AH125,""),"")</f>
        <v/>
      </c>
      <c r="AD125" s="310" t="str">
        <f>IF($Z125,IF(AF125&gt;AG125,AH125,IF(AF125&lt;AG125,AE125,"")),"")</f>
        <v/>
      </c>
      <c r="AE125" s="309" t="str">
        <f>VLOOKUP($X125,schedule,AE$6,FALSE)</f>
        <v>1/8 győztese</v>
      </c>
      <c r="AF125" s="311" t="str">
        <f>IF($Z125,J125,"")</f>
        <v/>
      </c>
      <c r="AG125" s="311" t="str">
        <f>IF($Z125,L125,"")</f>
        <v/>
      </c>
      <c r="AH125" s="309" t="str">
        <f>VLOOKUP($X125,schedule,AH$6,FALSE)</f>
        <v>2/8 győztese</v>
      </c>
      <c r="AI125" s="311" t="str">
        <f>IF($Z125,AG125,"")</f>
        <v/>
      </c>
      <c r="AJ125" s="311" t="str">
        <f>IF($Z125,AF125,"")</f>
        <v/>
      </c>
      <c r="AK125" s="311" t="b">
        <f>AB125&lt;&gt;""</f>
        <v>0</v>
      </c>
      <c r="AL125" s="311" t="b">
        <f>AND(N125&lt;&gt;"",P125&lt;&gt;"",N125&lt;&gt;P125,J125=L125,Z125)</f>
        <v>0</v>
      </c>
      <c r="AM125" s="311" t="b">
        <f>OR(AND(Z125,AB125=""),AL125)</f>
        <v>0</v>
      </c>
      <c r="AN125" s="311" t="str">
        <f>IF(N125="","",N125)</f>
        <v/>
      </c>
      <c r="AO125" s="311" t="str">
        <f>IF(P125="","",P125)</f>
        <v/>
      </c>
      <c r="AP125" s="310" t="str">
        <f>IF(AL125,IF(N125&gt;P125,I125,M125),AA125)</f>
        <v/>
      </c>
      <c r="AQ125" s="310" t="str">
        <f>IF(NOT(AM125),"",IF(AP125=AE125,AH125,AE125))</f>
        <v/>
      </c>
      <c r="AR125" s="311" t="str">
        <f t="shared" ref="AR125:AW125" si="38">VLOOKUP($X125,schedule,AR$6,FALSE)</f>
        <v>1/4</v>
      </c>
      <c r="AS125" s="312">
        <f t="shared" si="38"/>
        <v>44379.874999999993</v>
      </c>
      <c r="AT125" s="312">
        <f t="shared" si="38"/>
        <v>44379.874999999993</v>
      </c>
      <c r="AU125" s="312" t="str">
        <f t="shared" si="38"/>
        <v>21:00</v>
      </c>
      <c r="AV125" s="312" t="str">
        <f t="shared" si="38"/>
        <v>München</v>
      </c>
      <c r="AW125" s="313" t="str">
        <f t="shared" si="38"/>
        <v>München Arena</v>
      </c>
      <c r="AX125" s="312" t="b">
        <f>VLOOKUP($X125,schedule,AX$6,FALSE)=""</f>
        <v>1</v>
      </c>
      <c r="AY125" s="312" t="b">
        <f>VLOOKUP($X125,schedule,AY$6,FALSE)=""</f>
        <v>1</v>
      </c>
      <c r="BC125" s="311" t="b">
        <f ca="1">ROUNDDOWN(AT125,0)&lt;TODAY()</f>
        <v>0</v>
      </c>
      <c r="BD125" s="311" t="b">
        <f ca="1">AND(AT125&lt;=NOW(),AT125+0.1&gt;=NOW(),NOT(AM125))</f>
        <v>0</v>
      </c>
      <c r="BE125" s="311" t="b">
        <f ca="1">AND(NOT(AM125),AT125&lt;NOW())</f>
        <v>0</v>
      </c>
      <c r="BF125" s="311" t="b">
        <f ca="1">AT125&lt;=NOW()</f>
        <v>0</v>
      </c>
    </row>
    <row r="126" spans="1:60" ht="15.75" customHeight="1" x14ac:dyDescent="0.2">
      <c r="A126" s="765"/>
      <c r="B126" s="190"/>
      <c r="C126" s="191"/>
      <c r="D126" s="204"/>
      <c r="E126" s="204"/>
      <c r="F126" s="204"/>
      <c r="G126" s="204"/>
      <c r="H126" s="383"/>
      <c r="I126" s="204"/>
      <c r="J126" s="204"/>
      <c r="K126" s="204"/>
      <c r="L126" s="204"/>
      <c r="M126" s="204"/>
      <c r="N126" s="205"/>
      <c r="O126" s="205"/>
      <c r="P126" s="206"/>
      <c r="Q126" s="206"/>
      <c r="R126" s="206"/>
      <c r="S126" s="206"/>
      <c r="T126" s="206"/>
      <c r="U126" s="206"/>
      <c r="Y126" s="307"/>
      <c r="Z126" s="307"/>
      <c r="AA126" s="307"/>
      <c r="AB126" s="307"/>
      <c r="AC126" s="307"/>
      <c r="AD126" s="307"/>
      <c r="AE126" s="307"/>
      <c r="AF126" s="307"/>
      <c r="AG126" s="307"/>
      <c r="AH126" s="307"/>
      <c r="AI126" s="307"/>
      <c r="AJ126" s="307"/>
      <c r="AK126" s="307"/>
      <c r="AL126" s="307"/>
      <c r="AM126" s="307"/>
      <c r="AN126" s="307"/>
      <c r="AO126" s="307"/>
      <c r="AP126" s="307"/>
      <c r="AQ126" s="307"/>
      <c r="AR126" s="307"/>
      <c r="AS126" s="307"/>
      <c r="AT126" s="307"/>
      <c r="AU126" s="307"/>
      <c r="AV126" s="307"/>
      <c r="AW126" s="321"/>
      <c r="AX126" s="307"/>
      <c r="AY126" s="307"/>
    </row>
    <row r="127" spans="1:60" ht="9" customHeight="1" x14ac:dyDescent="0.2">
      <c r="A127" s="765"/>
      <c r="B127" s="190"/>
      <c r="C127" s="191"/>
      <c r="D127" s="194"/>
      <c r="E127" s="194"/>
      <c r="F127" s="207"/>
      <c r="G127" s="208"/>
      <c r="H127" s="384"/>
      <c r="I127" s="195"/>
      <c r="J127" s="209"/>
      <c r="K127" s="210"/>
      <c r="L127" s="211"/>
      <c r="M127" s="196"/>
      <c r="N127" s="192"/>
      <c r="X127" s="305"/>
      <c r="Y127" s="305"/>
      <c r="Z127" s="305"/>
      <c r="AA127" s="305"/>
      <c r="AB127" s="305"/>
      <c r="AC127" s="305"/>
      <c r="AD127" s="305"/>
      <c r="AE127" s="305"/>
      <c r="AF127" s="305"/>
      <c r="AG127" s="305"/>
      <c r="AH127" s="305"/>
      <c r="AI127" s="305"/>
      <c r="AJ127" s="305"/>
      <c r="AK127" s="305"/>
      <c r="AL127" s="305"/>
      <c r="AM127" s="305"/>
      <c r="AN127" s="305"/>
      <c r="AO127" s="305"/>
      <c r="AP127" s="305"/>
      <c r="AQ127" s="305"/>
      <c r="AR127" s="305"/>
      <c r="AS127" s="305"/>
      <c r="AT127" s="305"/>
      <c r="AU127" s="305"/>
      <c r="AV127" s="305"/>
      <c r="AW127" s="305"/>
      <c r="AX127" s="305"/>
      <c r="AY127" s="305"/>
    </row>
    <row r="128" spans="1:60" s="206" customFormat="1" ht="13.5" customHeight="1" x14ac:dyDescent="0.2">
      <c r="A128" s="765"/>
      <c r="B128" s="204"/>
      <c r="C128" s="300" t="s">
        <v>845</v>
      </c>
      <c r="D128" s="301" t="s">
        <v>844</v>
      </c>
      <c r="E128" s="301" t="s">
        <v>562</v>
      </c>
      <c r="F128" s="302"/>
      <c r="G128" s="302" t="s">
        <v>843</v>
      </c>
      <c r="H128" s="302" t="s">
        <v>1191</v>
      </c>
      <c r="I128" s="302"/>
      <c r="J128" s="302"/>
      <c r="K128" s="301" t="s">
        <v>1190</v>
      </c>
      <c r="L128" s="302"/>
      <c r="M128" s="302"/>
      <c r="N128" s="302"/>
      <c r="O128" s="302"/>
      <c r="P128" s="458" t="str">
        <f>IF(O130&amp;O131&lt;&gt;"","BÜNTETŐK","")</f>
        <v/>
      </c>
      <c r="Q128" s="302"/>
      <c r="R128" s="301" t="s">
        <v>1255</v>
      </c>
      <c r="V128" s="4"/>
      <c r="W128" s="303"/>
      <c r="X128" s="305"/>
      <c r="Y128" s="305"/>
      <c r="Z128" s="305"/>
      <c r="AA128" s="305"/>
      <c r="AB128" s="305"/>
      <c r="AC128" s="305"/>
      <c r="AD128" s="305"/>
      <c r="AE128" s="305"/>
      <c r="AF128" s="305"/>
      <c r="AG128" s="305"/>
      <c r="AH128" s="305"/>
      <c r="AI128" s="305"/>
      <c r="AJ128" s="305"/>
      <c r="AK128" s="305"/>
      <c r="AL128" s="305"/>
      <c r="AM128" s="305"/>
      <c r="AN128" s="305"/>
      <c r="AO128" s="305"/>
      <c r="AP128" s="305"/>
      <c r="AQ128" s="305"/>
      <c r="AR128" s="305"/>
      <c r="AS128" s="305"/>
      <c r="AT128" s="305"/>
      <c r="AU128" s="305"/>
      <c r="AV128" s="305"/>
      <c r="AW128" s="305"/>
      <c r="AX128" s="305"/>
      <c r="AY128" s="305"/>
      <c r="AZ128" s="305"/>
      <c r="BA128" s="4"/>
      <c r="BB128" s="305"/>
      <c r="BC128" s="311" t="b">
        <f ca="1">ROUNDDOWN(AS130,0)=ROUNDDOWN(NOW()-5/24,0)</f>
        <v>0</v>
      </c>
      <c r="BD128" s="305"/>
      <c r="BE128" s="305"/>
      <c r="BF128" s="305"/>
      <c r="BG128" s="305"/>
      <c r="BH128" s="4"/>
    </row>
    <row r="129" spans="1:60" ht="5.25" customHeight="1" x14ac:dyDescent="0.2">
      <c r="A129" s="765"/>
      <c r="B129" s="190"/>
      <c r="C129" s="191"/>
      <c r="D129" s="194"/>
      <c r="E129" s="194"/>
      <c r="F129" s="207"/>
      <c r="G129" s="208"/>
      <c r="H129" s="384"/>
      <c r="I129" s="195"/>
      <c r="J129" s="209"/>
      <c r="K129" s="210"/>
      <c r="L129" s="211"/>
      <c r="M129" s="196"/>
      <c r="N129" s="204"/>
      <c r="O129" s="205"/>
      <c r="P129" s="206"/>
      <c r="Q129" s="206"/>
      <c r="R129" s="206"/>
      <c r="X129" s="305"/>
      <c r="Y129" s="305"/>
      <c r="Z129" s="305"/>
      <c r="AA129" s="305"/>
      <c r="AB129" s="305"/>
      <c r="AC129" s="305"/>
      <c r="AD129" s="305"/>
      <c r="AE129" s="305"/>
      <c r="AF129" s="305"/>
      <c r="AG129" s="305"/>
      <c r="AH129" s="305"/>
      <c r="AI129" s="305"/>
      <c r="AJ129" s="305"/>
      <c r="AK129" s="305"/>
      <c r="AL129" s="305"/>
      <c r="AM129" s="305"/>
      <c r="AN129" s="305"/>
      <c r="AO129" s="305"/>
      <c r="AP129" s="305"/>
      <c r="AQ129" s="305"/>
      <c r="AR129" s="305"/>
      <c r="AS129" s="305"/>
      <c r="AT129" s="305"/>
      <c r="AU129" s="305"/>
      <c r="AV129" s="305"/>
      <c r="AW129" s="305"/>
      <c r="AX129" s="305"/>
      <c r="AY129" s="305"/>
    </row>
    <row r="130" spans="1:60" ht="15.75" customHeight="1" x14ac:dyDescent="0.2">
      <c r="A130" s="765"/>
      <c r="B130" s="190"/>
      <c r="C130" s="191">
        <f>ROUNDDOWN(D130,0)</f>
        <v>44380</v>
      </c>
      <c r="D130" s="194">
        <f>AS130</f>
        <v>44380.833333333321</v>
      </c>
      <c r="E130" s="194">
        <f>AT130</f>
        <v>44380.749999999985</v>
      </c>
      <c r="F130" s="207" t="str">
        <f>AV130</f>
        <v>Baku</v>
      </c>
      <c r="G130" s="208" t="str">
        <f>AW130</f>
        <v>Olimpiai Stadion</v>
      </c>
      <c r="H130" s="384"/>
      <c r="I130" s="195" t="str">
        <f>AE130</f>
        <v>7/8 győztese</v>
      </c>
      <c r="J130" s="209"/>
      <c r="K130" s="210" t="s">
        <v>811</v>
      </c>
      <c r="L130" s="211"/>
      <c r="M130" s="196" t="str">
        <f>AH130</f>
        <v>8/8 győztese</v>
      </c>
      <c r="N130" s="460"/>
      <c r="O130" s="457" t="str">
        <f>IF(AK130,"–","")</f>
        <v/>
      </c>
      <c r="P130" s="461"/>
      <c r="R130" s="590"/>
      <c r="X130" s="303">
        <v>47</v>
      </c>
      <c r="Y130" s="309" t="str">
        <f>AE130&amp;AH130</f>
        <v>7/8 győztese8/8 győztese</v>
      </c>
      <c r="Z130" s="309" t="b">
        <f>AND(J130&lt;&gt;"",L130&lt;&gt;"",COUNTIF(teams,AE130)&gt;0)</f>
        <v>0</v>
      </c>
      <c r="AA130" s="310" t="str">
        <f>IF($Z130,IF(AF130&gt;AG130,AE130,IF(AF130&lt;AG130,AH130,"")),"")</f>
        <v/>
      </c>
      <c r="AB130" s="310" t="str">
        <f>IF($Z130,IF(AF130=AG130,AE130,""),"")</f>
        <v/>
      </c>
      <c r="AC130" s="310" t="str">
        <f>IF($Z130,IF(AF130=AG130,AH130,""),"")</f>
        <v/>
      </c>
      <c r="AD130" s="310" t="str">
        <f>IF($Z130,IF(AF130&gt;AG130,AH130,IF(AF130&lt;AG130,AE130,"")),"")</f>
        <v/>
      </c>
      <c r="AE130" s="309" t="str">
        <f>VLOOKUP($X130,schedule,AE$6,FALSE)</f>
        <v>7/8 győztese</v>
      </c>
      <c r="AF130" s="311" t="str">
        <f>IF($Z130,J130,"")</f>
        <v/>
      </c>
      <c r="AG130" s="311" t="str">
        <f>IF($Z130,L130,"")</f>
        <v/>
      </c>
      <c r="AH130" s="309" t="str">
        <f>VLOOKUP($X130,schedule,AH$6,FALSE)</f>
        <v>8/8 győztese</v>
      </c>
      <c r="AI130" s="311" t="str">
        <f>IF($Z130,AG130,"")</f>
        <v/>
      </c>
      <c r="AJ130" s="311" t="str">
        <f>IF($Z130,AF130,"")</f>
        <v/>
      </c>
      <c r="AK130" s="311" t="b">
        <f>AB130&lt;&gt;""</f>
        <v>0</v>
      </c>
      <c r="AL130" s="311" t="b">
        <f>AND(N130&lt;&gt;"",P130&lt;&gt;"",N130&lt;&gt;P130,J130=L130,Z130)</f>
        <v>0</v>
      </c>
      <c r="AM130" s="311" t="b">
        <f>OR(AND(Z130,AB130=""),AL130)</f>
        <v>0</v>
      </c>
      <c r="AN130" s="311" t="str">
        <f>IF(N130="","",N130)</f>
        <v/>
      </c>
      <c r="AO130" s="311" t="str">
        <f>IF(P130="","",P130)</f>
        <v/>
      </c>
      <c r="AP130" s="310" t="str">
        <f>IF(AL130,IF(N130&gt;P130,I130,M130),AA130)</f>
        <v/>
      </c>
      <c r="AQ130" s="310" t="str">
        <f>IF(NOT(AM130),"",IF(AP130=AE130,AH130,AE130))</f>
        <v/>
      </c>
      <c r="AR130" s="311" t="str">
        <f t="shared" ref="AR130:AW130" si="39">VLOOKUP($X130,schedule,AR$6,FALSE)</f>
        <v>4/4</v>
      </c>
      <c r="AS130" s="312">
        <f t="shared" si="39"/>
        <v>44380.833333333321</v>
      </c>
      <c r="AT130" s="312">
        <f t="shared" si="39"/>
        <v>44380.749999999985</v>
      </c>
      <c r="AU130" s="312" t="str">
        <f t="shared" si="39"/>
        <v>18:00</v>
      </c>
      <c r="AV130" s="312" t="str">
        <f t="shared" si="39"/>
        <v>Baku</v>
      </c>
      <c r="AW130" s="313" t="str">
        <f t="shared" si="39"/>
        <v>Olimpiai Stadion</v>
      </c>
      <c r="AX130" s="312" t="b">
        <f>VLOOKUP($X130,schedule,AX$6,FALSE)=""</f>
        <v>1</v>
      </c>
      <c r="AY130" s="312" t="b">
        <f>VLOOKUP($X130,schedule,AY$6,FALSE)=""</f>
        <v>1</v>
      </c>
      <c r="BC130" s="311" t="b">
        <f ca="1">ROUNDDOWN(AT130,0)&lt;TODAY()</f>
        <v>0</v>
      </c>
      <c r="BD130" s="311" t="b">
        <f ca="1">AND(AT130&lt;=NOW(),AT130+0.1&gt;=NOW(),NOT(AM130))</f>
        <v>0</v>
      </c>
      <c r="BE130" s="311" t="b">
        <f ca="1">AND(NOT(AM130),AT130&lt;NOW())</f>
        <v>0</v>
      </c>
      <c r="BF130" s="311" t="b">
        <f ca="1">AT130&lt;=NOW()</f>
        <v>0</v>
      </c>
    </row>
    <row r="131" spans="1:60" ht="15.75" customHeight="1" x14ac:dyDescent="0.2">
      <c r="A131" s="765"/>
      <c r="B131" s="190"/>
      <c r="C131" s="191"/>
      <c r="D131" s="194">
        <f>AS131</f>
        <v>44380.874999999985</v>
      </c>
      <c r="E131" s="194">
        <f>AT131</f>
        <v>44380.874999999985</v>
      </c>
      <c r="F131" s="207" t="str">
        <f>AV131</f>
        <v>Róma</v>
      </c>
      <c r="G131" s="208" t="str">
        <f>AW131</f>
        <v>Stadio Olimpico</v>
      </c>
      <c r="H131" s="384"/>
      <c r="I131" s="195" t="str">
        <f>AE131</f>
        <v>5/8 győztese</v>
      </c>
      <c r="J131" s="209"/>
      <c r="K131" s="210" t="s">
        <v>811</v>
      </c>
      <c r="L131" s="211"/>
      <c r="M131" s="196" t="str">
        <f>AH131</f>
        <v>6/8 győztese</v>
      </c>
      <c r="N131" s="460"/>
      <c r="O131" s="457" t="str">
        <f>IF(AK131,"–","")</f>
        <v/>
      </c>
      <c r="P131" s="461"/>
      <c r="R131" s="590"/>
      <c r="X131" s="303">
        <v>48</v>
      </c>
      <c r="Y131" s="309" t="str">
        <f>AE131&amp;AH131</f>
        <v>5/8 győztese6/8 győztese</v>
      </c>
      <c r="Z131" s="309" t="b">
        <f>AND(J131&lt;&gt;"",L131&lt;&gt;"",COUNTIF(teams,AE131)&gt;0)</f>
        <v>0</v>
      </c>
      <c r="AA131" s="310" t="str">
        <f>IF($Z131,IF(AF131&gt;AG131,AE131,IF(AF131&lt;AG131,AH131,"")),"")</f>
        <v/>
      </c>
      <c r="AB131" s="310" t="str">
        <f>IF($Z131,IF(AF131=AG131,AE131,""),"")</f>
        <v/>
      </c>
      <c r="AC131" s="310" t="str">
        <f>IF($Z131,IF(AF131=AG131,AH131,""),"")</f>
        <v/>
      </c>
      <c r="AD131" s="310" t="str">
        <f>IF($Z131,IF(AF131&gt;AG131,AH131,IF(AF131&lt;AG131,AE131,"")),"")</f>
        <v/>
      </c>
      <c r="AE131" s="309" t="str">
        <f>VLOOKUP($X131,schedule,AE$6,FALSE)</f>
        <v>5/8 győztese</v>
      </c>
      <c r="AF131" s="311" t="str">
        <f>IF($Z131,J131,"")</f>
        <v/>
      </c>
      <c r="AG131" s="311" t="str">
        <f>IF($Z131,L131,"")</f>
        <v/>
      </c>
      <c r="AH131" s="309" t="str">
        <f>VLOOKUP($X131,schedule,AH$6,FALSE)</f>
        <v>6/8 győztese</v>
      </c>
      <c r="AI131" s="311" t="str">
        <f>IF($Z131,AG131,"")</f>
        <v/>
      </c>
      <c r="AJ131" s="311" t="str">
        <f>IF($Z131,AF131,"")</f>
        <v/>
      </c>
      <c r="AK131" s="311" t="b">
        <f>AB131&lt;&gt;""</f>
        <v>0</v>
      </c>
      <c r="AL131" s="311" t="b">
        <f>AND(N131&lt;&gt;"",P131&lt;&gt;"",N131&lt;&gt;P131,J131=L131,Z131)</f>
        <v>0</v>
      </c>
      <c r="AM131" s="311" t="b">
        <f>OR(AND(Z131,AB131=""),AL131)</f>
        <v>0</v>
      </c>
      <c r="AN131" s="311" t="str">
        <f>IF(N131="","",N131)</f>
        <v/>
      </c>
      <c r="AO131" s="311" t="str">
        <f>IF(P131="","",P131)</f>
        <v/>
      </c>
      <c r="AP131" s="310" t="str">
        <f>IF(AL131,IF(N131&gt;P131,I131,M131),AA131)</f>
        <v/>
      </c>
      <c r="AQ131" s="310" t="str">
        <f>IF(NOT(AM131),"",IF(AP131=AE131,AH131,AE131))</f>
        <v/>
      </c>
      <c r="AR131" s="311" t="str">
        <f t="shared" ref="AR131:AW131" si="40">VLOOKUP($X131,schedule,AR$6,FALSE)</f>
        <v>3/4</v>
      </c>
      <c r="AS131" s="312">
        <f t="shared" si="40"/>
        <v>44380.874999999985</v>
      </c>
      <c r="AT131" s="312">
        <f t="shared" si="40"/>
        <v>44380.874999999985</v>
      </c>
      <c r="AU131" s="312" t="str">
        <f t="shared" si="40"/>
        <v>21:00</v>
      </c>
      <c r="AV131" s="312" t="str">
        <f t="shared" si="40"/>
        <v>Róma</v>
      </c>
      <c r="AW131" s="313" t="str">
        <f t="shared" si="40"/>
        <v>Stadio Olimpico</v>
      </c>
      <c r="AX131" s="312" t="b">
        <f>VLOOKUP($X131,schedule,AX$6,FALSE)=""</f>
        <v>1</v>
      </c>
      <c r="AY131" s="312" t="b">
        <f>VLOOKUP($X131,schedule,AY$6,FALSE)=""</f>
        <v>1</v>
      </c>
      <c r="BC131" s="311" t="b">
        <f ca="1">ROUNDDOWN(AT131,0)&lt;TODAY()</f>
        <v>0</v>
      </c>
      <c r="BD131" s="311" t="b">
        <f ca="1">AND(AT131&lt;=NOW(),AT131+0.1&gt;=NOW(),NOT(AM131))</f>
        <v>0</v>
      </c>
      <c r="BE131" s="311" t="b">
        <f ca="1">AND(NOT(AM131),AT131&lt;NOW())</f>
        <v>0</v>
      </c>
      <c r="BF131" s="311" t="b">
        <f ca="1">AT131&lt;=NOW()</f>
        <v>0</v>
      </c>
    </row>
    <row r="132" spans="1:60" ht="15.75" customHeight="1" x14ac:dyDescent="0.2">
      <c r="A132" s="765"/>
      <c r="B132" s="190"/>
      <c r="C132" s="191"/>
      <c r="D132" s="204"/>
      <c r="E132" s="204"/>
      <c r="F132" s="204"/>
      <c r="G132" s="204"/>
      <c r="H132" s="383"/>
      <c r="I132" s="204"/>
      <c r="J132" s="204"/>
      <c r="K132" s="204"/>
      <c r="L132" s="204"/>
      <c r="M132" s="204"/>
      <c r="N132" s="205"/>
      <c r="O132" s="205"/>
      <c r="P132" s="206"/>
      <c r="Q132" s="206"/>
      <c r="R132" s="206"/>
      <c r="S132" s="206"/>
      <c r="T132" s="206"/>
      <c r="U132" s="206"/>
      <c r="Y132" s="307"/>
      <c r="Z132" s="307"/>
      <c r="AA132" s="307"/>
      <c r="AB132" s="307"/>
      <c r="AC132" s="307"/>
      <c r="AD132" s="307"/>
      <c r="AE132" s="307"/>
      <c r="AF132" s="307"/>
      <c r="AG132" s="307"/>
      <c r="AH132" s="307"/>
      <c r="AI132" s="307"/>
      <c r="AJ132" s="307"/>
      <c r="AK132" s="307"/>
      <c r="AL132" s="307"/>
      <c r="AM132" s="307"/>
      <c r="AN132" s="307"/>
      <c r="AO132" s="307"/>
      <c r="AP132" s="307"/>
      <c r="AQ132" s="307"/>
      <c r="AR132" s="307"/>
      <c r="AS132" s="307"/>
      <c r="AT132" s="307"/>
      <c r="AU132" s="307"/>
      <c r="AV132" s="307"/>
      <c r="AW132" s="321"/>
      <c r="AX132" s="307"/>
      <c r="AY132" s="307"/>
    </row>
    <row r="133" spans="1:60" ht="15.75" customHeight="1" x14ac:dyDescent="0.2">
      <c r="A133" s="765"/>
      <c r="B133" s="193"/>
      <c r="C133" s="201"/>
      <c r="H133" s="35"/>
      <c r="I133" s="202"/>
      <c r="J133" s="36"/>
      <c r="L133" s="36"/>
      <c r="M133" s="203"/>
      <c r="AW133" s="314"/>
    </row>
    <row r="134" spans="1:60" ht="15.75" customHeight="1" x14ac:dyDescent="0.2">
      <c r="A134" s="765"/>
      <c r="B134" s="193"/>
      <c r="C134" s="201"/>
      <c r="H134" s="35"/>
      <c r="I134" s="202"/>
      <c r="J134" s="36"/>
      <c r="L134" s="36"/>
      <c r="M134" s="203"/>
      <c r="AW134" s="314"/>
    </row>
    <row r="135" spans="1:60" ht="15.75" customHeight="1" x14ac:dyDescent="0.2">
      <c r="A135" s="765"/>
      <c r="B135" s="193"/>
      <c r="C135" s="201"/>
      <c r="H135" s="35"/>
      <c r="I135" s="202"/>
      <c r="J135" s="36"/>
      <c r="L135" s="36"/>
      <c r="M135" s="203"/>
      <c r="AW135" s="314"/>
    </row>
    <row r="136" spans="1:60" ht="9" customHeight="1" x14ac:dyDescent="0.2">
      <c r="A136" s="765"/>
      <c r="C136" s="197"/>
      <c r="D136" s="198"/>
      <c r="E136" s="198"/>
      <c r="F136" s="54"/>
      <c r="G136" s="54"/>
      <c r="H136" s="35"/>
      <c r="J136" s="199"/>
      <c r="L136" s="199"/>
      <c r="N136" s="192"/>
      <c r="AA136" s="314"/>
      <c r="AB136" s="314"/>
      <c r="AC136" s="314"/>
      <c r="AD136" s="314"/>
      <c r="AP136" s="319"/>
      <c r="AQ136" s="319"/>
      <c r="AR136" s="316"/>
      <c r="AS136" s="317"/>
      <c r="AT136" s="318"/>
      <c r="AU136" s="318"/>
      <c r="AV136" s="319"/>
      <c r="AW136" s="320"/>
      <c r="AX136" s="319"/>
      <c r="AY136" s="319"/>
    </row>
    <row r="137" spans="1:60" s="206" customFormat="1" ht="13.5" customHeight="1" x14ac:dyDescent="0.2">
      <c r="A137" s="765"/>
      <c r="B137" s="204"/>
      <c r="C137" s="300" t="s">
        <v>845</v>
      </c>
      <c r="D137" s="301" t="s">
        <v>844</v>
      </c>
      <c r="E137" s="301" t="s">
        <v>562</v>
      </c>
      <c r="F137" s="302"/>
      <c r="G137" s="302" t="s">
        <v>843</v>
      </c>
      <c r="H137" s="302" t="s">
        <v>1191</v>
      </c>
      <c r="I137" s="302"/>
      <c r="J137" s="302"/>
      <c r="K137" s="301" t="s">
        <v>1192</v>
      </c>
      <c r="L137" s="302"/>
      <c r="M137" s="302"/>
      <c r="N137" s="302"/>
      <c r="O137" s="302"/>
      <c r="P137" s="458" t="str">
        <f>IF(O139&amp;O140&amp;O141&lt;&gt;"","BÜNTETŐK","")</f>
        <v/>
      </c>
      <c r="Q137" s="302"/>
      <c r="R137" s="301" t="s">
        <v>1255</v>
      </c>
      <c r="V137" s="4"/>
      <c r="W137" s="303"/>
      <c r="X137" s="303"/>
      <c r="Y137" s="307"/>
      <c r="Z137" s="307"/>
      <c r="AA137" s="307"/>
      <c r="AB137" s="307"/>
      <c r="AC137" s="307"/>
      <c r="AD137" s="307"/>
      <c r="AE137" s="307"/>
      <c r="AF137" s="307"/>
      <c r="AG137" s="307"/>
      <c r="AH137" s="307"/>
      <c r="AI137" s="307"/>
      <c r="AJ137" s="307"/>
      <c r="AK137" s="307"/>
      <c r="AL137" s="307"/>
      <c r="AM137" s="307"/>
      <c r="AN137" s="307"/>
      <c r="AO137" s="307"/>
      <c r="AP137" s="307"/>
      <c r="AQ137" s="307"/>
      <c r="AR137" s="307"/>
      <c r="AS137" s="307"/>
      <c r="AT137" s="307"/>
      <c r="AU137" s="307"/>
      <c r="AV137" s="307"/>
      <c r="AW137" s="321"/>
      <c r="AX137" s="307"/>
      <c r="AY137" s="307"/>
      <c r="AZ137" s="305"/>
      <c r="BA137" s="4"/>
      <c r="BB137" s="305"/>
      <c r="BC137" s="311" t="b">
        <f ca="1">ROUNDDOWN(AS139,0)=ROUNDDOWN(NOW()-5/24,0)</f>
        <v>0</v>
      </c>
      <c r="BD137" s="305"/>
      <c r="BE137" s="305"/>
      <c r="BF137" s="305"/>
      <c r="BG137" s="305"/>
      <c r="BH137" s="4"/>
    </row>
    <row r="138" spans="1:60" s="206" customFormat="1" ht="5.25" customHeight="1" x14ac:dyDescent="0.2">
      <c r="A138" s="765"/>
      <c r="B138" s="204"/>
      <c r="C138" s="204"/>
      <c r="D138" s="204"/>
      <c r="E138" s="204"/>
      <c r="F138" s="204"/>
      <c r="G138" s="204"/>
      <c r="H138" s="383"/>
      <c r="I138" s="204"/>
      <c r="J138" s="204"/>
      <c r="K138" s="204"/>
      <c r="L138" s="204"/>
      <c r="M138" s="204"/>
      <c r="N138" s="204"/>
      <c r="O138" s="205"/>
      <c r="V138" s="4"/>
      <c r="W138" s="303"/>
      <c r="X138" s="303"/>
      <c r="Y138" s="307"/>
      <c r="Z138" s="307"/>
      <c r="AA138" s="307"/>
      <c r="AB138" s="307"/>
      <c r="AC138" s="307"/>
      <c r="AD138" s="307"/>
      <c r="AE138" s="307"/>
      <c r="AF138" s="307"/>
      <c r="AG138" s="307"/>
      <c r="AH138" s="307"/>
      <c r="AI138" s="307"/>
      <c r="AJ138" s="307"/>
      <c r="AK138" s="307"/>
      <c r="AL138" s="307"/>
      <c r="AM138" s="307"/>
      <c r="AN138" s="307"/>
      <c r="AO138" s="307"/>
      <c r="AP138" s="307"/>
      <c r="AQ138" s="307"/>
      <c r="AR138" s="307"/>
      <c r="AS138" s="307"/>
      <c r="AT138" s="307"/>
      <c r="AU138" s="307"/>
      <c r="AV138" s="307"/>
      <c r="AW138" s="321"/>
      <c r="AX138" s="307"/>
      <c r="AY138" s="307"/>
      <c r="AZ138" s="305"/>
      <c r="BA138" s="4"/>
      <c r="BB138" s="305"/>
      <c r="BC138" s="305"/>
      <c r="BD138" s="305"/>
      <c r="BE138" s="305"/>
      <c r="BF138" s="305"/>
      <c r="BG138" s="305"/>
      <c r="BH138" s="4"/>
    </row>
    <row r="139" spans="1:60" ht="15.75" customHeight="1" x14ac:dyDescent="0.2">
      <c r="A139" s="765"/>
      <c r="B139" s="190"/>
      <c r="C139" s="191">
        <f>ROUNDDOWN(D139,0)</f>
        <v>44383</v>
      </c>
      <c r="D139" s="194">
        <f>AS139</f>
        <v>44383.833333333321</v>
      </c>
      <c r="E139" s="194">
        <f>AT139</f>
        <v>44383.874999999985</v>
      </c>
      <c r="F139" s="207" t="str">
        <f>AV139</f>
        <v>London</v>
      </c>
      <c r="G139" s="208" t="str">
        <f>AW139</f>
        <v>Wembley Stadion</v>
      </c>
      <c r="H139" s="384"/>
      <c r="I139" s="195" t="str">
        <f>AE139</f>
        <v>1/4 győztese</v>
      </c>
      <c r="J139" s="209"/>
      <c r="K139" s="210" t="s">
        <v>811</v>
      </c>
      <c r="L139" s="211"/>
      <c r="M139" s="196" t="str">
        <f>AH139</f>
        <v>2/4 győztese</v>
      </c>
      <c r="N139" s="460"/>
      <c r="O139" s="457" t="str">
        <f>IF(AK139,"–","")</f>
        <v/>
      </c>
      <c r="P139" s="461"/>
      <c r="R139" s="590"/>
      <c r="X139" s="303">
        <v>49</v>
      </c>
      <c r="Y139" s="309" t="str">
        <f>AE139&amp;AH139</f>
        <v>1/4 győztese2/4 győztese</v>
      </c>
      <c r="Z139" s="309" t="b">
        <f>AND(J139&lt;&gt;"",L139&lt;&gt;"",COUNTIF(teams,AE139)&gt;0)</f>
        <v>0</v>
      </c>
      <c r="AA139" s="310" t="str">
        <f>IF($Z139,IF(AF139&gt;AG139,AE139,IF(AF139&lt;AG139,AH139,"")),"")</f>
        <v/>
      </c>
      <c r="AB139" s="310" t="str">
        <f>IF($Z139,IF(AF139=AG139,AE139,""),"")</f>
        <v/>
      </c>
      <c r="AC139" s="310" t="str">
        <f>IF($Z139,IF(AF139=AG139,AH139,""),"")</f>
        <v/>
      </c>
      <c r="AD139" s="310" t="str">
        <f>IF($Z139,IF(AF139&gt;AG139,AH139,IF(AF139&lt;AG139,AE139,"")),"")</f>
        <v/>
      </c>
      <c r="AE139" s="309" t="str">
        <f>VLOOKUP($X139,schedule,AE$6,FALSE)</f>
        <v>1/4 győztese</v>
      </c>
      <c r="AF139" s="311" t="str">
        <f>IF($Z139,J139,"")</f>
        <v/>
      </c>
      <c r="AG139" s="311" t="str">
        <f>IF($Z139,L139,"")</f>
        <v/>
      </c>
      <c r="AH139" s="309" t="str">
        <f>VLOOKUP($X139,schedule,AH$6,FALSE)</f>
        <v>2/4 győztese</v>
      </c>
      <c r="AI139" s="311" t="str">
        <f>IF($Z139,AG139,"")</f>
        <v/>
      </c>
      <c r="AJ139" s="311" t="str">
        <f>IF($Z139,AF139,"")</f>
        <v/>
      </c>
      <c r="AK139" s="311" t="b">
        <f>AB139&lt;&gt;""</f>
        <v>0</v>
      </c>
      <c r="AL139" s="311" t="b">
        <f>AND(N139&lt;&gt;"",P139&lt;&gt;"",N139&lt;&gt;P139,J139=L139,Z139)</f>
        <v>0</v>
      </c>
      <c r="AM139" s="311" t="b">
        <f>OR(AND(Z139,AB139=""),AL139)</f>
        <v>0</v>
      </c>
      <c r="AN139" s="311" t="str">
        <f>IF(N139="","",N139)</f>
        <v/>
      </c>
      <c r="AO139" s="311" t="str">
        <f>IF(P139="","",P139)</f>
        <v/>
      </c>
      <c r="AP139" s="310" t="str">
        <f>IF(AL139,IF(N139&gt;P139,I139,M139),AA139)</f>
        <v/>
      </c>
      <c r="AQ139" s="310" t="str">
        <f>IF(NOT(AM139),"",IF(AP139=AE139,AH139,AE139))</f>
        <v/>
      </c>
      <c r="AR139" s="311" t="str">
        <f t="shared" ref="AR139:AW139" si="41">VLOOKUP($X139,schedule,AR$6,FALSE)</f>
        <v>1/2</v>
      </c>
      <c r="AS139" s="312">
        <f t="shared" si="41"/>
        <v>44383.833333333321</v>
      </c>
      <c r="AT139" s="312">
        <f t="shared" si="41"/>
        <v>44383.874999999985</v>
      </c>
      <c r="AU139" s="312" t="str">
        <f t="shared" si="41"/>
        <v>21:00</v>
      </c>
      <c r="AV139" s="312" t="str">
        <f t="shared" si="41"/>
        <v>London</v>
      </c>
      <c r="AW139" s="313" t="str">
        <f t="shared" si="41"/>
        <v>Wembley Stadion</v>
      </c>
      <c r="AX139" s="312" t="b">
        <f>VLOOKUP($X139,schedule,AX$6,FALSE)=""</f>
        <v>1</v>
      </c>
      <c r="AY139" s="312" t="b">
        <f>VLOOKUP($X139,schedule,AY$6,FALSE)=""</f>
        <v>1</v>
      </c>
      <c r="BC139" s="311" t="b">
        <f ca="1">ROUNDDOWN(AT139,0)&lt;TODAY()</f>
        <v>0</v>
      </c>
      <c r="BD139" s="311" t="b">
        <f ca="1">AND(AT139&lt;=NOW(),AT139+0.1&gt;=NOW(),NOT(AM139))</f>
        <v>0</v>
      </c>
      <c r="BE139" s="311" t="b">
        <f ca="1">AND(NOT(AM139),AT139&lt;NOW())</f>
        <v>0</v>
      </c>
      <c r="BF139" s="311" t="b">
        <f ca="1">AT139&lt;=NOW()</f>
        <v>0</v>
      </c>
    </row>
    <row r="140" spans="1:60" ht="15.75" customHeight="1" x14ac:dyDescent="0.2">
      <c r="A140" s="765"/>
      <c r="B140" s="193"/>
      <c r="C140" s="201"/>
      <c r="H140" s="35"/>
      <c r="I140" s="202"/>
      <c r="J140" s="36"/>
      <c r="L140" s="36"/>
      <c r="M140" s="203"/>
      <c r="AW140" s="314"/>
    </row>
    <row r="141" spans="1:60" ht="9" customHeight="1" x14ac:dyDescent="0.2">
      <c r="A141" s="765"/>
      <c r="C141" s="197"/>
      <c r="D141" s="198"/>
      <c r="E141" s="198"/>
      <c r="F141" s="54"/>
      <c r="G141" s="54"/>
      <c r="H141" s="35"/>
      <c r="J141" s="199"/>
      <c r="L141" s="199"/>
      <c r="N141" s="192"/>
      <c r="AA141" s="314"/>
      <c r="AB141" s="314"/>
      <c r="AC141" s="314"/>
      <c r="AD141" s="314"/>
      <c r="AP141" s="319"/>
      <c r="AQ141" s="319"/>
      <c r="AR141" s="316"/>
      <c r="AS141" s="317"/>
      <c r="AT141" s="318"/>
      <c r="AU141" s="318"/>
      <c r="AV141" s="319"/>
      <c r="AW141" s="320"/>
      <c r="AX141" s="319"/>
      <c r="AY141" s="319"/>
    </row>
    <row r="142" spans="1:60" s="206" customFormat="1" ht="13.5" customHeight="1" x14ac:dyDescent="0.2">
      <c r="A142" s="765"/>
      <c r="B142" s="204"/>
      <c r="C142" s="300" t="s">
        <v>845</v>
      </c>
      <c r="D142" s="301" t="s">
        <v>844</v>
      </c>
      <c r="E142" s="301" t="s">
        <v>562</v>
      </c>
      <c r="F142" s="302"/>
      <c r="G142" s="302" t="s">
        <v>843</v>
      </c>
      <c r="H142" s="302" t="s">
        <v>1191</v>
      </c>
      <c r="I142" s="302"/>
      <c r="J142" s="302"/>
      <c r="K142" s="301" t="s">
        <v>1192</v>
      </c>
      <c r="L142" s="302"/>
      <c r="M142" s="302"/>
      <c r="N142" s="302"/>
      <c r="O142" s="302"/>
      <c r="P142" s="458" t="str">
        <f>IF(O144&amp;O145&amp;O146&lt;&gt;"","BÜNTETŐK","")</f>
        <v/>
      </c>
      <c r="Q142" s="302"/>
      <c r="R142" s="301" t="s">
        <v>1255</v>
      </c>
      <c r="V142" s="4"/>
      <c r="W142" s="303"/>
      <c r="X142" s="303"/>
      <c r="Y142" s="307"/>
      <c r="Z142" s="307"/>
      <c r="AA142" s="307"/>
      <c r="AB142" s="307"/>
      <c r="AC142" s="307"/>
      <c r="AD142" s="307"/>
      <c r="AE142" s="307"/>
      <c r="AF142" s="307"/>
      <c r="AG142" s="307"/>
      <c r="AH142" s="307"/>
      <c r="AI142" s="307"/>
      <c r="AJ142" s="307"/>
      <c r="AK142" s="307"/>
      <c r="AL142" s="307"/>
      <c r="AM142" s="307"/>
      <c r="AN142" s="307"/>
      <c r="AO142" s="307"/>
      <c r="AP142" s="307"/>
      <c r="AQ142" s="307"/>
      <c r="AR142" s="307"/>
      <c r="AS142" s="307"/>
      <c r="AT142" s="307"/>
      <c r="AU142" s="307"/>
      <c r="AV142" s="307"/>
      <c r="AW142" s="321"/>
      <c r="AX142" s="307"/>
      <c r="AY142" s="307"/>
      <c r="AZ142" s="305"/>
      <c r="BA142" s="4"/>
      <c r="BB142" s="305"/>
      <c r="BC142" s="311" t="b">
        <f ca="1">ROUNDDOWN(AS144,0)=ROUNDDOWN(NOW()-5/24,0)</f>
        <v>0</v>
      </c>
      <c r="BD142" s="305"/>
      <c r="BE142" s="305"/>
      <c r="BF142" s="305"/>
      <c r="BG142" s="305"/>
      <c r="BH142" s="4"/>
    </row>
    <row r="143" spans="1:60" s="206" customFormat="1" ht="5.25" customHeight="1" x14ac:dyDescent="0.2">
      <c r="A143" s="765"/>
      <c r="B143" s="204"/>
      <c r="C143" s="204"/>
      <c r="D143" s="204"/>
      <c r="E143" s="204"/>
      <c r="F143" s="204"/>
      <c r="G143" s="204"/>
      <c r="H143" s="383"/>
      <c r="I143" s="204"/>
      <c r="J143" s="204"/>
      <c r="K143" s="204"/>
      <c r="L143" s="204"/>
      <c r="M143" s="204"/>
      <c r="N143" s="204"/>
      <c r="O143" s="205"/>
      <c r="V143" s="4"/>
      <c r="W143" s="303"/>
      <c r="X143" s="303"/>
      <c r="Y143" s="307"/>
      <c r="Z143" s="307"/>
      <c r="AA143" s="307"/>
      <c r="AB143" s="307"/>
      <c r="AC143" s="307"/>
      <c r="AD143" s="307"/>
      <c r="AE143" s="307"/>
      <c r="AF143" s="307"/>
      <c r="AG143" s="307"/>
      <c r="AH143" s="307"/>
      <c r="AI143" s="307"/>
      <c r="AJ143" s="307"/>
      <c r="AK143" s="307"/>
      <c r="AL143" s="307"/>
      <c r="AM143" s="307"/>
      <c r="AN143" s="307"/>
      <c r="AO143" s="307"/>
      <c r="AP143" s="307"/>
      <c r="AQ143" s="307"/>
      <c r="AR143" s="307"/>
      <c r="AS143" s="307"/>
      <c r="AT143" s="307"/>
      <c r="AU143" s="307"/>
      <c r="AV143" s="307"/>
      <c r="AW143" s="321"/>
      <c r="AX143" s="307"/>
      <c r="AY143" s="307"/>
      <c r="AZ143" s="305"/>
      <c r="BA143" s="4"/>
      <c r="BB143" s="305"/>
      <c r="BC143" s="305"/>
      <c r="BD143" s="305"/>
      <c r="BE143" s="305"/>
      <c r="BF143" s="305"/>
      <c r="BG143" s="305"/>
      <c r="BH143" s="4"/>
    </row>
    <row r="144" spans="1:60" ht="15.75" customHeight="1" x14ac:dyDescent="0.2">
      <c r="A144" s="765"/>
      <c r="B144" s="190"/>
      <c r="C144" s="191">
        <f>ROUNDDOWN(D144,0)</f>
        <v>44384</v>
      </c>
      <c r="D144" s="194">
        <f>AS144</f>
        <v>44384.833333333321</v>
      </c>
      <c r="E144" s="194">
        <f>AT144</f>
        <v>44384.874999999985</v>
      </c>
      <c r="F144" s="207" t="str">
        <f>AV144</f>
        <v>London</v>
      </c>
      <c r="G144" s="208" t="str">
        <f>AW144</f>
        <v>Wembley Stadion</v>
      </c>
      <c r="H144" s="384"/>
      <c r="I144" s="195" t="str">
        <f>AE144</f>
        <v>3/4 győztese</v>
      </c>
      <c r="J144" s="209"/>
      <c r="K144" s="210" t="s">
        <v>811</v>
      </c>
      <c r="L144" s="211"/>
      <c r="M144" s="196" t="str">
        <f>AH144</f>
        <v>4/4 győztese</v>
      </c>
      <c r="N144" s="460"/>
      <c r="O144" s="457" t="str">
        <f>IF(AK144,"–","")</f>
        <v/>
      </c>
      <c r="P144" s="461"/>
      <c r="R144" s="590"/>
      <c r="X144" s="303">
        <v>50</v>
      </c>
      <c r="Y144" s="309" t="str">
        <f>AE144&amp;AH144</f>
        <v>3/4 győztese4/4 győztese</v>
      </c>
      <c r="Z144" s="309" t="b">
        <f>AND(J144&lt;&gt;"",L144&lt;&gt;"",COUNTIF(teams,AE144)&gt;0)</f>
        <v>0</v>
      </c>
      <c r="AA144" s="310" t="str">
        <f>IF($Z144,IF(AF144&gt;AG144,AE144,IF(AF144&lt;AG144,AH144,"")),"")</f>
        <v/>
      </c>
      <c r="AB144" s="310" t="str">
        <f>IF($Z144,IF(AF144=AG144,AE144,""),"")</f>
        <v/>
      </c>
      <c r="AC144" s="310" t="str">
        <f>IF($Z144,IF(AF144=AG144,AH144,""),"")</f>
        <v/>
      </c>
      <c r="AD144" s="310" t="str">
        <f>IF($Z144,IF(AF144&gt;AG144,AH144,IF(AF144&lt;AG144,AE144,"")),"")</f>
        <v/>
      </c>
      <c r="AE144" s="309" t="str">
        <f>VLOOKUP($X144,schedule,AE$6,FALSE)</f>
        <v>3/4 győztese</v>
      </c>
      <c r="AF144" s="311" t="str">
        <f>IF($Z144,J144,"")</f>
        <v/>
      </c>
      <c r="AG144" s="311" t="str">
        <f>IF($Z144,L144,"")</f>
        <v/>
      </c>
      <c r="AH144" s="309" t="str">
        <f>VLOOKUP($X144,schedule,AH$6,FALSE)</f>
        <v>4/4 győztese</v>
      </c>
      <c r="AI144" s="311" t="str">
        <f>IF($Z144,AG144,"")</f>
        <v/>
      </c>
      <c r="AJ144" s="311" t="str">
        <f>IF($Z144,AF144,"")</f>
        <v/>
      </c>
      <c r="AK144" s="311" t="b">
        <f>AB144&lt;&gt;""</f>
        <v>0</v>
      </c>
      <c r="AL144" s="311" t="b">
        <f>AND(N144&lt;&gt;"",P144&lt;&gt;"",N144&lt;&gt;P144,J144=L144,Z144)</f>
        <v>0</v>
      </c>
      <c r="AM144" s="311" t="b">
        <f>OR(AND(Z144,AB144=""),AL144)</f>
        <v>0</v>
      </c>
      <c r="AN144" s="311" t="str">
        <f>IF(N144="","",N144)</f>
        <v/>
      </c>
      <c r="AO144" s="311" t="str">
        <f>IF(P144="","",P144)</f>
        <v/>
      </c>
      <c r="AP144" s="310" t="str">
        <f>IF(AL144,IF(N144&gt;P144,I144,M144),AA144)</f>
        <v/>
      </c>
      <c r="AQ144" s="310" t="str">
        <f>IF(NOT(AM144),"",IF(AP144=AE144,AH144,AE144))</f>
        <v/>
      </c>
      <c r="AR144" s="311" t="str">
        <f t="shared" ref="AR144:AW144" si="42">VLOOKUP($X144,schedule,AR$6,FALSE)</f>
        <v>2/2</v>
      </c>
      <c r="AS144" s="312">
        <f t="shared" si="42"/>
        <v>44384.833333333321</v>
      </c>
      <c r="AT144" s="312">
        <f t="shared" si="42"/>
        <v>44384.874999999985</v>
      </c>
      <c r="AU144" s="312" t="str">
        <f t="shared" si="42"/>
        <v>21:00</v>
      </c>
      <c r="AV144" s="312" t="str">
        <f t="shared" si="42"/>
        <v>London</v>
      </c>
      <c r="AW144" s="313" t="str">
        <f t="shared" si="42"/>
        <v>Wembley Stadion</v>
      </c>
      <c r="AX144" s="312" t="b">
        <f>VLOOKUP($X144,schedule,AX$6,FALSE)=""</f>
        <v>1</v>
      </c>
      <c r="AY144" s="312" t="b">
        <f>VLOOKUP($X144,schedule,AY$6,FALSE)=""</f>
        <v>1</v>
      </c>
      <c r="BC144" s="311" t="b">
        <f ca="1">ROUNDDOWN(AT144,0)&lt;TODAY()</f>
        <v>0</v>
      </c>
      <c r="BD144" s="311" t="b">
        <f ca="1">AND(AT144&lt;=NOW(),AT144+0.1&gt;=NOW(),NOT(AM144))</f>
        <v>0</v>
      </c>
      <c r="BE144" s="311" t="b">
        <f ca="1">AND(NOT(AM144),AT144&lt;NOW())</f>
        <v>0</v>
      </c>
      <c r="BF144" s="311" t="b">
        <f ca="1">AT144&lt;=NOW()</f>
        <v>0</v>
      </c>
    </row>
    <row r="145" spans="1:60" ht="15.75" customHeight="1" x14ac:dyDescent="0.2">
      <c r="A145" s="765"/>
      <c r="B145" s="193"/>
      <c r="C145" s="201"/>
      <c r="H145" s="35"/>
      <c r="I145" s="202"/>
      <c r="J145" s="36"/>
      <c r="L145" s="36"/>
      <c r="M145" s="203"/>
      <c r="AW145" s="314"/>
    </row>
    <row r="146" spans="1:60" ht="15.75" customHeight="1" x14ac:dyDescent="0.2">
      <c r="A146" s="765"/>
      <c r="B146" s="193"/>
      <c r="C146" s="201"/>
      <c r="H146" s="35"/>
      <c r="I146" s="202"/>
      <c r="J146" s="36"/>
      <c r="L146" s="36"/>
      <c r="M146" s="203"/>
      <c r="AW146" s="314"/>
    </row>
    <row r="147" spans="1:60" ht="15.75" customHeight="1" x14ac:dyDescent="0.2">
      <c r="A147" s="765"/>
      <c r="B147" s="193"/>
      <c r="C147" s="201"/>
      <c r="H147" s="35"/>
      <c r="I147" s="202"/>
      <c r="J147" s="36"/>
      <c r="L147" s="36"/>
      <c r="M147" s="203"/>
      <c r="AW147" s="314"/>
    </row>
    <row r="148" spans="1:60" ht="15.75" customHeight="1" x14ac:dyDescent="0.2">
      <c r="A148" s="765"/>
      <c r="B148" s="193"/>
      <c r="C148" s="201"/>
      <c r="H148" s="35"/>
      <c r="I148" s="202"/>
      <c r="J148" s="36"/>
      <c r="L148" s="36"/>
      <c r="M148" s="203"/>
      <c r="AW148" s="314"/>
    </row>
    <row r="149" spans="1:60" ht="9" customHeight="1" x14ac:dyDescent="0.2">
      <c r="A149" s="765"/>
      <c r="C149" s="197"/>
      <c r="D149" s="198"/>
      <c r="E149" s="198"/>
      <c r="F149" s="54"/>
      <c r="G149" s="54"/>
      <c r="H149" s="35"/>
      <c r="J149" s="199"/>
      <c r="L149" s="199"/>
      <c r="N149" s="192"/>
      <c r="AA149" s="314"/>
      <c r="AB149" s="314"/>
      <c r="AC149" s="314"/>
      <c r="AD149" s="314"/>
      <c r="AP149" s="319"/>
      <c r="AQ149" s="319"/>
      <c r="AR149" s="316"/>
      <c r="AS149" s="317"/>
      <c r="AT149" s="318"/>
      <c r="AU149" s="318"/>
      <c r="AV149" s="319"/>
      <c r="AW149" s="320"/>
      <c r="AX149" s="319"/>
      <c r="AY149" s="319"/>
    </row>
    <row r="150" spans="1:60" s="206" customFormat="1" ht="13.5" customHeight="1" x14ac:dyDescent="0.2">
      <c r="A150" s="765"/>
      <c r="B150" s="204"/>
      <c r="C150" s="300" t="s">
        <v>845</v>
      </c>
      <c r="D150" s="301" t="s">
        <v>844</v>
      </c>
      <c r="E150" s="301" t="s">
        <v>562</v>
      </c>
      <c r="F150" s="302"/>
      <c r="G150" s="302" t="s">
        <v>843</v>
      </c>
      <c r="H150" s="302" t="s">
        <v>1191</v>
      </c>
      <c r="I150" s="302"/>
      <c r="J150" s="302"/>
      <c r="K150" s="301" t="s">
        <v>698</v>
      </c>
      <c r="L150" s="302"/>
      <c r="M150" s="302"/>
      <c r="N150" s="302"/>
      <c r="O150" s="302"/>
      <c r="P150" s="458" t="str">
        <f>IF(O152&amp;O153&amp;O154&lt;&gt;"","BÜNTETŐK","")</f>
        <v/>
      </c>
      <c r="Q150" s="302"/>
      <c r="R150" s="301" t="s">
        <v>1255</v>
      </c>
      <c r="V150" s="4"/>
      <c r="W150" s="303"/>
      <c r="X150" s="303"/>
      <c r="Y150" s="307"/>
      <c r="Z150" s="307"/>
      <c r="AA150" s="307"/>
      <c r="AB150" s="307"/>
      <c r="AC150" s="307"/>
      <c r="AD150" s="307"/>
      <c r="AE150" s="307"/>
      <c r="AF150" s="307"/>
      <c r="AG150" s="307"/>
      <c r="AH150" s="307"/>
      <c r="AI150" s="307"/>
      <c r="AJ150" s="307"/>
      <c r="AK150" s="307"/>
      <c r="AL150" s="307"/>
      <c r="AM150" s="307"/>
      <c r="AN150" s="307"/>
      <c r="AO150" s="307"/>
      <c r="AP150" s="307"/>
      <c r="AQ150" s="307"/>
      <c r="AR150" s="307"/>
      <c r="AS150" s="307"/>
      <c r="AT150" s="307"/>
      <c r="AU150" s="307"/>
      <c r="AV150" s="307"/>
      <c r="AW150" s="321"/>
      <c r="AX150" s="307"/>
      <c r="AY150" s="307"/>
      <c r="AZ150" s="305"/>
      <c r="BA150" s="4"/>
      <c r="BB150" s="305"/>
      <c r="BC150" s="311" t="b">
        <f ca="1">ROUNDDOWN(AS152,0)=ROUNDDOWN(NOW()-5/24,0)</f>
        <v>0</v>
      </c>
      <c r="BD150" s="305"/>
      <c r="BE150" s="305"/>
      <c r="BF150" s="305"/>
      <c r="BG150" s="305"/>
      <c r="BH150" s="4"/>
    </row>
    <row r="151" spans="1:60" s="206" customFormat="1" ht="5.25" customHeight="1" x14ac:dyDescent="0.2">
      <c r="A151" s="765"/>
      <c r="B151" s="204"/>
      <c r="C151" s="204"/>
      <c r="D151" s="204"/>
      <c r="E151" s="204"/>
      <c r="F151" s="204"/>
      <c r="G151" s="204"/>
      <c r="H151" s="383"/>
      <c r="I151" s="204"/>
      <c r="J151" s="204"/>
      <c r="K151" s="204"/>
      <c r="L151" s="204"/>
      <c r="M151" s="204"/>
      <c r="N151" s="204"/>
      <c r="O151" s="205"/>
      <c r="V151" s="4"/>
      <c r="W151" s="303"/>
      <c r="X151" s="303"/>
      <c r="Y151" s="307"/>
      <c r="Z151" s="307"/>
      <c r="AA151" s="307"/>
      <c r="AB151" s="307"/>
      <c r="AC151" s="307"/>
      <c r="AD151" s="307"/>
      <c r="AE151" s="307"/>
      <c r="AF151" s="307"/>
      <c r="AG151" s="307"/>
      <c r="AH151" s="307"/>
      <c r="AI151" s="307"/>
      <c r="AJ151" s="307"/>
      <c r="AK151" s="307"/>
      <c r="AL151" s="307"/>
      <c r="AM151" s="307"/>
      <c r="AN151" s="307"/>
      <c r="AO151" s="307"/>
      <c r="AP151" s="307"/>
      <c r="AQ151" s="307"/>
      <c r="AR151" s="307"/>
      <c r="AS151" s="307"/>
      <c r="AT151" s="307"/>
      <c r="AU151" s="307"/>
      <c r="AV151" s="307"/>
      <c r="AW151" s="321"/>
      <c r="AX151" s="307"/>
      <c r="AY151" s="307"/>
      <c r="AZ151" s="305"/>
      <c r="BA151" s="4"/>
      <c r="BB151" s="305"/>
      <c r="BC151" s="305"/>
      <c r="BD151" s="305"/>
      <c r="BE151" s="305"/>
      <c r="BF151" s="305"/>
      <c r="BG151" s="305"/>
      <c r="BH151" s="4"/>
    </row>
    <row r="152" spans="1:60" ht="15.75" customHeight="1" x14ac:dyDescent="0.2">
      <c r="A152" s="765"/>
      <c r="B152" s="190"/>
      <c r="C152" s="191">
        <f>ROUNDDOWN(D152,0)</f>
        <v>44388</v>
      </c>
      <c r="D152" s="194">
        <f>AS152</f>
        <v>44388.833333333321</v>
      </c>
      <c r="E152" s="194">
        <f>AT152</f>
        <v>44388.874999999985</v>
      </c>
      <c r="F152" s="207" t="str">
        <f>AV152</f>
        <v>London</v>
      </c>
      <c r="G152" s="208" t="str">
        <f>AW152</f>
        <v>Wembley Stadion</v>
      </c>
      <c r="H152" s="384"/>
      <c r="I152" s="195" t="str">
        <f>AE152</f>
        <v>1/2 győztese</v>
      </c>
      <c r="J152" s="209"/>
      <c r="K152" s="210" t="s">
        <v>811</v>
      </c>
      <c r="L152" s="211"/>
      <c r="M152" s="196" t="str">
        <f>AH152</f>
        <v>2/2 győztese</v>
      </c>
      <c r="N152" s="460"/>
      <c r="O152" s="457" t="str">
        <f>IF(AK152,"–","")</f>
        <v/>
      </c>
      <c r="P152" s="461"/>
      <c r="R152" s="590"/>
      <c r="X152" s="303">
        <v>51</v>
      </c>
      <c r="Y152" s="309" t="str">
        <f>AE152&amp;AH152</f>
        <v>1/2 győztese2/2 győztese</v>
      </c>
      <c r="Z152" s="309" t="b">
        <f>AND(J152&lt;&gt;"",L152&lt;&gt;"",COUNTIF(teams,AE152)&gt;0)</f>
        <v>0</v>
      </c>
      <c r="AA152" s="310" t="str">
        <f>IF($Z152,IF(AF152&gt;AG152,AE152,IF(AF152&lt;AG152,AH152,"")),"")</f>
        <v/>
      </c>
      <c r="AB152" s="310" t="str">
        <f>IF($Z152,IF(AF152=AG152,AE152,""),"")</f>
        <v/>
      </c>
      <c r="AC152" s="310" t="str">
        <f>IF($Z152,IF(AF152=AG152,AH152,""),"")</f>
        <v/>
      </c>
      <c r="AD152" s="310" t="str">
        <f>IF($Z152,IF(AF152&gt;AG152,AH152,IF(AF152&lt;AG152,AE152,"")),"")</f>
        <v/>
      </c>
      <c r="AE152" s="309" t="str">
        <f>VLOOKUP($X152,schedule,AE$6,FALSE)</f>
        <v>1/2 győztese</v>
      </c>
      <c r="AF152" s="311" t="str">
        <f>IF($Z152,J152,"")</f>
        <v/>
      </c>
      <c r="AG152" s="311" t="str">
        <f>IF($Z152,L152,"")</f>
        <v/>
      </c>
      <c r="AH152" s="309" t="str">
        <f>VLOOKUP($X152,schedule,AH$6,FALSE)</f>
        <v>2/2 győztese</v>
      </c>
      <c r="AI152" s="311" t="str">
        <f>IF($Z152,AG152,"")</f>
        <v/>
      </c>
      <c r="AJ152" s="311" t="str">
        <f>IF($Z152,AF152,"")</f>
        <v/>
      </c>
      <c r="AK152" s="311" t="b">
        <f>AB152&lt;&gt;""</f>
        <v>0</v>
      </c>
      <c r="AL152" s="311" t="b">
        <f>AND(N152&lt;&gt;"",P152&lt;&gt;"",N152&lt;&gt;P152,J152=L152,Z152)</f>
        <v>0</v>
      </c>
      <c r="AM152" s="311" t="b">
        <f>OR(AND(Z152,AB152=""),AL152)</f>
        <v>0</v>
      </c>
      <c r="AN152" s="311" t="str">
        <f>IF(N152="","",N152)</f>
        <v/>
      </c>
      <c r="AO152" s="311" t="str">
        <f>IF(P152="","",P152)</f>
        <v/>
      </c>
      <c r="AP152" s="310" t="str">
        <f>IF(AL152,IF(N152&gt;P152,I152,M152),AA152)</f>
        <v/>
      </c>
      <c r="AQ152" s="310" t="str">
        <f>IF(NOT(AM152),"",IF(AP152=AE152,AH152,AE152))</f>
        <v/>
      </c>
      <c r="AR152" s="311" t="str">
        <f t="shared" ref="AR152:AW152" si="43">VLOOKUP($X152,schedule,AR$6,FALSE)</f>
        <v/>
      </c>
      <c r="AS152" s="312">
        <f t="shared" si="43"/>
        <v>44388.833333333321</v>
      </c>
      <c r="AT152" s="312">
        <f t="shared" si="43"/>
        <v>44388.874999999985</v>
      </c>
      <c r="AU152" s="312" t="str">
        <f t="shared" si="43"/>
        <v>21:00</v>
      </c>
      <c r="AV152" s="312" t="str">
        <f t="shared" si="43"/>
        <v>London</v>
      </c>
      <c r="AW152" s="313" t="str">
        <f t="shared" si="43"/>
        <v>Wembley Stadion</v>
      </c>
      <c r="AX152" s="312" t="b">
        <f>VLOOKUP($X152,schedule,AX$6,FALSE)=""</f>
        <v>1</v>
      </c>
      <c r="AY152" s="312" t="b">
        <f>VLOOKUP($X152,schedule,AY$6,FALSE)=""</f>
        <v>1</v>
      </c>
      <c r="BC152" s="311" t="b">
        <f ca="1">ROUNDDOWN(AT152,0)&lt;TODAY()</f>
        <v>0</v>
      </c>
      <c r="BD152" s="311" t="b">
        <f ca="1">AND(AT152&lt;=NOW(),AT152+0.1&gt;=NOW(),NOT(AM152))</f>
        <v>0</v>
      </c>
      <c r="BE152" s="311" t="b">
        <f ca="1">AND(NOT(AM152),AT152&lt;NOW())</f>
        <v>0</v>
      </c>
      <c r="BF152" s="311" t="b">
        <f ca="1">AT152&lt;=NOW()</f>
        <v>0</v>
      </c>
    </row>
    <row r="153" spans="1:60" ht="15.75" customHeight="1" x14ac:dyDescent="0.2">
      <c r="A153" s="765"/>
      <c r="B153" s="193"/>
      <c r="C153" s="201"/>
      <c r="H153" s="35"/>
      <c r="I153" s="202"/>
      <c r="J153" s="36"/>
      <c r="L153" s="36"/>
      <c r="M153" s="203"/>
    </row>
    <row r="154" spans="1:60" ht="15.75" customHeight="1" x14ac:dyDescent="0.3">
      <c r="A154" s="765"/>
      <c r="J154" s="36"/>
      <c r="L154" s="36"/>
    </row>
    <row r="155" spans="1:60" ht="15.75" customHeight="1" x14ac:dyDescent="0.3">
      <c r="A155" s="765"/>
      <c r="C155" s="197"/>
      <c r="H155" s="16"/>
      <c r="J155" s="36"/>
      <c r="L155" s="36"/>
    </row>
    <row r="156" spans="1:60" ht="15.75" customHeight="1" x14ac:dyDescent="0.3">
      <c r="A156" s="765"/>
      <c r="J156" s="36"/>
      <c r="L156" s="36"/>
    </row>
    <row r="157" spans="1:60" ht="15.75" customHeight="1" x14ac:dyDescent="0.3">
      <c r="A157" s="765"/>
      <c r="H157" s="385"/>
      <c r="J157" s="36"/>
      <c r="L157" s="36"/>
    </row>
    <row r="158" spans="1:60" ht="15.75" customHeight="1" x14ac:dyDescent="0.3">
      <c r="A158" s="765"/>
      <c r="J158" s="36"/>
      <c r="L158" s="36"/>
    </row>
    <row r="159" spans="1:60" ht="15.75" customHeight="1" x14ac:dyDescent="0.3">
      <c r="J159" s="36"/>
      <c r="L159" s="36"/>
    </row>
    <row r="160" spans="1:60" ht="15.75" customHeight="1" x14ac:dyDescent="0.3">
      <c r="J160" s="36"/>
      <c r="L160" s="36"/>
    </row>
    <row r="161" spans="10:12" ht="15.75" customHeight="1" x14ac:dyDescent="0.3">
      <c r="J161" s="36"/>
      <c r="L161" s="36"/>
    </row>
  </sheetData>
  <sheetProtection algorithmName="SHA-512" hashValue="mvdtQiIJDzR54cWGEfmAyku94kXJI39f9ydaE9jcWIdblvGarvD7scAsff7CcOTB9d+isvmREPU+gu4k39ojlA==" saltValue="ki2ybSAtpRPRpDT7og9l2A==" spinCount="100000" sheet="1" objects="1" scenarios="1"/>
  <mergeCells count="6">
    <mergeCell ref="A136:A158"/>
    <mergeCell ref="A5:A50"/>
    <mergeCell ref="A51:A70"/>
    <mergeCell ref="A71:A94"/>
    <mergeCell ref="A95:A120"/>
    <mergeCell ref="A121:A135"/>
  </mergeCells>
  <phoneticPr fontId="0" type="noConversion"/>
  <conditionalFormatting sqref="C8 C13 C20 C144 C27 C34 C40 C47 C54 C61 C68 C74 C88 C139 C116:C117 C152 C82 C104:C106 C110:C112 C98:C100 C124:C127 C129:C132">
    <cfRule type="expression" dxfId="136" priority="1" stopIfTrue="1">
      <formula>$BC8</formula>
    </cfRule>
  </conditionalFormatting>
  <conditionalFormatting sqref="H127 K127 K74:K77 H13:H15 H144 H68:H69 K68:K69 H61:H63 K61:K63 H54:H56 K54:K56 H47:H49 K47:K49 H40:H42 K40:K42 H34:H35 K34:K35 H27:H29 K27:K29 H20:H22 K20:K22 H8 K8 H74:H77 K13:K15 H88:H91 K152 K116:K117 H116:H117 K139 H129:H131 K144 H139 K88:K91 K82:K83 H82:H83 H104:H106 K104:K106 H110:H112 K110:K112 K98:K100 H98:H100 K124:K125 H124:H125 K129:K131 H152">
    <cfRule type="expression" dxfId="135" priority="2" stopIfTrue="1">
      <formula>$BD8</formula>
    </cfRule>
    <cfRule type="expression" dxfId="134" priority="3" stopIfTrue="1">
      <formula>$BE8</formula>
    </cfRule>
  </conditionalFormatting>
  <conditionalFormatting sqref="L152 J27:J29 L8 J8 J40:J42 J47:J49 J54:J56 J61:J63 J74:J77 L139 J139 J20:J22 J34:J35 J68:J69 L144 L127 J127 L13:L15 J116:J117 J144 L74:L77 J152 L68:L69 L61:L63 L54:L56 L47:L49 L40:L42 L34:L35 L27:L29 L20:L22 J13:J15 L116:L117 J88:J91 L88:L91 J82:J83 L82:L83 L104:L106 J104:J106 L110:L112 J110:J112 L98:L100 J98:J100 J124:J125 L124:L125 L129:L131 J129:J131">
    <cfRule type="expression" dxfId="133" priority="4" stopIfTrue="1">
      <formula>$BD8</formula>
    </cfRule>
    <cfRule type="expression" dxfId="132" priority="5" stopIfTrue="1">
      <formula>$BE8</formula>
    </cfRule>
  </conditionalFormatting>
  <conditionalFormatting sqref="D126:M126 D132:M132">
    <cfRule type="expression" dxfId="131" priority="6" stopIfTrue="1">
      <formula>$BC126</formula>
    </cfRule>
  </conditionalFormatting>
  <conditionalFormatting sqref="D13:G15 D20:G22 D40:G42 D47:G49 D54:G56 D61:G63 D74:G77 D88:G91 D144:G144 D8:G8 D139:G139 D27:G29 D34:G35 D68:G69 D116:G117 D127:G127 D152:G152 D82:G83 D104:G106 D110:G112 D98:G100 D124:G125 D129:G131">
    <cfRule type="expression" dxfId="130" priority="7" stopIfTrue="1">
      <formula>$BD8</formula>
    </cfRule>
    <cfRule type="expression" dxfId="129" priority="8" stopIfTrue="1">
      <formula>$BF8</formula>
    </cfRule>
  </conditionalFormatting>
  <conditionalFormatting sqref="C6:R6 C11:R11 C18:R18 C25:R25 C32:R32 C38:R38 C45:R45 C52:R52 C59:R59 C66:R66 C72:R72 C86:R86 C96:R96 C102:R102 C108:R108 C122:R122 C114:R114 C137:R137 C142:R142 C150:R150 C80:R80 C128:R128">
    <cfRule type="expression" dxfId="128" priority="9" stopIfTrue="1">
      <formula>$BC6</formula>
    </cfRule>
  </conditionalFormatting>
  <conditionalFormatting sqref="I127 I129 M129 I100 M100 M106 M127 I106 M112 I112">
    <cfRule type="expression" dxfId="127" priority="10" stopIfTrue="1">
      <formula>$BD100</formula>
    </cfRule>
    <cfRule type="expression" dxfId="126" priority="11" stopIfTrue="1">
      <formula>$BE100</formula>
    </cfRule>
    <cfRule type="cellIs" dxfId="125" priority="12" stopIfTrue="1" operator="equal">
      <formula>$AP100</formula>
    </cfRule>
  </conditionalFormatting>
  <conditionalFormatting sqref="P74:P77 N74:N77 P88:P91 N88:N91 P68:P69 N68:N69 N116:N117 P116:P117 N124:N125 P124:P125 N130:N131 P130:P131 N144 P144 N139 P139 N152 P152 P82:P83 N82:N83 P104:P105 N104:N105 P110:P111 N110:N111 N98:N99 P98:P99">
    <cfRule type="expression" dxfId="124" priority="13" stopIfTrue="1">
      <formula>AND($AK68,NOT($AL68))</formula>
    </cfRule>
  </conditionalFormatting>
  <conditionalFormatting sqref="I13:I15 M13:M15 I116:I117 M116:M117 I124:I125 M124:M125 I130:I131 M130:M131 I139 M139 I144 M144 M8 M20:M22 I8 I152 M152 I61:I63 M61:M63 I54:I56 M54:M56 I47:I49 M47:M49 I40:I42 M40:M42 I34:I35 M34:M35 I27:I29 M27:M29 I20:I22 M104:M105 I104:I105 M110:M111 I110:I111 I98:I99 M98:M99">
    <cfRule type="expression" dxfId="123" priority="14" stopIfTrue="1">
      <formula>$BD8</formula>
    </cfRule>
    <cfRule type="expression" dxfId="122" priority="15" stopIfTrue="1">
      <formula>$BE8</formula>
    </cfRule>
    <cfRule type="cellIs" dxfId="121" priority="16" stopIfTrue="1" operator="equal">
      <formula>$AP8</formula>
    </cfRule>
  </conditionalFormatting>
  <conditionalFormatting sqref="M68:M69 I68:I69 M74:M77 I74:I77 M88:M91 I88:I91 M82:M83 I82:I83">
    <cfRule type="expression" dxfId="120" priority="17" stopIfTrue="1">
      <formula>$BD68</formula>
    </cfRule>
    <cfRule type="expression" dxfId="119" priority="18" stopIfTrue="1">
      <formula>$BE68</formula>
    </cfRule>
    <cfRule type="expression" dxfId="118" priority="19" stopIfTrue="1">
      <formula>OR(I68=$AP68,I68=$AM68)</formula>
    </cfRule>
  </conditionalFormatting>
  <dataValidations count="1">
    <dataValidation type="whole" allowBlank="1" showInputMessage="1" showErrorMessage="1" sqref="L152 L144 J144 J139 L139 N144 P144 N152 P152 N139 P139 J152 L34:L35 J34:J35 L27:L29 J27:J29 L8 J13:J15 L13:L15 J20:J22 L20:L22 J8 J40:J42 L40:L42 J47:J49 L47:L49 J54:J56 L54:L56 J61:J63 L61:L63 J68:J69 L68:L69 N68:N69 P68:P69 P74:P77 N74:N77 P88:P91 N88:N91 P98:P99 N98:N99 J88:J91 L74:L77 J74:J77 L88:L91 L98:L100 J98:J100 P82:P83 L82:L83 J82:J83 N82:N83 L110:L112 J110:J112 N110:N111 P110:P111 L104:L106 J104:J106 N104:N105 P104:P105 P116:P117 N116:N117 P124:P125 N124:N125 J124:J125 L124:L125 J116:J117 L116:L117 P130:P131 N130:N131 L127 J127 J129:J131 L129:L131">
      <formula1>0</formula1>
      <formula2>20</formula2>
    </dataValidation>
  </dataValidations>
  <pageMargins left="0.55118110236220474" right="0.31496062992125984" top="0.55118110236220474" bottom="0.7" header="0.43307086614173229" footer="0.39370078740157483"/>
  <pageSetup paperSize="9" scale="77" orientation="landscape" horizontalDpi="300" verticalDpi="300" r:id="rId1"/>
  <headerFooter alignWithMargins="0"/>
  <rowBreaks count="4" manualBreakCount="4">
    <brk id="36" max="18" man="1"/>
    <brk id="64" max="18" man="1"/>
    <brk id="94" max="18" man="1"/>
    <brk id="120" max="18" man="1"/>
  </rowBreaks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10">
    <pageSetUpPr autoPageBreaks="0"/>
  </sheetPr>
  <dimension ref="A1:CH726"/>
  <sheetViews>
    <sheetView showGridLines="0" showRowColHeaders="0" tabSelected="1" zoomScaleNormal="100" workbookViewId="0">
      <pane ySplit="16" topLeftCell="A17" activePane="bottomLeft" state="frozen"/>
      <selection pane="bottomLeft" activeCell="V500" sqref="V500"/>
    </sheetView>
  </sheetViews>
  <sheetFormatPr defaultRowHeight="15" x14ac:dyDescent="0.3"/>
  <cols>
    <col min="1" max="1" width="1.42578125" style="564" customWidth="1"/>
    <col min="2" max="2" width="3.5703125" style="10" customWidth="1"/>
    <col min="3" max="3" width="1.7109375" style="10" customWidth="1"/>
    <col min="4" max="4" width="25.7109375" style="10" customWidth="1"/>
    <col min="5" max="5" width="4.85546875" style="10" customWidth="1"/>
    <col min="6" max="7" width="1.140625" style="10" customWidth="1"/>
    <col min="8" max="8" width="4.5703125" style="10" customWidth="1"/>
    <col min="9" max="9" width="4.5703125" style="11" customWidth="1"/>
    <col min="10" max="11" width="4.5703125" style="10" customWidth="1"/>
    <col min="12" max="12" width="4.5703125" style="11" customWidth="1"/>
    <col min="13" max="14" width="4.5703125" style="10" customWidth="1"/>
    <col min="15" max="15" width="4.5703125" style="11" customWidth="1"/>
    <col min="16" max="17" width="4.5703125" style="10" customWidth="1"/>
    <col min="18" max="18" width="4.5703125" style="11" customWidth="1"/>
    <col min="19" max="20" width="4.5703125" style="10" customWidth="1"/>
    <col min="21" max="21" width="4.5703125" style="11" customWidth="1"/>
    <col min="22" max="23" width="4.5703125" style="10" customWidth="1"/>
    <col min="24" max="24" width="4.5703125" style="11" customWidth="1"/>
    <col min="25" max="26" width="4.5703125" style="10" customWidth="1"/>
    <col min="27" max="27" width="4.5703125" style="11" customWidth="1"/>
    <col min="28" max="29" width="4.5703125" style="10" customWidth="1"/>
    <col min="30" max="30" width="4.5703125" style="11" customWidth="1"/>
    <col min="31" max="32" width="4.5703125" style="10" customWidth="1"/>
    <col min="33" max="33" width="4.5703125" style="11" customWidth="1"/>
    <col min="34" max="35" width="4.5703125" style="10" customWidth="1"/>
    <col min="36" max="36" width="4.5703125" style="11" customWidth="1"/>
    <col min="37" max="37" width="4.5703125" style="10" customWidth="1"/>
    <col min="38" max="38" width="3.42578125" style="10" customWidth="1"/>
    <col min="39" max="39" width="4.42578125" style="10" customWidth="1"/>
    <col min="40" max="40" width="3.42578125" style="14" hidden="1" customWidth="1"/>
    <col min="41" max="41" width="3.5703125" style="390" hidden="1" customWidth="1"/>
    <col min="42" max="44" width="2.85546875" style="390" hidden="1" customWidth="1"/>
    <col min="45" max="45" width="5" style="390" hidden="1" customWidth="1"/>
    <col min="46" max="48" width="2.85546875" style="390" hidden="1" customWidth="1"/>
    <col min="49" max="50" width="5" style="390" hidden="1" customWidth="1"/>
    <col min="51" max="51" width="4" style="390" hidden="1" customWidth="1"/>
    <col min="52" max="52" width="3.42578125" style="14" hidden="1" customWidth="1"/>
    <col min="53" max="55" width="3.140625" style="520" hidden="1" customWidth="1"/>
    <col min="56" max="77" width="3.140625" style="390" hidden="1" customWidth="1"/>
    <col min="78" max="84" width="3.140625" style="520" hidden="1" customWidth="1"/>
    <col min="85" max="85" width="4" style="520" hidden="1" customWidth="1"/>
    <col min="86" max="86" width="3.42578125" style="14" hidden="1" customWidth="1"/>
    <col min="87" max="16384" width="9.140625" style="10"/>
  </cols>
  <sheetData>
    <row r="1" spans="1:86" s="561" customFormat="1" ht="9.75" customHeight="1" x14ac:dyDescent="0.2">
      <c r="G1" s="562"/>
    </row>
    <row r="2" spans="1:86" s="561" customFormat="1" ht="9.75" customHeight="1" x14ac:dyDescent="0.2">
      <c r="G2" s="562"/>
    </row>
    <row r="3" spans="1:86" s="561" customFormat="1" ht="9" customHeight="1" thickBot="1" x14ac:dyDescent="0.25">
      <c r="A3" s="563"/>
      <c r="B3" s="563"/>
      <c r="C3" s="563"/>
      <c r="D3" s="563"/>
      <c r="E3" s="563"/>
      <c r="F3" s="563"/>
      <c r="G3" s="562"/>
    </row>
    <row r="4" spans="1:86" s="565" customFormat="1" ht="12" customHeight="1" thickTop="1" x14ac:dyDescent="0.2">
      <c r="B4" s="567" t="s">
        <v>518</v>
      </c>
      <c r="G4" s="566"/>
    </row>
    <row r="5" spans="1:86" s="37" customFormat="1" ht="3.75" customHeight="1" x14ac:dyDescent="0.3">
      <c r="A5" s="564"/>
      <c r="I5" s="261"/>
      <c r="L5" s="261"/>
      <c r="O5" s="261"/>
      <c r="R5" s="261"/>
      <c r="U5" s="261"/>
      <c r="X5" s="261"/>
      <c r="AA5" s="261"/>
      <c r="AD5" s="261"/>
      <c r="AG5" s="261"/>
      <c r="AJ5" s="261"/>
      <c r="AN5" s="5"/>
      <c r="AO5" s="390"/>
      <c r="AP5" s="390"/>
      <c r="AQ5" s="390"/>
      <c r="AR5" s="390"/>
      <c r="AS5" s="390"/>
      <c r="AT5" s="390"/>
      <c r="AU5" s="390"/>
      <c r="AV5" s="390"/>
      <c r="AW5" s="390"/>
      <c r="AX5" s="390"/>
      <c r="AY5" s="390"/>
      <c r="AZ5" s="4"/>
      <c r="BA5" s="305"/>
      <c r="BB5" s="305"/>
      <c r="BC5" s="305"/>
      <c r="BD5" s="305"/>
      <c r="BE5" s="305"/>
      <c r="BF5" s="305"/>
      <c r="BG5" s="305"/>
      <c r="BH5" s="305"/>
      <c r="BI5" s="305"/>
      <c r="BJ5" s="305"/>
      <c r="BK5" s="305"/>
      <c r="BL5" s="305"/>
      <c r="BM5" s="305"/>
      <c r="BN5" s="305"/>
      <c r="BO5" s="305"/>
      <c r="BP5" s="305"/>
      <c r="BQ5" s="305"/>
      <c r="BR5" s="305"/>
      <c r="BS5" s="305"/>
      <c r="BT5" s="305"/>
      <c r="BU5" s="305"/>
      <c r="BV5" s="305"/>
      <c r="BW5" s="305"/>
      <c r="BX5" s="305"/>
      <c r="BY5" s="305"/>
      <c r="BZ5" s="305"/>
      <c r="CA5" s="305"/>
      <c r="CB5" s="305"/>
      <c r="CC5" s="305"/>
      <c r="CD5" s="305"/>
      <c r="CE5" s="305"/>
      <c r="CF5" s="305"/>
      <c r="CG5" s="305"/>
      <c r="CH5" s="4"/>
    </row>
    <row r="6" spans="1:86" s="39" customFormat="1" ht="52.5" customHeight="1" x14ac:dyDescent="0.2">
      <c r="A6" s="564"/>
      <c r="B6" s="38"/>
      <c r="C6" s="280"/>
      <c r="E6" s="260" t="s">
        <v>1274</v>
      </c>
      <c r="F6" s="40"/>
      <c r="G6" s="40"/>
      <c r="H6" s="262" t="str">
        <f t="shared" ref="H6:AK6" si="0">IF(NOT(H13),"",INDEX(resztvevok,H12,H11-2))</f>
        <v>Kovács Ferenc</v>
      </c>
      <c r="I6" s="270" t="str">
        <f t="shared" si="0"/>
        <v>Csomós László Richárd</v>
      </c>
      <c r="J6" s="270" t="str">
        <f t="shared" si="0"/>
        <v>Valisko Gerő</v>
      </c>
      <c r="K6" s="270" t="str">
        <f t="shared" si="0"/>
        <v>Nagy Norbert</v>
      </c>
      <c r="L6" s="270" t="str">
        <f t="shared" si="0"/>
        <v>Sőregi Bálint</v>
      </c>
      <c r="M6" s="270" t="str">
        <f t="shared" si="0"/>
        <v>Nagy Ádám</v>
      </c>
      <c r="N6" s="270" t="str">
        <f t="shared" si="0"/>
        <v>Dósa Róbert</v>
      </c>
      <c r="O6" s="270" t="str">
        <f t="shared" si="0"/>
        <v>Szabó Erika</v>
      </c>
      <c r="P6" s="270" t="str">
        <f t="shared" si="0"/>
        <v>Nagy Zsolt</v>
      </c>
      <c r="Q6" s="270" t="str">
        <f t="shared" si="0"/>
        <v>Kácsor Béla</v>
      </c>
      <c r="R6" s="270" t="str">
        <f t="shared" si="0"/>
        <v>Takó Norbert</v>
      </c>
      <c r="S6" s="270" t="str">
        <f t="shared" si="0"/>
        <v>Kozma Béla</v>
      </c>
      <c r="T6" s="270" t="str">
        <f t="shared" si="0"/>
        <v>Horváth Csaba</v>
      </c>
      <c r="U6" s="270" t="str">
        <f t="shared" si="0"/>
        <v>Kállai Gábor</v>
      </c>
      <c r="V6" s="270" t="str">
        <f t="shared" si="0"/>
        <v>Kaszab Márk</v>
      </c>
      <c r="W6" s="270" t="str">
        <f t="shared" si="0"/>
        <v>Sági Dávid</v>
      </c>
      <c r="X6" s="270" t="str">
        <f t="shared" si="0"/>
        <v>Csontos József</v>
      </c>
      <c r="Y6" s="270" t="str">
        <f t="shared" si="0"/>
        <v>Faragó István</v>
      </c>
      <c r="Z6" s="270" t="str">
        <f t="shared" si="0"/>
        <v>Vincze Dávid</v>
      </c>
      <c r="AA6" s="270" t="str">
        <f t="shared" si="0"/>
        <v>Suvada László</v>
      </c>
      <c r="AB6" s="270" t="str">
        <f t="shared" si="0"/>
        <v>Csáki Levente</v>
      </c>
      <c r="AC6" s="270" t="str">
        <f t="shared" si="0"/>
        <v>Kerepesi Zsolt</v>
      </c>
      <c r="AD6" s="270" t="str">
        <f t="shared" si="0"/>
        <v>Szabó Gábor</v>
      </c>
      <c r="AE6" s="270" t="str">
        <f t="shared" si="0"/>
        <v/>
      </c>
      <c r="AF6" s="270" t="str">
        <f t="shared" si="0"/>
        <v/>
      </c>
      <c r="AG6" s="270" t="str">
        <f t="shared" si="0"/>
        <v/>
      </c>
      <c r="AH6" s="270" t="str">
        <f t="shared" si="0"/>
        <v/>
      </c>
      <c r="AI6" s="270" t="str">
        <f t="shared" si="0"/>
        <v/>
      </c>
      <c r="AJ6" s="270" t="str">
        <f t="shared" si="0"/>
        <v/>
      </c>
      <c r="AK6" s="262" t="str">
        <f t="shared" si="0"/>
        <v/>
      </c>
      <c r="AN6" s="5"/>
      <c r="AO6" s="390"/>
      <c r="AP6" s="390"/>
      <c r="AQ6" s="390"/>
      <c r="AR6" s="390"/>
      <c r="AS6" s="390"/>
      <c r="AT6" s="390"/>
      <c r="AU6" s="390"/>
      <c r="AV6" s="390"/>
      <c r="AW6" s="390"/>
      <c r="AX6" s="390"/>
      <c r="AY6" s="390"/>
      <c r="AZ6" s="4"/>
      <c r="BA6" s="305"/>
      <c r="BB6" s="305"/>
      <c r="BC6" s="305"/>
      <c r="BD6" s="305"/>
      <c r="BE6" s="305"/>
      <c r="BF6" s="305"/>
      <c r="BG6" s="305"/>
      <c r="BH6" s="305"/>
      <c r="BI6" s="305"/>
      <c r="BJ6" s="305"/>
      <c r="BK6" s="305"/>
      <c r="BL6" s="305"/>
      <c r="BM6" s="305"/>
      <c r="BN6" s="305"/>
      <c r="BO6" s="305"/>
      <c r="BP6" s="305"/>
      <c r="BQ6" s="305"/>
      <c r="BR6" s="305"/>
      <c r="BS6" s="305"/>
      <c r="BT6" s="305"/>
      <c r="BU6" s="305"/>
      <c r="BV6" s="305"/>
      <c r="BW6" s="305"/>
      <c r="BX6" s="305"/>
      <c r="BY6" s="305"/>
      <c r="BZ6" s="305"/>
      <c r="CA6" s="305"/>
      <c r="CB6" s="305"/>
      <c r="CC6" s="305"/>
      <c r="CD6" s="305"/>
      <c r="CE6" s="305"/>
      <c r="CF6" s="305"/>
      <c r="CG6" s="305"/>
      <c r="CH6" s="4"/>
    </row>
    <row r="7" spans="1:86" s="39" customFormat="1" ht="12" customHeight="1" x14ac:dyDescent="0.2">
      <c r="A7" s="564"/>
      <c r="B7" s="41"/>
      <c r="C7" s="41"/>
      <c r="E7" s="645" t="s">
        <v>1321</v>
      </c>
      <c r="F7" s="42"/>
      <c r="G7" s="42"/>
      <c r="H7" s="646">
        <f t="shared" ref="H7:AK7" si="1">IF(NOT(H$13),"",SUMIF($AS87:$AS679,$AS$87,H87:H679))</f>
        <v>0</v>
      </c>
      <c r="I7" s="646">
        <f t="shared" si="1"/>
        <v>0</v>
      </c>
      <c r="J7" s="646">
        <f t="shared" si="1"/>
        <v>0</v>
      </c>
      <c r="K7" s="646">
        <f t="shared" si="1"/>
        <v>0</v>
      </c>
      <c r="L7" s="646">
        <f t="shared" si="1"/>
        <v>0</v>
      </c>
      <c r="M7" s="646">
        <f t="shared" si="1"/>
        <v>0</v>
      </c>
      <c r="N7" s="646">
        <f t="shared" si="1"/>
        <v>0</v>
      </c>
      <c r="O7" s="646">
        <f t="shared" si="1"/>
        <v>0</v>
      </c>
      <c r="P7" s="646">
        <f t="shared" si="1"/>
        <v>0</v>
      </c>
      <c r="Q7" s="646">
        <f t="shared" si="1"/>
        <v>0</v>
      </c>
      <c r="R7" s="646">
        <f t="shared" si="1"/>
        <v>0</v>
      </c>
      <c r="S7" s="646">
        <f t="shared" si="1"/>
        <v>0</v>
      </c>
      <c r="T7" s="646">
        <f t="shared" si="1"/>
        <v>0</v>
      </c>
      <c r="U7" s="646">
        <f t="shared" si="1"/>
        <v>0</v>
      </c>
      <c r="V7" s="646">
        <f t="shared" si="1"/>
        <v>0</v>
      </c>
      <c r="W7" s="646">
        <f t="shared" si="1"/>
        <v>0</v>
      </c>
      <c r="X7" s="646">
        <f t="shared" si="1"/>
        <v>0</v>
      </c>
      <c r="Y7" s="646">
        <f t="shared" si="1"/>
        <v>0</v>
      </c>
      <c r="Z7" s="646">
        <f t="shared" si="1"/>
        <v>0</v>
      </c>
      <c r="AA7" s="646">
        <f t="shared" si="1"/>
        <v>0</v>
      </c>
      <c r="AB7" s="646">
        <f t="shared" si="1"/>
        <v>0</v>
      </c>
      <c r="AC7" s="646">
        <f t="shared" si="1"/>
        <v>0</v>
      </c>
      <c r="AD7" s="646">
        <f t="shared" si="1"/>
        <v>0</v>
      </c>
      <c r="AE7" s="646" t="str">
        <f t="shared" si="1"/>
        <v/>
      </c>
      <c r="AF7" s="646" t="str">
        <f t="shared" si="1"/>
        <v/>
      </c>
      <c r="AG7" s="646" t="str">
        <f t="shared" si="1"/>
        <v/>
      </c>
      <c r="AH7" s="646" t="str">
        <f t="shared" si="1"/>
        <v/>
      </c>
      <c r="AI7" s="646" t="str">
        <f t="shared" si="1"/>
        <v/>
      </c>
      <c r="AJ7" s="646" t="str">
        <f t="shared" si="1"/>
        <v/>
      </c>
      <c r="AK7" s="646" t="str">
        <f t="shared" si="1"/>
        <v/>
      </c>
      <c r="AN7" s="5"/>
      <c r="AO7" s="390"/>
      <c r="AP7" s="390"/>
      <c r="AQ7" s="390"/>
      <c r="AR7" s="390"/>
      <c r="AS7" s="390"/>
      <c r="AT7" s="390"/>
      <c r="AU7" s="390"/>
      <c r="AV7" s="390"/>
      <c r="AW7" s="390"/>
      <c r="AX7" s="390"/>
      <c r="AY7" s="390"/>
      <c r="AZ7" s="4"/>
      <c r="BA7" s="305"/>
      <c r="BB7" s="305"/>
      <c r="BC7" s="305"/>
      <c r="BD7" s="305"/>
      <c r="BE7" s="305"/>
      <c r="BF7" s="305"/>
      <c r="BG7" s="305"/>
      <c r="BH7" s="305"/>
      <c r="BI7" s="305"/>
      <c r="BJ7" s="305"/>
      <c r="BK7" s="305"/>
      <c r="BL7" s="305"/>
      <c r="BM7" s="305"/>
      <c r="BN7" s="305"/>
      <c r="BO7" s="305"/>
      <c r="BP7" s="305"/>
      <c r="BQ7" s="305"/>
      <c r="BR7" s="305"/>
      <c r="BS7" s="305"/>
      <c r="BT7" s="305"/>
      <c r="BU7" s="305"/>
      <c r="BV7" s="305"/>
      <c r="BW7" s="305"/>
      <c r="BX7" s="305"/>
      <c r="BY7" s="305"/>
      <c r="BZ7" s="305"/>
      <c r="CA7" s="305"/>
      <c r="CB7" s="305"/>
      <c r="CC7" s="305"/>
      <c r="CD7" s="305"/>
      <c r="CE7" s="305"/>
      <c r="CF7" s="305"/>
      <c r="CG7" s="305"/>
      <c r="CH7" s="4"/>
    </row>
    <row r="8" spans="1:86" s="39" customFormat="1" ht="10.5" customHeight="1" x14ac:dyDescent="0.2">
      <c r="A8" s="564"/>
      <c r="B8" s="43"/>
      <c r="C8" s="43"/>
      <c r="E8" s="263" t="s">
        <v>1322</v>
      </c>
      <c r="F8" s="40"/>
      <c r="G8" s="40"/>
      <c r="H8" s="264">
        <f>IF(H13,INDEX($BC$53:$BC$82,MATCH(H6,$BD$53:$BD$82,0)),"")</f>
        <v>1</v>
      </c>
      <c r="I8" s="264">
        <f t="shared" ref="I8:AK8" si="2">IF(I13,INDEX($BC$53:$BC$82,MATCH(I6,$BD$53:$BD$82,0)),"")</f>
        <v>1</v>
      </c>
      <c r="J8" s="264">
        <f t="shared" si="2"/>
        <v>1</v>
      </c>
      <c r="K8" s="264">
        <f t="shared" si="2"/>
        <v>1</v>
      </c>
      <c r="L8" s="264">
        <f t="shared" si="2"/>
        <v>1</v>
      </c>
      <c r="M8" s="264">
        <f t="shared" si="2"/>
        <v>1</v>
      </c>
      <c r="N8" s="264">
        <f t="shared" si="2"/>
        <v>1</v>
      </c>
      <c r="O8" s="264">
        <f t="shared" si="2"/>
        <v>1</v>
      </c>
      <c r="P8" s="264">
        <f t="shared" si="2"/>
        <v>1</v>
      </c>
      <c r="Q8" s="264">
        <f t="shared" si="2"/>
        <v>1</v>
      </c>
      <c r="R8" s="264">
        <f t="shared" si="2"/>
        <v>1</v>
      </c>
      <c r="S8" s="264">
        <f t="shared" si="2"/>
        <v>1</v>
      </c>
      <c r="T8" s="264">
        <f t="shared" si="2"/>
        <v>1</v>
      </c>
      <c r="U8" s="264">
        <f t="shared" si="2"/>
        <v>1</v>
      </c>
      <c r="V8" s="264">
        <f t="shared" si="2"/>
        <v>1</v>
      </c>
      <c r="W8" s="264">
        <f t="shared" si="2"/>
        <v>1</v>
      </c>
      <c r="X8" s="264">
        <f t="shared" si="2"/>
        <v>1</v>
      </c>
      <c r="Y8" s="264">
        <f t="shared" si="2"/>
        <v>1</v>
      </c>
      <c r="Z8" s="264">
        <f t="shared" si="2"/>
        <v>1</v>
      </c>
      <c r="AA8" s="264">
        <f t="shared" si="2"/>
        <v>1</v>
      </c>
      <c r="AB8" s="264">
        <f t="shared" si="2"/>
        <v>1</v>
      </c>
      <c r="AC8" s="264">
        <f t="shared" si="2"/>
        <v>1</v>
      </c>
      <c r="AD8" s="264">
        <f t="shared" si="2"/>
        <v>1</v>
      </c>
      <c r="AE8" s="264" t="str">
        <f t="shared" si="2"/>
        <v/>
      </c>
      <c r="AF8" s="264" t="str">
        <f t="shared" si="2"/>
        <v/>
      </c>
      <c r="AG8" s="264" t="str">
        <f t="shared" si="2"/>
        <v/>
      </c>
      <c r="AH8" s="264" t="str">
        <f t="shared" si="2"/>
        <v/>
      </c>
      <c r="AI8" s="264" t="str">
        <f t="shared" si="2"/>
        <v/>
      </c>
      <c r="AJ8" s="264" t="str">
        <f t="shared" si="2"/>
        <v/>
      </c>
      <c r="AK8" s="264" t="str">
        <f t="shared" si="2"/>
        <v/>
      </c>
      <c r="AN8" s="5"/>
      <c r="AO8" s="390"/>
      <c r="AP8" s="390"/>
      <c r="AQ8" s="390"/>
      <c r="AR8" s="390"/>
      <c r="AS8" s="390"/>
      <c r="AT8" s="390"/>
      <c r="AU8" s="390"/>
      <c r="AV8" s="390"/>
      <c r="AW8" s="390"/>
      <c r="AX8" s="390"/>
      <c r="AY8" s="390"/>
      <c r="AZ8" s="4"/>
      <c r="BA8" s="305"/>
      <c r="BB8" s="305"/>
      <c r="BC8" s="305"/>
      <c r="BD8" s="305"/>
      <c r="BE8" s="305"/>
      <c r="BF8" s="305"/>
      <c r="BG8" s="305"/>
      <c r="BH8" s="305"/>
      <c r="BI8" s="305"/>
      <c r="BJ8" s="305"/>
      <c r="BK8" s="305"/>
      <c r="BL8" s="305"/>
      <c r="BM8" s="305"/>
      <c r="BN8" s="305"/>
      <c r="BO8" s="305"/>
      <c r="BP8" s="305"/>
      <c r="BQ8" s="305"/>
      <c r="BR8" s="305"/>
      <c r="BS8" s="305"/>
      <c r="BT8" s="305"/>
      <c r="BU8" s="305"/>
      <c r="BV8" s="305"/>
      <c r="BW8" s="305"/>
      <c r="BX8" s="305"/>
      <c r="BY8" s="305"/>
      <c r="BZ8" s="305"/>
      <c r="CA8" s="305"/>
      <c r="CB8" s="305"/>
      <c r="CC8" s="305"/>
      <c r="CD8" s="305"/>
      <c r="CE8" s="305"/>
      <c r="CF8" s="305"/>
      <c r="CG8" s="305"/>
      <c r="CH8" s="4"/>
    </row>
    <row r="9" spans="1:86" s="5" customFormat="1" ht="10.5" hidden="1" customHeight="1" x14ac:dyDescent="0.2">
      <c r="A9" s="564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O9" s="390"/>
      <c r="AP9" s="390"/>
      <c r="AQ9" s="390"/>
      <c r="AR9" s="390"/>
      <c r="AS9" s="390"/>
      <c r="AT9" s="390"/>
      <c r="AU9" s="390"/>
      <c r="AV9" s="390"/>
      <c r="AW9" s="390"/>
      <c r="AX9" s="390"/>
      <c r="AY9" s="390"/>
      <c r="AZ9" s="4"/>
      <c r="BA9" s="305"/>
      <c r="BB9" s="305"/>
      <c r="BC9" s="305"/>
      <c r="BD9" s="305"/>
      <c r="BE9" s="305"/>
      <c r="BF9" s="305"/>
      <c r="BG9" s="305"/>
      <c r="BH9" s="305"/>
      <c r="BI9" s="305"/>
      <c r="BJ9" s="305"/>
      <c r="BK9" s="305"/>
      <c r="BL9" s="305"/>
      <c r="BM9" s="305"/>
      <c r="BN9" s="305"/>
      <c r="BO9" s="305"/>
      <c r="BP9" s="305"/>
      <c r="BQ9" s="305"/>
      <c r="BR9" s="305"/>
      <c r="BS9" s="305"/>
      <c r="BT9" s="305"/>
      <c r="BU9" s="305"/>
      <c r="BV9" s="305"/>
      <c r="BW9" s="305"/>
      <c r="BX9" s="305"/>
      <c r="BY9" s="305"/>
      <c r="BZ9" s="305"/>
      <c r="CA9" s="305"/>
      <c r="CB9" s="305"/>
      <c r="CC9" s="305"/>
      <c r="CD9" s="305"/>
      <c r="CE9" s="305"/>
      <c r="CF9" s="305"/>
      <c r="CG9" s="305"/>
      <c r="CH9" s="4"/>
    </row>
    <row r="10" spans="1:86" s="7" customFormat="1" ht="10.5" hidden="1" customHeight="1" x14ac:dyDescent="0.2">
      <c r="A10" s="564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N10" s="4"/>
      <c r="AO10" s="305"/>
      <c r="AP10" s="305"/>
      <c r="AQ10" s="305"/>
      <c r="AR10" s="305"/>
      <c r="AS10" s="305"/>
      <c r="AT10" s="305"/>
      <c r="AU10" s="305"/>
      <c r="AV10" s="305"/>
      <c r="AW10" s="305"/>
      <c r="AX10" s="305"/>
      <c r="AY10" s="305"/>
      <c r="AZ10" s="4"/>
      <c r="BA10" s="305"/>
      <c r="BB10" s="305"/>
      <c r="BC10" s="305"/>
      <c r="BD10" s="305"/>
      <c r="BE10" s="305"/>
      <c r="BF10" s="305"/>
      <c r="BG10" s="305"/>
      <c r="BH10" s="305"/>
      <c r="BI10" s="305"/>
      <c r="BJ10" s="305"/>
      <c r="BK10" s="305"/>
      <c r="BL10" s="305"/>
      <c r="BM10" s="305"/>
      <c r="BN10" s="305"/>
      <c r="BO10" s="305"/>
      <c r="BP10" s="305"/>
      <c r="BQ10" s="305"/>
      <c r="BR10" s="305"/>
      <c r="BS10" s="305"/>
      <c r="BT10" s="305"/>
      <c r="BU10" s="305"/>
      <c r="BV10" s="305"/>
      <c r="BW10" s="305"/>
      <c r="BX10" s="305"/>
      <c r="BY10" s="305"/>
      <c r="BZ10" s="305"/>
      <c r="CA10" s="305"/>
      <c r="CB10" s="305"/>
      <c r="CC10" s="305"/>
      <c r="CD10" s="305"/>
      <c r="CE10" s="305"/>
      <c r="CF10" s="305"/>
      <c r="CG10" s="305"/>
      <c r="CH10" s="4"/>
    </row>
    <row r="11" spans="1:86" s="7" customFormat="1" ht="10.5" hidden="1" customHeight="1" x14ac:dyDescent="0.2">
      <c r="A11" s="564"/>
      <c r="H11" s="25">
        <v>3</v>
      </c>
      <c r="I11" s="25">
        <v>3</v>
      </c>
      <c r="J11" s="25">
        <v>3</v>
      </c>
      <c r="K11" s="25">
        <v>3</v>
      </c>
      <c r="L11" s="25">
        <v>3</v>
      </c>
      <c r="M11" s="25">
        <v>3</v>
      </c>
      <c r="N11" s="25">
        <v>3</v>
      </c>
      <c r="O11" s="25">
        <v>3</v>
      </c>
      <c r="P11" s="25">
        <v>3</v>
      </c>
      <c r="Q11" s="25">
        <v>3</v>
      </c>
      <c r="R11" s="25">
        <v>3</v>
      </c>
      <c r="S11" s="25">
        <v>3</v>
      </c>
      <c r="T11" s="25">
        <v>3</v>
      </c>
      <c r="U11" s="25">
        <v>3</v>
      </c>
      <c r="V11" s="25">
        <v>3</v>
      </c>
      <c r="W11" s="25">
        <v>4</v>
      </c>
      <c r="X11" s="25">
        <v>4</v>
      </c>
      <c r="Y11" s="25">
        <v>4</v>
      </c>
      <c r="Z11" s="25">
        <v>4</v>
      </c>
      <c r="AA11" s="25">
        <v>4</v>
      </c>
      <c r="AB11" s="25">
        <v>4</v>
      </c>
      <c r="AC11" s="25">
        <v>4</v>
      </c>
      <c r="AD11" s="25">
        <v>4</v>
      </c>
      <c r="AE11" s="25">
        <v>4</v>
      </c>
      <c r="AF11" s="25">
        <v>4</v>
      </c>
      <c r="AG11" s="25">
        <v>4</v>
      </c>
      <c r="AH11" s="25">
        <v>4</v>
      </c>
      <c r="AI11" s="25">
        <v>4</v>
      </c>
      <c r="AJ11" s="25">
        <v>4</v>
      </c>
      <c r="AK11" s="25">
        <v>4</v>
      </c>
      <c r="AN11" s="4"/>
      <c r="AO11" s="305"/>
      <c r="AP11" s="305"/>
      <c r="AQ11" s="305"/>
      <c r="AR11" s="305"/>
      <c r="AS11" s="305"/>
      <c r="AT11" s="305"/>
      <c r="AU11" s="305"/>
      <c r="AV11" s="305"/>
      <c r="AW11" s="305"/>
      <c r="AX11" s="305"/>
      <c r="AY11" s="305"/>
      <c r="AZ11" s="4"/>
      <c r="BA11" s="305"/>
      <c r="BB11" s="305"/>
      <c r="BC11" s="305"/>
      <c r="BD11" s="305"/>
      <c r="BE11" s="305"/>
      <c r="BF11" s="305"/>
      <c r="BG11" s="305"/>
      <c r="BH11" s="305"/>
      <c r="BI11" s="305"/>
      <c r="BJ11" s="305"/>
      <c r="BK11" s="305"/>
      <c r="BL11" s="305"/>
      <c r="BM11" s="305"/>
      <c r="BN11" s="305"/>
      <c r="BO11" s="305"/>
      <c r="BP11" s="305"/>
      <c r="BQ11" s="305"/>
      <c r="BR11" s="305"/>
      <c r="BS11" s="305"/>
      <c r="BT11" s="305"/>
      <c r="BU11" s="305"/>
      <c r="BV11" s="305"/>
      <c r="BW11" s="305"/>
      <c r="BX11" s="305"/>
      <c r="BY11" s="305"/>
      <c r="BZ11" s="305"/>
      <c r="CA11" s="305"/>
      <c r="CB11" s="305"/>
      <c r="CC11" s="305"/>
      <c r="CD11" s="305"/>
      <c r="CE11" s="305"/>
      <c r="CF11" s="305"/>
      <c r="CG11" s="305"/>
      <c r="CH11" s="4"/>
    </row>
    <row r="12" spans="1:86" s="7" customFormat="1" ht="10.5" hidden="1" customHeight="1" x14ac:dyDescent="0.2">
      <c r="A12" s="564"/>
      <c r="H12" s="25">
        <v>1</v>
      </c>
      <c r="I12" s="25">
        <v>2</v>
      </c>
      <c r="J12" s="25">
        <v>3</v>
      </c>
      <c r="K12" s="25">
        <v>4</v>
      </c>
      <c r="L12" s="25">
        <v>5</v>
      </c>
      <c r="M12" s="25">
        <v>6</v>
      </c>
      <c r="N12" s="25">
        <v>7</v>
      </c>
      <c r="O12" s="25">
        <v>8</v>
      </c>
      <c r="P12" s="25">
        <v>9</v>
      </c>
      <c r="Q12" s="25">
        <v>10</v>
      </c>
      <c r="R12" s="25">
        <v>11</v>
      </c>
      <c r="S12" s="25">
        <v>12</v>
      </c>
      <c r="T12" s="25">
        <v>13</v>
      </c>
      <c r="U12" s="25">
        <v>14</v>
      </c>
      <c r="V12" s="25">
        <v>15</v>
      </c>
      <c r="W12" s="25">
        <v>1</v>
      </c>
      <c r="X12" s="25">
        <v>2</v>
      </c>
      <c r="Y12" s="25">
        <v>3</v>
      </c>
      <c r="Z12" s="25">
        <v>4</v>
      </c>
      <c r="AA12" s="25">
        <v>5</v>
      </c>
      <c r="AB12" s="25">
        <v>6</v>
      </c>
      <c r="AC12" s="25">
        <v>7</v>
      </c>
      <c r="AD12" s="25">
        <v>8</v>
      </c>
      <c r="AE12" s="25">
        <v>9</v>
      </c>
      <c r="AF12" s="25">
        <v>10</v>
      </c>
      <c r="AG12" s="25">
        <v>11</v>
      </c>
      <c r="AH12" s="25">
        <v>12</v>
      </c>
      <c r="AI12" s="25">
        <v>13</v>
      </c>
      <c r="AJ12" s="25">
        <v>14</v>
      </c>
      <c r="AK12" s="25">
        <v>15</v>
      </c>
      <c r="AN12" s="4"/>
      <c r="AO12" s="305"/>
      <c r="AP12" s="305"/>
      <c r="AQ12" s="305"/>
      <c r="AR12" s="305"/>
      <c r="AS12" s="305"/>
      <c r="AT12" s="305"/>
      <c r="AU12" s="305"/>
      <c r="AV12" s="305"/>
      <c r="AW12" s="305"/>
      <c r="AX12" s="305"/>
      <c r="AY12" s="305"/>
      <c r="AZ12" s="4"/>
      <c r="BA12" s="305"/>
      <c r="BB12" s="305"/>
      <c r="BC12" s="305"/>
      <c r="BD12" s="305"/>
      <c r="BE12" s="305"/>
      <c r="BF12" s="305"/>
      <c r="BG12" s="305"/>
      <c r="BH12" s="305"/>
      <c r="BI12" s="305"/>
      <c r="BJ12" s="305"/>
      <c r="BK12" s="305"/>
      <c r="BL12" s="305"/>
      <c r="BM12" s="305"/>
      <c r="BN12" s="305"/>
      <c r="BO12" s="305"/>
      <c r="BP12" s="305"/>
      <c r="BQ12" s="305"/>
      <c r="BR12" s="305"/>
      <c r="BS12" s="305"/>
      <c r="BT12" s="305"/>
      <c r="BU12" s="305"/>
      <c r="BV12" s="305"/>
      <c r="BW12" s="305"/>
      <c r="BX12" s="305"/>
      <c r="BY12" s="305"/>
      <c r="BZ12" s="305"/>
      <c r="CA12" s="305"/>
      <c r="CB12" s="305"/>
      <c r="CC12" s="305"/>
      <c r="CD12" s="305"/>
      <c r="CE12" s="305"/>
      <c r="CF12" s="305"/>
      <c r="CG12" s="305"/>
      <c r="CH12" s="4"/>
    </row>
    <row r="13" spans="1:86" s="7" customFormat="1" ht="10.5" hidden="1" customHeight="1" x14ac:dyDescent="0.2">
      <c r="A13" s="564"/>
      <c r="H13" s="9" t="b">
        <f t="shared" ref="H13:AK13" si="3">INDEX(resztvevok,H12,H11)</f>
        <v>1</v>
      </c>
      <c r="I13" s="9" t="b">
        <f t="shared" si="3"/>
        <v>1</v>
      </c>
      <c r="J13" s="9" t="b">
        <f t="shared" si="3"/>
        <v>1</v>
      </c>
      <c r="K13" s="9" t="b">
        <f t="shared" si="3"/>
        <v>1</v>
      </c>
      <c r="L13" s="9" t="b">
        <f t="shared" si="3"/>
        <v>1</v>
      </c>
      <c r="M13" s="9" t="b">
        <f t="shared" si="3"/>
        <v>1</v>
      </c>
      <c r="N13" s="9" t="b">
        <f t="shared" si="3"/>
        <v>1</v>
      </c>
      <c r="O13" s="9" t="b">
        <f t="shared" si="3"/>
        <v>1</v>
      </c>
      <c r="P13" s="9" t="b">
        <f t="shared" si="3"/>
        <v>1</v>
      </c>
      <c r="Q13" s="9" t="b">
        <f t="shared" si="3"/>
        <v>1</v>
      </c>
      <c r="R13" s="9" t="b">
        <f t="shared" si="3"/>
        <v>1</v>
      </c>
      <c r="S13" s="9" t="b">
        <f t="shared" si="3"/>
        <v>1</v>
      </c>
      <c r="T13" s="9" t="b">
        <f t="shared" si="3"/>
        <v>1</v>
      </c>
      <c r="U13" s="9" t="b">
        <f t="shared" si="3"/>
        <v>1</v>
      </c>
      <c r="V13" s="9" t="b">
        <f t="shared" si="3"/>
        <v>1</v>
      </c>
      <c r="W13" s="9" t="b">
        <f t="shared" si="3"/>
        <v>1</v>
      </c>
      <c r="X13" s="9" t="b">
        <f t="shared" si="3"/>
        <v>1</v>
      </c>
      <c r="Y13" s="9" t="b">
        <f t="shared" si="3"/>
        <v>1</v>
      </c>
      <c r="Z13" s="9" t="b">
        <f t="shared" si="3"/>
        <v>1</v>
      </c>
      <c r="AA13" s="9" t="b">
        <f t="shared" si="3"/>
        <v>1</v>
      </c>
      <c r="AB13" s="9" t="b">
        <f t="shared" si="3"/>
        <v>1</v>
      </c>
      <c r="AC13" s="9" t="b">
        <f t="shared" si="3"/>
        <v>1</v>
      </c>
      <c r="AD13" s="9" t="b">
        <f t="shared" si="3"/>
        <v>1</v>
      </c>
      <c r="AE13" s="9" t="b">
        <f t="shared" si="3"/>
        <v>0</v>
      </c>
      <c r="AF13" s="9" t="b">
        <f t="shared" si="3"/>
        <v>0</v>
      </c>
      <c r="AG13" s="9" t="b">
        <f t="shared" si="3"/>
        <v>0</v>
      </c>
      <c r="AH13" s="9" t="b">
        <f t="shared" si="3"/>
        <v>0</v>
      </c>
      <c r="AI13" s="9" t="b">
        <f t="shared" si="3"/>
        <v>0</v>
      </c>
      <c r="AJ13" s="9" t="b">
        <f t="shared" si="3"/>
        <v>0</v>
      </c>
      <c r="AK13" s="9" t="b">
        <f t="shared" si="3"/>
        <v>0</v>
      </c>
      <c r="AN13" s="4"/>
      <c r="AO13" s="305"/>
      <c r="AP13" s="305"/>
      <c r="AQ13" s="305"/>
      <c r="AR13" s="305"/>
      <c r="AS13" s="305"/>
      <c r="AT13" s="305"/>
      <c r="AU13" s="305"/>
      <c r="AV13" s="305"/>
      <c r="AW13" s="305"/>
      <c r="AX13" s="305"/>
      <c r="AY13" s="305"/>
      <c r="AZ13" s="4"/>
      <c r="BA13" s="305"/>
      <c r="BB13" s="305"/>
      <c r="BC13" s="305"/>
      <c r="BD13" s="305"/>
      <c r="BE13" s="305"/>
      <c r="BF13" s="305"/>
      <c r="BG13" s="305"/>
      <c r="BH13" s="305"/>
      <c r="BI13" s="305"/>
      <c r="BJ13" s="305"/>
      <c r="BK13" s="305"/>
      <c r="BL13" s="305"/>
      <c r="BM13" s="305"/>
      <c r="BN13" s="305"/>
      <c r="BO13" s="305"/>
      <c r="BP13" s="305"/>
      <c r="BQ13" s="305"/>
      <c r="BR13" s="305"/>
      <c r="BS13" s="305"/>
      <c r="BT13" s="305"/>
      <c r="BU13" s="305"/>
      <c r="BV13" s="305"/>
      <c r="BW13" s="305"/>
      <c r="BX13" s="305"/>
      <c r="BY13" s="305"/>
      <c r="BZ13" s="305"/>
      <c r="CA13" s="305"/>
      <c r="CB13" s="305"/>
      <c r="CC13" s="305"/>
      <c r="CD13" s="305"/>
      <c r="CE13" s="305"/>
      <c r="CF13" s="305"/>
      <c r="CG13" s="305"/>
      <c r="CH13" s="4"/>
    </row>
    <row r="14" spans="1:86" s="7" customFormat="1" ht="10.5" hidden="1" customHeight="1" x14ac:dyDescent="0.2">
      <c r="A14" s="564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N14" s="4"/>
      <c r="AO14" s="305"/>
      <c r="AP14" s="305"/>
      <c r="AQ14" s="305"/>
      <c r="AR14" s="305"/>
      <c r="AS14" s="305"/>
      <c r="AT14" s="305"/>
      <c r="AU14" s="305"/>
      <c r="AV14" s="305"/>
      <c r="AW14" s="305"/>
      <c r="AX14" s="305"/>
      <c r="AY14" s="305"/>
      <c r="AZ14" s="4"/>
      <c r="BA14" s="305"/>
      <c r="BB14" s="305"/>
      <c r="BC14" s="305"/>
      <c r="BD14" s="305"/>
      <c r="BE14" s="305"/>
      <c r="BF14" s="305"/>
      <c r="BG14" s="305"/>
      <c r="BH14" s="305"/>
      <c r="BI14" s="305"/>
      <c r="BJ14" s="305"/>
      <c r="BK14" s="305"/>
      <c r="BL14" s="305"/>
      <c r="BM14" s="305"/>
      <c r="BN14" s="305"/>
      <c r="BO14" s="305"/>
      <c r="BP14" s="305"/>
      <c r="BQ14" s="305"/>
      <c r="BR14" s="305"/>
      <c r="BS14" s="305"/>
      <c r="BT14" s="305"/>
      <c r="BU14" s="305"/>
      <c r="BV14" s="305"/>
      <c r="BW14" s="305"/>
      <c r="BX14" s="305"/>
      <c r="BY14" s="305"/>
      <c r="BZ14" s="305"/>
      <c r="CA14" s="305"/>
      <c r="CB14" s="305"/>
      <c r="CC14" s="305"/>
      <c r="CD14" s="305"/>
      <c r="CE14" s="305"/>
      <c r="CF14" s="305"/>
      <c r="CG14" s="305"/>
      <c r="CH14" s="4"/>
    </row>
    <row r="15" spans="1:86" s="5" customFormat="1" ht="10.5" hidden="1" customHeight="1" thickBot="1" x14ac:dyDescent="0.25">
      <c r="A15" s="564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N15" s="4"/>
      <c r="AO15" s="390"/>
      <c r="AP15" s="390"/>
      <c r="AQ15" s="390"/>
      <c r="AR15" s="390"/>
      <c r="AS15" s="390"/>
      <c r="AT15" s="390"/>
      <c r="AU15" s="390"/>
      <c r="AV15" s="390"/>
      <c r="AW15" s="390"/>
      <c r="AX15" s="390"/>
      <c r="AY15" s="390"/>
      <c r="AZ15" s="4"/>
      <c r="BA15" s="305"/>
      <c r="BB15" s="305"/>
      <c r="BC15" s="305"/>
      <c r="BD15" s="305"/>
      <c r="BE15" s="305"/>
      <c r="BF15" s="305"/>
      <c r="BG15" s="305"/>
      <c r="BH15" s="305"/>
      <c r="BI15" s="305"/>
      <c r="BJ15" s="305"/>
      <c r="BK15" s="305"/>
      <c r="BL15" s="305"/>
      <c r="BM15" s="305"/>
      <c r="BN15" s="305"/>
      <c r="BO15" s="305"/>
      <c r="BP15" s="305"/>
      <c r="BQ15" s="305"/>
      <c r="BR15" s="305"/>
      <c r="BS15" s="305"/>
      <c r="BT15" s="305"/>
      <c r="BU15" s="305"/>
      <c r="BV15" s="305"/>
      <c r="BW15" s="305"/>
      <c r="BX15" s="305"/>
      <c r="BY15" s="305"/>
      <c r="BZ15" s="305"/>
      <c r="CA15" s="305"/>
      <c r="CB15" s="305"/>
      <c r="CC15" s="305"/>
      <c r="CD15" s="305"/>
      <c r="CE15" s="305"/>
      <c r="CF15" s="305"/>
      <c r="CG15" s="305"/>
      <c r="CH15" s="4"/>
    </row>
    <row r="16" spans="1:86" s="647" customFormat="1" ht="3" customHeight="1" x14ac:dyDescent="0.3">
      <c r="A16" s="649"/>
      <c r="I16" s="648"/>
      <c r="L16" s="648"/>
      <c r="O16" s="648"/>
      <c r="R16" s="648"/>
      <c r="U16" s="648"/>
      <c r="X16" s="648"/>
      <c r="AA16" s="648"/>
      <c r="AD16" s="648"/>
      <c r="AG16" s="648"/>
      <c r="AJ16" s="648"/>
      <c r="AN16" s="649"/>
      <c r="AO16" s="649"/>
      <c r="AP16" s="649"/>
      <c r="AQ16" s="649"/>
      <c r="AR16" s="649"/>
      <c r="AS16" s="649"/>
      <c r="AT16" s="649"/>
      <c r="AU16" s="649"/>
      <c r="AV16" s="649"/>
      <c r="AW16" s="649"/>
      <c r="AX16" s="649"/>
      <c r="AY16" s="649"/>
      <c r="AZ16" s="649"/>
      <c r="BA16" s="649"/>
      <c r="BB16" s="649"/>
      <c r="BC16" s="649"/>
      <c r="BD16" s="649"/>
      <c r="BE16" s="649"/>
      <c r="BF16" s="649"/>
      <c r="BG16" s="649"/>
      <c r="BH16" s="649"/>
      <c r="BI16" s="649"/>
      <c r="BJ16" s="649"/>
      <c r="BK16" s="649"/>
      <c r="BL16" s="649"/>
      <c r="BM16" s="649"/>
      <c r="BN16" s="649"/>
      <c r="BO16" s="649"/>
      <c r="BP16" s="649"/>
      <c r="BQ16" s="649"/>
      <c r="BR16" s="649"/>
      <c r="BS16" s="649"/>
      <c r="BT16" s="649"/>
      <c r="BU16" s="649"/>
      <c r="BV16" s="649"/>
      <c r="BW16" s="649"/>
      <c r="BX16" s="649"/>
      <c r="BY16" s="649"/>
      <c r="BZ16" s="649"/>
      <c r="CA16" s="649"/>
      <c r="CB16" s="649"/>
      <c r="CC16" s="649"/>
      <c r="CD16" s="649"/>
      <c r="CE16" s="649"/>
      <c r="CF16" s="649"/>
      <c r="CG16" s="649"/>
      <c r="CH16" s="649"/>
    </row>
    <row r="17" spans="1:86" ht="3.75" customHeight="1" x14ac:dyDescent="0.3">
      <c r="A17" s="765"/>
      <c r="AN17" s="5"/>
      <c r="AZ17" s="5"/>
      <c r="BA17" s="305"/>
      <c r="BB17" s="305"/>
      <c r="BC17" s="305"/>
      <c r="BZ17" s="305"/>
      <c r="CA17" s="305"/>
      <c r="CB17" s="305"/>
      <c r="CC17" s="305"/>
      <c r="CD17" s="305"/>
      <c r="CE17" s="305"/>
      <c r="CF17" s="305"/>
      <c r="CG17" s="305"/>
      <c r="CH17" s="5"/>
    </row>
    <row r="18" spans="1:86" ht="15" customHeight="1" x14ac:dyDescent="0.3">
      <c r="A18" s="765"/>
      <c r="D18" s="723" t="s">
        <v>795</v>
      </c>
      <c r="E18" s="12"/>
      <c r="F18" s="12"/>
      <c r="G18" s="12"/>
      <c r="H18" s="12"/>
      <c r="I18" s="13"/>
      <c r="J18" s="12"/>
      <c r="K18" s="12"/>
      <c r="L18" s="13"/>
      <c r="M18" s="12"/>
      <c r="N18" s="12"/>
      <c r="O18" s="13"/>
      <c r="P18" s="12"/>
      <c r="Q18" s="12"/>
      <c r="R18" s="13"/>
      <c r="S18" s="12"/>
      <c r="T18" s="12"/>
      <c r="W18" s="723" t="s">
        <v>1275</v>
      </c>
      <c r="X18" s="13"/>
      <c r="Y18" s="12"/>
      <c r="Z18" s="12"/>
      <c r="AA18" s="13"/>
      <c r="AB18" s="12"/>
      <c r="AC18" s="12"/>
      <c r="AD18" s="13"/>
      <c r="AE18" s="12"/>
      <c r="AF18" s="12"/>
      <c r="AG18" s="13"/>
      <c r="AH18" s="12"/>
      <c r="AI18" s="12"/>
      <c r="AJ18" s="13"/>
      <c r="AK18" s="12"/>
      <c r="AN18" s="5"/>
    </row>
    <row r="19" spans="1:86" ht="5.25" customHeight="1" x14ac:dyDescent="0.3">
      <c r="A19" s="765"/>
      <c r="D19" s="265"/>
      <c r="E19" s="15"/>
      <c r="F19" s="15"/>
      <c r="G19" s="15"/>
      <c r="H19" s="15"/>
      <c r="I19" s="16"/>
      <c r="J19" s="15"/>
      <c r="K19" s="15"/>
      <c r="L19" s="16"/>
      <c r="M19" s="15"/>
      <c r="N19" s="15"/>
      <c r="O19" s="16"/>
      <c r="P19" s="15"/>
      <c r="Q19" s="15"/>
      <c r="R19" s="16"/>
      <c r="S19" s="15"/>
      <c r="V19" s="265"/>
      <c r="W19" s="15"/>
      <c r="X19" s="16"/>
      <c r="Y19" s="15"/>
      <c r="Z19" s="15"/>
      <c r="AA19" s="16"/>
      <c r="AB19" s="15"/>
      <c r="AC19" s="15"/>
      <c r="AD19" s="16"/>
      <c r="AE19" s="15"/>
      <c r="AF19" s="15"/>
      <c r="AG19" s="16"/>
      <c r="AH19" s="15"/>
      <c r="AI19" s="15"/>
      <c r="AJ19" s="16"/>
      <c r="AK19" s="15"/>
      <c r="AN19" s="5"/>
    </row>
    <row r="20" spans="1:86" ht="13.5" customHeight="1" x14ac:dyDescent="0.3">
      <c r="A20" s="765"/>
      <c r="D20" s="271" t="s">
        <v>753</v>
      </c>
      <c r="E20" s="17"/>
      <c r="F20" s="17"/>
      <c r="G20" s="17"/>
      <c r="H20" s="17"/>
      <c r="I20" s="19"/>
      <c r="J20" s="269"/>
      <c r="K20" s="17"/>
      <c r="L20" s="19"/>
      <c r="M20" s="19"/>
      <c r="N20" s="17"/>
      <c r="O20" s="18"/>
      <c r="P20" s="19"/>
      <c r="Q20" s="17"/>
      <c r="R20" s="269"/>
      <c r="S20" s="268" t="s">
        <v>754</v>
      </c>
      <c r="T20" s="279">
        <v>10</v>
      </c>
      <c r="W20" s="267" t="s">
        <v>1276</v>
      </c>
      <c r="AA20" s="266" t="s">
        <v>762</v>
      </c>
      <c r="AE20" s="267" t="s">
        <v>1276</v>
      </c>
      <c r="AI20" s="266" t="s">
        <v>762</v>
      </c>
      <c r="AS20" s="528" t="b">
        <v>1</v>
      </c>
    </row>
    <row r="21" spans="1:86" ht="13.5" customHeight="1" x14ac:dyDescent="0.3">
      <c r="A21" s="765"/>
      <c r="D21" s="781" t="s">
        <v>755</v>
      </c>
      <c r="E21" s="781"/>
      <c r="F21" s="781"/>
      <c r="G21" s="781"/>
      <c r="H21" s="781"/>
      <c r="I21" s="781"/>
      <c r="J21" s="781"/>
      <c r="K21" s="781"/>
      <c r="L21" s="781"/>
      <c r="M21" s="781"/>
      <c r="N21" s="781"/>
      <c r="O21" s="781"/>
      <c r="P21" s="781"/>
      <c r="Q21" s="781"/>
      <c r="R21" s="781"/>
      <c r="S21" s="781"/>
      <c r="U21" s="10"/>
      <c r="W21" s="724"/>
      <c r="X21" s="727">
        <v>1</v>
      </c>
      <c r="Y21" s="779" t="s">
        <v>1872</v>
      </c>
      <c r="Z21" s="779"/>
      <c r="AA21" s="779"/>
      <c r="AB21" s="779"/>
      <c r="AC21" s="779"/>
      <c r="AD21" s="10"/>
      <c r="AE21" s="20"/>
      <c r="AF21" s="727">
        <v>16</v>
      </c>
      <c r="AG21" s="780" t="s">
        <v>1887</v>
      </c>
      <c r="AH21" s="780"/>
      <c r="AI21" s="780"/>
      <c r="AJ21" s="780"/>
      <c r="AK21" s="780"/>
      <c r="AS21" s="529"/>
      <c r="AU21" s="530" t="str">
        <f>IF(NOT(AW21),"",IF(Y21="",X21&amp;". JÁTÉKOS",Y21))</f>
        <v>Kovács Ferenc</v>
      </c>
      <c r="AV21" s="530" t="str">
        <f>IF(NOT(AX21),"",IF(AG21="",AF21&amp;". JÁTÉKOS",AG21))</f>
        <v>Sági Dávid</v>
      </c>
      <c r="AW21" s="528" t="b">
        <v>1</v>
      </c>
      <c r="AX21" s="528" t="b">
        <v>1</v>
      </c>
    </row>
    <row r="22" spans="1:86" ht="13.5" customHeight="1" x14ac:dyDescent="0.3">
      <c r="A22" s="765"/>
      <c r="D22" s="271" t="s">
        <v>796</v>
      </c>
      <c r="E22" s="17"/>
      <c r="F22" s="17"/>
      <c r="G22" s="17"/>
      <c r="H22" s="17"/>
      <c r="I22" s="19"/>
      <c r="J22" s="269"/>
      <c r="K22" s="17"/>
      <c r="L22" s="19"/>
      <c r="M22" s="19"/>
      <c r="N22" s="17"/>
      <c r="O22" s="18"/>
      <c r="P22" s="19"/>
      <c r="Q22" s="17"/>
      <c r="R22" s="269"/>
      <c r="S22" s="268" t="s">
        <v>754</v>
      </c>
      <c r="T22" s="279">
        <v>6</v>
      </c>
      <c r="U22" s="10"/>
      <c r="W22" s="725"/>
      <c r="X22" s="728">
        <v>2</v>
      </c>
      <c r="Y22" s="777" t="s">
        <v>1873</v>
      </c>
      <c r="Z22" s="777"/>
      <c r="AA22" s="777"/>
      <c r="AB22" s="777"/>
      <c r="AC22" s="777"/>
      <c r="AD22" s="10"/>
      <c r="AE22" s="20"/>
      <c r="AF22" s="728">
        <v>17</v>
      </c>
      <c r="AG22" s="773" t="s">
        <v>1888</v>
      </c>
      <c r="AH22" s="773"/>
      <c r="AI22" s="773"/>
      <c r="AJ22" s="773"/>
      <c r="AK22" s="773"/>
      <c r="AS22" s="528" t="b">
        <v>1</v>
      </c>
      <c r="AU22" s="530" t="str">
        <f t="shared" ref="AU22:AU35" si="4">IF(NOT(AW22),"",IF(Y22="",X22&amp;". JÁTÉKOS",Y22))</f>
        <v>Csomós László Richárd</v>
      </c>
      <c r="AV22" s="530" t="str">
        <f t="shared" ref="AV22:AV35" si="5">IF(NOT(AX22),"",IF(AG22="",AF22&amp;". JÁTÉKOS",AG22))</f>
        <v>Csontos József</v>
      </c>
      <c r="AW22" s="528" t="b">
        <v>1</v>
      </c>
      <c r="AX22" s="528" t="b">
        <v>1</v>
      </c>
    </row>
    <row r="23" spans="1:86" ht="13.5" customHeight="1" x14ac:dyDescent="0.3">
      <c r="A23" s="765"/>
      <c r="D23" s="781" t="s">
        <v>798</v>
      </c>
      <c r="E23" s="781"/>
      <c r="F23" s="781"/>
      <c r="G23" s="781"/>
      <c r="H23" s="781"/>
      <c r="I23" s="781"/>
      <c r="J23" s="781"/>
      <c r="K23" s="781"/>
      <c r="L23" s="781"/>
      <c r="M23" s="781"/>
      <c r="N23" s="781"/>
      <c r="O23" s="781"/>
      <c r="P23" s="781"/>
      <c r="Q23" s="781"/>
      <c r="R23" s="781"/>
      <c r="S23" s="781"/>
      <c r="U23" s="10"/>
      <c r="W23" s="725"/>
      <c r="X23" s="728">
        <v>3</v>
      </c>
      <c r="Y23" s="777" t="s">
        <v>1874</v>
      </c>
      <c r="Z23" s="777"/>
      <c r="AA23" s="777"/>
      <c r="AB23" s="777"/>
      <c r="AC23" s="777"/>
      <c r="AD23" s="10"/>
      <c r="AE23" s="20"/>
      <c r="AF23" s="728">
        <v>18</v>
      </c>
      <c r="AG23" s="773" t="s">
        <v>1889</v>
      </c>
      <c r="AH23" s="773"/>
      <c r="AI23" s="773"/>
      <c r="AJ23" s="773"/>
      <c r="AK23" s="773"/>
      <c r="AS23" s="529"/>
      <c r="AU23" s="530" t="str">
        <f t="shared" si="4"/>
        <v>Valisko Gerő</v>
      </c>
      <c r="AV23" s="530" t="str">
        <f t="shared" si="5"/>
        <v>Faragó István</v>
      </c>
      <c r="AW23" s="528" t="b">
        <v>1</v>
      </c>
      <c r="AX23" s="528" t="b">
        <v>1</v>
      </c>
    </row>
    <row r="24" spans="1:86" ht="13.5" customHeight="1" x14ac:dyDescent="0.3">
      <c r="A24" s="765"/>
      <c r="D24" s="271" t="s">
        <v>756</v>
      </c>
      <c r="E24" s="17"/>
      <c r="F24" s="17"/>
      <c r="G24" s="17"/>
      <c r="H24" s="17"/>
      <c r="I24" s="19"/>
      <c r="J24" s="269"/>
      <c r="K24" s="17"/>
      <c r="L24" s="19"/>
      <c r="M24" s="19"/>
      <c r="N24" s="17"/>
      <c r="O24" s="18"/>
      <c r="P24" s="19"/>
      <c r="Q24" s="17"/>
      <c r="R24" s="269"/>
      <c r="S24" s="268" t="s">
        <v>754</v>
      </c>
      <c r="T24" s="279">
        <v>4</v>
      </c>
      <c r="U24" s="10"/>
      <c r="W24" s="725"/>
      <c r="X24" s="728">
        <v>4</v>
      </c>
      <c r="Y24" s="777" t="s">
        <v>1875</v>
      </c>
      <c r="Z24" s="777"/>
      <c r="AA24" s="777"/>
      <c r="AB24" s="777"/>
      <c r="AC24" s="777"/>
      <c r="AD24" s="10"/>
      <c r="AE24" s="20"/>
      <c r="AF24" s="728">
        <v>19</v>
      </c>
      <c r="AG24" s="773" t="s">
        <v>1892</v>
      </c>
      <c r="AH24" s="773"/>
      <c r="AI24" s="773"/>
      <c r="AJ24" s="773"/>
      <c r="AK24" s="773"/>
      <c r="AS24" s="528" t="b">
        <v>1</v>
      </c>
      <c r="AU24" s="530" t="str">
        <f t="shared" si="4"/>
        <v>Nagy Norbert</v>
      </c>
      <c r="AV24" s="530" t="str">
        <f t="shared" si="5"/>
        <v>Vincze Dávid</v>
      </c>
      <c r="AW24" s="528" t="b">
        <v>1</v>
      </c>
      <c r="AX24" s="528" t="b">
        <v>1</v>
      </c>
    </row>
    <row r="25" spans="1:86" ht="13.5" customHeight="1" x14ac:dyDescent="0.3">
      <c r="A25" s="765"/>
      <c r="D25" s="781" t="s">
        <v>757</v>
      </c>
      <c r="E25" s="781"/>
      <c r="F25" s="781"/>
      <c r="G25" s="781"/>
      <c r="H25" s="781"/>
      <c r="I25" s="781"/>
      <c r="J25" s="781"/>
      <c r="K25" s="781"/>
      <c r="L25" s="781"/>
      <c r="M25" s="781"/>
      <c r="N25" s="781"/>
      <c r="O25" s="781"/>
      <c r="P25" s="781"/>
      <c r="Q25" s="781"/>
      <c r="R25" s="781"/>
      <c r="S25" s="781"/>
      <c r="U25" s="10"/>
      <c r="W25" s="725"/>
      <c r="X25" s="728">
        <v>5</v>
      </c>
      <c r="Y25" s="777" t="s">
        <v>1876</v>
      </c>
      <c r="Z25" s="777"/>
      <c r="AA25" s="777"/>
      <c r="AB25" s="777"/>
      <c r="AC25" s="777"/>
      <c r="AD25" s="10"/>
      <c r="AE25" s="20"/>
      <c r="AF25" s="728">
        <v>20</v>
      </c>
      <c r="AG25" s="773" t="s">
        <v>1893</v>
      </c>
      <c r="AH25" s="773"/>
      <c r="AI25" s="773"/>
      <c r="AJ25" s="773"/>
      <c r="AK25" s="773"/>
      <c r="AS25" s="529"/>
      <c r="AU25" s="530" t="str">
        <f t="shared" si="4"/>
        <v>Sőregi Bálint</v>
      </c>
      <c r="AV25" s="530" t="str">
        <f t="shared" si="5"/>
        <v>Suvada László</v>
      </c>
      <c r="AW25" s="528" t="b">
        <v>1</v>
      </c>
      <c r="AX25" s="528" t="b">
        <v>1</v>
      </c>
    </row>
    <row r="26" spans="1:86" ht="13.5" customHeight="1" x14ac:dyDescent="0.3">
      <c r="A26" s="765"/>
      <c r="D26" s="271" t="s">
        <v>758</v>
      </c>
      <c r="E26" s="17"/>
      <c r="F26" s="17"/>
      <c r="G26" s="17"/>
      <c r="H26" s="17"/>
      <c r="I26" s="19"/>
      <c r="J26" s="269"/>
      <c r="K26" s="17"/>
      <c r="L26" s="19"/>
      <c r="M26" s="19"/>
      <c r="N26" s="17"/>
      <c r="O26" s="18"/>
      <c r="P26" s="19"/>
      <c r="Q26" s="17"/>
      <c r="R26" s="269"/>
      <c r="S26" s="268" t="s">
        <v>754</v>
      </c>
      <c r="T26" s="279">
        <v>3</v>
      </c>
      <c r="U26" s="10"/>
      <c r="W26" s="725"/>
      <c r="X26" s="728">
        <v>6</v>
      </c>
      <c r="Y26" s="777" t="s">
        <v>1877</v>
      </c>
      <c r="Z26" s="777"/>
      <c r="AA26" s="777"/>
      <c r="AB26" s="777"/>
      <c r="AC26" s="777"/>
      <c r="AD26" s="10"/>
      <c r="AE26" s="20"/>
      <c r="AF26" s="728">
        <v>21</v>
      </c>
      <c r="AG26" s="773" t="s">
        <v>1890</v>
      </c>
      <c r="AH26" s="773"/>
      <c r="AI26" s="773"/>
      <c r="AJ26" s="773"/>
      <c r="AK26" s="773"/>
      <c r="AS26" s="528" t="b">
        <v>1</v>
      </c>
      <c r="AU26" s="530" t="str">
        <f t="shared" si="4"/>
        <v>Nagy Ádám</v>
      </c>
      <c r="AV26" s="530" t="str">
        <f t="shared" si="5"/>
        <v>Csáki Levente</v>
      </c>
      <c r="AW26" s="528" t="b">
        <v>1</v>
      </c>
      <c r="AX26" s="528" t="b">
        <v>1</v>
      </c>
    </row>
    <row r="27" spans="1:86" ht="13.5" customHeight="1" x14ac:dyDescent="0.3">
      <c r="A27" s="765"/>
      <c r="D27" s="781" t="s">
        <v>759</v>
      </c>
      <c r="E27" s="781"/>
      <c r="F27" s="781"/>
      <c r="G27" s="781"/>
      <c r="H27" s="781"/>
      <c r="I27" s="781"/>
      <c r="J27" s="781"/>
      <c r="K27" s="781"/>
      <c r="L27" s="781"/>
      <c r="M27" s="781"/>
      <c r="N27" s="781"/>
      <c r="O27" s="781"/>
      <c r="P27" s="781"/>
      <c r="Q27" s="781"/>
      <c r="R27" s="781"/>
      <c r="S27" s="781"/>
      <c r="U27" s="10"/>
      <c r="W27" s="725"/>
      <c r="X27" s="728">
        <v>7</v>
      </c>
      <c r="Y27" s="777" t="s">
        <v>1878</v>
      </c>
      <c r="Z27" s="777"/>
      <c r="AA27" s="777"/>
      <c r="AB27" s="777"/>
      <c r="AC27" s="777"/>
      <c r="AD27" s="10"/>
      <c r="AE27" s="20"/>
      <c r="AF27" s="728">
        <v>22</v>
      </c>
      <c r="AG27" s="773" t="s">
        <v>1891</v>
      </c>
      <c r="AH27" s="773"/>
      <c r="AI27" s="773"/>
      <c r="AJ27" s="773"/>
      <c r="AK27" s="773"/>
      <c r="AS27" s="529"/>
      <c r="AU27" s="530" t="str">
        <f t="shared" si="4"/>
        <v>Dósa Róbert</v>
      </c>
      <c r="AV27" s="530" t="str">
        <f t="shared" si="5"/>
        <v>Kerepesi Zsolt</v>
      </c>
      <c r="AW27" s="528" t="b">
        <v>1</v>
      </c>
      <c r="AX27" s="528" t="b">
        <v>1</v>
      </c>
    </row>
    <row r="28" spans="1:86" ht="13.5" customHeight="1" x14ac:dyDescent="0.3">
      <c r="A28" s="765"/>
      <c r="D28" s="271" t="s">
        <v>760</v>
      </c>
      <c r="E28" s="17"/>
      <c r="F28" s="17"/>
      <c r="G28" s="17"/>
      <c r="H28" s="17"/>
      <c r="I28" s="19"/>
      <c r="J28" s="269"/>
      <c r="K28" s="17"/>
      <c r="L28" s="19"/>
      <c r="M28" s="19"/>
      <c r="N28" s="17"/>
      <c r="O28" s="18"/>
      <c r="P28" s="19"/>
      <c r="Q28" s="17"/>
      <c r="R28" s="269"/>
      <c r="S28" s="268" t="s">
        <v>754</v>
      </c>
      <c r="T28" s="279">
        <v>2</v>
      </c>
      <c r="U28" s="10"/>
      <c r="W28" s="725"/>
      <c r="X28" s="728">
        <v>8</v>
      </c>
      <c r="Y28" s="777" t="s">
        <v>1879</v>
      </c>
      <c r="Z28" s="777"/>
      <c r="AA28" s="777"/>
      <c r="AB28" s="777"/>
      <c r="AC28" s="777"/>
      <c r="AD28" s="10"/>
      <c r="AE28" s="20"/>
      <c r="AF28" s="728">
        <v>23</v>
      </c>
      <c r="AG28" s="773" t="s">
        <v>1894</v>
      </c>
      <c r="AH28" s="773"/>
      <c r="AI28" s="773"/>
      <c r="AJ28" s="773"/>
      <c r="AK28" s="773"/>
      <c r="AS28" s="528" t="b">
        <v>1</v>
      </c>
      <c r="AU28" s="530" t="str">
        <f t="shared" si="4"/>
        <v>Szabó Erika</v>
      </c>
      <c r="AV28" s="530" t="str">
        <f t="shared" si="5"/>
        <v>Szabó Gábor</v>
      </c>
      <c r="AW28" s="528" t="b">
        <v>1</v>
      </c>
      <c r="AX28" s="528" t="b">
        <v>1</v>
      </c>
    </row>
    <row r="29" spans="1:86" ht="13.5" customHeight="1" x14ac:dyDescent="0.3">
      <c r="A29" s="765"/>
      <c r="D29" s="781" t="s">
        <v>761</v>
      </c>
      <c r="E29" s="781"/>
      <c r="F29" s="781"/>
      <c r="G29" s="781"/>
      <c r="H29" s="781"/>
      <c r="I29" s="781"/>
      <c r="J29" s="781"/>
      <c r="K29" s="781"/>
      <c r="L29" s="781"/>
      <c r="M29" s="781"/>
      <c r="N29" s="781"/>
      <c r="O29" s="781"/>
      <c r="P29" s="781"/>
      <c r="Q29" s="781"/>
      <c r="R29" s="781"/>
      <c r="S29" s="781"/>
      <c r="U29" s="10"/>
      <c r="W29" s="725"/>
      <c r="X29" s="728">
        <v>9</v>
      </c>
      <c r="Y29" s="777" t="s">
        <v>1880</v>
      </c>
      <c r="Z29" s="777"/>
      <c r="AA29" s="777"/>
      <c r="AB29" s="777"/>
      <c r="AC29" s="777"/>
      <c r="AD29" s="10"/>
      <c r="AE29" s="20"/>
      <c r="AF29" s="728">
        <v>24</v>
      </c>
      <c r="AG29" s="773"/>
      <c r="AH29" s="773"/>
      <c r="AI29" s="773"/>
      <c r="AJ29" s="773"/>
      <c r="AK29" s="773"/>
      <c r="AS29" s="529"/>
      <c r="AU29" s="530" t="str">
        <f t="shared" si="4"/>
        <v>Nagy Zsolt</v>
      </c>
      <c r="AV29" s="530" t="str">
        <f t="shared" si="5"/>
        <v/>
      </c>
      <c r="AW29" s="528" t="b">
        <v>1</v>
      </c>
      <c r="AX29" s="528" t="b">
        <v>0</v>
      </c>
    </row>
    <row r="30" spans="1:86" ht="13.5" customHeight="1" x14ac:dyDescent="0.3">
      <c r="A30" s="765"/>
      <c r="D30" s="271" t="s">
        <v>797</v>
      </c>
      <c r="E30" s="17"/>
      <c r="F30" s="17"/>
      <c r="G30" s="17"/>
      <c r="H30" s="17"/>
      <c r="I30" s="19"/>
      <c r="J30" s="269"/>
      <c r="K30" s="17"/>
      <c r="L30" s="19"/>
      <c r="M30" s="19"/>
      <c r="N30" s="17"/>
      <c r="O30" s="18"/>
      <c r="P30" s="19"/>
      <c r="Q30" s="17"/>
      <c r="R30" s="269"/>
      <c r="S30" s="268" t="s">
        <v>754</v>
      </c>
      <c r="T30" s="279">
        <v>1</v>
      </c>
      <c r="U30" s="10"/>
      <c r="W30" s="725"/>
      <c r="X30" s="728">
        <v>10</v>
      </c>
      <c r="Y30" s="777" t="s">
        <v>1881</v>
      </c>
      <c r="Z30" s="777"/>
      <c r="AA30" s="777"/>
      <c r="AB30" s="777"/>
      <c r="AC30" s="777"/>
      <c r="AD30" s="10"/>
      <c r="AE30" s="20"/>
      <c r="AF30" s="728">
        <v>25</v>
      </c>
      <c r="AG30" s="773"/>
      <c r="AH30" s="773"/>
      <c r="AI30" s="773"/>
      <c r="AJ30" s="773"/>
      <c r="AK30" s="773"/>
      <c r="AS30" s="528" t="b">
        <v>1</v>
      </c>
      <c r="AU30" s="530" t="str">
        <f t="shared" si="4"/>
        <v>Kácsor Béla</v>
      </c>
      <c r="AV30" s="530" t="str">
        <f t="shared" si="5"/>
        <v/>
      </c>
      <c r="AW30" s="528" t="b">
        <v>1</v>
      </c>
      <c r="AX30" s="528" t="b">
        <v>0</v>
      </c>
    </row>
    <row r="31" spans="1:86" ht="13.5" customHeight="1" x14ac:dyDescent="0.3">
      <c r="A31" s="765"/>
      <c r="D31" s="783" t="s">
        <v>574</v>
      </c>
      <c r="E31" s="783"/>
      <c r="F31" s="783"/>
      <c r="G31" s="783"/>
      <c r="H31" s="783"/>
      <c r="I31" s="783"/>
      <c r="J31" s="783"/>
      <c r="K31" s="783"/>
      <c r="L31" s="783"/>
      <c r="M31" s="783"/>
      <c r="N31" s="783"/>
      <c r="O31" s="783"/>
      <c r="P31" s="783"/>
      <c r="Q31" s="783"/>
      <c r="R31" s="783"/>
      <c r="S31" s="783"/>
      <c r="T31" s="783"/>
      <c r="V31" s="11"/>
      <c r="W31" s="725"/>
      <c r="X31" s="728">
        <v>11</v>
      </c>
      <c r="Y31" s="777" t="s">
        <v>1882</v>
      </c>
      <c r="Z31" s="777"/>
      <c r="AA31" s="777"/>
      <c r="AB31" s="777"/>
      <c r="AC31" s="777"/>
      <c r="AE31" s="20"/>
      <c r="AF31" s="728">
        <v>26</v>
      </c>
      <c r="AG31" s="773"/>
      <c r="AH31" s="773"/>
      <c r="AI31" s="773"/>
      <c r="AJ31" s="773"/>
      <c r="AK31" s="773"/>
      <c r="AL31" s="11"/>
      <c r="AM31" s="11"/>
      <c r="AS31" s="529"/>
      <c r="AU31" s="530" t="str">
        <f t="shared" si="4"/>
        <v>Takó Norbert</v>
      </c>
      <c r="AV31" s="530" t="str">
        <f t="shared" si="5"/>
        <v/>
      </c>
      <c r="AW31" s="528" t="b">
        <v>1</v>
      </c>
      <c r="AX31" s="528" t="b">
        <v>0</v>
      </c>
    </row>
    <row r="32" spans="1:86" ht="13.5" customHeight="1" x14ac:dyDescent="0.3">
      <c r="A32" s="765"/>
      <c r="D32" s="278" t="s">
        <v>763</v>
      </c>
      <c r="E32" s="17"/>
      <c r="F32" s="17"/>
      <c r="G32" s="17"/>
      <c r="H32" s="17"/>
      <c r="I32" s="19"/>
      <c r="J32" s="269"/>
      <c r="K32" s="17"/>
      <c r="L32" s="19"/>
      <c r="M32" s="17"/>
      <c r="O32" s="272"/>
      <c r="P32" s="273" t="s">
        <v>1277</v>
      </c>
      <c r="Q32" s="274"/>
      <c r="R32" s="275"/>
      <c r="S32" s="276"/>
      <c r="T32" s="277"/>
      <c r="U32" s="24"/>
      <c r="V32" s="24"/>
      <c r="W32" s="725"/>
      <c r="X32" s="728">
        <v>12</v>
      </c>
      <c r="Y32" s="777" t="s">
        <v>1883</v>
      </c>
      <c r="Z32" s="777"/>
      <c r="AA32" s="777"/>
      <c r="AB32" s="777"/>
      <c r="AC32" s="777"/>
      <c r="AD32" s="24"/>
      <c r="AE32" s="20"/>
      <c r="AF32" s="728">
        <v>27</v>
      </c>
      <c r="AG32" s="773"/>
      <c r="AH32" s="773"/>
      <c r="AI32" s="773"/>
      <c r="AJ32" s="773"/>
      <c r="AK32" s="773"/>
      <c r="AL32" s="24"/>
      <c r="AM32" s="24"/>
      <c r="AS32" s="528" t="b">
        <v>1</v>
      </c>
      <c r="AU32" s="530" t="str">
        <f t="shared" si="4"/>
        <v>Kozma Béla</v>
      </c>
      <c r="AV32" s="530" t="str">
        <f t="shared" si="5"/>
        <v/>
      </c>
      <c r="AW32" s="528" t="b">
        <v>1</v>
      </c>
      <c r="AX32" s="528" t="b">
        <v>0</v>
      </c>
    </row>
    <row r="33" spans="1:71" ht="13.5" customHeight="1" x14ac:dyDescent="0.3">
      <c r="A33" s="765"/>
      <c r="D33" s="789" t="s">
        <v>1320</v>
      </c>
      <c r="E33" s="789"/>
      <c r="F33" s="789"/>
      <c r="G33" s="789"/>
      <c r="H33" s="789"/>
      <c r="I33" s="789"/>
      <c r="J33" s="789"/>
      <c r="K33" s="789"/>
      <c r="L33" s="789"/>
      <c r="M33" s="789"/>
      <c r="N33" s="789"/>
      <c r="O33" s="789"/>
      <c r="P33" s="789"/>
      <c r="Q33" s="789"/>
      <c r="R33" s="789"/>
      <c r="S33" s="789"/>
      <c r="T33" s="789"/>
      <c r="U33" s="24"/>
      <c r="V33" s="24"/>
      <c r="W33" s="725"/>
      <c r="X33" s="728">
        <v>13</v>
      </c>
      <c r="Y33" s="777" t="s">
        <v>1884</v>
      </c>
      <c r="Z33" s="777"/>
      <c r="AA33" s="777"/>
      <c r="AB33" s="777"/>
      <c r="AC33" s="777"/>
      <c r="AD33" s="24"/>
      <c r="AE33" s="20"/>
      <c r="AF33" s="728">
        <v>28</v>
      </c>
      <c r="AG33" s="773"/>
      <c r="AH33" s="773"/>
      <c r="AI33" s="773"/>
      <c r="AJ33" s="773"/>
      <c r="AK33" s="773"/>
      <c r="AL33" s="24"/>
      <c r="AM33" s="24"/>
      <c r="AU33" s="530" t="str">
        <f t="shared" si="4"/>
        <v>Horváth Csaba</v>
      </c>
      <c r="AV33" s="530" t="str">
        <f t="shared" si="5"/>
        <v/>
      </c>
      <c r="AW33" s="528" t="b">
        <v>1</v>
      </c>
      <c r="AX33" s="528" t="b">
        <v>0</v>
      </c>
    </row>
    <row r="34" spans="1:71" ht="13.5" customHeight="1" x14ac:dyDescent="0.3">
      <c r="A34" s="765"/>
      <c r="D34" s="790"/>
      <c r="E34" s="790"/>
      <c r="F34" s="790"/>
      <c r="G34" s="790"/>
      <c r="H34" s="790"/>
      <c r="I34" s="790"/>
      <c r="J34" s="790"/>
      <c r="K34" s="790"/>
      <c r="L34" s="790"/>
      <c r="M34" s="790"/>
      <c r="N34" s="790"/>
      <c r="O34" s="790"/>
      <c r="P34" s="790"/>
      <c r="Q34" s="790"/>
      <c r="R34" s="790"/>
      <c r="S34" s="790"/>
      <c r="T34" s="790"/>
      <c r="U34" s="24"/>
      <c r="V34" s="24"/>
      <c r="W34" s="725"/>
      <c r="X34" s="728">
        <v>14</v>
      </c>
      <c r="Y34" s="777" t="s">
        <v>1885</v>
      </c>
      <c r="Z34" s="777"/>
      <c r="AA34" s="777"/>
      <c r="AB34" s="777"/>
      <c r="AC34" s="777"/>
      <c r="AD34" s="24"/>
      <c r="AE34" s="20"/>
      <c r="AF34" s="728">
        <v>29</v>
      </c>
      <c r="AG34" s="773"/>
      <c r="AH34" s="773"/>
      <c r="AI34" s="773"/>
      <c r="AJ34" s="773"/>
      <c r="AK34" s="773"/>
      <c r="AL34" s="24"/>
      <c r="AM34" s="24"/>
      <c r="AU34" s="530" t="str">
        <f t="shared" si="4"/>
        <v>Kállai Gábor</v>
      </c>
      <c r="AV34" s="530" t="str">
        <f t="shared" si="5"/>
        <v/>
      </c>
      <c r="AW34" s="528" t="b">
        <v>1</v>
      </c>
      <c r="AX34" s="528" t="b">
        <v>0</v>
      </c>
    </row>
    <row r="35" spans="1:71" ht="13.5" customHeight="1" x14ac:dyDescent="0.3">
      <c r="A35" s="765"/>
      <c r="D35" s="790"/>
      <c r="E35" s="790"/>
      <c r="F35" s="790"/>
      <c r="G35" s="790"/>
      <c r="H35" s="790"/>
      <c r="I35" s="790"/>
      <c r="J35" s="790"/>
      <c r="K35" s="790"/>
      <c r="L35" s="790"/>
      <c r="M35" s="790"/>
      <c r="N35" s="790"/>
      <c r="O35" s="790"/>
      <c r="P35" s="790"/>
      <c r="Q35" s="790"/>
      <c r="R35" s="790"/>
      <c r="S35" s="790"/>
      <c r="T35" s="790"/>
      <c r="V35" s="11"/>
      <c r="W35" s="726"/>
      <c r="X35" s="728">
        <v>15</v>
      </c>
      <c r="Y35" s="777" t="s">
        <v>1886</v>
      </c>
      <c r="Z35" s="777"/>
      <c r="AA35" s="777"/>
      <c r="AB35" s="777"/>
      <c r="AC35" s="777"/>
      <c r="AE35" s="20"/>
      <c r="AF35" s="728">
        <v>30</v>
      </c>
      <c r="AG35" s="773"/>
      <c r="AH35" s="773"/>
      <c r="AI35" s="773"/>
      <c r="AJ35" s="773"/>
      <c r="AK35" s="773"/>
      <c r="AL35" s="11"/>
      <c r="AM35" s="11"/>
      <c r="AU35" s="530" t="str">
        <f t="shared" si="4"/>
        <v>Kaszab Márk</v>
      </c>
      <c r="AV35" s="530" t="str">
        <f t="shared" si="5"/>
        <v/>
      </c>
      <c r="AW35" s="528" t="b">
        <v>1</v>
      </c>
      <c r="AX35" s="528" t="b">
        <v>0</v>
      </c>
      <c r="BN35" s="315"/>
      <c r="BO35" s="315"/>
      <c r="BP35" s="315"/>
      <c r="BQ35" s="315"/>
      <c r="BR35" s="315"/>
      <c r="BS35" s="315"/>
    </row>
    <row r="36" spans="1:71" ht="13.5" customHeight="1" x14ac:dyDescent="0.3">
      <c r="A36" s="765"/>
      <c r="D36" s="790"/>
      <c r="E36" s="790"/>
      <c r="F36" s="790"/>
      <c r="G36" s="790"/>
      <c r="H36" s="790"/>
      <c r="I36" s="790"/>
      <c r="J36" s="790"/>
      <c r="K36" s="790"/>
      <c r="L36" s="790"/>
      <c r="M36" s="790"/>
      <c r="N36" s="790"/>
      <c r="O36" s="790"/>
      <c r="P36" s="790"/>
      <c r="Q36" s="790"/>
      <c r="R36" s="790"/>
      <c r="S36" s="790"/>
      <c r="T36" s="790"/>
      <c r="U36" s="24"/>
      <c r="V36" s="24"/>
      <c r="X36" s="10"/>
      <c r="AA36" s="10"/>
      <c r="AD36" s="10"/>
      <c r="AG36" s="24"/>
      <c r="AH36" s="24"/>
      <c r="AI36" s="24"/>
      <c r="AJ36" s="24"/>
      <c r="AK36" s="24"/>
      <c r="AL36" s="24"/>
      <c r="AM36" s="24"/>
      <c r="AT36" s="531"/>
      <c r="AU36" s="531"/>
      <c r="AV36" s="531"/>
      <c r="AW36" s="531"/>
      <c r="BN36" s="315"/>
      <c r="BO36" s="315"/>
      <c r="BP36" s="315"/>
      <c r="BQ36" s="315"/>
      <c r="BR36" s="315"/>
      <c r="BS36" s="315"/>
    </row>
    <row r="37" spans="1:71" ht="13.5" customHeight="1" x14ac:dyDescent="0.3">
      <c r="A37" s="765"/>
      <c r="U37" s="24"/>
      <c r="V37" s="24"/>
      <c r="X37" s="10"/>
      <c r="AA37" s="10"/>
      <c r="AD37" s="10"/>
      <c r="AG37" s="24"/>
      <c r="AH37" s="24"/>
      <c r="AI37" s="24"/>
      <c r="AJ37" s="24"/>
      <c r="AK37" s="24"/>
      <c r="AL37" s="24"/>
      <c r="AM37" s="24"/>
      <c r="BN37" s="315"/>
      <c r="BO37" s="315"/>
      <c r="BP37" s="315"/>
      <c r="BQ37" s="315"/>
      <c r="BR37" s="315"/>
      <c r="BS37" s="315"/>
    </row>
    <row r="38" spans="1:71" ht="13.5" customHeight="1" x14ac:dyDescent="0.3">
      <c r="A38" s="765"/>
      <c r="U38" s="24"/>
      <c r="V38" s="24"/>
      <c r="X38" s="10"/>
      <c r="AA38" s="10"/>
      <c r="AD38" s="10"/>
      <c r="AG38" s="24"/>
      <c r="AH38" s="24"/>
      <c r="AI38" s="24"/>
      <c r="AJ38" s="24"/>
      <c r="AK38" s="24"/>
      <c r="AL38" s="24"/>
      <c r="AM38" s="24"/>
      <c r="BN38" s="315"/>
      <c r="BO38" s="315"/>
      <c r="BP38" s="315"/>
      <c r="BQ38" s="315"/>
      <c r="BR38" s="315"/>
      <c r="BS38" s="315"/>
    </row>
    <row r="39" spans="1:71" ht="13.5" customHeight="1" x14ac:dyDescent="0.3">
      <c r="A39" s="765"/>
      <c r="U39" s="24"/>
      <c r="V39" s="24"/>
      <c r="X39" s="10"/>
      <c r="AA39" s="10"/>
      <c r="AD39" s="10"/>
      <c r="AG39" s="24"/>
      <c r="AH39" s="24"/>
      <c r="AI39" s="24"/>
      <c r="AJ39" s="24"/>
      <c r="AK39" s="24"/>
      <c r="AL39" s="24"/>
      <c r="AM39" s="24"/>
      <c r="AX39" s="531"/>
      <c r="BN39" s="315"/>
      <c r="BO39" s="315"/>
      <c r="BP39" s="315"/>
      <c r="BQ39" s="315"/>
      <c r="BR39" s="315"/>
      <c r="BS39" s="315"/>
    </row>
    <row r="40" spans="1:71" ht="13.5" customHeight="1" x14ac:dyDescent="0.3">
      <c r="A40" s="765"/>
      <c r="U40" s="24"/>
      <c r="V40" s="24"/>
      <c r="X40" s="10"/>
      <c r="AA40" s="10"/>
      <c r="AD40" s="10"/>
      <c r="AG40" s="24"/>
      <c r="AH40" s="24"/>
      <c r="AI40" s="24"/>
      <c r="AJ40" s="24"/>
      <c r="AK40" s="24"/>
      <c r="AL40" s="24"/>
      <c r="AM40" s="24"/>
      <c r="AX40" s="531"/>
      <c r="BN40" s="315"/>
      <c r="BO40" s="315"/>
      <c r="BP40" s="315"/>
      <c r="BQ40" s="315"/>
      <c r="BR40" s="315"/>
      <c r="BS40" s="315"/>
    </row>
    <row r="41" spans="1:71" ht="13.5" customHeight="1" x14ac:dyDescent="0.3">
      <c r="A41" s="765"/>
      <c r="U41" s="24"/>
      <c r="V41" s="24"/>
      <c r="X41" s="10"/>
      <c r="AA41" s="10"/>
      <c r="AD41" s="10"/>
      <c r="AG41" s="24"/>
      <c r="AH41" s="24"/>
      <c r="AI41" s="24"/>
      <c r="AJ41" s="24"/>
      <c r="AK41" s="24"/>
      <c r="AL41" s="24"/>
      <c r="AM41" s="24"/>
      <c r="AX41" s="531"/>
      <c r="BN41" s="315"/>
      <c r="BO41" s="315"/>
      <c r="BP41" s="315"/>
      <c r="BQ41" s="315"/>
      <c r="BR41" s="315"/>
      <c r="BS41" s="315"/>
    </row>
    <row r="42" spans="1:71" ht="13.5" customHeight="1" x14ac:dyDescent="0.3">
      <c r="A42" s="765"/>
      <c r="U42" s="24"/>
      <c r="V42" s="24"/>
      <c r="X42" s="10"/>
      <c r="AA42" s="10"/>
      <c r="AD42" s="10"/>
      <c r="AG42" s="24"/>
      <c r="AH42" s="24"/>
      <c r="AI42" s="24"/>
      <c r="AJ42" s="24"/>
      <c r="AK42" s="24"/>
      <c r="AL42" s="24"/>
      <c r="AM42" s="24"/>
      <c r="AX42" s="531"/>
      <c r="BN42" s="315"/>
      <c r="BO42" s="315"/>
      <c r="BP42" s="315"/>
      <c r="BQ42" s="315"/>
      <c r="BR42" s="315"/>
      <c r="BS42" s="315"/>
    </row>
    <row r="43" spans="1:71" ht="13.5" customHeight="1" x14ac:dyDescent="0.3">
      <c r="A43" s="765"/>
      <c r="U43" s="24"/>
      <c r="V43" s="24"/>
      <c r="X43" s="10"/>
      <c r="AA43" s="10"/>
      <c r="AD43" s="10"/>
      <c r="AG43" s="24"/>
      <c r="AH43" s="24"/>
      <c r="AI43" s="24"/>
      <c r="AJ43" s="24"/>
      <c r="AK43" s="24"/>
      <c r="AL43" s="24"/>
      <c r="AM43" s="24"/>
      <c r="AX43" s="531"/>
      <c r="BN43" s="315"/>
      <c r="BO43" s="315"/>
      <c r="BP43" s="315"/>
      <c r="BQ43" s="315"/>
      <c r="BR43" s="315"/>
      <c r="BS43" s="315"/>
    </row>
    <row r="44" spans="1:71" ht="13.5" customHeight="1" x14ac:dyDescent="0.3">
      <c r="A44" s="765"/>
      <c r="U44" s="24"/>
      <c r="V44" s="24"/>
      <c r="X44" s="10"/>
      <c r="AA44" s="10"/>
      <c r="AD44" s="10"/>
      <c r="AG44" s="24"/>
      <c r="AH44" s="24"/>
      <c r="AI44" s="24"/>
      <c r="AJ44" s="24"/>
      <c r="AK44" s="24"/>
      <c r="AL44" s="24"/>
      <c r="AM44" s="24"/>
      <c r="AX44" s="531"/>
      <c r="BN44" s="315"/>
      <c r="BO44" s="315"/>
      <c r="BP44" s="315"/>
      <c r="BQ44" s="315"/>
      <c r="BR44" s="315"/>
      <c r="BS44" s="315"/>
    </row>
    <row r="45" spans="1:71" ht="13.5" customHeight="1" x14ac:dyDescent="0.3">
      <c r="A45" s="765"/>
      <c r="U45" s="24"/>
      <c r="V45" s="24"/>
      <c r="X45" s="10"/>
      <c r="AA45" s="10"/>
      <c r="AD45" s="10"/>
      <c r="AG45" s="24"/>
      <c r="AH45" s="24"/>
      <c r="AI45" s="24"/>
      <c r="AJ45" s="24"/>
      <c r="AK45" s="24"/>
      <c r="AL45" s="24"/>
      <c r="AM45" s="24"/>
      <c r="AX45" s="531"/>
      <c r="BN45" s="315"/>
      <c r="BO45" s="315"/>
      <c r="BP45" s="315"/>
      <c r="BQ45" s="315"/>
      <c r="BR45" s="315"/>
      <c r="BS45" s="315"/>
    </row>
    <row r="46" spans="1:71" ht="13.5" customHeight="1" x14ac:dyDescent="0.3">
      <c r="A46" s="765"/>
      <c r="U46" s="24"/>
      <c r="V46" s="24"/>
      <c r="X46" s="10"/>
      <c r="AA46" s="10"/>
      <c r="AD46" s="10"/>
      <c r="AG46" s="24"/>
      <c r="AH46" s="24"/>
      <c r="AI46" s="24"/>
      <c r="AJ46" s="24"/>
      <c r="AK46" s="24"/>
      <c r="AL46" s="24"/>
      <c r="AM46" s="24"/>
      <c r="AX46" s="531"/>
      <c r="BN46" s="315"/>
      <c r="BO46" s="315"/>
      <c r="BP46" s="315"/>
      <c r="BQ46" s="315"/>
      <c r="BR46" s="315"/>
      <c r="BS46" s="315"/>
    </row>
    <row r="47" spans="1:71" ht="13.5" customHeight="1" x14ac:dyDescent="0.3">
      <c r="A47" s="765"/>
      <c r="U47" s="24"/>
      <c r="V47" s="24"/>
      <c r="X47" s="10"/>
      <c r="AA47" s="10"/>
      <c r="AD47" s="10"/>
      <c r="AG47" s="24"/>
      <c r="AH47" s="24"/>
      <c r="AI47" s="24"/>
      <c r="AJ47" s="24"/>
      <c r="AK47" s="24"/>
      <c r="AL47" s="24"/>
      <c r="AM47" s="24"/>
      <c r="AX47" s="531"/>
      <c r="BN47" s="315"/>
      <c r="BO47" s="315"/>
      <c r="BP47" s="315"/>
      <c r="BQ47" s="315"/>
      <c r="BR47" s="315"/>
      <c r="BS47" s="315"/>
    </row>
    <row r="48" spans="1:71" ht="13.5" customHeight="1" x14ac:dyDescent="0.3">
      <c r="A48" s="765"/>
      <c r="U48" s="24"/>
      <c r="V48" s="24"/>
      <c r="X48" s="10"/>
      <c r="AA48" s="10"/>
      <c r="AD48" s="10"/>
      <c r="AG48" s="24"/>
      <c r="AH48" s="24"/>
      <c r="AI48" s="24"/>
      <c r="AJ48" s="24"/>
      <c r="AK48" s="24"/>
      <c r="AL48" s="24"/>
      <c r="AM48" s="24"/>
      <c r="AT48" s="531"/>
      <c r="AU48" s="531"/>
      <c r="AV48" s="531"/>
      <c r="AW48" s="531"/>
      <c r="BN48" s="315"/>
      <c r="BO48" s="315"/>
      <c r="BP48" s="315"/>
      <c r="BQ48" s="315"/>
      <c r="BR48" s="315"/>
      <c r="BS48" s="315"/>
    </row>
    <row r="49" spans="1:73" ht="13.5" customHeight="1" x14ac:dyDescent="0.3">
      <c r="A49" s="765"/>
      <c r="U49" s="24"/>
      <c r="V49" s="24"/>
      <c r="X49" s="10"/>
      <c r="AA49" s="10"/>
      <c r="AD49" s="10"/>
      <c r="AG49" s="24"/>
      <c r="AH49" s="24"/>
      <c r="AI49" s="24"/>
      <c r="AJ49" s="24"/>
      <c r="AK49" s="24"/>
      <c r="AL49" s="24"/>
      <c r="AM49" s="24"/>
      <c r="BN49" s="315"/>
      <c r="BO49" s="315"/>
      <c r="BP49" s="315"/>
      <c r="BQ49" s="315"/>
      <c r="BR49" s="315"/>
      <c r="BS49" s="315"/>
    </row>
    <row r="50" spans="1:73" ht="5.25" customHeight="1" x14ac:dyDescent="0.3">
      <c r="A50" s="765"/>
      <c r="U50" s="24"/>
      <c r="V50" s="24"/>
      <c r="X50" s="10"/>
      <c r="AA50" s="10"/>
      <c r="AD50" s="10"/>
      <c r="AG50" s="24"/>
      <c r="AH50" s="24"/>
      <c r="AI50" s="24"/>
      <c r="AJ50" s="24"/>
      <c r="AK50" s="24"/>
      <c r="AL50" s="24"/>
      <c r="AM50" s="24"/>
      <c r="BN50" s="315"/>
      <c r="BO50" s="315"/>
      <c r="BP50" s="315"/>
      <c r="BQ50" s="315"/>
      <c r="BR50" s="315"/>
      <c r="BS50" s="315"/>
    </row>
    <row r="51" spans="1:73" ht="13.5" customHeight="1" x14ac:dyDescent="0.3">
      <c r="A51" s="765"/>
      <c r="D51" s="285" t="s">
        <v>511</v>
      </c>
      <c r="U51" s="24"/>
      <c r="V51" s="24"/>
      <c r="X51" s="10"/>
      <c r="AA51" s="10"/>
      <c r="AD51" s="10"/>
      <c r="AG51" s="24"/>
      <c r="AH51" s="24"/>
      <c r="AI51" s="24"/>
      <c r="AJ51" s="24"/>
      <c r="AK51" s="24"/>
      <c r="AL51" s="24"/>
      <c r="AM51" s="24"/>
      <c r="BN51" s="315"/>
      <c r="BO51" s="315"/>
      <c r="BP51" s="315"/>
      <c r="BQ51" s="315"/>
      <c r="BR51" s="315"/>
      <c r="BS51" s="315"/>
    </row>
    <row r="52" spans="1:73" ht="13.5" customHeight="1" x14ac:dyDescent="0.3">
      <c r="A52" s="765"/>
      <c r="C52" s="288"/>
      <c r="D52" s="288" t="s">
        <v>512</v>
      </c>
      <c r="E52" s="23"/>
      <c r="F52" s="23"/>
      <c r="G52" s="23"/>
      <c r="H52" s="23"/>
      <c r="I52" s="289" t="s">
        <v>513</v>
      </c>
      <c r="J52" s="289"/>
      <c r="K52" s="289"/>
      <c r="L52" s="24"/>
      <c r="M52" s="289" t="s">
        <v>515</v>
      </c>
      <c r="N52" s="23"/>
      <c r="O52" s="24"/>
      <c r="P52" s="289" t="s">
        <v>514</v>
      </c>
      <c r="Q52" s="23"/>
      <c r="R52" s="24"/>
      <c r="S52" s="23"/>
      <c r="T52" s="23"/>
      <c r="U52" s="288" t="s">
        <v>516</v>
      </c>
      <c r="V52" s="24"/>
      <c r="W52" s="24"/>
      <c r="X52" s="24"/>
      <c r="Y52" s="24"/>
      <c r="Z52" s="24"/>
      <c r="AA52" s="24"/>
      <c r="AB52" s="289" t="s">
        <v>513</v>
      </c>
      <c r="AC52" s="289"/>
      <c r="AD52" s="289"/>
      <c r="AE52" s="24"/>
      <c r="AF52" s="289" t="s">
        <v>515</v>
      </c>
      <c r="AG52" s="23"/>
      <c r="AH52" s="24"/>
      <c r="AI52" s="289" t="s">
        <v>514</v>
      </c>
      <c r="AJ52" s="23"/>
      <c r="AK52" s="24"/>
      <c r="AL52" s="24"/>
      <c r="AM52" s="24"/>
      <c r="BN52" s="315"/>
      <c r="BO52" s="315"/>
      <c r="BP52" s="315"/>
      <c r="BQ52" s="315"/>
      <c r="BR52" s="315"/>
      <c r="BS52" s="315"/>
    </row>
    <row r="53" spans="1:73" ht="13.5" customHeight="1" x14ac:dyDescent="0.3">
      <c r="A53" s="765"/>
      <c r="C53" s="729"/>
      <c r="D53" s="791" t="str">
        <f>IF(BD53=0,""," "&amp;BC53&amp;". "&amp;BD53)</f>
        <v xml:space="preserve"> 1. Szabó Gábor</v>
      </c>
      <c r="E53" s="791"/>
      <c r="F53" s="791"/>
      <c r="G53" s="791"/>
      <c r="H53" s="730"/>
      <c r="I53" s="731"/>
      <c r="J53" s="784" t="str">
        <f t="shared" ref="J53:J67" si="6">IF(D53="","",BE53&amp;" pont")</f>
        <v>0 pont</v>
      </c>
      <c r="K53" s="784"/>
      <c r="L53" s="784"/>
      <c r="M53" s="784"/>
      <c r="N53" s="784"/>
      <c r="O53" s="784"/>
      <c r="P53" s="784"/>
      <c r="Q53" s="784"/>
      <c r="R53" s="785"/>
      <c r="U53" s="774" t="str">
        <f t="shared" ref="U53:U67" si="7">IF(BD68=0,"","  "&amp;BC68&amp;". "&amp;BD68)</f>
        <v xml:space="preserve">  1. Szabó Erika</v>
      </c>
      <c r="V53" s="775"/>
      <c r="W53" s="775"/>
      <c r="X53" s="775"/>
      <c r="Y53" s="775"/>
      <c r="Z53" s="775"/>
      <c r="AA53" s="775"/>
      <c r="AB53" s="650"/>
      <c r="AC53" s="776" t="str">
        <f t="shared" ref="AC53:AC67" si="8">IF(U53="","",BE68&amp;" pont")</f>
        <v>0 pont</v>
      </c>
      <c r="AD53" s="776"/>
      <c r="AE53" s="776"/>
      <c r="AF53" s="776" t="str">
        <f t="shared" ref="AF53:AF67" si="9">IF(U53="","",BF68)</f>
        <v>–</v>
      </c>
      <c r="AG53" s="776"/>
      <c r="AH53" s="776"/>
      <c r="AI53" s="776" t="str">
        <f t="shared" ref="AI53:AI67" si="10">IF(U53="","",BG68)</f>
        <v>–</v>
      </c>
      <c r="AJ53" s="776"/>
      <c r="AK53" s="778"/>
      <c r="AL53" s="24"/>
      <c r="AM53" s="24"/>
      <c r="BC53" s="526">
        <v>1</v>
      </c>
      <c r="BD53" s="310" t="str">
        <f>VLOOKUP(BJ53,$BM$53:$BN$82,2,FALSE)</f>
        <v>Szabó Gábor</v>
      </c>
      <c r="BE53" s="521">
        <f>ROUNDDOWN(BJ53,0)</f>
        <v>0</v>
      </c>
      <c r="BF53" s="527"/>
      <c r="BG53" s="527"/>
      <c r="BJ53" s="311">
        <f>LARGE($BM$53:$BM$82,BK53)</f>
        <v>0.23</v>
      </c>
      <c r="BK53" s="311">
        <v>1</v>
      </c>
      <c r="BM53" s="311">
        <f t="shared" ref="BM53:BM79" si="11">IF(BN53=0,-1000,HLOOKUP(BN53,tippont,2,FALSE))+BK53/100</f>
        <v>0.01</v>
      </c>
      <c r="BN53" s="310" t="str">
        <f t="shared" ref="BN53:BN67" si="12">IF(NOT(AW21),0,AU21)</f>
        <v>Kovács Ferenc</v>
      </c>
      <c r="BO53" s="390" t="str">
        <f>""</f>
        <v/>
      </c>
      <c r="BP53" s="311">
        <f>IF(BQ53=0,-100,100-BK53)</f>
        <v>99</v>
      </c>
      <c r="BQ53" s="310" t="str">
        <f>BN53</f>
        <v>Kovács Ferenc</v>
      </c>
      <c r="BR53" s="390" t="str">
        <f>""</f>
        <v/>
      </c>
      <c r="BS53" s="311">
        <f>LARGE($BP$53:$BP$82,BK53)</f>
        <v>99</v>
      </c>
      <c r="BT53" s="310" t="str">
        <f>IF(BS53&lt;0,"",VLOOKUP(BS53,$BP$53:$BQ$82,2,FALSE))</f>
        <v>Kovács Ferenc</v>
      </c>
      <c r="BU53" s="310">
        <f>MATCH(BT53,$H$6:$AK$6,0)</f>
        <v>1</v>
      </c>
    </row>
    <row r="54" spans="1:73" ht="13.5" customHeight="1" x14ac:dyDescent="0.3">
      <c r="A54" s="765"/>
      <c r="C54" s="732"/>
      <c r="D54" s="787" t="str">
        <f t="shared" ref="D54:D67" si="13">IF(BD54=0,""," "&amp;BC54&amp;". "&amp;BD54)</f>
        <v xml:space="preserve"> 1. Kerepesi Zsolt</v>
      </c>
      <c r="E54" s="787"/>
      <c r="F54" s="787"/>
      <c r="G54" s="787"/>
      <c r="H54" s="733"/>
      <c r="I54" s="734"/>
      <c r="J54" s="802" t="str">
        <f t="shared" si="6"/>
        <v>0 pont</v>
      </c>
      <c r="K54" s="802"/>
      <c r="L54" s="802"/>
      <c r="M54" s="802" t="str">
        <f t="shared" ref="M54:M67" si="14">IF(D54="","",BF54)</f>
        <v>–</v>
      </c>
      <c r="N54" s="802"/>
      <c r="O54" s="802"/>
      <c r="P54" s="802" t="str">
        <f t="shared" ref="P54:P67" si="15">IF(D54="","",BG54)</f>
        <v>–</v>
      </c>
      <c r="Q54" s="802"/>
      <c r="R54" s="803"/>
      <c r="U54" s="793" t="str">
        <f t="shared" si="7"/>
        <v xml:space="preserve">  1. Dósa Róbert</v>
      </c>
      <c r="V54" s="788"/>
      <c r="W54" s="788"/>
      <c r="X54" s="788"/>
      <c r="Y54" s="788"/>
      <c r="Z54" s="788"/>
      <c r="AA54" s="788"/>
      <c r="AB54" s="276"/>
      <c r="AC54" s="782" t="str">
        <f t="shared" si="8"/>
        <v>0 pont</v>
      </c>
      <c r="AD54" s="782"/>
      <c r="AE54" s="782"/>
      <c r="AF54" s="782" t="str">
        <f t="shared" si="9"/>
        <v>–</v>
      </c>
      <c r="AG54" s="782"/>
      <c r="AH54" s="782"/>
      <c r="AI54" s="782" t="str">
        <f t="shared" si="10"/>
        <v>–</v>
      </c>
      <c r="AJ54" s="782"/>
      <c r="AK54" s="786"/>
      <c r="AL54" s="24"/>
      <c r="AM54" s="24"/>
      <c r="BC54" s="311">
        <f t="shared" ref="BC54:BC79" si="16">IF(ABS(BJ54-BJ53)&lt;0.5,BC53,BK54)</f>
        <v>1</v>
      </c>
      <c r="BD54" s="310" t="str">
        <f t="shared" ref="BD54:BD82" si="17">VLOOKUP(BJ54,$BM$53:$BN$82,2,FALSE)</f>
        <v>Kerepesi Zsolt</v>
      </c>
      <c r="BE54" s="521">
        <f t="shared" ref="BE54:BE79" si="18">ROUNDDOWN(BJ54,0)</f>
        <v>0</v>
      </c>
      <c r="BF54" s="310" t="str">
        <f>"–"&amp;IF(BE53=BE54,""," "&amp;ABS(BE54-BE53)&amp;" pont")</f>
        <v>–</v>
      </c>
      <c r="BG54" s="521" t="str">
        <f>"–"&amp;IF($BE$53=BE54,""," "&amp;ABS(BE54-$BE$53)&amp;" pont")</f>
        <v>–</v>
      </c>
      <c r="BJ54" s="311">
        <f t="shared" ref="BJ54:BJ82" si="19">LARGE($BM$53:$BM$82,BK54)</f>
        <v>0.22</v>
      </c>
      <c r="BK54" s="311">
        <v>2</v>
      </c>
      <c r="BM54" s="311">
        <f t="shared" si="11"/>
        <v>0.02</v>
      </c>
      <c r="BN54" s="310" t="str">
        <f t="shared" si="12"/>
        <v>Csomós László Richárd</v>
      </c>
      <c r="BO54" s="390" t="str">
        <f>""</f>
        <v/>
      </c>
      <c r="BP54" s="311">
        <f t="shared" ref="BP54:BP79" si="20">IF(BQ54=0,-100,100-BK54)</f>
        <v>98</v>
      </c>
      <c r="BQ54" s="310" t="str">
        <f t="shared" ref="BQ54:BQ79" si="21">BN54</f>
        <v>Csomós László Richárd</v>
      </c>
      <c r="BR54" s="390" t="str">
        <f>""</f>
        <v/>
      </c>
      <c r="BS54" s="311">
        <f t="shared" ref="BS54:BS82" si="22">LARGE($BP$53:$BP$82,BK54)</f>
        <v>98</v>
      </c>
      <c r="BT54" s="310" t="str">
        <f t="shared" ref="BT54:BT82" si="23">IF(BS54&lt;0,"",VLOOKUP(BS54,$BP$53:$BQ$82,2,FALSE))</f>
        <v>Csomós László Richárd</v>
      </c>
      <c r="BU54" s="310">
        <f t="shared" ref="BU54:BU82" si="24">MATCH(BT54,$H$6:$AK$6,0)</f>
        <v>2</v>
      </c>
    </row>
    <row r="55" spans="1:73" ht="13.5" customHeight="1" x14ac:dyDescent="0.3">
      <c r="A55" s="765"/>
      <c r="C55" s="735"/>
      <c r="D55" s="796" t="str">
        <f t="shared" si="13"/>
        <v xml:space="preserve"> 1. Csáki Levente</v>
      </c>
      <c r="E55" s="796"/>
      <c r="F55" s="796"/>
      <c r="G55" s="796"/>
      <c r="H55" s="736"/>
      <c r="I55" s="737"/>
      <c r="J55" s="800" t="str">
        <f t="shared" si="6"/>
        <v>0 pont</v>
      </c>
      <c r="K55" s="800"/>
      <c r="L55" s="800"/>
      <c r="M55" s="800" t="str">
        <f t="shared" si="14"/>
        <v>–</v>
      </c>
      <c r="N55" s="800"/>
      <c r="O55" s="800"/>
      <c r="P55" s="800" t="str">
        <f t="shared" si="15"/>
        <v>–</v>
      </c>
      <c r="Q55" s="800"/>
      <c r="R55" s="801"/>
      <c r="U55" s="793" t="str">
        <f t="shared" si="7"/>
        <v xml:space="preserve">  1. Nagy Ádám</v>
      </c>
      <c r="V55" s="788"/>
      <c r="W55" s="788"/>
      <c r="X55" s="788"/>
      <c r="Y55" s="788"/>
      <c r="Z55" s="788"/>
      <c r="AA55" s="788"/>
      <c r="AB55" s="276"/>
      <c r="AC55" s="782" t="str">
        <f t="shared" si="8"/>
        <v>0 pont</v>
      </c>
      <c r="AD55" s="782"/>
      <c r="AE55" s="782"/>
      <c r="AF55" s="782" t="str">
        <f t="shared" si="9"/>
        <v>–</v>
      </c>
      <c r="AG55" s="782"/>
      <c r="AH55" s="782"/>
      <c r="AI55" s="782" t="str">
        <f t="shared" si="10"/>
        <v>–</v>
      </c>
      <c r="AJ55" s="782"/>
      <c r="AK55" s="786"/>
      <c r="AL55" s="24"/>
      <c r="AM55" s="24"/>
      <c r="BC55" s="311">
        <f t="shared" si="16"/>
        <v>1</v>
      </c>
      <c r="BD55" s="310" t="str">
        <f t="shared" si="17"/>
        <v>Csáki Levente</v>
      </c>
      <c r="BE55" s="521">
        <f t="shared" si="18"/>
        <v>0</v>
      </c>
      <c r="BF55" s="310" t="str">
        <f t="shared" ref="BF55:BF82" si="25">"–"&amp;IF(BE54=BE55,""," "&amp;ABS(BE55-BE54)&amp;" pont")</f>
        <v>–</v>
      </c>
      <c r="BG55" s="521" t="str">
        <f t="shared" ref="BG55:BG79" si="26">"–"&amp;IF($BE$53=BE55,""," "&amp;ABS(BE55-$BE$53)&amp;" pont")</f>
        <v>–</v>
      </c>
      <c r="BJ55" s="311">
        <f t="shared" si="19"/>
        <v>0.21</v>
      </c>
      <c r="BK55" s="311">
        <v>3</v>
      </c>
      <c r="BM55" s="311">
        <f t="shared" si="11"/>
        <v>0.03</v>
      </c>
      <c r="BN55" s="310" t="str">
        <f t="shared" si="12"/>
        <v>Valisko Gerő</v>
      </c>
      <c r="BO55" s="390" t="str">
        <f>""</f>
        <v/>
      </c>
      <c r="BP55" s="311">
        <f t="shared" si="20"/>
        <v>97</v>
      </c>
      <c r="BQ55" s="310" t="str">
        <f t="shared" si="21"/>
        <v>Valisko Gerő</v>
      </c>
      <c r="BR55" s="390" t="str">
        <f>""</f>
        <v/>
      </c>
      <c r="BS55" s="311">
        <f t="shared" si="22"/>
        <v>97</v>
      </c>
      <c r="BT55" s="310" t="str">
        <f t="shared" si="23"/>
        <v>Valisko Gerő</v>
      </c>
      <c r="BU55" s="310">
        <f t="shared" si="24"/>
        <v>3</v>
      </c>
    </row>
    <row r="56" spans="1:73" ht="13.5" customHeight="1" x14ac:dyDescent="0.3">
      <c r="A56" s="765"/>
      <c r="C56" s="738"/>
      <c r="D56" s="797" t="str">
        <f t="shared" si="13"/>
        <v xml:space="preserve"> 1. Suvada László</v>
      </c>
      <c r="E56" s="797"/>
      <c r="F56" s="797"/>
      <c r="G56" s="797"/>
      <c r="H56" s="739"/>
      <c r="I56" s="740"/>
      <c r="J56" s="792" t="str">
        <f t="shared" si="6"/>
        <v>0 pont</v>
      </c>
      <c r="K56" s="792"/>
      <c r="L56" s="792"/>
      <c r="M56" s="792" t="str">
        <f t="shared" si="14"/>
        <v>–</v>
      </c>
      <c r="N56" s="792"/>
      <c r="O56" s="792"/>
      <c r="P56" s="792" t="str">
        <f t="shared" si="15"/>
        <v>–</v>
      </c>
      <c r="Q56" s="792"/>
      <c r="R56" s="804"/>
      <c r="U56" s="793" t="str">
        <f t="shared" si="7"/>
        <v xml:space="preserve">  1. Sőregi Bálint</v>
      </c>
      <c r="V56" s="788"/>
      <c r="W56" s="788"/>
      <c r="X56" s="788"/>
      <c r="Y56" s="788"/>
      <c r="Z56" s="788"/>
      <c r="AA56" s="788"/>
      <c r="AB56" s="276"/>
      <c r="AC56" s="782" t="str">
        <f t="shared" si="8"/>
        <v>0 pont</v>
      </c>
      <c r="AD56" s="782"/>
      <c r="AE56" s="782"/>
      <c r="AF56" s="782" t="str">
        <f t="shared" si="9"/>
        <v>–</v>
      </c>
      <c r="AG56" s="782"/>
      <c r="AH56" s="782"/>
      <c r="AI56" s="782" t="str">
        <f t="shared" si="10"/>
        <v>–</v>
      </c>
      <c r="AJ56" s="782"/>
      <c r="AK56" s="786"/>
      <c r="AL56" s="24"/>
      <c r="AM56" s="24"/>
      <c r="BC56" s="311">
        <f t="shared" si="16"/>
        <v>1</v>
      </c>
      <c r="BD56" s="310" t="str">
        <f t="shared" si="17"/>
        <v>Suvada László</v>
      </c>
      <c r="BE56" s="521">
        <f t="shared" si="18"/>
        <v>0</v>
      </c>
      <c r="BF56" s="310" t="str">
        <f t="shared" si="25"/>
        <v>–</v>
      </c>
      <c r="BG56" s="521" t="str">
        <f t="shared" si="26"/>
        <v>–</v>
      </c>
      <c r="BJ56" s="311">
        <f t="shared" si="19"/>
        <v>0.2</v>
      </c>
      <c r="BK56" s="311">
        <v>4</v>
      </c>
      <c r="BM56" s="311">
        <f t="shared" si="11"/>
        <v>0.04</v>
      </c>
      <c r="BN56" s="310" t="str">
        <f t="shared" si="12"/>
        <v>Nagy Norbert</v>
      </c>
      <c r="BO56" s="390" t="str">
        <f>""</f>
        <v/>
      </c>
      <c r="BP56" s="311">
        <f t="shared" si="20"/>
        <v>96</v>
      </c>
      <c r="BQ56" s="310" t="str">
        <f t="shared" si="21"/>
        <v>Nagy Norbert</v>
      </c>
      <c r="BR56" s="390" t="str">
        <f>""</f>
        <v/>
      </c>
      <c r="BS56" s="311">
        <f t="shared" si="22"/>
        <v>96</v>
      </c>
      <c r="BT56" s="310" t="str">
        <f t="shared" si="23"/>
        <v>Nagy Norbert</v>
      </c>
      <c r="BU56" s="310">
        <f t="shared" si="24"/>
        <v>4</v>
      </c>
    </row>
    <row r="57" spans="1:73" ht="13.5" customHeight="1" x14ac:dyDescent="0.3">
      <c r="A57" s="765"/>
      <c r="C57" s="741"/>
      <c r="D57" s="788" t="str">
        <f t="shared" si="13"/>
        <v xml:space="preserve"> 1. Vincze Dávid</v>
      </c>
      <c r="E57" s="788"/>
      <c r="F57" s="788"/>
      <c r="G57" s="788"/>
      <c r="H57" s="274"/>
      <c r="I57" s="276"/>
      <c r="J57" s="782" t="str">
        <f t="shared" si="6"/>
        <v>0 pont</v>
      </c>
      <c r="K57" s="782"/>
      <c r="L57" s="782"/>
      <c r="M57" s="782" t="str">
        <f t="shared" si="14"/>
        <v>–</v>
      </c>
      <c r="N57" s="782"/>
      <c r="O57" s="782"/>
      <c r="P57" s="782" t="str">
        <f t="shared" si="15"/>
        <v>–</v>
      </c>
      <c r="Q57" s="782"/>
      <c r="R57" s="786"/>
      <c r="U57" s="793" t="str">
        <f t="shared" si="7"/>
        <v xml:space="preserve">  1. Nagy Norbert</v>
      </c>
      <c r="V57" s="788"/>
      <c r="W57" s="788"/>
      <c r="X57" s="788"/>
      <c r="Y57" s="788"/>
      <c r="Z57" s="788"/>
      <c r="AA57" s="788"/>
      <c r="AB57" s="276"/>
      <c r="AC57" s="782" t="str">
        <f t="shared" si="8"/>
        <v>0 pont</v>
      </c>
      <c r="AD57" s="782"/>
      <c r="AE57" s="782"/>
      <c r="AF57" s="782" t="str">
        <f t="shared" si="9"/>
        <v>–</v>
      </c>
      <c r="AG57" s="782"/>
      <c r="AH57" s="782"/>
      <c r="AI57" s="782" t="str">
        <f t="shared" si="10"/>
        <v>–</v>
      </c>
      <c r="AJ57" s="782"/>
      <c r="AK57" s="786"/>
      <c r="AL57" s="24"/>
      <c r="AM57" s="24"/>
      <c r="BC57" s="311">
        <f t="shared" si="16"/>
        <v>1</v>
      </c>
      <c r="BD57" s="310" t="str">
        <f t="shared" si="17"/>
        <v>Vincze Dávid</v>
      </c>
      <c r="BE57" s="521">
        <f t="shared" si="18"/>
        <v>0</v>
      </c>
      <c r="BF57" s="310" t="str">
        <f t="shared" si="25"/>
        <v>–</v>
      </c>
      <c r="BG57" s="521" t="str">
        <f t="shared" si="26"/>
        <v>–</v>
      </c>
      <c r="BJ57" s="311">
        <f t="shared" si="19"/>
        <v>0.19</v>
      </c>
      <c r="BK57" s="311">
        <v>5</v>
      </c>
      <c r="BM57" s="311">
        <f t="shared" si="11"/>
        <v>0.05</v>
      </c>
      <c r="BN57" s="310" t="str">
        <f t="shared" si="12"/>
        <v>Sőregi Bálint</v>
      </c>
      <c r="BO57" s="390" t="str">
        <f>""</f>
        <v/>
      </c>
      <c r="BP57" s="311">
        <f t="shared" si="20"/>
        <v>95</v>
      </c>
      <c r="BQ57" s="310" t="str">
        <f t="shared" si="21"/>
        <v>Sőregi Bálint</v>
      </c>
      <c r="BR57" s="390" t="str">
        <f>""</f>
        <v/>
      </c>
      <c r="BS57" s="311">
        <f t="shared" si="22"/>
        <v>95</v>
      </c>
      <c r="BT57" s="310" t="str">
        <f t="shared" si="23"/>
        <v>Sőregi Bálint</v>
      </c>
      <c r="BU57" s="310">
        <f t="shared" si="24"/>
        <v>5</v>
      </c>
    </row>
    <row r="58" spans="1:73" ht="13.5" customHeight="1" x14ac:dyDescent="0.3">
      <c r="A58" s="765"/>
      <c r="C58" s="741"/>
      <c r="D58" s="788" t="str">
        <f t="shared" si="13"/>
        <v xml:space="preserve"> 1. Faragó István</v>
      </c>
      <c r="E58" s="788"/>
      <c r="F58" s="788"/>
      <c r="G58" s="788"/>
      <c r="H58" s="274"/>
      <c r="I58" s="276"/>
      <c r="J58" s="782" t="str">
        <f t="shared" si="6"/>
        <v>0 pont</v>
      </c>
      <c r="K58" s="782"/>
      <c r="L58" s="782"/>
      <c r="M58" s="782" t="str">
        <f t="shared" si="14"/>
        <v>–</v>
      </c>
      <c r="N58" s="782"/>
      <c r="O58" s="782"/>
      <c r="P58" s="782" t="str">
        <f t="shared" si="15"/>
        <v>–</v>
      </c>
      <c r="Q58" s="782"/>
      <c r="R58" s="786"/>
      <c r="U58" s="793" t="str">
        <f t="shared" si="7"/>
        <v xml:space="preserve">  1. Valisko Gerő</v>
      </c>
      <c r="V58" s="788"/>
      <c r="W58" s="788"/>
      <c r="X58" s="788"/>
      <c r="Y58" s="788"/>
      <c r="Z58" s="788"/>
      <c r="AA58" s="788"/>
      <c r="AB58" s="276"/>
      <c r="AC58" s="782" t="str">
        <f t="shared" si="8"/>
        <v>0 pont</v>
      </c>
      <c r="AD58" s="782"/>
      <c r="AE58" s="782"/>
      <c r="AF58" s="782" t="str">
        <f t="shared" si="9"/>
        <v>–</v>
      </c>
      <c r="AG58" s="782"/>
      <c r="AH58" s="782"/>
      <c r="AI58" s="782" t="str">
        <f t="shared" si="10"/>
        <v>–</v>
      </c>
      <c r="AJ58" s="782"/>
      <c r="AK58" s="786"/>
      <c r="AL58" s="24"/>
      <c r="AM58" s="24"/>
      <c r="BC58" s="311">
        <f t="shared" si="16"/>
        <v>1</v>
      </c>
      <c r="BD58" s="310" t="str">
        <f t="shared" si="17"/>
        <v>Faragó István</v>
      </c>
      <c r="BE58" s="521">
        <f t="shared" si="18"/>
        <v>0</v>
      </c>
      <c r="BF58" s="310" t="str">
        <f t="shared" si="25"/>
        <v>–</v>
      </c>
      <c r="BG58" s="521" t="str">
        <f t="shared" si="26"/>
        <v>–</v>
      </c>
      <c r="BJ58" s="311">
        <f t="shared" si="19"/>
        <v>0.18</v>
      </c>
      <c r="BK58" s="311">
        <v>6</v>
      </c>
      <c r="BM58" s="311">
        <f t="shared" si="11"/>
        <v>0.06</v>
      </c>
      <c r="BN58" s="310" t="str">
        <f t="shared" si="12"/>
        <v>Nagy Ádám</v>
      </c>
      <c r="BO58" s="390" t="str">
        <f>""</f>
        <v/>
      </c>
      <c r="BP58" s="311">
        <f t="shared" si="20"/>
        <v>94</v>
      </c>
      <c r="BQ58" s="310" t="str">
        <f t="shared" si="21"/>
        <v>Nagy Ádám</v>
      </c>
      <c r="BR58" s="390" t="str">
        <f>""</f>
        <v/>
      </c>
      <c r="BS58" s="311">
        <f t="shared" si="22"/>
        <v>94</v>
      </c>
      <c r="BT58" s="310" t="str">
        <f t="shared" si="23"/>
        <v>Nagy Ádám</v>
      </c>
      <c r="BU58" s="310">
        <f t="shared" si="24"/>
        <v>6</v>
      </c>
    </row>
    <row r="59" spans="1:73" ht="13.5" customHeight="1" x14ac:dyDescent="0.3">
      <c r="A59" s="765"/>
      <c r="C59" s="741"/>
      <c r="D59" s="788" t="str">
        <f t="shared" si="13"/>
        <v xml:space="preserve"> 1. Csontos József</v>
      </c>
      <c r="E59" s="788"/>
      <c r="F59" s="788"/>
      <c r="G59" s="788"/>
      <c r="H59" s="274"/>
      <c r="I59" s="276"/>
      <c r="J59" s="782" t="str">
        <f t="shared" si="6"/>
        <v>0 pont</v>
      </c>
      <c r="K59" s="782"/>
      <c r="L59" s="782"/>
      <c r="M59" s="782" t="str">
        <f t="shared" si="14"/>
        <v>–</v>
      </c>
      <c r="N59" s="782"/>
      <c r="O59" s="782"/>
      <c r="P59" s="782" t="str">
        <f t="shared" si="15"/>
        <v>–</v>
      </c>
      <c r="Q59" s="782"/>
      <c r="R59" s="786"/>
      <c r="U59" s="793" t="str">
        <f t="shared" si="7"/>
        <v xml:space="preserve">  1. Csomós László Richárd</v>
      </c>
      <c r="V59" s="788"/>
      <c r="W59" s="788"/>
      <c r="X59" s="788"/>
      <c r="Y59" s="788"/>
      <c r="Z59" s="788"/>
      <c r="AA59" s="788"/>
      <c r="AB59" s="276"/>
      <c r="AC59" s="782" t="str">
        <f t="shared" si="8"/>
        <v>0 pont</v>
      </c>
      <c r="AD59" s="782"/>
      <c r="AE59" s="782"/>
      <c r="AF59" s="782" t="str">
        <f t="shared" si="9"/>
        <v>–</v>
      </c>
      <c r="AG59" s="782"/>
      <c r="AH59" s="782"/>
      <c r="AI59" s="782" t="str">
        <f t="shared" si="10"/>
        <v>–</v>
      </c>
      <c r="AJ59" s="782"/>
      <c r="AK59" s="786"/>
      <c r="AL59" s="24"/>
      <c r="AM59" s="24"/>
      <c r="BC59" s="311">
        <f t="shared" si="16"/>
        <v>1</v>
      </c>
      <c r="BD59" s="310" t="str">
        <f t="shared" si="17"/>
        <v>Csontos József</v>
      </c>
      <c r="BE59" s="521">
        <f t="shared" si="18"/>
        <v>0</v>
      </c>
      <c r="BF59" s="310" t="str">
        <f t="shared" si="25"/>
        <v>–</v>
      </c>
      <c r="BG59" s="521" t="str">
        <f t="shared" si="26"/>
        <v>–</v>
      </c>
      <c r="BJ59" s="311">
        <f t="shared" si="19"/>
        <v>0.17</v>
      </c>
      <c r="BK59" s="311">
        <v>7</v>
      </c>
      <c r="BM59" s="311">
        <f t="shared" si="11"/>
        <v>7.0000000000000007E-2</v>
      </c>
      <c r="BN59" s="310" t="str">
        <f t="shared" si="12"/>
        <v>Dósa Róbert</v>
      </c>
      <c r="BO59" s="390" t="str">
        <f>""</f>
        <v/>
      </c>
      <c r="BP59" s="311">
        <f t="shared" si="20"/>
        <v>93</v>
      </c>
      <c r="BQ59" s="310" t="str">
        <f t="shared" si="21"/>
        <v>Dósa Róbert</v>
      </c>
      <c r="BR59" s="390" t="str">
        <f>""</f>
        <v/>
      </c>
      <c r="BS59" s="311">
        <f t="shared" si="22"/>
        <v>93</v>
      </c>
      <c r="BT59" s="310" t="str">
        <f t="shared" si="23"/>
        <v>Dósa Róbert</v>
      </c>
      <c r="BU59" s="310">
        <f t="shared" si="24"/>
        <v>7</v>
      </c>
    </row>
    <row r="60" spans="1:73" ht="13.5" customHeight="1" x14ac:dyDescent="0.3">
      <c r="A60" s="765"/>
      <c r="C60" s="741"/>
      <c r="D60" s="788" t="str">
        <f t="shared" si="13"/>
        <v xml:space="preserve"> 1. Sági Dávid</v>
      </c>
      <c r="E60" s="788"/>
      <c r="F60" s="788"/>
      <c r="G60" s="788"/>
      <c r="H60" s="274"/>
      <c r="I60" s="276"/>
      <c r="J60" s="782" t="str">
        <f t="shared" si="6"/>
        <v>0 pont</v>
      </c>
      <c r="K60" s="782"/>
      <c r="L60" s="782"/>
      <c r="M60" s="782" t="str">
        <f t="shared" si="14"/>
        <v>–</v>
      </c>
      <c r="N60" s="782"/>
      <c r="O60" s="782"/>
      <c r="P60" s="782" t="str">
        <f t="shared" si="15"/>
        <v>–</v>
      </c>
      <c r="Q60" s="782"/>
      <c r="R60" s="786"/>
      <c r="U60" s="793" t="str">
        <f t="shared" si="7"/>
        <v xml:space="preserve">  1. Kovács Ferenc</v>
      </c>
      <c r="V60" s="788"/>
      <c r="W60" s="788"/>
      <c r="X60" s="788"/>
      <c r="Y60" s="788"/>
      <c r="Z60" s="788"/>
      <c r="AA60" s="788"/>
      <c r="AB60" s="276"/>
      <c r="AC60" s="782" t="str">
        <f t="shared" si="8"/>
        <v>0 pont</v>
      </c>
      <c r="AD60" s="782"/>
      <c r="AE60" s="782"/>
      <c r="AF60" s="782" t="str">
        <f t="shared" si="9"/>
        <v>–</v>
      </c>
      <c r="AG60" s="782"/>
      <c r="AH60" s="782"/>
      <c r="AI60" s="782" t="str">
        <f t="shared" si="10"/>
        <v>–</v>
      </c>
      <c r="AJ60" s="782"/>
      <c r="AK60" s="786"/>
      <c r="AL60" s="24"/>
      <c r="AM60" s="24"/>
      <c r="BC60" s="311">
        <f t="shared" si="16"/>
        <v>1</v>
      </c>
      <c r="BD60" s="310" t="str">
        <f t="shared" si="17"/>
        <v>Sági Dávid</v>
      </c>
      <c r="BE60" s="521">
        <f t="shared" si="18"/>
        <v>0</v>
      </c>
      <c r="BF60" s="310" t="str">
        <f t="shared" si="25"/>
        <v>–</v>
      </c>
      <c r="BG60" s="521" t="str">
        <f t="shared" si="26"/>
        <v>–</v>
      </c>
      <c r="BJ60" s="311">
        <f t="shared" si="19"/>
        <v>0.16</v>
      </c>
      <c r="BK60" s="311">
        <v>8</v>
      </c>
      <c r="BM60" s="311">
        <f t="shared" si="11"/>
        <v>0.08</v>
      </c>
      <c r="BN60" s="310" t="str">
        <f t="shared" si="12"/>
        <v>Szabó Erika</v>
      </c>
      <c r="BO60" s="390" t="str">
        <f>""</f>
        <v/>
      </c>
      <c r="BP60" s="311">
        <f t="shared" si="20"/>
        <v>92</v>
      </c>
      <c r="BQ60" s="310" t="str">
        <f t="shared" si="21"/>
        <v>Szabó Erika</v>
      </c>
      <c r="BR60" s="390" t="str">
        <f>""</f>
        <v/>
      </c>
      <c r="BS60" s="311">
        <f t="shared" si="22"/>
        <v>92</v>
      </c>
      <c r="BT60" s="310" t="str">
        <f t="shared" si="23"/>
        <v>Szabó Erika</v>
      </c>
      <c r="BU60" s="310">
        <f t="shared" si="24"/>
        <v>8</v>
      </c>
    </row>
    <row r="61" spans="1:73" ht="13.5" customHeight="1" x14ac:dyDescent="0.3">
      <c r="A61" s="765"/>
      <c r="C61" s="741"/>
      <c r="D61" s="788" t="str">
        <f t="shared" si="13"/>
        <v xml:space="preserve"> 1. Kaszab Márk</v>
      </c>
      <c r="E61" s="788"/>
      <c r="F61" s="788"/>
      <c r="G61" s="788"/>
      <c r="H61" s="274"/>
      <c r="I61" s="276"/>
      <c r="J61" s="782" t="str">
        <f t="shared" si="6"/>
        <v>0 pont</v>
      </c>
      <c r="K61" s="782"/>
      <c r="L61" s="782"/>
      <c r="M61" s="782" t="str">
        <f t="shared" si="14"/>
        <v>–</v>
      </c>
      <c r="N61" s="782"/>
      <c r="O61" s="782"/>
      <c r="P61" s="782" t="str">
        <f t="shared" si="15"/>
        <v>–</v>
      </c>
      <c r="Q61" s="782"/>
      <c r="R61" s="786"/>
      <c r="U61" s="793" t="str">
        <f t="shared" si="7"/>
        <v/>
      </c>
      <c r="V61" s="788"/>
      <c r="W61" s="788"/>
      <c r="X61" s="788"/>
      <c r="Y61" s="788"/>
      <c r="Z61" s="788"/>
      <c r="AA61" s="788"/>
      <c r="AB61" s="276"/>
      <c r="AC61" s="782" t="str">
        <f t="shared" si="8"/>
        <v/>
      </c>
      <c r="AD61" s="782"/>
      <c r="AE61" s="782"/>
      <c r="AF61" s="782" t="str">
        <f t="shared" si="9"/>
        <v/>
      </c>
      <c r="AG61" s="782"/>
      <c r="AH61" s="782"/>
      <c r="AI61" s="782" t="str">
        <f t="shared" si="10"/>
        <v/>
      </c>
      <c r="AJ61" s="782"/>
      <c r="AK61" s="786"/>
      <c r="AL61" s="24"/>
      <c r="AM61" s="24"/>
      <c r="BC61" s="311">
        <f t="shared" si="16"/>
        <v>1</v>
      </c>
      <c r="BD61" s="310" t="str">
        <f t="shared" si="17"/>
        <v>Kaszab Márk</v>
      </c>
      <c r="BE61" s="521">
        <f t="shared" si="18"/>
        <v>0</v>
      </c>
      <c r="BF61" s="310" t="str">
        <f t="shared" si="25"/>
        <v>–</v>
      </c>
      <c r="BG61" s="521" t="str">
        <f t="shared" si="26"/>
        <v>–</v>
      </c>
      <c r="BJ61" s="311">
        <f t="shared" si="19"/>
        <v>0.15</v>
      </c>
      <c r="BK61" s="311">
        <v>9</v>
      </c>
      <c r="BM61" s="311">
        <f t="shared" si="11"/>
        <v>0.09</v>
      </c>
      <c r="BN61" s="310" t="str">
        <f t="shared" si="12"/>
        <v>Nagy Zsolt</v>
      </c>
      <c r="BO61" s="390" t="str">
        <f>""</f>
        <v/>
      </c>
      <c r="BP61" s="311">
        <f t="shared" si="20"/>
        <v>91</v>
      </c>
      <c r="BQ61" s="310" t="str">
        <f t="shared" si="21"/>
        <v>Nagy Zsolt</v>
      </c>
      <c r="BR61" s="390" t="str">
        <f>""</f>
        <v/>
      </c>
      <c r="BS61" s="311">
        <f t="shared" si="22"/>
        <v>91</v>
      </c>
      <c r="BT61" s="310" t="str">
        <f t="shared" si="23"/>
        <v>Nagy Zsolt</v>
      </c>
      <c r="BU61" s="310">
        <f t="shared" si="24"/>
        <v>9</v>
      </c>
    </row>
    <row r="62" spans="1:73" ht="13.5" customHeight="1" x14ac:dyDescent="0.3">
      <c r="A62" s="765"/>
      <c r="C62" s="741"/>
      <c r="D62" s="788" t="str">
        <f t="shared" si="13"/>
        <v xml:space="preserve"> 1. Kállai Gábor</v>
      </c>
      <c r="E62" s="788"/>
      <c r="F62" s="788"/>
      <c r="G62" s="788"/>
      <c r="H62" s="274"/>
      <c r="I62" s="276"/>
      <c r="J62" s="782" t="str">
        <f t="shared" si="6"/>
        <v>0 pont</v>
      </c>
      <c r="K62" s="782"/>
      <c r="L62" s="782"/>
      <c r="M62" s="782" t="str">
        <f t="shared" si="14"/>
        <v>–</v>
      </c>
      <c r="N62" s="782"/>
      <c r="O62" s="782"/>
      <c r="P62" s="782" t="str">
        <f t="shared" si="15"/>
        <v>–</v>
      </c>
      <c r="Q62" s="782"/>
      <c r="R62" s="786"/>
      <c r="U62" s="793" t="str">
        <f t="shared" si="7"/>
        <v/>
      </c>
      <c r="V62" s="788"/>
      <c r="W62" s="788"/>
      <c r="X62" s="788"/>
      <c r="Y62" s="788"/>
      <c r="Z62" s="788"/>
      <c r="AA62" s="788"/>
      <c r="AB62" s="276"/>
      <c r="AC62" s="782" t="str">
        <f t="shared" si="8"/>
        <v/>
      </c>
      <c r="AD62" s="782"/>
      <c r="AE62" s="782"/>
      <c r="AF62" s="782" t="str">
        <f t="shared" si="9"/>
        <v/>
      </c>
      <c r="AG62" s="782"/>
      <c r="AH62" s="782"/>
      <c r="AI62" s="782" t="str">
        <f t="shared" si="10"/>
        <v/>
      </c>
      <c r="AJ62" s="782"/>
      <c r="AK62" s="786"/>
      <c r="AL62" s="24"/>
      <c r="AM62" s="24"/>
      <c r="BC62" s="311">
        <f t="shared" si="16"/>
        <v>1</v>
      </c>
      <c r="BD62" s="310" t="str">
        <f t="shared" si="17"/>
        <v>Kállai Gábor</v>
      </c>
      <c r="BE62" s="521">
        <f t="shared" si="18"/>
        <v>0</v>
      </c>
      <c r="BF62" s="310" t="str">
        <f t="shared" si="25"/>
        <v>–</v>
      </c>
      <c r="BG62" s="521" t="str">
        <f t="shared" si="26"/>
        <v>–</v>
      </c>
      <c r="BJ62" s="311">
        <f t="shared" si="19"/>
        <v>0.14000000000000001</v>
      </c>
      <c r="BK62" s="311">
        <v>10</v>
      </c>
      <c r="BM62" s="311">
        <f t="shared" si="11"/>
        <v>0.1</v>
      </c>
      <c r="BN62" s="310" t="str">
        <f t="shared" si="12"/>
        <v>Kácsor Béla</v>
      </c>
      <c r="BO62" s="390" t="str">
        <f>""</f>
        <v/>
      </c>
      <c r="BP62" s="311">
        <f t="shared" si="20"/>
        <v>90</v>
      </c>
      <c r="BQ62" s="310" t="str">
        <f t="shared" si="21"/>
        <v>Kácsor Béla</v>
      </c>
      <c r="BR62" s="390" t="str">
        <f>""</f>
        <v/>
      </c>
      <c r="BS62" s="311">
        <f t="shared" si="22"/>
        <v>90</v>
      </c>
      <c r="BT62" s="310" t="str">
        <f t="shared" si="23"/>
        <v>Kácsor Béla</v>
      </c>
      <c r="BU62" s="310">
        <f t="shared" si="24"/>
        <v>10</v>
      </c>
    </row>
    <row r="63" spans="1:73" ht="13.5" customHeight="1" x14ac:dyDescent="0.3">
      <c r="A63" s="765"/>
      <c r="C63" s="741"/>
      <c r="D63" s="788" t="str">
        <f>IF(BD63=0,""," "&amp;BC63&amp;". "&amp;BD63)</f>
        <v xml:space="preserve"> 1. Horváth Csaba</v>
      </c>
      <c r="E63" s="788"/>
      <c r="F63" s="788"/>
      <c r="G63" s="788"/>
      <c r="H63" s="274"/>
      <c r="I63" s="276"/>
      <c r="J63" s="782" t="str">
        <f t="shared" si="6"/>
        <v>0 pont</v>
      </c>
      <c r="K63" s="782"/>
      <c r="L63" s="782"/>
      <c r="M63" s="782" t="str">
        <f t="shared" si="14"/>
        <v>–</v>
      </c>
      <c r="N63" s="782"/>
      <c r="O63" s="782"/>
      <c r="P63" s="782" t="str">
        <f t="shared" si="15"/>
        <v>–</v>
      </c>
      <c r="Q63" s="782"/>
      <c r="R63" s="786"/>
      <c r="U63" s="793" t="str">
        <f t="shared" si="7"/>
        <v/>
      </c>
      <c r="V63" s="788"/>
      <c r="W63" s="788"/>
      <c r="X63" s="788"/>
      <c r="Y63" s="788"/>
      <c r="Z63" s="788"/>
      <c r="AA63" s="788"/>
      <c r="AB63" s="276"/>
      <c r="AC63" s="782" t="str">
        <f t="shared" si="8"/>
        <v/>
      </c>
      <c r="AD63" s="782"/>
      <c r="AE63" s="782"/>
      <c r="AF63" s="782" t="str">
        <f t="shared" si="9"/>
        <v/>
      </c>
      <c r="AG63" s="782"/>
      <c r="AH63" s="782"/>
      <c r="AI63" s="782" t="str">
        <f t="shared" si="10"/>
        <v/>
      </c>
      <c r="AJ63" s="782"/>
      <c r="AK63" s="786"/>
      <c r="AL63" s="24"/>
      <c r="AM63" s="24"/>
      <c r="BC63" s="311">
        <f t="shared" si="16"/>
        <v>1</v>
      </c>
      <c r="BD63" s="310" t="str">
        <f t="shared" si="17"/>
        <v>Horváth Csaba</v>
      </c>
      <c r="BE63" s="521">
        <f t="shared" si="18"/>
        <v>0</v>
      </c>
      <c r="BF63" s="310" t="str">
        <f t="shared" si="25"/>
        <v>–</v>
      </c>
      <c r="BG63" s="521" t="str">
        <f t="shared" si="26"/>
        <v>–</v>
      </c>
      <c r="BJ63" s="311">
        <f t="shared" si="19"/>
        <v>0.13</v>
      </c>
      <c r="BK63" s="311">
        <v>11</v>
      </c>
      <c r="BM63" s="311">
        <f t="shared" si="11"/>
        <v>0.11</v>
      </c>
      <c r="BN63" s="310" t="str">
        <f t="shared" si="12"/>
        <v>Takó Norbert</v>
      </c>
      <c r="BO63" s="390" t="str">
        <f>""</f>
        <v/>
      </c>
      <c r="BP63" s="311">
        <f t="shared" si="20"/>
        <v>89</v>
      </c>
      <c r="BQ63" s="310" t="str">
        <f t="shared" si="21"/>
        <v>Takó Norbert</v>
      </c>
      <c r="BR63" s="390" t="str">
        <f>""</f>
        <v/>
      </c>
      <c r="BS63" s="311">
        <f t="shared" si="22"/>
        <v>89</v>
      </c>
      <c r="BT63" s="310" t="str">
        <f t="shared" si="23"/>
        <v>Takó Norbert</v>
      </c>
      <c r="BU63" s="310">
        <f t="shared" si="24"/>
        <v>11</v>
      </c>
    </row>
    <row r="64" spans="1:73" ht="13.5" customHeight="1" x14ac:dyDescent="0.3">
      <c r="A64" s="765"/>
      <c r="C64" s="741"/>
      <c r="D64" s="788" t="str">
        <f t="shared" si="13"/>
        <v xml:space="preserve"> 1. Kozma Béla</v>
      </c>
      <c r="E64" s="788"/>
      <c r="F64" s="788"/>
      <c r="G64" s="788"/>
      <c r="H64" s="274"/>
      <c r="I64" s="276"/>
      <c r="J64" s="782" t="str">
        <f t="shared" si="6"/>
        <v>0 pont</v>
      </c>
      <c r="K64" s="782"/>
      <c r="L64" s="782"/>
      <c r="M64" s="782" t="str">
        <f t="shared" si="14"/>
        <v>–</v>
      </c>
      <c r="N64" s="782"/>
      <c r="O64" s="782"/>
      <c r="P64" s="782" t="str">
        <f t="shared" si="15"/>
        <v>–</v>
      </c>
      <c r="Q64" s="782"/>
      <c r="R64" s="786"/>
      <c r="U64" s="793" t="str">
        <f t="shared" si="7"/>
        <v/>
      </c>
      <c r="V64" s="788"/>
      <c r="W64" s="788"/>
      <c r="X64" s="788"/>
      <c r="Y64" s="788"/>
      <c r="Z64" s="788"/>
      <c r="AA64" s="788"/>
      <c r="AB64" s="276"/>
      <c r="AC64" s="782" t="str">
        <f t="shared" si="8"/>
        <v/>
      </c>
      <c r="AD64" s="782"/>
      <c r="AE64" s="782"/>
      <c r="AF64" s="782" t="str">
        <f t="shared" si="9"/>
        <v/>
      </c>
      <c r="AG64" s="782"/>
      <c r="AH64" s="782"/>
      <c r="AI64" s="782" t="str">
        <f t="shared" si="10"/>
        <v/>
      </c>
      <c r="AJ64" s="782"/>
      <c r="AK64" s="786"/>
      <c r="AL64" s="24"/>
      <c r="AM64" s="24"/>
      <c r="BC64" s="311">
        <f t="shared" si="16"/>
        <v>1</v>
      </c>
      <c r="BD64" s="310" t="str">
        <f t="shared" si="17"/>
        <v>Kozma Béla</v>
      </c>
      <c r="BE64" s="521">
        <f t="shared" si="18"/>
        <v>0</v>
      </c>
      <c r="BF64" s="310" t="str">
        <f t="shared" si="25"/>
        <v>–</v>
      </c>
      <c r="BG64" s="521" t="str">
        <f t="shared" si="26"/>
        <v>–</v>
      </c>
      <c r="BJ64" s="311">
        <f t="shared" si="19"/>
        <v>0.12</v>
      </c>
      <c r="BK64" s="311">
        <v>12</v>
      </c>
      <c r="BM64" s="311">
        <f t="shared" si="11"/>
        <v>0.12</v>
      </c>
      <c r="BN64" s="310" t="str">
        <f t="shared" si="12"/>
        <v>Kozma Béla</v>
      </c>
      <c r="BO64" s="390" t="str">
        <f>""</f>
        <v/>
      </c>
      <c r="BP64" s="311">
        <f t="shared" si="20"/>
        <v>88</v>
      </c>
      <c r="BQ64" s="310" t="str">
        <f t="shared" si="21"/>
        <v>Kozma Béla</v>
      </c>
      <c r="BR64" s="390" t="str">
        <f>""</f>
        <v/>
      </c>
      <c r="BS64" s="311">
        <f t="shared" si="22"/>
        <v>88</v>
      </c>
      <c r="BT64" s="310" t="str">
        <f t="shared" si="23"/>
        <v>Kozma Béla</v>
      </c>
      <c r="BU64" s="310">
        <f t="shared" si="24"/>
        <v>12</v>
      </c>
    </row>
    <row r="65" spans="1:73" ht="13.5" customHeight="1" x14ac:dyDescent="0.3">
      <c r="A65" s="765"/>
      <c r="C65" s="741"/>
      <c r="D65" s="788" t="str">
        <f t="shared" si="13"/>
        <v xml:space="preserve"> 1. Takó Norbert</v>
      </c>
      <c r="E65" s="788"/>
      <c r="F65" s="788"/>
      <c r="G65" s="788"/>
      <c r="H65" s="274"/>
      <c r="I65" s="276"/>
      <c r="J65" s="782" t="str">
        <f t="shared" si="6"/>
        <v>0 pont</v>
      </c>
      <c r="K65" s="782"/>
      <c r="L65" s="782"/>
      <c r="M65" s="782" t="str">
        <f t="shared" si="14"/>
        <v>–</v>
      </c>
      <c r="N65" s="782"/>
      <c r="O65" s="782"/>
      <c r="P65" s="782" t="str">
        <f t="shared" si="15"/>
        <v>–</v>
      </c>
      <c r="Q65" s="782"/>
      <c r="R65" s="786"/>
      <c r="U65" s="793" t="str">
        <f t="shared" si="7"/>
        <v/>
      </c>
      <c r="V65" s="788"/>
      <c r="W65" s="788"/>
      <c r="X65" s="788"/>
      <c r="Y65" s="788"/>
      <c r="Z65" s="788"/>
      <c r="AA65" s="788"/>
      <c r="AB65" s="276"/>
      <c r="AC65" s="782" t="str">
        <f t="shared" si="8"/>
        <v/>
      </c>
      <c r="AD65" s="782"/>
      <c r="AE65" s="782"/>
      <c r="AF65" s="782" t="str">
        <f t="shared" si="9"/>
        <v/>
      </c>
      <c r="AG65" s="782"/>
      <c r="AH65" s="782"/>
      <c r="AI65" s="782" t="str">
        <f t="shared" si="10"/>
        <v/>
      </c>
      <c r="AJ65" s="782"/>
      <c r="AK65" s="786"/>
      <c r="AL65" s="24"/>
      <c r="AM65" s="24"/>
      <c r="BC65" s="311">
        <f t="shared" si="16"/>
        <v>1</v>
      </c>
      <c r="BD65" s="310" t="str">
        <f t="shared" si="17"/>
        <v>Takó Norbert</v>
      </c>
      <c r="BE65" s="521">
        <f t="shared" si="18"/>
        <v>0</v>
      </c>
      <c r="BF65" s="310" t="str">
        <f t="shared" si="25"/>
        <v>–</v>
      </c>
      <c r="BG65" s="521" t="str">
        <f t="shared" si="26"/>
        <v>–</v>
      </c>
      <c r="BJ65" s="311">
        <f t="shared" si="19"/>
        <v>0.11</v>
      </c>
      <c r="BK65" s="311">
        <v>13</v>
      </c>
      <c r="BM65" s="311">
        <f t="shared" si="11"/>
        <v>0.13</v>
      </c>
      <c r="BN65" s="310" t="str">
        <f t="shared" si="12"/>
        <v>Horváth Csaba</v>
      </c>
      <c r="BO65" s="390" t="str">
        <f>""</f>
        <v/>
      </c>
      <c r="BP65" s="311">
        <f t="shared" si="20"/>
        <v>87</v>
      </c>
      <c r="BQ65" s="310" t="str">
        <f t="shared" si="21"/>
        <v>Horváth Csaba</v>
      </c>
      <c r="BR65" s="390" t="str">
        <f>""</f>
        <v/>
      </c>
      <c r="BS65" s="311">
        <f t="shared" si="22"/>
        <v>87</v>
      </c>
      <c r="BT65" s="310" t="str">
        <f t="shared" si="23"/>
        <v>Horváth Csaba</v>
      </c>
      <c r="BU65" s="310">
        <f t="shared" si="24"/>
        <v>13</v>
      </c>
    </row>
    <row r="66" spans="1:73" ht="13.5" customHeight="1" x14ac:dyDescent="0.3">
      <c r="A66" s="765"/>
      <c r="C66" s="741"/>
      <c r="D66" s="788" t="str">
        <f t="shared" si="13"/>
        <v xml:space="preserve"> 1. Kácsor Béla</v>
      </c>
      <c r="E66" s="788"/>
      <c r="F66" s="788"/>
      <c r="G66" s="788"/>
      <c r="H66" s="274"/>
      <c r="I66" s="276"/>
      <c r="J66" s="782" t="str">
        <f t="shared" si="6"/>
        <v>0 pont</v>
      </c>
      <c r="K66" s="782"/>
      <c r="L66" s="782"/>
      <c r="M66" s="782" t="str">
        <f t="shared" si="14"/>
        <v>–</v>
      </c>
      <c r="N66" s="782"/>
      <c r="O66" s="782"/>
      <c r="P66" s="782" t="str">
        <f t="shared" si="15"/>
        <v>–</v>
      </c>
      <c r="Q66" s="782"/>
      <c r="R66" s="786"/>
      <c r="U66" s="793" t="str">
        <f t="shared" si="7"/>
        <v/>
      </c>
      <c r="V66" s="788"/>
      <c r="W66" s="788"/>
      <c r="X66" s="788"/>
      <c r="Y66" s="788"/>
      <c r="Z66" s="788"/>
      <c r="AA66" s="788"/>
      <c r="AB66" s="276"/>
      <c r="AC66" s="782" t="str">
        <f t="shared" si="8"/>
        <v/>
      </c>
      <c r="AD66" s="782"/>
      <c r="AE66" s="782"/>
      <c r="AF66" s="782" t="str">
        <f t="shared" si="9"/>
        <v/>
      </c>
      <c r="AG66" s="782"/>
      <c r="AH66" s="782"/>
      <c r="AI66" s="782" t="str">
        <f t="shared" si="10"/>
        <v/>
      </c>
      <c r="AJ66" s="782"/>
      <c r="AK66" s="786"/>
      <c r="AL66" s="24"/>
      <c r="AM66" s="24"/>
      <c r="BC66" s="311">
        <f t="shared" si="16"/>
        <v>1</v>
      </c>
      <c r="BD66" s="310" t="str">
        <f t="shared" si="17"/>
        <v>Kácsor Béla</v>
      </c>
      <c r="BE66" s="521">
        <f t="shared" si="18"/>
        <v>0</v>
      </c>
      <c r="BF66" s="310" t="str">
        <f t="shared" si="25"/>
        <v>–</v>
      </c>
      <c r="BG66" s="521" t="str">
        <f t="shared" si="26"/>
        <v>–</v>
      </c>
      <c r="BJ66" s="311">
        <f t="shared" si="19"/>
        <v>0.1</v>
      </c>
      <c r="BK66" s="311">
        <v>14</v>
      </c>
      <c r="BM66" s="311">
        <f t="shared" si="11"/>
        <v>0.14000000000000001</v>
      </c>
      <c r="BN66" s="310" t="str">
        <f t="shared" si="12"/>
        <v>Kállai Gábor</v>
      </c>
      <c r="BO66" s="390" t="str">
        <f>""</f>
        <v/>
      </c>
      <c r="BP66" s="311">
        <f t="shared" si="20"/>
        <v>86</v>
      </c>
      <c r="BQ66" s="310" t="str">
        <f t="shared" si="21"/>
        <v>Kállai Gábor</v>
      </c>
      <c r="BR66" s="390" t="str">
        <f>""</f>
        <v/>
      </c>
      <c r="BS66" s="311">
        <f t="shared" si="22"/>
        <v>86</v>
      </c>
      <c r="BT66" s="310" t="str">
        <f t="shared" si="23"/>
        <v>Kállai Gábor</v>
      </c>
      <c r="BU66" s="310">
        <f t="shared" si="24"/>
        <v>14</v>
      </c>
    </row>
    <row r="67" spans="1:73" ht="13.5" customHeight="1" x14ac:dyDescent="0.3">
      <c r="A67" s="765"/>
      <c r="C67" s="742"/>
      <c r="D67" s="799" t="str">
        <f t="shared" si="13"/>
        <v xml:space="preserve"> 1. Nagy Zsolt</v>
      </c>
      <c r="E67" s="799"/>
      <c r="F67" s="799"/>
      <c r="G67" s="799"/>
      <c r="H67" s="743"/>
      <c r="I67" s="651"/>
      <c r="J67" s="794" t="str">
        <f t="shared" si="6"/>
        <v>0 pont</v>
      </c>
      <c r="K67" s="794"/>
      <c r="L67" s="794"/>
      <c r="M67" s="794" t="str">
        <f t="shared" si="14"/>
        <v>–</v>
      </c>
      <c r="N67" s="794"/>
      <c r="O67" s="794"/>
      <c r="P67" s="794" t="str">
        <f t="shared" si="15"/>
        <v>–</v>
      </c>
      <c r="Q67" s="794"/>
      <c r="R67" s="795"/>
      <c r="U67" s="798" t="str">
        <f t="shared" si="7"/>
        <v/>
      </c>
      <c r="V67" s="799"/>
      <c r="W67" s="799"/>
      <c r="X67" s="799"/>
      <c r="Y67" s="799"/>
      <c r="Z67" s="799"/>
      <c r="AA67" s="799"/>
      <c r="AB67" s="651"/>
      <c r="AC67" s="794" t="str">
        <f t="shared" si="8"/>
        <v/>
      </c>
      <c r="AD67" s="794"/>
      <c r="AE67" s="794"/>
      <c r="AF67" s="794" t="str">
        <f t="shared" si="9"/>
        <v/>
      </c>
      <c r="AG67" s="794"/>
      <c r="AH67" s="794"/>
      <c r="AI67" s="794" t="str">
        <f t="shared" si="10"/>
        <v/>
      </c>
      <c r="AJ67" s="794"/>
      <c r="AK67" s="795"/>
      <c r="AL67" s="24"/>
      <c r="AM67" s="24"/>
      <c r="BC67" s="311">
        <f t="shared" si="16"/>
        <v>1</v>
      </c>
      <c r="BD67" s="310" t="str">
        <f t="shared" si="17"/>
        <v>Nagy Zsolt</v>
      </c>
      <c r="BE67" s="521">
        <f t="shared" si="18"/>
        <v>0</v>
      </c>
      <c r="BF67" s="310" t="str">
        <f t="shared" si="25"/>
        <v>–</v>
      </c>
      <c r="BG67" s="521" t="str">
        <f t="shared" si="26"/>
        <v>–</v>
      </c>
      <c r="BJ67" s="311">
        <f t="shared" si="19"/>
        <v>0.09</v>
      </c>
      <c r="BK67" s="311">
        <v>15</v>
      </c>
      <c r="BM67" s="311">
        <f t="shared" si="11"/>
        <v>0.15</v>
      </c>
      <c r="BN67" s="310" t="str">
        <f t="shared" si="12"/>
        <v>Kaszab Márk</v>
      </c>
      <c r="BO67" s="390" t="str">
        <f>""</f>
        <v/>
      </c>
      <c r="BP67" s="311">
        <f t="shared" si="20"/>
        <v>85</v>
      </c>
      <c r="BQ67" s="310" t="str">
        <f t="shared" si="21"/>
        <v>Kaszab Márk</v>
      </c>
      <c r="BR67" s="390" t="str">
        <f>""</f>
        <v/>
      </c>
      <c r="BS67" s="311">
        <f t="shared" si="22"/>
        <v>85</v>
      </c>
      <c r="BT67" s="310" t="str">
        <f t="shared" si="23"/>
        <v>Kaszab Márk</v>
      </c>
      <c r="BU67" s="310">
        <f t="shared" si="24"/>
        <v>15</v>
      </c>
    </row>
    <row r="68" spans="1:73" ht="13.5" customHeight="1" x14ac:dyDescent="0.3">
      <c r="A68" s="765"/>
      <c r="E68" s="286"/>
      <c r="F68" s="286"/>
      <c r="G68" s="286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BC68" s="311">
        <f t="shared" si="16"/>
        <v>1</v>
      </c>
      <c r="BD68" s="310" t="str">
        <f t="shared" si="17"/>
        <v>Szabó Erika</v>
      </c>
      <c r="BE68" s="521">
        <f t="shared" si="18"/>
        <v>0</v>
      </c>
      <c r="BF68" s="310" t="str">
        <f t="shared" si="25"/>
        <v>–</v>
      </c>
      <c r="BG68" s="521" t="str">
        <f t="shared" si="26"/>
        <v>–</v>
      </c>
      <c r="BJ68" s="311">
        <f t="shared" si="19"/>
        <v>0.08</v>
      </c>
      <c r="BK68" s="311">
        <v>16</v>
      </c>
      <c r="BM68" s="311">
        <f t="shared" si="11"/>
        <v>0.16</v>
      </c>
      <c r="BN68" s="310" t="str">
        <f t="shared" ref="BN68:BN76" si="27">IF(NOT(AX21),0,AV21)</f>
        <v>Sági Dávid</v>
      </c>
      <c r="BO68" s="390" t="str">
        <f>""</f>
        <v/>
      </c>
      <c r="BP68" s="311">
        <f t="shared" si="20"/>
        <v>84</v>
      </c>
      <c r="BQ68" s="310" t="str">
        <f t="shared" si="21"/>
        <v>Sági Dávid</v>
      </c>
      <c r="BR68" s="390" t="str">
        <f>""</f>
        <v/>
      </c>
      <c r="BS68" s="311">
        <f t="shared" si="22"/>
        <v>84</v>
      </c>
      <c r="BT68" s="310" t="str">
        <f t="shared" si="23"/>
        <v>Sági Dávid</v>
      </c>
      <c r="BU68" s="310">
        <f t="shared" si="24"/>
        <v>16</v>
      </c>
    </row>
    <row r="69" spans="1:73" ht="13.5" customHeight="1" x14ac:dyDescent="0.3">
      <c r="A69" s="765"/>
      <c r="E69" s="286"/>
      <c r="F69" s="286"/>
      <c r="G69" s="286"/>
      <c r="AJ69" s="24"/>
      <c r="AK69" s="24"/>
      <c r="AL69" s="24"/>
      <c r="AM69" s="24"/>
      <c r="BC69" s="311">
        <f t="shared" si="16"/>
        <v>1</v>
      </c>
      <c r="BD69" s="310" t="str">
        <f t="shared" si="17"/>
        <v>Dósa Róbert</v>
      </c>
      <c r="BE69" s="521">
        <f t="shared" si="18"/>
        <v>0</v>
      </c>
      <c r="BF69" s="310" t="str">
        <f t="shared" si="25"/>
        <v>–</v>
      </c>
      <c r="BG69" s="521" t="str">
        <f t="shared" si="26"/>
        <v>–</v>
      </c>
      <c r="BJ69" s="311">
        <f t="shared" si="19"/>
        <v>7.0000000000000007E-2</v>
      </c>
      <c r="BK69" s="311">
        <v>17</v>
      </c>
      <c r="BM69" s="311">
        <f t="shared" si="11"/>
        <v>0.17</v>
      </c>
      <c r="BN69" s="310" t="str">
        <f t="shared" si="27"/>
        <v>Csontos József</v>
      </c>
      <c r="BO69" s="390" t="str">
        <f>""</f>
        <v/>
      </c>
      <c r="BP69" s="311">
        <f t="shared" si="20"/>
        <v>83</v>
      </c>
      <c r="BQ69" s="310" t="str">
        <f t="shared" si="21"/>
        <v>Csontos József</v>
      </c>
      <c r="BR69" s="390" t="str">
        <f>""</f>
        <v/>
      </c>
      <c r="BS69" s="311">
        <f t="shared" si="22"/>
        <v>83</v>
      </c>
      <c r="BT69" s="310" t="str">
        <f t="shared" si="23"/>
        <v>Csontos József</v>
      </c>
      <c r="BU69" s="310">
        <f t="shared" si="24"/>
        <v>17</v>
      </c>
    </row>
    <row r="70" spans="1:73" ht="13.5" customHeight="1" x14ac:dyDescent="0.3">
      <c r="A70" s="765"/>
      <c r="E70" s="286"/>
      <c r="F70" s="286"/>
      <c r="G70" s="286"/>
      <c r="AJ70" s="24"/>
      <c r="AK70" s="24"/>
      <c r="AL70" s="24"/>
      <c r="AM70" s="24"/>
      <c r="BC70" s="311">
        <f t="shared" si="16"/>
        <v>1</v>
      </c>
      <c r="BD70" s="310" t="str">
        <f t="shared" si="17"/>
        <v>Nagy Ádám</v>
      </c>
      <c r="BE70" s="521">
        <f t="shared" si="18"/>
        <v>0</v>
      </c>
      <c r="BF70" s="310" t="str">
        <f t="shared" si="25"/>
        <v>–</v>
      </c>
      <c r="BG70" s="521" t="str">
        <f t="shared" si="26"/>
        <v>–</v>
      </c>
      <c r="BJ70" s="311">
        <f t="shared" si="19"/>
        <v>0.06</v>
      </c>
      <c r="BK70" s="311">
        <v>18</v>
      </c>
      <c r="BM70" s="311">
        <f t="shared" si="11"/>
        <v>0.18</v>
      </c>
      <c r="BN70" s="310" t="str">
        <f t="shared" si="27"/>
        <v>Faragó István</v>
      </c>
      <c r="BO70" s="390" t="str">
        <f>""</f>
        <v/>
      </c>
      <c r="BP70" s="311">
        <f t="shared" si="20"/>
        <v>82</v>
      </c>
      <c r="BQ70" s="310" t="str">
        <f t="shared" si="21"/>
        <v>Faragó István</v>
      </c>
      <c r="BR70" s="390" t="str">
        <f>""</f>
        <v/>
      </c>
      <c r="BS70" s="311">
        <f t="shared" si="22"/>
        <v>82</v>
      </c>
      <c r="BT70" s="310" t="str">
        <f t="shared" si="23"/>
        <v>Faragó István</v>
      </c>
      <c r="BU70" s="310">
        <f t="shared" si="24"/>
        <v>18</v>
      </c>
    </row>
    <row r="71" spans="1:73" ht="13.5" customHeight="1" x14ac:dyDescent="0.3">
      <c r="A71" s="765"/>
      <c r="E71" s="286"/>
      <c r="F71" s="286"/>
      <c r="G71" s="286"/>
      <c r="AJ71" s="24"/>
      <c r="AK71" s="24"/>
      <c r="AL71" s="24"/>
      <c r="AM71" s="24"/>
      <c r="BC71" s="311">
        <f t="shared" si="16"/>
        <v>1</v>
      </c>
      <c r="BD71" s="310" t="str">
        <f t="shared" si="17"/>
        <v>Sőregi Bálint</v>
      </c>
      <c r="BE71" s="521">
        <f t="shared" si="18"/>
        <v>0</v>
      </c>
      <c r="BF71" s="310" t="str">
        <f t="shared" si="25"/>
        <v>–</v>
      </c>
      <c r="BG71" s="521" t="str">
        <f t="shared" si="26"/>
        <v>–</v>
      </c>
      <c r="BJ71" s="311">
        <f t="shared" si="19"/>
        <v>0.05</v>
      </c>
      <c r="BK71" s="311">
        <v>19</v>
      </c>
      <c r="BM71" s="311">
        <f t="shared" si="11"/>
        <v>0.19</v>
      </c>
      <c r="BN71" s="310" t="str">
        <f t="shared" si="27"/>
        <v>Vincze Dávid</v>
      </c>
      <c r="BO71" s="390" t="str">
        <f>""</f>
        <v/>
      </c>
      <c r="BP71" s="311">
        <f t="shared" si="20"/>
        <v>81</v>
      </c>
      <c r="BQ71" s="310" t="str">
        <f t="shared" si="21"/>
        <v>Vincze Dávid</v>
      </c>
      <c r="BR71" s="390" t="str">
        <f>""</f>
        <v/>
      </c>
      <c r="BS71" s="311">
        <f t="shared" si="22"/>
        <v>81</v>
      </c>
      <c r="BT71" s="310" t="str">
        <f t="shared" si="23"/>
        <v>Vincze Dávid</v>
      </c>
      <c r="BU71" s="310">
        <f t="shared" si="24"/>
        <v>19</v>
      </c>
    </row>
    <row r="72" spans="1:73" ht="13.5" customHeight="1" x14ac:dyDescent="0.3">
      <c r="A72" s="765"/>
      <c r="E72" s="286"/>
      <c r="F72" s="286"/>
      <c r="G72" s="286"/>
      <c r="AJ72" s="24"/>
      <c r="AK72" s="24"/>
      <c r="AL72" s="24"/>
      <c r="AM72" s="24"/>
      <c r="BC72" s="311">
        <f t="shared" si="16"/>
        <v>1</v>
      </c>
      <c r="BD72" s="310" t="str">
        <f t="shared" si="17"/>
        <v>Nagy Norbert</v>
      </c>
      <c r="BE72" s="521">
        <f t="shared" si="18"/>
        <v>0</v>
      </c>
      <c r="BF72" s="310" t="str">
        <f t="shared" si="25"/>
        <v>–</v>
      </c>
      <c r="BG72" s="521" t="str">
        <f t="shared" si="26"/>
        <v>–</v>
      </c>
      <c r="BJ72" s="311">
        <f t="shared" si="19"/>
        <v>0.04</v>
      </c>
      <c r="BK72" s="311">
        <v>20</v>
      </c>
      <c r="BM72" s="311">
        <f t="shared" si="11"/>
        <v>0.2</v>
      </c>
      <c r="BN72" s="310" t="str">
        <f t="shared" si="27"/>
        <v>Suvada László</v>
      </c>
      <c r="BO72" s="390" t="str">
        <f>""</f>
        <v/>
      </c>
      <c r="BP72" s="311">
        <f t="shared" si="20"/>
        <v>80</v>
      </c>
      <c r="BQ72" s="310" t="str">
        <f t="shared" si="21"/>
        <v>Suvada László</v>
      </c>
      <c r="BR72" s="390" t="str">
        <f>""</f>
        <v/>
      </c>
      <c r="BS72" s="311">
        <f t="shared" si="22"/>
        <v>80</v>
      </c>
      <c r="BT72" s="310" t="str">
        <f t="shared" si="23"/>
        <v>Suvada László</v>
      </c>
      <c r="BU72" s="310">
        <f t="shared" si="24"/>
        <v>20</v>
      </c>
    </row>
    <row r="73" spans="1:73" ht="13.5" customHeight="1" x14ac:dyDescent="0.3">
      <c r="A73" s="765"/>
      <c r="E73" s="286"/>
      <c r="F73" s="286"/>
      <c r="G73" s="286"/>
      <c r="AJ73" s="24"/>
      <c r="AK73" s="24"/>
      <c r="AL73" s="24"/>
      <c r="AM73" s="24"/>
      <c r="BC73" s="311">
        <f t="shared" si="16"/>
        <v>1</v>
      </c>
      <c r="BD73" s="310" t="str">
        <f t="shared" si="17"/>
        <v>Valisko Gerő</v>
      </c>
      <c r="BE73" s="521">
        <f t="shared" si="18"/>
        <v>0</v>
      </c>
      <c r="BF73" s="310" t="str">
        <f t="shared" si="25"/>
        <v>–</v>
      </c>
      <c r="BG73" s="521" t="str">
        <f t="shared" si="26"/>
        <v>–</v>
      </c>
      <c r="BJ73" s="311">
        <f t="shared" si="19"/>
        <v>0.03</v>
      </c>
      <c r="BK73" s="311">
        <v>21</v>
      </c>
      <c r="BM73" s="311">
        <f t="shared" si="11"/>
        <v>0.21</v>
      </c>
      <c r="BN73" s="310" t="str">
        <f t="shared" si="27"/>
        <v>Csáki Levente</v>
      </c>
      <c r="BO73" s="390" t="str">
        <f>""</f>
        <v/>
      </c>
      <c r="BP73" s="311">
        <f t="shared" si="20"/>
        <v>79</v>
      </c>
      <c r="BQ73" s="310" t="str">
        <f t="shared" si="21"/>
        <v>Csáki Levente</v>
      </c>
      <c r="BR73" s="390" t="str">
        <f>""</f>
        <v/>
      </c>
      <c r="BS73" s="311">
        <f t="shared" si="22"/>
        <v>79</v>
      </c>
      <c r="BT73" s="310" t="str">
        <f t="shared" si="23"/>
        <v>Csáki Levente</v>
      </c>
      <c r="BU73" s="310">
        <f t="shared" si="24"/>
        <v>21</v>
      </c>
    </row>
    <row r="74" spans="1:73" ht="13.5" customHeight="1" x14ac:dyDescent="0.3">
      <c r="A74" s="765"/>
      <c r="E74" s="286"/>
      <c r="F74" s="286"/>
      <c r="G74" s="286"/>
      <c r="AJ74" s="24"/>
      <c r="AK74" s="24"/>
      <c r="AL74" s="24"/>
      <c r="AM74" s="24"/>
      <c r="BC74" s="311">
        <f t="shared" si="16"/>
        <v>1</v>
      </c>
      <c r="BD74" s="310" t="str">
        <f t="shared" si="17"/>
        <v>Csomós László Richárd</v>
      </c>
      <c r="BE74" s="521">
        <f t="shared" si="18"/>
        <v>0</v>
      </c>
      <c r="BF74" s="310" t="str">
        <f t="shared" si="25"/>
        <v>–</v>
      </c>
      <c r="BG74" s="521" t="str">
        <f t="shared" si="26"/>
        <v>–</v>
      </c>
      <c r="BJ74" s="311">
        <f t="shared" si="19"/>
        <v>0.02</v>
      </c>
      <c r="BK74" s="311">
        <v>22</v>
      </c>
      <c r="BM74" s="311">
        <f t="shared" si="11"/>
        <v>0.22</v>
      </c>
      <c r="BN74" s="310" t="str">
        <f t="shared" si="27"/>
        <v>Kerepesi Zsolt</v>
      </c>
      <c r="BO74" s="390" t="str">
        <f>""</f>
        <v/>
      </c>
      <c r="BP74" s="311">
        <f t="shared" si="20"/>
        <v>78</v>
      </c>
      <c r="BQ74" s="310" t="str">
        <f t="shared" si="21"/>
        <v>Kerepesi Zsolt</v>
      </c>
      <c r="BR74" s="390" t="str">
        <f>""</f>
        <v/>
      </c>
      <c r="BS74" s="311">
        <f t="shared" si="22"/>
        <v>78</v>
      </c>
      <c r="BT74" s="310" t="str">
        <f t="shared" si="23"/>
        <v>Kerepesi Zsolt</v>
      </c>
      <c r="BU74" s="310">
        <f t="shared" si="24"/>
        <v>22</v>
      </c>
    </row>
    <row r="75" spans="1:73" ht="13.5" customHeight="1" x14ac:dyDescent="0.3">
      <c r="A75" s="765"/>
      <c r="E75" s="286"/>
      <c r="F75" s="286"/>
      <c r="G75" s="286"/>
      <c r="AJ75" s="24"/>
      <c r="AK75" s="24"/>
      <c r="AL75" s="24"/>
      <c r="AM75" s="24"/>
      <c r="BC75" s="311">
        <f t="shared" si="16"/>
        <v>1</v>
      </c>
      <c r="BD75" s="310" t="str">
        <f t="shared" si="17"/>
        <v>Kovács Ferenc</v>
      </c>
      <c r="BE75" s="521">
        <f t="shared" si="18"/>
        <v>0</v>
      </c>
      <c r="BF75" s="310" t="str">
        <f t="shared" si="25"/>
        <v>–</v>
      </c>
      <c r="BG75" s="521" t="str">
        <f t="shared" si="26"/>
        <v>–</v>
      </c>
      <c r="BJ75" s="311">
        <f t="shared" si="19"/>
        <v>0.01</v>
      </c>
      <c r="BK75" s="311">
        <v>23</v>
      </c>
      <c r="BM75" s="311">
        <f t="shared" si="11"/>
        <v>0.23</v>
      </c>
      <c r="BN75" s="310" t="str">
        <f t="shared" si="27"/>
        <v>Szabó Gábor</v>
      </c>
      <c r="BO75" s="390" t="str">
        <f>""</f>
        <v/>
      </c>
      <c r="BP75" s="311">
        <f t="shared" si="20"/>
        <v>77</v>
      </c>
      <c r="BQ75" s="310" t="str">
        <f t="shared" si="21"/>
        <v>Szabó Gábor</v>
      </c>
      <c r="BR75" s="390" t="str">
        <f>""</f>
        <v/>
      </c>
      <c r="BS75" s="311">
        <f t="shared" si="22"/>
        <v>77</v>
      </c>
      <c r="BT75" s="310" t="str">
        <f t="shared" si="23"/>
        <v>Szabó Gábor</v>
      </c>
      <c r="BU75" s="310">
        <f t="shared" si="24"/>
        <v>23</v>
      </c>
    </row>
    <row r="76" spans="1:73" ht="13.5" customHeight="1" x14ac:dyDescent="0.3">
      <c r="A76" s="765"/>
      <c r="E76" s="286"/>
      <c r="F76" s="286"/>
      <c r="G76" s="286"/>
      <c r="AJ76" s="24"/>
      <c r="AK76" s="24"/>
      <c r="AL76" s="24"/>
      <c r="AM76" s="24"/>
      <c r="BC76" s="311">
        <f t="shared" si="16"/>
        <v>24</v>
      </c>
      <c r="BD76" s="310">
        <f t="shared" si="17"/>
        <v>0</v>
      </c>
      <c r="BE76" s="521">
        <f t="shared" si="18"/>
        <v>-999</v>
      </c>
      <c r="BF76" s="310" t="str">
        <f t="shared" si="25"/>
        <v>– 999 pont</v>
      </c>
      <c r="BG76" s="521" t="str">
        <f t="shared" si="26"/>
        <v>– 999 pont</v>
      </c>
      <c r="BJ76" s="311">
        <f t="shared" si="19"/>
        <v>-999.7</v>
      </c>
      <c r="BK76" s="311">
        <v>24</v>
      </c>
      <c r="BM76" s="311">
        <f t="shared" si="11"/>
        <v>-999.76</v>
      </c>
      <c r="BN76" s="310">
        <f t="shared" si="27"/>
        <v>0</v>
      </c>
      <c r="BO76" s="390" t="str">
        <f>""</f>
        <v/>
      </c>
      <c r="BP76" s="311">
        <f t="shared" si="20"/>
        <v>-100</v>
      </c>
      <c r="BQ76" s="310">
        <f t="shared" si="21"/>
        <v>0</v>
      </c>
      <c r="BR76" s="390" t="str">
        <f>""</f>
        <v/>
      </c>
      <c r="BS76" s="311">
        <f t="shared" si="22"/>
        <v>-100</v>
      </c>
      <c r="BT76" s="310" t="str">
        <f t="shared" si="23"/>
        <v/>
      </c>
      <c r="BU76" s="310">
        <f t="shared" si="24"/>
        <v>24</v>
      </c>
    </row>
    <row r="77" spans="1:73" ht="13.5" customHeight="1" x14ac:dyDescent="0.3">
      <c r="A77" s="765"/>
      <c r="E77" s="286"/>
      <c r="F77" s="286"/>
      <c r="G77" s="286"/>
      <c r="AJ77" s="24"/>
      <c r="AK77" s="24"/>
      <c r="AL77" s="24"/>
      <c r="AM77" s="24"/>
      <c r="BC77" s="311">
        <f t="shared" si="16"/>
        <v>24</v>
      </c>
      <c r="BD77" s="310">
        <f t="shared" si="17"/>
        <v>0</v>
      </c>
      <c r="BE77" s="521">
        <f t="shared" si="18"/>
        <v>-999</v>
      </c>
      <c r="BF77" s="310" t="str">
        <f t="shared" si="25"/>
        <v>–</v>
      </c>
      <c r="BG77" s="521" t="str">
        <f t="shared" si="26"/>
        <v>– 999 pont</v>
      </c>
      <c r="BJ77" s="311">
        <f t="shared" si="19"/>
        <v>-999.71</v>
      </c>
      <c r="BK77" s="311">
        <v>25</v>
      </c>
      <c r="BM77" s="311">
        <f t="shared" si="11"/>
        <v>-999.75</v>
      </c>
      <c r="BN77" s="310">
        <f t="shared" ref="BN77:BN82" si="28">IF(NOT(AX30),0,AV30)</f>
        <v>0</v>
      </c>
      <c r="BO77" s="390" t="str">
        <f>""</f>
        <v/>
      </c>
      <c r="BP77" s="311">
        <f t="shared" si="20"/>
        <v>-100</v>
      </c>
      <c r="BQ77" s="310">
        <f t="shared" si="21"/>
        <v>0</v>
      </c>
      <c r="BR77" s="390" t="str">
        <f>""</f>
        <v/>
      </c>
      <c r="BS77" s="311">
        <f t="shared" si="22"/>
        <v>-100</v>
      </c>
      <c r="BT77" s="310" t="str">
        <f t="shared" si="23"/>
        <v/>
      </c>
      <c r="BU77" s="310">
        <f t="shared" si="24"/>
        <v>24</v>
      </c>
    </row>
    <row r="78" spans="1:73" ht="13.5" customHeight="1" x14ac:dyDescent="0.3">
      <c r="A78" s="765"/>
      <c r="E78" s="286"/>
      <c r="F78" s="286"/>
      <c r="G78" s="286"/>
      <c r="AJ78" s="24"/>
      <c r="AK78" s="24"/>
      <c r="AL78" s="24"/>
      <c r="AM78" s="24"/>
      <c r="BC78" s="311">
        <f t="shared" si="16"/>
        <v>24</v>
      </c>
      <c r="BD78" s="310">
        <f t="shared" si="17"/>
        <v>0</v>
      </c>
      <c r="BE78" s="521">
        <f t="shared" si="18"/>
        <v>-999</v>
      </c>
      <c r="BF78" s="310" t="str">
        <f t="shared" si="25"/>
        <v>–</v>
      </c>
      <c r="BG78" s="521" t="str">
        <f t="shared" si="26"/>
        <v>– 999 pont</v>
      </c>
      <c r="BJ78" s="311">
        <f t="shared" si="19"/>
        <v>-999.72</v>
      </c>
      <c r="BK78" s="311">
        <v>26</v>
      </c>
      <c r="BM78" s="311">
        <f t="shared" si="11"/>
        <v>-999.74</v>
      </c>
      <c r="BN78" s="310">
        <f t="shared" si="28"/>
        <v>0</v>
      </c>
      <c r="BO78" s="390" t="str">
        <f>""</f>
        <v/>
      </c>
      <c r="BP78" s="311">
        <f t="shared" si="20"/>
        <v>-100</v>
      </c>
      <c r="BQ78" s="310">
        <f t="shared" si="21"/>
        <v>0</v>
      </c>
      <c r="BR78" s="390" t="str">
        <f>""</f>
        <v/>
      </c>
      <c r="BS78" s="311">
        <f t="shared" si="22"/>
        <v>-100</v>
      </c>
      <c r="BT78" s="310" t="str">
        <f t="shared" si="23"/>
        <v/>
      </c>
      <c r="BU78" s="310">
        <f t="shared" si="24"/>
        <v>24</v>
      </c>
    </row>
    <row r="79" spans="1:73" ht="13.5" customHeight="1" x14ac:dyDescent="0.3">
      <c r="A79" s="765"/>
      <c r="E79" s="286"/>
      <c r="F79" s="286"/>
      <c r="G79" s="286"/>
      <c r="AJ79" s="24"/>
      <c r="AK79" s="24"/>
      <c r="AL79" s="24"/>
      <c r="AM79" s="24"/>
      <c r="BC79" s="311">
        <f t="shared" si="16"/>
        <v>24</v>
      </c>
      <c r="BD79" s="310">
        <f t="shared" si="17"/>
        <v>0</v>
      </c>
      <c r="BE79" s="521">
        <f t="shared" si="18"/>
        <v>-999</v>
      </c>
      <c r="BF79" s="310" t="str">
        <f t="shared" si="25"/>
        <v>–</v>
      </c>
      <c r="BG79" s="521" t="str">
        <f t="shared" si="26"/>
        <v>– 999 pont</v>
      </c>
      <c r="BJ79" s="311">
        <f t="shared" si="19"/>
        <v>-999.73</v>
      </c>
      <c r="BK79" s="311">
        <v>27</v>
      </c>
      <c r="BM79" s="311">
        <f t="shared" si="11"/>
        <v>-999.73</v>
      </c>
      <c r="BN79" s="310">
        <f t="shared" si="28"/>
        <v>0</v>
      </c>
      <c r="BO79" s="390" t="str">
        <f>""</f>
        <v/>
      </c>
      <c r="BP79" s="311">
        <f t="shared" si="20"/>
        <v>-100</v>
      </c>
      <c r="BQ79" s="310">
        <f t="shared" si="21"/>
        <v>0</v>
      </c>
      <c r="BR79" s="390" t="str">
        <f>""</f>
        <v/>
      </c>
      <c r="BS79" s="311">
        <f t="shared" si="22"/>
        <v>-100</v>
      </c>
      <c r="BT79" s="310" t="str">
        <f t="shared" si="23"/>
        <v/>
      </c>
      <c r="BU79" s="310">
        <f t="shared" si="24"/>
        <v>24</v>
      </c>
    </row>
    <row r="80" spans="1:73" ht="13.5" customHeight="1" x14ac:dyDescent="0.3">
      <c r="A80" s="765"/>
      <c r="E80" s="286"/>
      <c r="F80" s="286"/>
      <c r="G80" s="286"/>
      <c r="AJ80" s="24"/>
      <c r="AK80" s="24"/>
      <c r="AL80" s="24"/>
      <c r="AM80" s="24"/>
      <c r="BC80" s="311">
        <f>IF(ABS(BJ80-BJ79)&lt;0.5,BC79,BK80)</f>
        <v>24</v>
      </c>
      <c r="BD80" s="310">
        <f t="shared" si="17"/>
        <v>0</v>
      </c>
      <c r="BE80" s="521">
        <f>ROUNDDOWN(BJ80,0)</f>
        <v>-999</v>
      </c>
      <c r="BF80" s="310" t="str">
        <f t="shared" si="25"/>
        <v>–</v>
      </c>
      <c r="BG80" s="521" t="str">
        <f>"–"&amp;IF($BE$53=BE80,""," "&amp;ABS(BE80-$BE$53)&amp;" pont")</f>
        <v>– 999 pont</v>
      </c>
      <c r="BJ80" s="311">
        <f t="shared" si="19"/>
        <v>-999.74</v>
      </c>
      <c r="BK80" s="311">
        <v>28</v>
      </c>
      <c r="BM80" s="311">
        <f>IF(BN80=0,-1000,HLOOKUP(BN80,tippont,2,FALSE))+BK80/100</f>
        <v>-999.72</v>
      </c>
      <c r="BN80" s="310">
        <f t="shared" si="28"/>
        <v>0</v>
      </c>
      <c r="BO80" s="390" t="str">
        <f>""</f>
        <v/>
      </c>
      <c r="BP80" s="311">
        <f>IF(BQ80=0,-100,100-BK80)</f>
        <v>-100</v>
      </c>
      <c r="BQ80" s="310">
        <f>BN80</f>
        <v>0</v>
      </c>
      <c r="BR80" s="390" t="str">
        <f>""</f>
        <v/>
      </c>
      <c r="BS80" s="311">
        <f t="shared" si="22"/>
        <v>-100</v>
      </c>
      <c r="BT80" s="310" t="str">
        <f t="shared" si="23"/>
        <v/>
      </c>
      <c r="BU80" s="310">
        <f t="shared" si="24"/>
        <v>24</v>
      </c>
    </row>
    <row r="81" spans="1:86" ht="13.5" customHeight="1" x14ac:dyDescent="0.3">
      <c r="A81" s="765"/>
      <c r="E81" s="286"/>
      <c r="F81" s="286"/>
      <c r="G81" s="286"/>
      <c r="AJ81" s="24"/>
      <c r="AK81" s="24"/>
      <c r="AL81" s="24"/>
      <c r="AM81" s="24"/>
      <c r="BC81" s="311">
        <f>IF(ABS(BJ81-BJ80)&lt;0.5,BC80,BK81)</f>
        <v>24</v>
      </c>
      <c r="BD81" s="310">
        <f t="shared" si="17"/>
        <v>0</v>
      </c>
      <c r="BE81" s="521">
        <f>ROUNDDOWN(BJ81,0)</f>
        <v>-999</v>
      </c>
      <c r="BF81" s="310" t="str">
        <f t="shared" si="25"/>
        <v>–</v>
      </c>
      <c r="BG81" s="521" t="str">
        <f>"–"&amp;IF($BE$53=BE81,""," "&amp;ABS(BE81-$BE$53)&amp;" pont")</f>
        <v>– 999 pont</v>
      </c>
      <c r="BJ81" s="311">
        <f t="shared" si="19"/>
        <v>-999.75</v>
      </c>
      <c r="BK81" s="311">
        <v>29</v>
      </c>
      <c r="BM81" s="311">
        <f>IF(BN81=0,-1000,HLOOKUP(BN81,tippont,2,FALSE))+BK81/100</f>
        <v>-999.71</v>
      </c>
      <c r="BN81" s="310">
        <f t="shared" si="28"/>
        <v>0</v>
      </c>
      <c r="BO81" s="390" t="str">
        <f>""</f>
        <v/>
      </c>
      <c r="BP81" s="311">
        <f>IF(BQ81=0,-100,100-BK81)</f>
        <v>-100</v>
      </c>
      <c r="BQ81" s="310">
        <f>BN81</f>
        <v>0</v>
      </c>
      <c r="BR81" s="390" t="str">
        <f>""</f>
        <v/>
      </c>
      <c r="BS81" s="311">
        <f t="shared" si="22"/>
        <v>-100</v>
      </c>
      <c r="BT81" s="310" t="str">
        <f t="shared" si="23"/>
        <v/>
      </c>
      <c r="BU81" s="310">
        <f t="shared" si="24"/>
        <v>24</v>
      </c>
    </row>
    <row r="82" spans="1:86" ht="13.5" customHeight="1" x14ac:dyDescent="0.3">
      <c r="A82" s="765"/>
      <c r="E82" s="286"/>
      <c r="F82" s="286"/>
      <c r="G82" s="286"/>
      <c r="AJ82" s="24"/>
      <c r="AK82" s="24"/>
      <c r="AL82" s="24"/>
      <c r="AM82" s="24"/>
      <c r="BC82" s="311">
        <f>IF(ABS(BJ82-BJ81)&lt;0.5,BC81,BK82)</f>
        <v>24</v>
      </c>
      <c r="BD82" s="310">
        <f t="shared" si="17"/>
        <v>0</v>
      </c>
      <c r="BE82" s="521">
        <f>ROUNDDOWN(BJ82,0)</f>
        <v>-999</v>
      </c>
      <c r="BF82" s="310" t="str">
        <f t="shared" si="25"/>
        <v>–</v>
      </c>
      <c r="BG82" s="521" t="str">
        <f>"–"&amp;IF($BE$53=BE82,""," "&amp;ABS(BE82-$BE$53)&amp;" pont")</f>
        <v>– 999 pont</v>
      </c>
      <c r="BJ82" s="311">
        <f t="shared" si="19"/>
        <v>-999.76</v>
      </c>
      <c r="BK82" s="311">
        <v>30</v>
      </c>
      <c r="BM82" s="311">
        <f>IF(BN82=0,-1000,HLOOKUP(BN82,tippont,2,FALSE))+BK82/100</f>
        <v>-999.7</v>
      </c>
      <c r="BN82" s="310">
        <f t="shared" si="28"/>
        <v>0</v>
      </c>
      <c r="BO82" s="390" t="str">
        <f>""</f>
        <v/>
      </c>
      <c r="BP82" s="311">
        <f>IF(BQ82=0,-100,100-BK82)</f>
        <v>-100</v>
      </c>
      <c r="BQ82" s="310">
        <f>BN82</f>
        <v>0</v>
      </c>
      <c r="BR82" s="390" t="str">
        <f>""</f>
        <v/>
      </c>
      <c r="BS82" s="311">
        <f t="shared" si="22"/>
        <v>-100</v>
      </c>
      <c r="BT82" s="310" t="str">
        <f t="shared" si="23"/>
        <v/>
      </c>
      <c r="BU82" s="310">
        <f t="shared" si="24"/>
        <v>24</v>
      </c>
    </row>
    <row r="83" spans="1:86" ht="13.5" customHeight="1" x14ac:dyDescent="0.3">
      <c r="A83" s="765"/>
      <c r="E83" s="286"/>
      <c r="F83" s="286"/>
      <c r="G83" s="286"/>
      <c r="AJ83" s="24"/>
      <c r="AK83" s="24"/>
      <c r="AL83" s="24"/>
      <c r="AM83" s="24"/>
      <c r="BC83" s="315"/>
      <c r="BD83" s="314"/>
      <c r="BE83" s="522"/>
      <c r="BF83" s="314"/>
      <c r="BG83" s="522"/>
      <c r="BJ83" s="315"/>
      <c r="BK83" s="315"/>
      <c r="BM83" s="315"/>
      <c r="BN83" s="314"/>
      <c r="BP83" s="315"/>
      <c r="BQ83" s="314"/>
      <c r="BS83" s="315"/>
      <c r="BT83" s="314"/>
      <c r="BU83" s="314"/>
    </row>
    <row r="84" spans="1:86" ht="13.5" customHeight="1" x14ac:dyDescent="0.3">
      <c r="A84" s="765"/>
      <c r="E84" s="286"/>
      <c r="F84" s="286"/>
      <c r="G84" s="286"/>
      <c r="AJ84" s="24"/>
      <c r="AK84" s="24"/>
      <c r="AL84" s="24"/>
      <c r="AM84" s="24"/>
      <c r="BC84" s="315"/>
      <c r="BD84" s="314"/>
      <c r="BE84" s="522"/>
      <c r="BF84" s="314"/>
      <c r="BG84" s="522"/>
      <c r="BJ84" s="315"/>
      <c r="BK84" s="315"/>
      <c r="BM84" s="315"/>
      <c r="BN84" s="314"/>
      <c r="BP84" s="315"/>
      <c r="BQ84" s="314"/>
      <c r="BS84" s="315"/>
      <c r="BT84" s="314"/>
      <c r="BU84" s="314"/>
    </row>
    <row r="85" spans="1:86" ht="12" customHeight="1" x14ac:dyDescent="0.3">
      <c r="A85" s="765"/>
      <c r="D85" s="15"/>
      <c r="E85" s="15"/>
      <c r="F85" s="15"/>
      <c r="G85" s="15"/>
      <c r="H85" s="15"/>
      <c r="I85" s="16"/>
      <c r="J85" s="15"/>
      <c r="K85" s="15"/>
      <c r="L85" s="16"/>
      <c r="M85" s="15"/>
      <c r="N85" s="15"/>
      <c r="O85" s="16"/>
      <c r="P85" s="15"/>
      <c r="Q85" s="15"/>
      <c r="R85" s="16"/>
      <c r="S85" s="15"/>
      <c r="T85" s="15"/>
      <c r="U85" s="16"/>
      <c r="V85" s="15"/>
      <c r="W85" s="15"/>
      <c r="X85" s="16"/>
      <c r="Y85" s="15"/>
      <c r="Z85" s="15"/>
      <c r="AA85" s="16"/>
      <c r="AB85" s="15"/>
      <c r="AC85" s="15"/>
      <c r="AD85" s="16"/>
      <c r="AE85" s="15"/>
      <c r="AF85" s="15"/>
      <c r="AG85" s="16"/>
      <c r="AH85" s="15"/>
      <c r="AI85" s="15"/>
      <c r="AJ85" s="16"/>
      <c r="AK85" s="15"/>
    </row>
    <row r="86" spans="1:86" ht="15" customHeight="1" x14ac:dyDescent="0.3">
      <c r="A86" s="765"/>
      <c r="C86" s="657"/>
      <c r="D86" s="652" t="s">
        <v>802</v>
      </c>
      <c r="E86" s="658"/>
      <c r="F86" s="659"/>
      <c r="G86" s="659"/>
      <c r="H86" s="659"/>
      <c r="I86" s="660"/>
      <c r="J86" s="659"/>
      <c r="K86" s="659"/>
      <c r="L86" s="660"/>
      <c r="M86" s="659"/>
      <c r="N86" s="659"/>
      <c r="O86" s="660"/>
      <c r="P86" s="659"/>
      <c r="Q86" s="659"/>
      <c r="R86" s="660"/>
      <c r="S86" s="659"/>
      <c r="T86" s="659"/>
      <c r="U86" s="660"/>
      <c r="V86" s="659"/>
      <c r="W86" s="659"/>
      <c r="X86" s="660"/>
      <c r="Y86" s="659"/>
      <c r="Z86" s="659"/>
      <c r="AA86" s="660"/>
      <c r="AB86" s="659"/>
      <c r="AC86" s="659"/>
      <c r="AD86" s="660"/>
      <c r="AE86" s="659"/>
      <c r="AF86" s="659"/>
      <c r="AG86" s="660"/>
      <c r="AH86" s="659"/>
      <c r="AI86" s="659"/>
      <c r="AJ86" s="660"/>
      <c r="AK86" s="659"/>
    </row>
    <row r="87" spans="1:86" s="31" customFormat="1" ht="15" customHeight="1" x14ac:dyDescent="0.3">
      <c r="A87" s="765"/>
      <c r="B87" s="29"/>
      <c r="C87" s="654"/>
      <c r="D87" s="653"/>
      <c r="E87" s="84" t="s">
        <v>801</v>
      </c>
      <c r="F87" s="41"/>
      <c r="G87" s="655"/>
      <c r="H87" s="656">
        <f t="shared" ref="H87:AK87" si="29">IF(NOT(H$13),"",SUMIF($E98:$E219,$E$98,H98:H219))</f>
        <v>0</v>
      </c>
      <c r="I87" s="656">
        <f t="shared" si="29"/>
        <v>0</v>
      </c>
      <c r="J87" s="656">
        <f t="shared" si="29"/>
        <v>0</v>
      </c>
      <c r="K87" s="656">
        <f t="shared" si="29"/>
        <v>0</v>
      </c>
      <c r="L87" s="656">
        <f t="shared" si="29"/>
        <v>0</v>
      </c>
      <c r="M87" s="656">
        <f t="shared" si="29"/>
        <v>0</v>
      </c>
      <c r="N87" s="656">
        <f t="shared" si="29"/>
        <v>0</v>
      </c>
      <c r="O87" s="656">
        <f t="shared" si="29"/>
        <v>0</v>
      </c>
      <c r="P87" s="656">
        <f t="shared" si="29"/>
        <v>0</v>
      </c>
      <c r="Q87" s="656">
        <f t="shared" si="29"/>
        <v>0</v>
      </c>
      <c r="R87" s="656">
        <f t="shared" si="29"/>
        <v>0</v>
      </c>
      <c r="S87" s="656">
        <f t="shared" si="29"/>
        <v>0</v>
      </c>
      <c r="T87" s="656">
        <f t="shared" si="29"/>
        <v>0</v>
      </c>
      <c r="U87" s="656">
        <f t="shared" si="29"/>
        <v>0</v>
      </c>
      <c r="V87" s="656">
        <f t="shared" si="29"/>
        <v>0</v>
      </c>
      <c r="W87" s="656">
        <f t="shared" si="29"/>
        <v>0</v>
      </c>
      <c r="X87" s="656">
        <f t="shared" si="29"/>
        <v>0</v>
      </c>
      <c r="Y87" s="656">
        <f t="shared" si="29"/>
        <v>0</v>
      </c>
      <c r="Z87" s="656">
        <f t="shared" si="29"/>
        <v>0</v>
      </c>
      <c r="AA87" s="656">
        <f t="shared" si="29"/>
        <v>0</v>
      </c>
      <c r="AB87" s="656">
        <f t="shared" si="29"/>
        <v>0</v>
      </c>
      <c r="AC87" s="656">
        <f t="shared" si="29"/>
        <v>0</v>
      </c>
      <c r="AD87" s="656">
        <f t="shared" si="29"/>
        <v>0</v>
      </c>
      <c r="AE87" s="656" t="str">
        <f t="shared" si="29"/>
        <v/>
      </c>
      <c r="AF87" s="656" t="str">
        <f t="shared" si="29"/>
        <v/>
      </c>
      <c r="AG87" s="656" t="str">
        <f t="shared" si="29"/>
        <v/>
      </c>
      <c r="AH87" s="656" t="str">
        <f t="shared" si="29"/>
        <v/>
      </c>
      <c r="AI87" s="656" t="str">
        <f t="shared" si="29"/>
        <v/>
      </c>
      <c r="AJ87" s="656" t="str">
        <f t="shared" si="29"/>
        <v/>
      </c>
      <c r="AK87" s="656" t="str">
        <f t="shared" si="29"/>
        <v/>
      </c>
      <c r="AL87" s="30"/>
      <c r="AM87" s="30"/>
      <c r="AN87" s="14"/>
      <c r="AO87" s="390"/>
      <c r="AP87" s="390"/>
      <c r="AQ87" s="390"/>
      <c r="AR87" s="390"/>
      <c r="AS87" s="543" t="s">
        <v>800</v>
      </c>
      <c r="AT87" s="390"/>
      <c r="AU87" s="390"/>
      <c r="AV87" s="390"/>
      <c r="AW87" s="390"/>
      <c r="AX87" s="390"/>
      <c r="AY87" s="390"/>
      <c r="AZ87" s="14"/>
      <c r="BA87" s="520"/>
      <c r="BB87" s="520"/>
      <c r="BC87" s="520"/>
      <c r="BD87" s="390"/>
      <c r="BE87" s="390"/>
      <c r="BF87" s="390"/>
      <c r="BG87" s="390"/>
      <c r="BH87" s="390"/>
      <c r="BI87" s="390"/>
      <c r="BJ87" s="390"/>
      <c r="BK87" s="390"/>
      <c r="BL87" s="390"/>
      <c r="BM87" s="390"/>
      <c r="BN87" s="390"/>
      <c r="BO87" s="390"/>
      <c r="BP87" s="390"/>
      <c r="BQ87" s="390"/>
      <c r="BR87" s="390"/>
      <c r="BS87" s="390"/>
      <c r="BT87" s="390"/>
      <c r="BU87" s="390"/>
      <c r="BV87" s="390"/>
      <c r="BW87" s="390"/>
      <c r="BX87" s="390"/>
      <c r="BY87" s="390"/>
      <c r="BZ87" s="520"/>
      <c r="CA87" s="520"/>
      <c r="CB87" s="520"/>
      <c r="CC87" s="520"/>
      <c r="CD87" s="520"/>
      <c r="CE87" s="520"/>
      <c r="CF87" s="520"/>
      <c r="CG87" s="520"/>
      <c r="CH87" s="14"/>
    </row>
    <row r="88" spans="1:86" s="281" customFormat="1" ht="12" customHeight="1" x14ac:dyDescent="0.2">
      <c r="A88" s="765"/>
      <c r="C88" s="284"/>
      <c r="D88" s="284"/>
      <c r="E88" s="79"/>
      <c r="F88" s="27"/>
      <c r="G88" s="284"/>
      <c r="H88" s="283"/>
      <c r="I88" s="283"/>
      <c r="J88" s="283"/>
      <c r="K88" s="283"/>
      <c r="L88" s="283"/>
      <c r="M88" s="283"/>
      <c r="N88" s="283"/>
      <c r="O88" s="283"/>
      <c r="P88" s="283"/>
      <c r="Q88" s="283"/>
      <c r="R88" s="283"/>
      <c r="S88" s="283"/>
      <c r="T88" s="283"/>
      <c r="U88" s="283"/>
      <c r="V88" s="283"/>
      <c r="W88" s="283"/>
      <c r="X88" s="283"/>
      <c r="Y88" s="283"/>
      <c r="Z88" s="283"/>
      <c r="AA88" s="283"/>
      <c r="AB88" s="283"/>
      <c r="AC88" s="283"/>
      <c r="AD88" s="283"/>
      <c r="AE88" s="283"/>
      <c r="AF88" s="283"/>
      <c r="AG88" s="283"/>
      <c r="AH88" s="283"/>
      <c r="AI88" s="283"/>
      <c r="AJ88" s="283"/>
      <c r="AK88" s="283"/>
      <c r="AN88" s="282"/>
      <c r="AO88" s="524"/>
      <c r="AP88" s="524"/>
      <c r="AQ88" s="524"/>
      <c r="AR88" s="524"/>
      <c r="AS88" s="524"/>
      <c r="AT88" s="524"/>
      <c r="AU88" s="524"/>
      <c r="AV88" s="524"/>
      <c r="AW88" s="524"/>
      <c r="AX88" s="524"/>
      <c r="AY88" s="524"/>
      <c r="AZ88" s="282"/>
      <c r="BA88" s="523"/>
      <c r="BB88" s="523"/>
      <c r="BC88" s="523"/>
      <c r="BD88" s="524"/>
      <c r="BE88" s="524"/>
      <c r="BF88" s="524"/>
      <c r="BG88" s="524"/>
      <c r="BH88" s="524"/>
      <c r="BI88" s="524"/>
      <c r="BJ88" s="524"/>
      <c r="BK88" s="524"/>
      <c r="BL88" s="524"/>
      <c r="BM88" s="524"/>
      <c r="BN88" s="524"/>
      <c r="BO88" s="524"/>
      <c r="BP88" s="524"/>
      <c r="BQ88" s="524"/>
      <c r="BR88" s="524"/>
      <c r="BS88" s="524"/>
      <c r="BT88" s="524"/>
      <c r="BU88" s="524"/>
      <c r="BV88" s="524"/>
      <c r="BW88" s="524"/>
      <c r="BX88" s="524"/>
      <c r="BY88" s="524"/>
      <c r="BZ88" s="523"/>
      <c r="CA88" s="523"/>
      <c r="CB88" s="523"/>
      <c r="CC88" s="523"/>
      <c r="CD88" s="523"/>
      <c r="CE88" s="523"/>
      <c r="CF88" s="523"/>
      <c r="CG88" s="523"/>
      <c r="CH88" s="282"/>
    </row>
    <row r="89" spans="1:86" ht="15" customHeight="1" x14ac:dyDescent="0.3">
      <c r="A89" s="765"/>
      <c r="C89" s="27" t="str">
        <f>" "&amp;VLOOKUP(AQ90,schedule,18,FALSE)&amp;"  ("&amp;VLOOKUP(AQ90,schedule,3,FALSE)&amp;" CSOPORT)"</f>
        <v xml:space="preserve"> JÚNIUS 11. – PÉNTEK 21:00  (A CSOPORT)</v>
      </c>
      <c r="D89" s="27"/>
      <c r="E89" s="26"/>
      <c r="F89" s="26"/>
      <c r="G89" s="26"/>
      <c r="H89" s="26"/>
      <c r="I89" s="26"/>
      <c r="J89" s="26"/>
    </row>
    <row r="90" spans="1:86" ht="15" customHeight="1" x14ac:dyDescent="0.3">
      <c r="A90" s="765"/>
      <c r="C90" s="661"/>
      <c r="D90" s="662" t="str">
        <f>IF(INDEX(n.er,$AR90,8)="","",INDEX(n.er,$AR90,8))</f>
        <v>Törökország</v>
      </c>
      <c r="E90" s="663" t="str">
        <f>IF(NOT($AS90),"",INDEX(n.er,$AR90,9))</f>
        <v/>
      </c>
      <c r="F90" s="662"/>
      <c r="G90" s="259"/>
      <c r="H90" s="664">
        <v>1</v>
      </c>
      <c r="I90" s="665">
        <v>2</v>
      </c>
      <c r="J90" s="665">
        <v>1</v>
      </c>
      <c r="K90" s="665">
        <v>1</v>
      </c>
      <c r="L90" s="665">
        <v>0</v>
      </c>
      <c r="M90" s="665">
        <v>2</v>
      </c>
      <c r="N90" s="665">
        <v>1</v>
      </c>
      <c r="O90" s="665">
        <v>1</v>
      </c>
      <c r="P90" s="665">
        <v>1</v>
      </c>
      <c r="Q90" s="665">
        <v>1</v>
      </c>
      <c r="R90" s="665">
        <v>1</v>
      </c>
      <c r="S90" s="665">
        <v>1</v>
      </c>
      <c r="T90" s="665">
        <v>1</v>
      </c>
      <c r="U90" s="665">
        <v>1</v>
      </c>
      <c r="V90" s="665">
        <v>2</v>
      </c>
      <c r="W90" s="665">
        <v>1</v>
      </c>
      <c r="X90" s="665">
        <v>2</v>
      </c>
      <c r="Y90" s="665">
        <v>1</v>
      </c>
      <c r="Z90" s="665">
        <v>0</v>
      </c>
      <c r="AA90" s="665">
        <v>1</v>
      </c>
      <c r="AB90" s="665">
        <v>2</v>
      </c>
      <c r="AC90" s="665">
        <v>1</v>
      </c>
      <c r="AD90" s="665">
        <v>1</v>
      </c>
      <c r="AE90" s="665"/>
      <c r="AF90" s="665"/>
      <c r="AG90" s="665"/>
      <c r="AH90" s="665"/>
      <c r="AI90" s="665"/>
      <c r="AJ90" s="665"/>
      <c r="AK90" s="666"/>
      <c r="AP90" s="52">
        <v>1</v>
      </c>
      <c r="AQ90" s="311">
        <f>INDEX(schedule,AP90,1)</f>
        <v>1</v>
      </c>
      <c r="AR90" s="311">
        <f>MATCH(AQ90,n.er.index,0)</f>
        <v>1</v>
      </c>
      <c r="AS90" s="532" t="b">
        <f>INDEX(n.er,$AR90,3)</f>
        <v>0</v>
      </c>
      <c r="AT90" s="531"/>
      <c r="AU90" s="531"/>
      <c r="AV90" s="531"/>
      <c r="AW90" s="531"/>
      <c r="AX90" s="531"/>
      <c r="BC90" s="525" t="b">
        <f>IF(AND(ISNUMBER(H90),ISNUMBER(H91),H90&lt;&gt;"",H91&lt;&gt;""),AND(H90&gt;=0,H91&gt;=0,MOD(H90+H91,1)=0),FALSE)</f>
        <v>1</v>
      </c>
      <c r="BD90" s="525" t="b">
        <f t="shared" ref="BD90:CF90" si="30">IF(AND(ISNUMBER(I90),ISNUMBER(I91),I90&lt;&gt;"",I91&lt;&gt;""),AND(I90&gt;=0,I91&gt;=0,MOD(I90+I91,1)=0),FALSE)</f>
        <v>1</v>
      </c>
      <c r="BE90" s="525" t="b">
        <f t="shared" si="30"/>
        <v>1</v>
      </c>
      <c r="BF90" s="525" t="b">
        <f t="shared" si="30"/>
        <v>1</v>
      </c>
      <c r="BG90" s="525" t="b">
        <f t="shared" si="30"/>
        <v>1</v>
      </c>
      <c r="BH90" s="525" t="b">
        <f t="shared" si="30"/>
        <v>1</v>
      </c>
      <c r="BI90" s="525" t="b">
        <f t="shared" si="30"/>
        <v>1</v>
      </c>
      <c r="BJ90" s="525" t="b">
        <f t="shared" si="30"/>
        <v>1</v>
      </c>
      <c r="BK90" s="525" t="b">
        <f t="shared" si="30"/>
        <v>1</v>
      </c>
      <c r="BL90" s="525" t="b">
        <f t="shared" si="30"/>
        <v>1</v>
      </c>
      <c r="BM90" s="525" t="b">
        <f t="shared" si="30"/>
        <v>1</v>
      </c>
      <c r="BN90" s="525" t="b">
        <f t="shared" si="30"/>
        <v>1</v>
      </c>
      <c r="BO90" s="525" t="b">
        <f t="shared" si="30"/>
        <v>1</v>
      </c>
      <c r="BP90" s="525" t="b">
        <f t="shared" si="30"/>
        <v>1</v>
      </c>
      <c r="BQ90" s="525" t="b">
        <f t="shared" si="30"/>
        <v>1</v>
      </c>
      <c r="BR90" s="525" t="b">
        <f t="shared" si="30"/>
        <v>1</v>
      </c>
      <c r="BS90" s="525" t="b">
        <f t="shared" si="30"/>
        <v>1</v>
      </c>
      <c r="BT90" s="525" t="b">
        <f t="shared" si="30"/>
        <v>1</v>
      </c>
      <c r="BU90" s="525" t="b">
        <f t="shared" si="30"/>
        <v>1</v>
      </c>
      <c r="BV90" s="525" t="b">
        <f t="shared" si="30"/>
        <v>1</v>
      </c>
      <c r="BW90" s="525" t="b">
        <f t="shared" si="30"/>
        <v>1</v>
      </c>
      <c r="BX90" s="525" t="b">
        <f t="shared" si="30"/>
        <v>1</v>
      </c>
      <c r="BY90" s="525" t="b">
        <f t="shared" si="30"/>
        <v>1</v>
      </c>
      <c r="BZ90" s="525" t="b">
        <f t="shared" si="30"/>
        <v>0</v>
      </c>
      <c r="CA90" s="525" t="b">
        <f t="shared" si="30"/>
        <v>0</v>
      </c>
      <c r="CB90" s="525" t="b">
        <f t="shared" si="30"/>
        <v>0</v>
      </c>
      <c r="CC90" s="525" t="b">
        <f t="shared" si="30"/>
        <v>0</v>
      </c>
      <c r="CD90" s="525" t="b">
        <f t="shared" si="30"/>
        <v>0</v>
      </c>
      <c r="CE90" s="525" t="b">
        <f t="shared" si="30"/>
        <v>0</v>
      </c>
      <c r="CF90" s="525" t="b">
        <f t="shared" si="30"/>
        <v>0</v>
      </c>
    </row>
    <row r="91" spans="1:86" ht="15" customHeight="1" x14ac:dyDescent="0.3">
      <c r="A91" s="765"/>
      <c r="C91" s="695"/>
      <c r="D91" s="696" t="str">
        <f>IF(INDEX(n.er,$AR90,11)="","",INDEX(n.er,$AR90,11))</f>
        <v>Olaszország</v>
      </c>
      <c r="E91" s="697" t="str">
        <f>IF(NOT($AS90),"",INDEX(n.er,$AR90,10))</f>
        <v/>
      </c>
      <c r="F91" s="696"/>
      <c r="G91" s="259"/>
      <c r="H91" s="667">
        <v>2</v>
      </c>
      <c r="I91" s="668">
        <v>2</v>
      </c>
      <c r="J91" s="668">
        <v>2</v>
      </c>
      <c r="K91" s="668">
        <v>3</v>
      </c>
      <c r="L91" s="668">
        <v>1</v>
      </c>
      <c r="M91" s="668">
        <v>0</v>
      </c>
      <c r="N91" s="668">
        <v>2</v>
      </c>
      <c r="O91" s="668">
        <v>2</v>
      </c>
      <c r="P91" s="668">
        <v>2</v>
      </c>
      <c r="Q91" s="668">
        <v>2</v>
      </c>
      <c r="R91" s="668">
        <v>1</v>
      </c>
      <c r="S91" s="668">
        <v>2</v>
      </c>
      <c r="T91" s="668">
        <v>2</v>
      </c>
      <c r="U91" s="668">
        <v>3</v>
      </c>
      <c r="V91" s="668">
        <v>2</v>
      </c>
      <c r="W91" s="668">
        <v>2</v>
      </c>
      <c r="X91" s="668">
        <v>2</v>
      </c>
      <c r="Y91" s="668">
        <v>2</v>
      </c>
      <c r="Z91" s="668">
        <v>2</v>
      </c>
      <c r="AA91" s="668">
        <v>2</v>
      </c>
      <c r="AB91" s="668">
        <v>3</v>
      </c>
      <c r="AC91" s="668">
        <v>3</v>
      </c>
      <c r="AD91" s="668">
        <v>2</v>
      </c>
      <c r="AE91" s="668"/>
      <c r="AF91" s="668"/>
      <c r="AG91" s="668"/>
      <c r="AH91" s="668"/>
      <c r="AI91" s="668"/>
      <c r="AJ91" s="668"/>
      <c r="AK91" s="669"/>
      <c r="AP91" s="533"/>
      <c r="AQ91" s="577"/>
      <c r="AR91" s="534"/>
      <c r="AS91" s="535"/>
      <c r="AX91" s="531"/>
      <c r="BC91" s="34" t="b">
        <f t="shared" ref="BC91:CF91" si="31">OR(NOT(H$13),NOT($AS90),NOT(BC90))</f>
        <v>1</v>
      </c>
      <c r="BD91" s="34" t="b">
        <f t="shared" si="31"/>
        <v>1</v>
      </c>
      <c r="BE91" s="34" t="b">
        <f t="shared" si="31"/>
        <v>1</v>
      </c>
      <c r="BF91" s="34" t="b">
        <f t="shared" si="31"/>
        <v>1</v>
      </c>
      <c r="BG91" s="34" t="b">
        <f t="shared" si="31"/>
        <v>1</v>
      </c>
      <c r="BH91" s="34" t="b">
        <f t="shared" si="31"/>
        <v>1</v>
      </c>
      <c r="BI91" s="34" t="b">
        <f t="shared" si="31"/>
        <v>1</v>
      </c>
      <c r="BJ91" s="34" t="b">
        <f t="shared" si="31"/>
        <v>1</v>
      </c>
      <c r="BK91" s="34" t="b">
        <f t="shared" si="31"/>
        <v>1</v>
      </c>
      <c r="BL91" s="34" t="b">
        <f t="shared" si="31"/>
        <v>1</v>
      </c>
      <c r="BM91" s="34" t="b">
        <f t="shared" si="31"/>
        <v>1</v>
      </c>
      <c r="BN91" s="34" t="b">
        <f t="shared" si="31"/>
        <v>1</v>
      </c>
      <c r="BO91" s="34" t="b">
        <f t="shared" si="31"/>
        <v>1</v>
      </c>
      <c r="BP91" s="34" t="b">
        <f t="shared" si="31"/>
        <v>1</v>
      </c>
      <c r="BQ91" s="34" t="b">
        <f t="shared" si="31"/>
        <v>1</v>
      </c>
      <c r="BR91" s="34" t="b">
        <f t="shared" si="31"/>
        <v>1</v>
      </c>
      <c r="BS91" s="34" t="b">
        <f t="shared" si="31"/>
        <v>1</v>
      </c>
      <c r="BT91" s="34" t="b">
        <f t="shared" si="31"/>
        <v>1</v>
      </c>
      <c r="BU91" s="34" t="b">
        <f t="shared" si="31"/>
        <v>1</v>
      </c>
      <c r="BV91" s="34" t="b">
        <f t="shared" si="31"/>
        <v>1</v>
      </c>
      <c r="BW91" s="34" t="b">
        <f t="shared" si="31"/>
        <v>1</v>
      </c>
      <c r="BX91" s="34" t="b">
        <f t="shared" si="31"/>
        <v>1</v>
      </c>
      <c r="BY91" s="34" t="b">
        <f t="shared" si="31"/>
        <v>1</v>
      </c>
      <c r="BZ91" s="34" t="b">
        <f t="shared" si="31"/>
        <v>1</v>
      </c>
      <c r="CA91" s="34" t="b">
        <f t="shared" si="31"/>
        <v>1</v>
      </c>
      <c r="CB91" s="34" t="b">
        <f t="shared" si="31"/>
        <v>1</v>
      </c>
      <c r="CC91" s="34" t="b">
        <f t="shared" si="31"/>
        <v>1</v>
      </c>
      <c r="CD91" s="34" t="b">
        <f t="shared" si="31"/>
        <v>1</v>
      </c>
      <c r="CE91" s="34" t="b">
        <f t="shared" si="31"/>
        <v>1</v>
      </c>
      <c r="CF91" s="34" t="b">
        <f t="shared" si="31"/>
        <v>1</v>
      </c>
    </row>
    <row r="92" spans="1:86" ht="12" customHeight="1" x14ac:dyDescent="0.3">
      <c r="A92" s="765"/>
      <c r="E92" s="258" t="str">
        <f>$AX$92</f>
        <v>Telitalálat: 10 p</v>
      </c>
      <c r="H92" s="670" t="str">
        <f t="shared" ref="H92:AK92" si="32">IF(OR(BC91,NOT($AS$20)),"",IF(AND(H90=$E90,H91=$E91),"ü",""))</f>
        <v/>
      </c>
      <c r="I92" s="671" t="str">
        <f t="shared" si="32"/>
        <v/>
      </c>
      <c r="J92" s="671" t="str">
        <f t="shared" si="32"/>
        <v/>
      </c>
      <c r="K92" s="671" t="str">
        <f t="shared" si="32"/>
        <v/>
      </c>
      <c r="L92" s="671" t="str">
        <f t="shared" si="32"/>
        <v/>
      </c>
      <c r="M92" s="671" t="str">
        <f t="shared" si="32"/>
        <v/>
      </c>
      <c r="N92" s="671" t="str">
        <f t="shared" si="32"/>
        <v/>
      </c>
      <c r="O92" s="671" t="str">
        <f t="shared" si="32"/>
        <v/>
      </c>
      <c r="P92" s="671" t="str">
        <f t="shared" si="32"/>
        <v/>
      </c>
      <c r="Q92" s="671" t="str">
        <f t="shared" si="32"/>
        <v/>
      </c>
      <c r="R92" s="671" t="str">
        <f t="shared" si="32"/>
        <v/>
      </c>
      <c r="S92" s="671" t="str">
        <f t="shared" si="32"/>
        <v/>
      </c>
      <c r="T92" s="671" t="str">
        <f t="shared" si="32"/>
        <v/>
      </c>
      <c r="U92" s="671" t="str">
        <f t="shared" si="32"/>
        <v/>
      </c>
      <c r="V92" s="671" t="str">
        <f t="shared" si="32"/>
        <v/>
      </c>
      <c r="W92" s="671" t="str">
        <f t="shared" si="32"/>
        <v/>
      </c>
      <c r="X92" s="671" t="str">
        <f t="shared" si="32"/>
        <v/>
      </c>
      <c r="Y92" s="671" t="str">
        <f t="shared" si="32"/>
        <v/>
      </c>
      <c r="Z92" s="671" t="str">
        <f t="shared" si="32"/>
        <v/>
      </c>
      <c r="AA92" s="671" t="str">
        <f t="shared" si="32"/>
        <v/>
      </c>
      <c r="AB92" s="671" t="str">
        <f t="shared" si="32"/>
        <v/>
      </c>
      <c r="AC92" s="671" t="str">
        <f t="shared" si="32"/>
        <v/>
      </c>
      <c r="AD92" s="671" t="str">
        <f t="shared" si="32"/>
        <v/>
      </c>
      <c r="AE92" s="671" t="str">
        <f t="shared" si="32"/>
        <v/>
      </c>
      <c r="AF92" s="671" t="str">
        <f t="shared" si="32"/>
        <v/>
      </c>
      <c r="AG92" s="671" t="str">
        <f t="shared" si="32"/>
        <v/>
      </c>
      <c r="AH92" s="671" t="str">
        <f t="shared" si="32"/>
        <v/>
      </c>
      <c r="AI92" s="671" t="str">
        <f t="shared" si="32"/>
        <v/>
      </c>
      <c r="AJ92" s="671" t="str">
        <f t="shared" si="32"/>
        <v/>
      </c>
      <c r="AK92" s="672" t="str">
        <f t="shared" si="32"/>
        <v/>
      </c>
      <c r="AL92" s="15"/>
      <c r="AM92" s="15"/>
      <c r="AP92" s="536"/>
      <c r="AR92" s="537"/>
      <c r="AS92" s="529"/>
      <c r="AW92" s="541">
        <f>VALUE($T$20)</f>
        <v>10</v>
      </c>
      <c r="AX92" s="542" t="str">
        <f>"Telitalálat: "&amp;IF(NOT(AS20),"–",AW92&amp;" p")</f>
        <v>Telitalálat: 10 p</v>
      </c>
      <c r="AY92" s="390" t="str">
        <f>""</f>
        <v/>
      </c>
      <c r="BD92" s="520"/>
      <c r="BE92" s="520"/>
      <c r="BF92" s="520"/>
      <c r="BG92" s="520"/>
      <c r="BH92" s="520"/>
      <c r="BI92" s="520"/>
      <c r="BJ92" s="520"/>
      <c r="BK92" s="520"/>
      <c r="BL92" s="520"/>
      <c r="BM92" s="520"/>
      <c r="BN92" s="520"/>
      <c r="BO92" s="520"/>
      <c r="BP92" s="520"/>
      <c r="BQ92" s="520"/>
      <c r="BR92" s="520"/>
      <c r="BS92" s="520"/>
      <c r="BT92" s="520"/>
      <c r="BU92" s="520"/>
      <c r="BV92" s="520"/>
      <c r="BW92" s="520"/>
      <c r="BX92" s="520"/>
      <c r="BY92" s="520"/>
    </row>
    <row r="93" spans="1:86" ht="12" customHeight="1" x14ac:dyDescent="0.3">
      <c r="A93" s="765"/>
      <c r="E93" s="258" t="str">
        <f>$AX$93</f>
        <v>Gólkülönbség: 6 p</v>
      </c>
      <c r="H93" s="673" t="str">
        <f t="shared" ref="H93:AK93" si="33">IF(OR(BC91,NOT($AS$22)),"",IF(AND(NOT($AS$32),H92="ü"),"",IF(H90-H91=$E90-$E91,"ü"," ")))</f>
        <v/>
      </c>
      <c r="I93" s="674" t="str">
        <f t="shared" si="33"/>
        <v/>
      </c>
      <c r="J93" s="674" t="str">
        <f t="shared" si="33"/>
        <v/>
      </c>
      <c r="K93" s="674" t="str">
        <f t="shared" si="33"/>
        <v/>
      </c>
      <c r="L93" s="674" t="str">
        <f t="shared" si="33"/>
        <v/>
      </c>
      <c r="M93" s="674" t="str">
        <f t="shared" si="33"/>
        <v/>
      </c>
      <c r="N93" s="674" t="str">
        <f t="shared" si="33"/>
        <v/>
      </c>
      <c r="O93" s="674" t="str">
        <f t="shared" si="33"/>
        <v/>
      </c>
      <c r="P93" s="674" t="str">
        <f t="shared" si="33"/>
        <v/>
      </c>
      <c r="Q93" s="674" t="str">
        <f t="shared" si="33"/>
        <v/>
      </c>
      <c r="R93" s="674" t="str">
        <f t="shared" si="33"/>
        <v/>
      </c>
      <c r="S93" s="674" t="str">
        <f t="shared" si="33"/>
        <v/>
      </c>
      <c r="T93" s="674" t="str">
        <f t="shared" si="33"/>
        <v/>
      </c>
      <c r="U93" s="674" t="str">
        <f t="shared" si="33"/>
        <v/>
      </c>
      <c r="V93" s="674" t="str">
        <f t="shared" si="33"/>
        <v/>
      </c>
      <c r="W93" s="674" t="str">
        <f t="shared" si="33"/>
        <v/>
      </c>
      <c r="X93" s="674" t="str">
        <f t="shared" si="33"/>
        <v/>
      </c>
      <c r="Y93" s="674" t="str">
        <f t="shared" si="33"/>
        <v/>
      </c>
      <c r="Z93" s="674" t="str">
        <f t="shared" si="33"/>
        <v/>
      </c>
      <c r="AA93" s="674" t="str">
        <f t="shared" si="33"/>
        <v/>
      </c>
      <c r="AB93" s="674" t="str">
        <f t="shared" si="33"/>
        <v/>
      </c>
      <c r="AC93" s="674" t="str">
        <f t="shared" si="33"/>
        <v/>
      </c>
      <c r="AD93" s="674" t="str">
        <f t="shared" si="33"/>
        <v/>
      </c>
      <c r="AE93" s="674" t="str">
        <f t="shared" si="33"/>
        <v/>
      </c>
      <c r="AF93" s="674" t="str">
        <f t="shared" si="33"/>
        <v/>
      </c>
      <c r="AG93" s="674" t="str">
        <f t="shared" si="33"/>
        <v/>
      </c>
      <c r="AH93" s="674" t="str">
        <f t="shared" si="33"/>
        <v/>
      </c>
      <c r="AI93" s="674" t="str">
        <f t="shared" si="33"/>
        <v/>
      </c>
      <c r="AJ93" s="674" t="str">
        <f t="shared" si="33"/>
        <v/>
      </c>
      <c r="AK93" s="675" t="str">
        <f t="shared" si="33"/>
        <v/>
      </c>
      <c r="AL93" s="15"/>
      <c r="AM93" s="15"/>
      <c r="AP93" s="536"/>
      <c r="AR93" s="537"/>
      <c r="AS93" s="529"/>
      <c r="AW93" s="541">
        <f>VALUE($T$22)</f>
        <v>6</v>
      </c>
      <c r="AX93" s="542" t="str">
        <f>"Gólkülönbség: "&amp;IF(NOT(AS22),"–",AW93&amp;" p")</f>
        <v>Gólkülönbség: 6 p</v>
      </c>
      <c r="AY93" s="390" t="str">
        <f>""</f>
        <v/>
      </c>
      <c r="BD93" s="520"/>
      <c r="BE93" s="520"/>
      <c r="BF93" s="520"/>
      <c r="BG93" s="520"/>
      <c r="BH93" s="520"/>
      <c r="BI93" s="520"/>
      <c r="BJ93" s="520"/>
      <c r="BK93" s="520"/>
      <c r="BL93" s="520"/>
      <c r="BM93" s="520"/>
      <c r="BN93" s="520"/>
      <c r="BO93" s="520"/>
      <c r="BP93" s="520"/>
      <c r="BQ93" s="520"/>
      <c r="BR93" s="520"/>
      <c r="BS93" s="520"/>
      <c r="BT93" s="520"/>
      <c r="BU93" s="520"/>
      <c r="BV93" s="520"/>
      <c r="BW93" s="520"/>
      <c r="BX93" s="520"/>
      <c r="BY93" s="520"/>
    </row>
    <row r="94" spans="1:86" ht="12" customHeight="1" x14ac:dyDescent="0.3">
      <c r="A94" s="765"/>
      <c r="E94" s="258" t="str">
        <f>$AX$94</f>
        <v>Mérkőzés kimenetele: 4 p</v>
      </c>
      <c r="H94" s="673" t="str">
        <f t="shared" ref="H94:AK94" si="34">IF(OR(BC91,NOT($AS$24)),"",IF(AND(NOT($AS$32),COUNTIF(H92:H93,"ü")&gt;0),"",IF(SIGN(H90-H91)=SIGN($E90-$E91),"ü"," ")))</f>
        <v/>
      </c>
      <c r="I94" s="674" t="str">
        <f t="shared" si="34"/>
        <v/>
      </c>
      <c r="J94" s="674" t="str">
        <f t="shared" si="34"/>
        <v/>
      </c>
      <c r="K94" s="674" t="str">
        <f t="shared" si="34"/>
        <v/>
      </c>
      <c r="L94" s="674" t="str">
        <f t="shared" si="34"/>
        <v/>
      </c>
      <c r="M94" s="674" t="str">
        <f t="shared" si="34"/>
        <v/>
      </c>
      <c r="N94" s="674" t="str">
        <f t="shared" si="34"/>
        <v/>
      </c>
      <c r="O94" s="674" t="str">
        <f t="shared" si="34"/>
        <v/>
      </c>
      <c r="P94" s="674" t="str">
        <f t="shared" si="34"/>
        <v/>
      </c>
      <c r="Q94" s="674" t="str">
        <f t="shared" si="34"/>
        <v/>
      </c>
      <c r="R94" s="674" t="str">
        <f t="shared" si="34"/>
        <v/>
      </c>
      <c r="S94" s="674" t="str">
        <f t="shared" si="34"/>
        <v/>
      </c>
      <c r="T94" s="674" t="str">
        <f t="shared" si="34"/>
        <v/>
      </c>
      <c r="U94" s="674" t="str">
        <f t="shared" si="34"/>
        <v/>
      </c>
      <c r="V94" s="674" t="str">
        <f t="shared" si="34"/>
        <v/>
      </c>
      <c r="W94" s="674" t="str">
        <f t="shared" si="34"/>
        <v/>
      </c>
      <c r="X94" s="674" t="str">
        <f t="shared" si="34"/>
        <v/>
      </c>
      <c r="Y94" s="674" t="str">
        <f t="shared" si="34"/>
        <v/>
      </c>
      <c r="Z94" s="674" t="str">
        <f t="shared" si="34"/>
        <v/>
      </c>
      <c r="AA94" s="674" t="str">
        <f t="shared" si="34"/>
        <v/>
      </c>
      <c r="AB94" s="674" t="str">
        <f t="shared" si="34"/>
        <v/>
      </c>
      <c r="AC94" s="674" t="str">
        <f t="shared" si="34"/>
        <v/>
      </c>
      <c r="AD94" s="674" t="str">
        <f t="shared" si="34"/>
        <v/>
      </c>
      <c r="AE94" s="674" t="str">
        <f t="shared" si="34"/>
        <v/>
      </c>
      <c r="AF94" s="674" t="str">
        <f t="shared" si="34"/>
        <v/>
      </c>
      <c r="AG94" s="674" t="str">
        <f t="shared" si="34"/>
        <v/>
      </c>
      <c r="AH94" s="674" t="str">
        <f t="shared" si="34"/>
        <v/>
      </c>
      <c r="AI94" s="674" t="str">
        <f t="shared" si="34"/>
        <v/>
      </c>
      <c r="AJ94" s="674" t="str">
        <f t="shared" si="34"/>
        <v/>
      </c>
      <c r="AK94" s="675" t="str">
        <f t="shared" si="34"/>
        <v/>
      </c>
      <c r="AL94" s="15"/>
      <c r="AM94" s="15"/>
      <c r="AP94" s="536"/>
      <c r="AR94" s="537"/>
      <c r="AS94" s="529"/>
      <c r="AW94" s="541">
        <f>VALUE($T$24)</f>
        <v>4</v>
      </c>
      <c r="AX94" s="542" t="str">
        <f>"Mérkőzés kimenetele: "&amp;IF(NOT(AS24),"–",AW94&amp;" p")</f>
        <v>Mérkőzés kimenetele: 4 p</v>
      </c>
      <c r="AY94" s="390" t="str">
        <f>""</f>
        <v/>
      </c>
      <c r="BD94" s="520"/>
      <c r="BE94" s="520"/>
      <c r="BF94" s="520"/>
      <c r="BG94" s="520"/>
      <c r="BH94" s="520"/>
      <c r="BI94" s="520"/>
      <c r="BJ94" s="520"/>
      <c r="BK94" s="520"/>
      <c r="BL94" s="520"/>
      <c r="BM94" s="520"/>
      <c r="BN94" s="520"/>
      <c r="BO94" s="520"/>
      <c r="BP94" s="520"/>
      <c r="BQ94" s="520"/>
      <c r="BR94" s="520"/>
      <c r="BS94" s="520"/>
      <c r="BT94" s="520"/>
      <c r="BU94" s="520"/>
      <c r="BV94" s="520"/>
      <c r="BW94" s="520"/>
      <c r="BX94" s="520"/>
      <c r="BY94" s="520"/>
    </row>
    <row r="95" spans="1:86" ht="12" customHeight="1" x14ac:dyDescent="0.3">
      <c r="A95" s="765"/>
      <c r="E95" s="258" t="str">
        <f>$AX$95</f>
        <v>Egyik csapat góljainak száma: 3 p</v>
      </c>
      <c r="H95" s="673" t="str">
        <f t="shared" ref="H95:AK95" si="35">IF(OR(BC91,NOT($AS$26)),"",IF(AND(NOT($AS$32),COUNTIF(H92:H94,"ü")&gt;0),"",IF(OR(H90=$E90,H91=$E91),"ü"," ")))</f>
        <v/>
      </c>
      <c r="I95" s="674" t="str">
        <f t="shared" si="35"/>
        <v/>
      </c>
      <c r="J95" s="674" t="str">
        <f t="shared" si="35"/>
        <v/>
      </c>
      <c r="K95" s="674" t="str">
        <f t="shared" si="35"/>
        <v/>
      </c>
      <c r="L95" s="674" t="str">
        <f t="shared" si="35"/>
        <v/>
      </c>
      <c r="M95" s="674" t="str">
        <f t="shared" si="35"/>
        <v/>
      </c>
      <c r="N95" s="674" t="str">
        <f t="shared" si="35"/>
        <v/>
      </c>
      <c r="O95" s="674" t="str">
        <f t="shared" si="35"/>
        <v/>
      </c>
      <c r="P95" s="674" t="str">
        <f t="shared" si="35"/>
        <v/>
      </c>
      <c r="Q95" s="674" t="str">
        <f t="shared" si="35"/>
        <v/>
      </c>
      <c r="R95" s="674" t="str">
        <f t="shared" si="35"/>
        <v/>
      </c>
      <c r="S95" s="674" t="str">
        <f t="shared" si="35"/>
        <v/>
      </c>
      <c r="T95" s="674" t="str">
        <f t="shared" si="35"/>
        <v/>
      </c>
      <c r="U95" s="674" t="str">
        <f t="shared" si="35"/>
        <v/>
      </c>
      <c r="V95" s="674" t="str">
        <f t="shared" si="35"/>
        <v/>
      </c>
      <c r="W95" s="674" t="str">
        <f t="shared" si="35"/>
        <v/>
      </c>
      <c r="X95" s="674" t="str">
        <f t="shared" si="35"/>
        <v/>
      </c>
      <c r="Y95" s="674" t="str">
        <f t="shared" si="35"/>
        <v/>
      </c>
      <c r="Z95" s="674" t="str">
        <f t="shared" si="35"/>
        <v/>
      </c>
      <c r="AA95" s="674" t="str">
        <f t="shared" si="35"/>
        <v/>
      </c>
      <c r="AB95" s="674" t="str">
        <f t="shared" si="35"/>
        <v/>
      </c>
      <c r="AC95" s="674" t="str">
        <f t="shared" si="35"/>
        <v/>
      </c>
      <c r="AD95" s="674" t="str">
        <f t="shared" si="35"/>
        <v/>
      </c>
      <c r="AE95" s="674" t="str">
        <f t="shared" si="35"/>
        <v/>
      </c>
      <c r="AF95" s="674" t="str">
        <f t="shared" si="35"/>
        <v/>
      </c>
      <c r="AG95" s="674" t="str">
        <f t="shared" si="35"/>
        <v/>
      </c>
      <c r="AH95" s="674" t="str">
        <f t="shared" si="35"/>
        <v/>
      </c>
      <c r="AI95" s="674" t="str">
        <f t="shared" si="35"/>
        <v/>
      </c>
      <c r="AJ95" s="674" t="str">
        <f t="shared" si="35"/>
        <v/>
      </c>
      <c r="AK95" s="675" t="str">
        <f t="shared" si="35"/>
        <v/>
      </c>
      <c r="AL95" s="15"/>
      <c r="AM95" s="15"/>
      <c r="AP95" s="536"/>
      <c r="AR95" s="537"/>
      <c r="AS95" s="529"/>
      <c r="AW95" s="541">
        <f>VALUE($T$26)</f>
        <v>3</v>
      </c>
      <c r="AX95" s="542" t="str">
        <f>"Egyik csapat góljainak száma: "&amp;IF(NOT(AS26),"–",AW95&amp;" p")</f>
        <v>Egyik csapat góljainak száma: 3 p</v>
      </c>
      <c r="AY95" s="390" t="str">
        <f>""</f>
        <v/>
      </c>
      <c r="BD95" s="520"/>
      <c r="BE95" s="520"/>
      <c r="BF95" s="520"/>
      <c r="BG95" s="520"/>
      <c r="BH95" s="520"/>
      <c r="BI95" s="520"/>
      <c r="BJ95" s="520"/>
      <c r="BK95" s="520"/>
      <c r="BL95" s="520"/>
      <c r="BM95" s="520"/>
      <c r="BN95" s="520"/>
      <c r="BO95" s="520"/>
      <c r="BP95" s="520"/>
      <c r="BQ95" s="520"/>
      <c r="BR95" s="520"/>
      <c r="BS95" s="520"/>
      <c r="BT95" s="520"/>
      <c r="BU95" s="520"/>
      <c r="BV95" s="520"/>
      <c r="BW95" s="520"/>
      <c r="BX95" s="520"/>
      <c r="BY95" s="520"/>
    </row>
    <row r="96" spans="1:86" ht="12" customHeight="1" x14ac:dyDescent="0.3">
      <c r="A96" s="765"/>
      <c r="E96" s="258" t="str">
        <f>$AX$96</f>
        <v>Összes gól: 2 p</v>
      </c>
      <c r="H96" s="673" t="str">
        <f t="shared" ref="H96:AK96" si="36">IF(OR(BC91,NOT($AS$28)),"",IF(AND(NOT($AS$32),COUNTIF(H92:H95,"ü")&gt;0),"",IF(H90+H91=$E90+$E91,"ü"," ")))</f>
        <v/>
      </c>
      <c r="I96" s="674" t="str">
        <f t="shared" si="36"/>
        <v/>
      </c>
      <c r="J96" s="674" t="str">
        <f t="shared" si="36"/>
        <v/>
      </c>
      <c r="K96" s="674" t="str">
        <f t="shared" si="36"/>
        <v/>
      </c>
      <c r="L96" s="674" t="str">
        <f t="shared" si="36"/>
        <v/>
      </c>
      <c r="M96" s="674" t="str">
        <f t="shared" si="36"/>
        <v/>
      </c>
      <c r="N96" s="674" t="str">
        <f t="shared" si="36"/>
        <v/>
      </c>
      <c r="O96" s="674" t="str">
        <f t="shared" si="36"/>
        <v/>
      </c>
      <c r="P96" s="674" t="str">
        <f t="shared" si="36"/>
        <v/>
      </c>
      <c r="Q96" s="674" t="str">
        <f t="shared" si="36"/>
        <v/>
      </c>
      <c r="R96" s="674" t="str">
        <f t="shared" si="36"/>
        <v/>
      </c>
      <c r="S96" s="674" t="str">
        <f t="shared" si="36"/>
        <v/>
      </c>
      <c r="T96" s="674" t="str">
        <f t="shared" si="36"/>
        <v/>
      </c>
      <c r="U96" s="674" t="str">
        <f t="shared" si="36"/>
        <v/>
      </c>
      <c r="V96" s="674" t="str">
        <f t="shared" si="36"/>
        <v/>
      </c>
      <c r="W96" s="674" t="str">
        <f t="shared" si="36"/>
        <v/>
      </c>
      <c r="X96" s="674" t="str">
        <f t="shared" si="36"/>
        <v/>
      </c>
      <c r="Y96" s="674" t="str">
        <f t="shared" si="36"/>
        <v/>
      </c>
      <c r="Z96" s="674" t="str">
        <f t="shared" si="36"/>
        <v/>
      </c>
      <c r="AA96" s="674" t="str">
        <f t="shared" si="36"/>
        <v/>
      </c>
      <c r="AB96" s="674" t="str">
        <f t="shared" si="36"/>
        <v/>
      </c>
      <c r="AC96" s="674" t="str">
        <f t="shared" si="36"/>
        <v/>
      </c>
      <c r="AD96" s="674" t="str">
        <f t="shared" si="36"/>
        <v/>
      </c>
      <c r="AE96" s="674" t="str">
        <f t="shared" si="36"/>
        <v/>
      </c>
      <c r="AF96" s="674" t="str">
        <f t="shared" si="36"/>
        <v/>
      </c>
      <c r="AG96" s="674" t="str">
        <f t="shared" si="36"/>
        <v/>
      </c>
      <c r="AH96" s="674" t="str">
        <f t="shared" si="36"/>
        <v/>
      </c>
      <c r="AI96" s="674" t="str">
        <f t="shared" si="36"/>
        <v/>
      </c>
      <c r="AJ96" s="674" t="str">
        <f t="shared" si="36"/>
        <v/>
      </c>
      <c r="AK96" s="675" t="str">
        <f t="shared" si="36"/>
        <v/>
      </c>
      <c r="AL96" s="15"/>
      <c r="AM96" s="15"/>
      <c r="AP96" s="536"/>
      <c r="AR96" s="537"/>
      <c r="AS96" s="529"/>
      <c r="AW96" s="541">
        <f>VALUE($T$28)</f>
        <v>2</v>
      </c>
      <c r="AX96" s="542" t="str">
        <f>"Összes gól: "&amp;IF(NOT(AS28),"–",AW96&amp;" p")</f>
        <v>Összes gól: 2 p</v>
      </c>
      <c r="AY96" s="390" t="str">
        <f>""</f>
        <v/>
      </c>
      <c r="BD96" s="520"/>
      <c r="BE96" s="520"/>
      <c r="BF96" s="520"/>
      <c r="BG96" s="520"/>
      <c r="BH96" s="520"/>
      <c r="BI96" s="520"/>
      <c r="BJ96" s="520"/>
      <c r="BK96" s="520"/>
      <c r="BL96" s="520"/>
      <c r="BM96" s="520"/>
      <c r="BN96" s="520"/>
      <c r="BO96" s="520"/>
      <c r="BP96" s="520"/>
      <c r="BQ96" s="520"/>
      <c r="BR96" s="520"/>
      <c r="BS96" s="520"/>
      <c r="BT96" s="520"/>
      <c r="BU96" s="520"/>
      <c r="BV96" s="520"/>
      <c r="BW96" s="520"/>
      <c r="BX96" s="520"/>
      <c r="BY96" s="520"/>
    </row>
    <row r="97" spans="1:84" ht="12" customHeight="1" x14ac:dyDescent="0.3">
      <c r="A97" s="765"/>
      <c r="E97" s="258" t="str">
        <f>$AX$97</f>
        <v>Fordított gólkülönbség: 1 p</v>
      </c>
      <c r="H97" s="676" t="str">
        <f t="shared" ref="H97:AK97" si="37">IF(OR(BC91,NOT($AS$30)),"",IF(AND(NOT($AS$32),COUNTIF(H92:H96,"ü")&gt;0),"",IF(AND(H90-H91=$E91-$E90,H90&lt;&gt;H91),"ü"," ")))</f>
        <v/>
      </c>
      <c r="I97" s="677" t="str">
        <f t="shared" si="37"/>
        <v/>
      </c>
      <c r="J97" s="677" t="str">
        <f t="shared" si="37"/>
        <v/>
      </c>
      <c r="K97" s="677" t="str">
        <f t="shared" si="37"/>
        <v/>
      </c>
      <c r="L97" s="677" t="str">
        <f t="shared" si="37"/>
        <v/>
      </c>
      <c r="M97" s="677" t="str">
        <f t="shared" si="37"/>
        <v/>
      </c>
      <c r="N97" s="677" t="str">
        <f t="shared" si="37"/>
        <v/>
      </c>
      <c r="O97" s="677" t="str">
        <f t="shared" si="37"/>
        <v/>
      </c>
      <c r="P97" s="677" t="str">
        <f t="shared" si="37"/>
        <v/>
      </c>
      <c r="Q97" s="677" t="str">
        <f t="shared" si="37"/>
        <v/>
      </c>
      <c r="R97" s="677" t="str">
        <f t="shared" si="37"/>
        <v/>
      </c>
      <c r="S97" s="677" t="str">
        <f t="shared" si="37"/>
        <v/>
      </c>
      <c r="T97" s="677" t="str">
        <f t="shared" si="37"/>
        <v/>
      </c>
      <c r="U97" s="677" t="str">
        <f t="shared" si="37"/>
        <v/>
      </c>
      <c r="V97" s="677" t="str">
        <f t="shared" si="37"/>
        <v/>
      </c>
      <c r="W97" s="677" t="str">
        <f t="shared" si="37"/>
        <v/>
      </c>
      <c r="X97" s="677" t="str">
        <f t="shared" si="37"/>
        <v/>
      </c>
      <c r="Y97" s="677" t="str">
        <f t="shared" si="37"/>
        <v/>
      </c>
      <c r="Z97" s="677" t="str">
        <f t="shared" si="37"/>
        <v/>
      </c>
      <c r="AA97" s="677" t="str">
        <f t="shared" si="37"/>
        <v/>
      </c>
      <c r="AB97" s="677" t="str">
        <f t="shared" si="37"/>
        <v/>
      </c>
      <c r="AC97" s="677" t="str">
        <f t="shared" si="37"/>
        <v/>
      </c>
      <c r="AD97" s="677" t="str">
        <f t="shared" si="37"/>
        <v/>
      </c>
      <c r="AE97" s="677" t="str">
        <f t="shared" si="37"/>
        <v/>
      </c>
      <c r="AF97" s="677" t="str">
        <f t="shared" si="37"/>
        <v/>
      </c>
      <c r="AG97" s="677" t="str">
        <f t="shared" si="37"/>
        <v/>
      </c>
      <c r="AH97" s="677" t="str">
        <f t="shared" si="37"/>
        <v/>
      </c>
      <c r="AI97" s="677" t="str">
        <f t="shared" si="37"/>
        <v/>
      </c>
      <c r="AJ97" s="677" t="str">
        <f t="shared" si="37"/>
        <v/>
      </c>
      <c r="AK97" s="678" t="str">
        <f t="shared" si="37"/>
        <v/>
      </c>
      <c r="AL97" s="15"/>
      <c r="AM97" s="15"/>
      <c r="AP97" s="536"/>
      <c r="AR97" s="537"/>
      <c r="AS97" s="529"/>
      <c r="AW97" s="541">
        <f>VALUE($T$30)</f>
        <v>1</v>
      </c>
      <c r="AX97" s="542" t="str">
        <f>"Fordított gólkülönbség: "&amp;IF(NOT(AS30),"–",AW97&amp;" p")</f>
        <v>Fordított gólkülönbség: 1 p</v>
      </c>
      <c r="AY97" s="390" t="str">
        <f>""</f>
        <v/>
      </c>
      <c r="BD97" s="520"/>
      <c r="BE97" s="520"/>
      <c r="BF97" s="520"/>
      <c r="BG97" s="520"/>
      <c r="BH97" s="520"/>
      <c r="BI97" s="520"/>
      <c r="BJ97" s="520"/>
      <c r="BK97" s="520"/>
      <c r="BL97" s="520"/>
      <c r="BM97" s="520"/>
      <c r="BN97" s="520"/>
      <c r="BO97" s="520"/>
      <c r="BP97" s="520"/>
      <c r="BQ97" s="520"/>
      <c r="BR97" s="520"/>
      <c r="BS97" s="520"/>
      <c r="BT97" s="520"/>
      <c r="BU97" s="520"/>
      <c r="BV97" s="520"/>
      <c r="BW97" s="520"/>
      <c r="BX97" s="520"/>
      <c r="BY97" s="520"/>
    </row>
    <row r="98" spans="1:84" ht="15" customHeight="1" x14ac:dyDescent="0.3">
      <c r="A98" s="765"/>
      <c r="E98" s="79" t="s">
        <v>799</v>
      </c>
      <c r="H98" s="679">
        <f t="shared" ref="H98:AK98" si="38">IF(NOT(H$13),"",SUMPRODUCT((H92:H97="ü")*($AW$92:$AW$97)))</f>
        <v>0</v>
      </c>
      <c r="I98" s="680">
        <f t="shared" si="38"/>
        <v>0</v>
      </c>
      <c r="J98" s="680">
        <f t="shared" si="38"/>
        <v>0</v>
      </c>
      <c r="K98" s="680">
        <f t="shared" si="38"/>
        <v>0</v>
      </c>
      <c r="L98" s="680">
        <f t="shared" si="38"/>
        <v>0</v>
      </c>
      <c r="M98" s="680">
        <f t="shared" si="38"/>
        <v>0</v>
      </c>
      <c r="N98" s="680">
        <f t="shared" si="38"/>
        <v>0</v>
      </c>
      <c r="O98" s="680">
        <f t="shared" si="38"/>
        <v>0</v>
      </c>
      <c r="P98" s="680">
        <f t="shared" si="38"/>
        <v>0</v>
      </c>
      <c r="Q98" s="680">
        <f t="shared" si="38"/>
        <v>0</v>
      </c>
      <c r="R98" s="680">
        <f t="shared" si="38"/>
        <v>0</v>
      </c>
      <c r="S98" s="680">
        <f t="shared" si="38"/>
        <v>0</v>
      </c>
      <c r="T98" s="680">
        <f t="shared" si="38"/>
        <v>0</v>
      </c>
      <c r="U98" s="680">
        <f t="shared" si="38"/>
        <v>0</v>
      </c>
      <c r="V98" s="680">
        <f t="shared" si="38"/>
        <v>0</v>
      </c>
      <c r="W98" s="680">
        <f t="shared" si="38"/>
        <v>0</v>
      </c>
      <c r="X98" s="680">
        <f t="shared" si="38"/>
        <v>0</v>
      </c>
      <c r="Y98" s="680">
        <f t="shared" si="38"/>
        <v>0</v>
      </c>
      <c r="Z98" s="680">
        <f t="shared" si="38"/>
        <v>0</v>
      </c>
      <c r="AA98" s="680">
        <f t="shared" si="38"/>
        <v>0</v>
      </c>
      <c r="AB98" s="680">
        <f t="shared" si="38"/>
        <v>0</v>
      </c>
      <c r="AC98" s="680">
        <f t="shared" si="38"/>
        <v>0</v>
      </c>
      <c r="AD98" s="680">
        <f t="shared" si="38"/>
        <v>0</v>
      </c>
      <c r="AE98" s="680" t="str">
        <f t="shared" si="38"/>
        <v/>
      </c>
      <c r="AF98" s="680" t="str">
        <f t="shared" si="38"/>
        <v/>
      </c>
      <c r="AG98" s="680" t="str">
        <f t="shared" si="38"/>
        <v/>
      </c>
      <c r="AH98" s="680" t="str">
        <f t="shared" si="38"/>
        <v/>
      </c>
      <c r="AI98" s="680" t="str">
        <f t="shared" si="38"/>
        <v/>
      </c>
      <c r="AJ98" s="680" t="str">
        <f t="shared" si="38"/>
        <v/>
      </c>
      <c r="AK98" s="681" t="str">
        <f t="shared" si="38"/>
        <v/>
      </c>
      <c r="AP98" s="536"/>
      <c r="AR98" s="537"/>
      <c r="AS98" s="529"/>
    </row>
    <row r="99" spans="1:84" ht="9" customHeight="1" x14ac:dyDescent="0.3">
      <c r="A99" s="765"/>
      <c r="D99" s="15"/>
      <c r="E99" s="15"/>
      <c r="F99" s="15"/>
      <c r="G99" s="15"/>
      <c r="H99" s="15"/>
      <c r="I99" s="16"/>
      <c r="J99" s="15"/>
      <c r="K99" s="15"/>
      <c r="L99" s="16"/>
      <c r="M99" s="15"/>
      <c r="N99" s="15"/>
      <c r="O99" s="16"/>
      <c r="P99" s="15"/>
      <c r="Q99" s="15"/>
      <c r="R99" s="16"/>
      <c r="S99" s="15"/>
      <c r="T99" s="15"/>
      <c r="U99" s="16"/>
      <c r="V99" s="15"/>
      <c r="W99" s="15"/>
      <c r="X99" s="16"/>
      <c r="Y99" s="15"/>
      <c r="Z99" s="15"/>
      <c r="AA99" s="16"/>
      <c r="AB99" s="15"/>
      <c r="AC99" s="15"/>
      <c r="AD99" s="16"/>
      <c r="AE99" s="15"/>
      <c r="AF99" s="15"/>
      <c r="AG99" s="16"/>
      <c r="AH99" s="15"/>
      <c r="AI99" s="15"/>
      <c r="AJ99" s="16"/>
      <c r="AK99" s="15"/>
      <c r="AP99" s="536"/>
      <c r="AR99" s="537"/>
      <c r="AS99" s="529"/>
    </row>
    <row r="100" spans="1:84" ht="15" customHeight="1" x14ac:dyDescent="0.3">
      <c r="A100" s="765"/>
      <c r="C100" s="27" t="str">
        <f>" "&amp;VLOOKUP(AQ101,schedule,18,FALSE)&amp;"  ("&amp;VLOOKUP(AQ101,schedule,3,FALSE)&amp;" CSOPORT)"</f>
        <v xml:space="preserve"> JÚNIUS 12. – SZOMBAT 15:00  (A CSOPORT)</v>
      </c>
      <c r="D100" s="27"/>
      <c r="E100" s="26"/>
      <c r="F100" s="26"/>
      <c r="G100" s="26"/>
      <c r="H100" s="26"/>
      <c r="I100" s="26"/>
      <c r="J100" s="26"/>
      <c r="AP100" s="536"/>
      <c r="AR100" s="537"/>
      <c r="AS100" s="529"/>
    </row>
    <row r="101" spans="1:84" ht="15" customHeight="1" x14ac:dyDescent="0.3">
      <c r="A101" s="765"/>
      <c r="C101" s="661"/>
      <c r="D101" s="662" t="str">
        <f>IF(INDEX(n.er,$AR101,8)="","",INDEX(n.er,$AR101,8))</f>
        <v>Wales</v>
      </c>
      <c r="E101" s="663" t="str">
        <f>IF(NOT($AS101),"",INDEX(n.er,$AR101,9))</f>
        <v/>
      </c>
      <c r="F101" s="662"/>
      <c r="G101" s="259"/>
      <c r="H101" s="664">
        <v>1</v>
      </c>
      <c r="I101" s="665">
        <v>1</v>
      </c>
      <c r="J101" s="665">
        <v>1</v>
      </c>
      <c r="K101" s="665">
        <v>1</v>
      </c>
      <c r="L101" s="665">
        <v>2</v>
      </c>
      <c r="M101" s="665">
        <v>1</v>
      </c>
      <c r="N101" s="665">
        <v>0</v>
      </c>
      <c r="O101" s="665">
        <v>2</v>
      </c>
      <c r="P101" s="665">
        <v>0</v>
      </c>
      <c r="Q101" s="665">
        <v>1</v>
      </c>
      <c r="R101" s="665">
        <v>0</v>
      </c>
      <c r="S101" s="665">
        <v>1</v>
      </c>
      <c r="T101" s="665">
        <v>1</v>
      </c>
      <c r="U101" s="665">
        <v>1</v>
      </c>
      <c r="V101" s="665">
        <v>0</v>
      </c>
      <c r="W101" s="665">
        <v>0</v>
      </c>
      <c r="X101" s="665">
        <v>2</v>
      </c>
      <c r="Y101" s="665">
        <v>0</v>
      </c>
      <c r="Z101" s="665">
        <v>1</v>
      </c>
      <c r="AA101" s="665">
        <v>1</v>
      </c>
      <c r="AB101" s="665">
        <v>1</v>
      </c>
      <c r="AC101" s="665">
        <v>1</v>
      </c>
      <c r="AD101" s="665">
        <v>0</v>
      </c>
      <c r="AE101" s="665"/>
      <c r="AF101" s="665"/>
      <c r="AG101" s="665"/>
      <c r="AH101" s="665"/>
      <c r="AI101" s="665"/>
      <c r="AJ101" s="665"/>
      <c r="AK101" s="666"/>
      <c r="AP101" s="52">
        <f>AP90+1</f>
        <v>2</v>
      </c>
      <c r="AQ101" s="311">
        <f>INDEX(schedule,AP101,1)</f>
        <v>2</v>
      </c>
      <c r="AR101" s="311">
        <f>MATCH(AQ101,n.er.index,0)</f>
        <v>6</v>
      </c>
      <c r="AS101" s="532" t="b">
        <f>INDEX(n.er,$AR101,3)</f>
        <v>0</v>
      </c>
      <c r="AT101" s="531"/>
      <c r="AU101" s="531"/>
      <c r="AV101" s="531"/>
      <c r="AW101" s="531"/>
      <c r="AX101" s="531"/>
      <c r="BC101" s="525" t="b">
        <f t="shared" ref="BC101:CF101" si="39">IF(AND(ISNUMBER(H101),ISNUMBER(H102),H101&lt;&gt;"",H102&lt;&gt;""),AND(H101&gt;=0,H102&gt;=0,MOD(H101+H102,1)=0),FALSE)</f>
        <v>1</v>
      </c>
      <c r="BD101" s="525" t="b">
        <f t="shared" si="39"/>
        <v>1</v>
      </c>
      <c r="BE101" s="525" t="b">
        <f t="shared" si="39"/>
        <v>1</v>
      </c>
      <c r="BF101" s="525" t="b">
        <f t="shared" si="39"/>
        <v>1</v>
      </c>
      <c r="BG101" s="525" t="b">
        <f t="shared" si="39"/>
        <v>1</v>
      </c>
      <c r="BH101" s="525" t="b">
        <f t="shared" si="39"/>
        <v>1</v>
      </c>
      <c r="BI101" s="525" t="b">
        <f t="shared" si="39"/>
        <v>1</v>
      </c>
      <c r="BJ101" s="525" t="b">
        <f t="shared" si="39"/>
        <v>1</v>
      </c>
      <c r="BK101" s="525" t="b">
        <f t="shared" si="39"/>
        <v>1</v>
      </c>
      <c r="BL101" s="525" t="b">
        <f t="shared" si="39"/>
        <v>1</v>
      </c>
      <c r="BM101" s="525" t="b">
        <f t="shared" si="39"/>
        <v>1</v>
      </c>
      <c r="BN101" s="525" t="b">
        <f t="shared" si="39"/>
        <v>1</v>
      </c>
      <c r="BO101" s="525" t="b">
        <f t="shared" si="39"/>
        <v>1</v>
      </c>
      <c r="BP101" s="525" t="b">
        <f t="shared" si="39"/>
        <v>1</v>
      </c>
      <c r="BQ101" s="525" t="b">
        <f t="shared" si="39"/>
        <v>1</v>
      </c>
      <c r="BR101" s="525" t="b">
        <f t="shared" si="39"/>
        <v>1</v>
      </c>
      <c r="BS101" s="525" t="b">
        <f t="shared" si="39"/>
        <v>1</v>
      </c>
      <c r="BT101" s="525" t="b">
        <f t="shared" si="39"/>
        <v>1</v>
      </c>
      <c r="BU101" s="525" t="b">
        <f t="shared" si="39"/>
        <v>1</v>
      </c>
      <c r="BV101" s="525" t="b">
        <f t="shared" si="39"/>
        <v>1</v>
      </c>
      <c r="BW101" s="525" t="b">
        <f t="shared" si="39"/>
        <v>1</v>
      </c>
      <c r="BX101" s="525" t="b">
        <f t="shared" si="39"/>
        <v>1</v>
      </c>
      <c r="BY101" s="525" t="b">
        <f t="shared" si="39"/>
        <v>1</v>
      </c>
      <c r="BZ101" s="525" t="b">
        <f t="shared" si="39"/>
        <v>0</v>
      </c>
      <c r="CA101" s="525" t="b">
        <f t="shared" si="39"/>
        <v>0</v>
      </c>
      <c r="CB101" s="525" t="b">
        <f t="shared" si="39"/>
        <v>0</v>
      </c>
      <c r="CC101" s="525" t="b">
        <f t="shared" si="39"/>
        <v>0</v>
      </c>
      <c r="CD101" s="525" t="b">
        <f t="shared" si="39"/>
        <v>0</v>
      </c>
      <c r="CE101" s="525" t="b">
        <f t="shared" si="39"/>
        <v>0</v>
      </c>
      <c r="CF101" s="525" t="b">
        <f t="shared" si="39"/>
        <v>0</v>
      </c>
    </row>
    <row r="102" spans="1:84" ht="15" customHeight="1" x14ac:dyDescent="0.3">
      <c r="A102" s="765"/>
      <c r="C102" s="695"/>
      <c r="D102" s="696" t="str">
        <f>IF(INDEX(n.er,$AR101,11)="","",INDEX(n.er,$AR101,11))</f>
        <v>Svájc</v>
      </c>
      <c r="E102" s="697" t="str">
        <f>IF(NOT($AS101),"",INDEX(n.er,$AR101,10))</f>
        <v/>
      </c>
      <c r="F102" s="696"/>
      <c r="G102" s="259"/>
      <c r="H102" s="667">
        <v>1</v>
      </c>
      <c r="I102" s="668">
        <v>3</v>
      </c>
      <c r="J102" s="668">
        <v>2</v>
      </c>
      <c r="K102" s="668">
        <v>3</v>
      </c>
      <c r="L102" s="668">
        <v>1</v>
      </c>
      <c r="M102" s="668">
        <v>2</v>
      </c>
      <c r="N102" s="668">
        <v>1</v>
      </c>
      <c r="O102" s="668">
        <v>1</v>
      </c>
      <c r="P102" s="668">
        <v>2</v>
      </c>
      <c r="Q102" s="668">
        <v>1</v>
      </c>
      <c r="R102" s="668">
        <v>2</v>
      </c>
      <c r="S102" s="668">
        <v>1</v>
      </c>
      <c r="T102" s="668">
        <v>1</v>
      </c>
      <c r="U102" s="668">
        <v>2</v>
      </c>
      <c r="V102" s="668">
        <v>1</v>
      </c>
      <c r="W102" s="668">
        <v>1</v>
      </c>
      <c r="X102" s="668">
        <v>1</v>
      </c>
      <c r="Y102" s="668">
        <v>0</v>
      </c>
      <c r="Z102" s="668">
        <v>1</v>
      </c>
      <c r="AA102" s="668">
        <v>2</v>
      </c>
      <c r="AB102" s="668">
        <v>1</v>
      </c>
      <c r="AC102" s="668">
        <v>1</v>
      </c>
      <c r="AD102" s="668">
        <v>2</v>
      </c>
      <c r="AE102" s="668"/>
      <c r="AF102" s="668"/>
      <c r="AG102" s="668"/>
      <c r="AH102" s="668"/>
      <c r="AI102" s="668"/>
      <c r="AJ102" s="668"/>
      <c r="AK102" s="669"/>
      <c r="AP102" s="533"/>
      <c r="AQ102" s="577"/>
      <c r="AR102" s="534"/>
      <c r="AS102" s="535"/>
      <c r="AX102" s="531"/>
      <c r="BC102" s="34" t="b">
        <f t="shared" ref="BC102:CF102" si="40">OR(NOT(H$13),NOT($AS101),NOT(BC101))</f>
        <v>1</v>
      </c>
      <c r="BD102" s="34" t="b">
        <f t="shared" si="40"/>
        <v>1</v>
      </c>
      <c r="BE102" s="34" t="b">
        <f t="shared" si="40"/>
        <v>1</v>
      </c>
      <c r="BF102" s="34" t="b">
        <f t="shared" si="40"/>
        <v>1</v>
      </c>
      <c r="BG102" s="34" t="b">
        <f t="shared" si="40"/>
        <v>1</v>
      </c>
      <c r="BH102" s="34" t="b">
        <f t="shared" si="40"/>
        <v>1</v>
      </c>
      <c r="BI102" s="34" t="b">
        <f t="shared" si="40"/>
        <v>1</v>
      </c>
      <c r="BJ102" s="34" t="b">
        <f t="shared" si="40"/>
        <v>1</v>
      </c>
      <c r="BK102" s="34" t="b">
        <f t="shared" si="40"/>
        <v>1</v>
      </c>
      <c r="BL102" s="34" t="b">
        <f t="shared" si="40"/>
        <v>1</v>
      </c>
      <c r="BM102" s="34" t="b">
        <f t="shared" si="40"/>
        <v>1</v>
      </c>
      <c r="BN102" s="34" t="b">
        <f t="shared" si="40"/>
        <v>1</v>
      </c>
      <c r="BO102" s="34" t="b">
        <f t="shared" si="40"/>
        <v>1</v>
      </c>
      <c r="BP102" s="34" t="b">
        <f t="shared" si="40"/>
        <v>1</v>
      </c>
      <c r="BQ102" s="34" t="b">
        <f t="shared" si="40"/>
        <v>1</v>
      </c>
      <c r="BR102" s="34" t="b">
        <f t="shared" si="40"/>
        <v>1</v>
      </c>
      <c r="BS102" s="34" t="b">
        <f t="shared" si="40"/>
        <v>1</v>
      </c>
      <c r="BT102" s="34" t="b">
        <f t="shared" si="40"/>
        <v>1</v>
      </c>
      <c r="BU102" s="34" t="b">
        <f t="shared" si="40"/>
        <v>1</v>
      </c>
      <c r="BV102" s="34" t="b">
        <f t="shared" si="40"/>
        <v>1</v>
      </c>
      <c r="BW102" s="34" t="b">
        <f t="shared" si="40"/>
        <v>1</v>
      </c>
      <c r="BX102" s="34" t="b">
        <f t="shared" si="40"/>
        <v>1</v>
      </c>
      <c r="BY102" s="34" t="b">
        <f t="shared" si="40"/>
        <v>1</v>
      </c>
      <c r="BZ102" s="34" t="b">
        <f t="shared" si="40"/>
        <v>1</v>
      </c>
      <c r="CA102" s="34" t="b">
        <f t="shared" si="40"/>
        <v>1</v>
      </c>
      <c r="CB102" s="34" t="b">
        <f t="shared" si="40"/>
        <v>1</v>
      </c>
      <c r="CC102" s="34" t="b">
        <f t="shared" si="40"/>
        <v>1</v>
      </c>
      <c r="CD102" s="34" t="b">
        <f t="shared" si="40"/>
        <v>1</v>
      </c>
      <c r="CE102" s="34" t="b">
        <f t="shared" si="40"/>
        <v>1</v>
      </c>
      <c r="CF102" s="34" t="b">
        <f t="shared" si="40"/>
        <v>1</v>
      </c>
    </row>
    <row r="103" spans="1:84" ht="12" customHeight="1" x14ac:dyDescent="0.3">
      <c r="A103" s="765"/>
      <c r="E103" s="258" t="str">
        <f>$AX$92</f>
        <v>Telitalálat: 10 p</v>
      </c>
      <c r="H103" s="670" t="str">
        <f t="shared" ref="H103:AK103" si="41">IF(OR(BC102,NOT($AS$20)),"",IF(AND(H101=$E101,H102=$E102),"ü",""))</f>
        <v/>
      </c>
      <c r="I103" s="671" t="str">
        <f t="shared" si="41"/>
        <v/>
      </c>
      <c r="J103" s="671" t="str">
        <f t="shared" si="41"/>
        <v/>
      </c>
      <c r="K103" s="671" t="str">
        <f t="shared" si="41"/>
        <v/>
      </c>
      <c r="L103" s="671" t="str">
        <f t="shared" si="41"/>
        <v/>
      </c>
      <c r="M103" s="671" t="str">
        <f t="shared" si="41"/>
        <v/>
      </c>
      <c r="N103" s="671" t="str">
        <f t="shared" si="41"/>
        <v/>
      </c>
      <c r="O103" s="671" t="str">
        <f t="shared" si="41"/>
        <v/>
      </c>
      <c r="P103" s="671" t="str">
        <f t="shared" si="41"/>
        <v/>
      </c>
      <c r="Q103" s="671" t="str">
        <f t="shared" si="41"/>
        <v/>
      </c>
      <c r="R103" s="671" t="str">
        <f t="shared" si="41"/>
        <v/>
      </c>
      <c r="S103" s="671" t="str">
        <f t="shared" si="41"/>
        <v/>
      </c>
      <c r="T103" s="671" t="str">
        <f t="shared" si="41"/>
        <v/>
      </c>
      <c r="U103" s="671" t="str">
        <f t="shared" si="41"/>
        <v/>
      </c>
      <c r="V103" s="671" t="str">
        <f t="shared" si="41"/>
        <v/>
      </c>
      <c r="W103" s="671" t="str">
        <f t="shared" si="41"/>
        <v/>
      </c>
      <c r="X103" s="671" t="str">
        <f t="shared" si="41"/>
        <v/>
      </c>
      <c r="Y103" s="671" t="str">
        <f t="shared" si="41"/>
        <v/>
      </c>
      <c r="Z103" s="671" t="str">
        <f t="shared" si="41"/>
        <v/>
      </c>
      <c r="AA103" s="671" t="str">
        <f t="shared" si="41"/>
        <v/>
      </c>
      <c r="AB103" s="671" t="str">
        <f t="shared" si="41"/>
        <v/>
      </c>
      <c r="AC103" s="671" t="str">
        <f t="shared" si="41"/>
        <v/>
      </c>
      <c r="AD103" s="671" t="str">
        <f t="shared" si="41"/>
        <v/>
      </c>
      <c r="AE103" s="671" t="str">
        <f t="shared" si="41"/>
        <v/>
      </c>
      <c r="AF103" s="671" t="str">
        <f t="shared" si="41"/>
        <v/>
      </c>
      <c r="AG103" s="671" t="str">
        <f t="shared" si="41"/>
        <v/>
      </c>
      <c r="AH103" s="671" t="str">
        <f t="shared" si="41"/>
        <v/>
      </c>
      <c r="AI103" s="671" t="str">
        <f t="shared" si="41"/>
        <v/>
      </c>
      <c r="AJ103" s="671" t="str">
        <f t="shared" si="41"/>
        <v/>
      </c>
      <c r="AK103" s="672" t="str">
        <f t="shared" si="41"/>
        <v/>
      </c>
      <c r="AL103" s="15"/>
      <c r="AM103" s="15"/>
      <c r="AP103" s="536"/>
      <c r="AR103" s="537"/>
      <c r="AS103" s="529"/>
      <c r="AW103" s="390" t="str">
        <f>""</f>
        <v/>
      </c>
      <c r="AX103" s="531"/>
      <c r="AY103" s="390" t="str">
        <f>""</f>
        <v/>
      </c>
      <c r="BD103" s="520"/>
      <c r="BE103" s="520"/>
      <c r="BF103" s="520"/>
      <c r="BG103" s="520"/>
      <c r="BH103" s="520"/>
      <c r="BI103" s="520"/>
      <c r="BJ103" s="520"/>
      <c r="BK103" s="520"/>
      <c r="BL103" s="520"/>
      <c r="BM103" s="520"/>
      <c r="BN103" s="520"/>
      <c r="BO103" s="520"/>
      <c r="BP103" s="520"/>
      <c r="BQ103" s="520"/>
      <c r="BR103" s="520"/>
      <c r="BS103" s="520"/>
      <c r="BT103" s="520"/>
      <c r="BU103" s="520"/>
      <c r="BV103" s="520"/>
      <c r="BW103" s="520"/>
      <c r="BX103" s="520"/>
      <c r="BY103" s="520"/>
    </row>
    <row r="104" spans="1:84" ht="12" customHeight="1" x14ac:dyDescent="0.3">
      <c r="A104" s="765"/>
      <c r="E104" s="258" t="str">
        <f>$AX$93</f>
        <v>Gólkülönbség: 6 p</v>
      </c>
      <c r="H104" s="673" t="str">
        <f t="shared" ref="H104:AK104" si="42">IF(OR(BC102,NOT($AS$22)),"",IF(AND(NOT($AS$32),H103="ü"),"",IF(H101-H102=$E101-$E102,"ü"," ")))</f>
        <v/>
      </c>
      <c r="I104" s="674" t="str">
        <f t="shared" si="42"/>
        <v/>
      </c>
      <c r="J104" s="674" t="str">
        <f t="shared" si="42"/>
        <v/>
      </c>
      <c r="K104" s="674" t="str">
        <f t="shared" si="42"/>
        <v/>
      </c>
      <c r="L104" s="674" t="str">
        <f t="shared" si="42"/>
        <v/>
      </c>
      <c r="M104" s="674" t="str">
        <f t="shared" si="42"/>
        <v/>
      </c>
      <c r="N104" s="674" t="str">
        <f t="shared" si="42"/>
        <v/>
      </c>
      <c r="O104" s="674" t="str">
        <f t="shared" si="42"/>
        <v/>
      </c>
      <c r="P104" s="674" t="str">
        <f t="shared" si="42"/>
        <v/>
      </c>
      <c r="Q104" s="674" t="str">
        <f t="shared" si="42"/>
        <v/>
      </c>
      <c r="R104" s="674" t="str">
        <f t="shared" si="42"/>
        <v/>
      </c>
      <c r="S104" s="674" t="str">
        <f t="shared" si="42"/>
        <v/>
      </c>
      <c r="T104" s="674" t="str">
        <f t="shared" si="42"/>
        <v/>
      </c>
      <c r="U104" s="674" t="str">
        <f t="shared" si="42"/>
        <v/>
      </c>
      <c r="V104" s="674" t="str">
        <f t="shared" si="42"/>
        <v/>
      </c>
      <c r="W104" s="674" t="str">
        <f t="shared" si="42"/>
        <v/>
      </c>
      <c r="X104" s="674" t="str">
        <f t="shared" si="42"/>
        <v/>
      </c>
      <c r="Y104" s="674" t="str">
        <f t="shared" si="42"/>
        <v/>
      </c>
      <c r="Z104" s="674" t="str">
        <f t="shared" si="42"/>
        <v/>
      </c>
      <c r="AA104" s="674" t="str">
        <f t="shared" si="42"/>
        <v/>
      </c>
      <c r="AB104" s="674" t="str">
        <f t="shared" si="42"/>
        <v/>
      </c>
      <c r="AC104" s="674" t="str">
        <f t="shared" si="42"/>
        <v/>
      </c>
      <c r="AD104" s="674" t="str">
        <f t="shared" si="42"/>
        <v/>
      </c>
      <c r="AE104" s="674" t="str">
        <f t="shared" si="42"/>
        <v/>
      </c>
      <c r="AF104" s="674" t="str">
        <f t="shared" si="42"/>
        <v/>
      </c>
      <c r="AG104" s="674" t="str">
        <f t="shared" si="42"/>
        <v/>
      </c>
      <c r="AH104" s="674" t="str">
        <f t="shared" si="42"/>
        <v/>
      </c>
      <c r="AI104" s="674" t="str">
        <f t="shared" si="42"/>
        <v/>
      </c>
      <c r="AJ104" s="674" t="str">
        <f t="shared" si="42"/>
        <v/>
      </c>
      <c r="AK104" s="675" t="str">
        <f t="shared" si="42"/>
        <v/>
      </c>
      <c r="AL104" s="15"/>
      <c r="AM104" s="15"/>
      <c r="AP104" s="536"/>
      <c r="AR104" s="537"/>
      <c r="AS104" s="529"/>
      <c r="AW104" s="390" t="str">
        <f>""</f>
        <v/>
      </c>
      <c r="AX104" s="531"/>
      <c r="AY104" s="390" t="str">
        <f>""</f>
        <v/>
      </c>
      <c r="BD104" s="520"/>
      <c r="BE104" s="520"/>
      <c r="BF104" s="520"/>
      <c r="BG104" s="520"/>
      <c r="BH104" s="520"/>
      <c r="BI104" s="520"/>
      <c r="BJ104" s="520"/>
      <c r="BK104" s="520"/>
      <c r="BL104" s="520"/>
      <c r="BM104" s="520"/>
      <c r="BN104" s="520"/>
      <c r="BO104" s="520"/>
      <c r="BP104" s="520"/>
      <c r="BQ104" s="520"/>
      <c r="BR104" s="520"/>
      <c r="BS104" s="520"/>
      <c r="BT104" s="520"/>
      <c r="BU104" s="520"/>
      <c r="BV104" s="520"/>
      <c r="BW104" s="520"/>
      <c r="BX104" s="520"/>
      <c r="BY104" s="520"/>
    </row>
    <row r="105" spans="1:84" ht="12" customHeight="1" x14ac:dyDescent="0.3">
      <c r="A105" s="765"/>
      <c r="E105" s="258" t="str">
        <f>$AX$94</f>
        <v>Mérkőzés kimenetele: 4 p</v>
      </c>
      <c r="H105" s="673" t="str">
        <f t="shared" ref="H105:AK105" si="43">IF(OR(BC102,NOT($AS$24)),"",IF(AND(NOT($AS$32),COUNTIF(H103:H104,"ü")&gt;0),"",IF(SIGN(H101-H102)=SIGN($E101-$E102),"ü"," ")))</f>
        <v/>
      </c>
      <c r="I105" s="674" t="str">
        <f t="shared" si="43"/>
        <v/>
      </c>
      <c r="J105" s="674" t="str">
        <f t="shared" si="43"/>
        <v/>
      </c>
      <c r="K105" s="674" t="str">
        <f t="shared" si="43"/>
        <v/>
      </c>
      <c r="L105" s="674" t="str">
        <f t="shared" si="43"/>
        <v/>
      </c>
      <c r="M105" s="674" t="str">
        <f t="shared" si="43"/>
        <v/>
      </c>
      <c r="N105" s="674" t="str">
        <f t="shared" si="43"/>
        <v/>
      </c>
      <c r="O105" s="674" t="str">
        <f t="shared" si="43"/>
        <v/>
      </c>
      <c r="P105" s="674" t="str">
        <f t="shared" si="43"/>
        <v/>
      </c>
      <c r="Q105" s="674" t="str">
        <f t="shared" si="43"/>
        <v/>
      </c>
      <c r="R105" s="674" t="str">
        <f t="shared" si="43"/>
        <v/>
      </c>
      <c r="S105" s="674" t="str">
        <f t="shared" si="43"/>
        <v/>
      </c>
      <c r="T105" s="674" t="str">
        <f t="shared" si="43"/>
        <v/>
      </c>
      <c r="U105" s="674" t="str">
        <f t="shared" si="43"/>
        <v/>
      </c>
      <c r="V105" s="674" t="str">
        <f t="shared" si="43"/>
        <v/>
      </c>
      <c r="W105" s="674" t="str">
        <f t="shared" si="43"/>
        <v/>
      </c>
      <c r="X105" s="674" t="str">
        <f t="shared" si="43"/>
        <v/>
      </c>
      <c r="Y105" s="674" t="str">
        <f t="shared" si="43"/>
        <v/>
      </c>
      <c r="Z105" s="674" t="str">
        <f t="shared" si="43"/>
        <v/>
      </c>
      <c r="AA105" s="674" t="str">
        <f t="shared" si="43"/>
        <v/>
      </c>
      <c r="AB105" s="674" t="str">
        <f t="shared" si="43"/>
        <v/>
      </c>
      <c r="AC105" s="674" t="str">
        <f t="shared" si="43"/>
        <v/>
      </c>
      <c r="AD105" s="674" t="str">
        <f t="shared" si="43"/>
        <v/>
      </c>
      <c r="AE105" s="674" t="str">
        <f t="shared" si="43"/>
        <v/>
      </c>
      <c r="AF105" s="674" t="str">
        <f t="shared" si="43"/>
        <v/>
      </c>
      <c r="AG105" s="674" t="str">
        <f t="shared" si="43"/>
        <v/>
      </c>
      <c r="AH105" s="674" t="str">
        <f t="shared" si="43"/>
        <v/>
      </c>
      <c r="AI105" s="674" t="str">
        <f t="shared" si="43"/>
        <v/>
      </c>
      <c r="AJ105" s="674" t="str">
        <f t="shared" si="43"/>
        <v/>
      </c>
      <c r="AK105" s="675" t="str">
        <f t="shared" si="43"/>
        <v/>
      </c>
      <c r="AL105" s="15"/>
      <c r="AM105" s="15"/>
      <c r="AP105" s="536"/>
      <c r="AR105" s="537"/>
      <c r="AS105" s="529"/>
      <c r="AW105" s="390" t="str">
        <f>""</f>
        <v/>
      </c>
      <c r="AX105" s="531"/>
      <c r="AY105" s="390" t="str">
        <f>""</f>
        <v/>
      </c>
      <c r="BD105" s="520"/>
      <c r="BE105" s="520"/>
      <c r="BF105" s="520"/>
      <c r="BG105" s="520"/>
      <c r="BH105" s="520"/>
      <c r="BI105" s="520"/>
      <c r="BJ105" s="520"/>
      <c r="BK105" s="520"/>
      <c r="BL105" s="520"/>
      <c r="BM105" s="520"/>
      <c r="BN105" s="520"/>
      <c r="BO105" s="520"/>
      <c r="BP105" s="520"/>
      <c r="BQ105" s="520"/>
      <c r="BR105" s="520"/>
      <c r="BS105" s="520"/>
      <c r="BT105" s="520"/>
      <c r="BU105" s="520"/>
      <c r="BV105" s="520"/>
      <c r="BW105" s="520"/>
      <c r="BX105" s="520"/>
      <c r="BY105" s="520"/>
    </row>
    <row r="106" spans="1:84" ht="12" customHeight="1" x14ac:dyDescent="0.3">
      <c r="A106" s="765"/>
      <c r="E106" s="258" t="str">
        <f>$AX$95</f>
        <v>Egyik csapat góljainak száma: 3 p</v>
      </c>
      <c r="H106" s="673" t="str">
        <f t="shared" ref="H106:AK106" si="44">IF(OR(BC102,NOT($AS$26)),"",IF(AND(NOT($AS$32),COUNTIF(H103:H105,"ü")&gt;0),"",IF(OR(H101=$E101,H102=$E102),"ü"," ")))</f>
        <v/>
      </c>
      <c r="I106" s="674" t="str">
        <f t="shared" si="44"/>
        <v/>
      </c>
      <c r="J106" s="674" t="str">
        <f t="shared" si="44"/>
        <v/>
      </c>
      <c r="K106" s="674" t="str">
        <f t="shared" si="44"/>
        <v/>
      </c>
      <c r="L106" s="674" t="str">
        <f t="shared" si="44"/>
        <v/>
      </c>
      <c r="M106" s="674" t="str">
        <f t="shared" si="44"/>
        <v/>
      </c>
      <c r="N106" s="674" t="str">
        <f t="shared" si="44"/>
        <v/>
      </c>
      <c r="O106" s="674" t="str">
        <f t="shared" si="44"/>
        <v/>
      </c>
      <c r="P106" s="674" t="str">
        <f t="shared" si="44"/>
        <v/>
      </c>
      <c r="Q106" s="674" t="str">
        <f t="shared" si="44"/>
        <v/>
      </c>
      <c r="R106" s="674" t="str">
        <f t="shared" si="44"/>
        <v/>
      </c>
      <c r="S106" s="674" t="str">
        <f t="shared" si="44"/>
        <v/>
      </c>
      <c r="T106" s="674" t="str">
        <f t="shared" si="44"/>
        <v/>
      </c>
      <c r="U106" s="674" t="str">
        <f t="shared" si="44"/>
        <v/>
      </c>
      <c r="V106" s="674" t="str">
        <f t="shared" si="44"/>
        <v/>
      </c>
      <c r="W106" s="674" t="str">
        <f t="shared" si="44"/>
        <v/>
      </c>
      <c r="X106" s="674" t="str">
        <f t="shared" si="44"/>
        <v/>
      </c>
      <c r="Y106" s="674" t="str">
        <f t="shared" si="44"/>
        <v/>
      </c>
      <c r="Z106" s="674" t="str">
        <f t="shared" si="44"/>
        <v/>
      </c>
      <c r="AA106" s="674" t="str">
        <f t="shared" si="44"/>
        <v/>
      </c>
      <c r="AB106" s="674" t="str">
        <f t="shared" si="44"/>
        <v/>
      </c>
      <c r="AC106" s="674" t="str">
        <f t="shared" si="44"/>
        <v/>
      </c>
      <c r="AD106" s="674" t="str">
        <f t="shared" si="44"/>
        <v/>
      </c>
      <c r="AE106" s="674" t="str">
        <f t="shared" si="44"/>
        <v/>
      </c>
      <c r="AF106" s="674" t="str">
        <f t="shared" si="44"/>
        <v/>
      </c>
      <c r="AG106" s="674" t="str">
        <f t="shared" si="44"/>
        <v/>
      </c>
      <c r="AH106" s="674" t="str">
        <f t="shared" si="44"/>
        <v/>
      </c>
      <c r="AI106" s="674" t="str">
        <f t="shared" si="44"/>
        <v/>
      </c>
      <c r="AJ106" s="674" t="str">
        <f t="shared" si="44"/>
        <v/>
      </c>
      <c r="AK106" s="675" t="str">
        <f t="shared" si="44"/>
        <v/>
      </c>
      <c r="AL106" s="15"/>
      <c r="AM106" s="15"/>
      <c r="AP106" s="536"/>
      <c r="AR106" s="537"/>
      <c r="AS106" s="529"/>
      <c r="AW106" s="390" t="str">
        <f>""</f>
        <v/>
      </c>
      <c r="AX106" s="531"/>
      <c r="AY106" s="390" t="str">
        <f>""</f>
        <v/>
      </c>
      <c r="BD106" s="520"/>
      <c r="BE106" s="520"/>
      <c r="BF106" s="520"/>
      <c r="BG106" s="520"/>
      <c r="BH106" s="520"/>
      <c r="BI106" s="520"/>
      <c r="BJ106" s="520"/>
      <c r="BK106" s="520"/>
      <c r="BL106" s="520"/>
      <c r="BM106" s="520"/>
      <c r="BN106" s="520"/>
      <c r="BO106" s="520"/>
      <c r="BP106" s="520"/>
      <c r="BQ106" s="520"/>
      <c r="BR106" s="520"/>
      <c r="BS106" s="520"/>
      <c r="BT106" s="520"/>
      <c r="BU106" s="520"/>
      <c r="BV106" s="520"/>
      <c r="BW106" s="520"/>
      <c r="BX106" s="520"/>
      <c r="BY106" s="520"/>
    </row>
    <row r="107" spans="1:84" ht="12" customHeight="1" x14ac:dyDescent="0.3">
      <c r="A107" s="765"/>
      <c r="E107" s="258" t="str">
        <f>$AX$96</f>
        <v>Összes gól: 2 p</v>
      </c>
      <c r="H107" s="673" t="str">
        <f t="shared" ref="H107:AK107" si="45">IF(OR(BC102,NOT($AS$28)),"",IF(AND(NOT($AS$32),COUNTIF(H103:H106,"ü")&gt;0),"",IF(H101+H102=$E101+$E102,"ü"," ")))</f>
        <v/>
      </c>
      <c r="I107" s="674" t="str">
        <f t="shared" si="45"/>
        <v/>
      </c>
      <c r="J107" s="674" t="str">
        <f t="shared" si="45"/>
        <v/>
      </c>
      <c r="K107" s="674" t="str">
        <f t="shared" si="45"/>
        <v/>
      </c>
      <c r="L107" s="674" t="str">
        <f t="shared" si="45"/>
        <v/>
      </c>
      <c r="M107" s="674" t="str">
        <f t="shared" si="45"/>
        <v/>
      </c>
      <c r="N107" s="674" t="str">
        <f t="shared" si="45"/>
        <v/>
      </c>
      <c r="O107" s="674" t="str">
        <f t="shared" si="45"/>
        <v/>
      </c>
      <c r="P107" s="674" t="str">
        <f t="shared" si="45"/>
        <v/>
      </c>
      <c r="Q107" s="674" t="str">
        <f t="shared" si="45"/>
        <v/>
      </c>
      <c r="R107" s="674" t="str">
        <f t="shared" si="45"/>
        <v/>
      </c>
      <c r="S107" s="674" t="str">
        <f t="shared" si="45"/>
        <v/>
      </c>
      <c r="T107" s="674" t="str">
        <f t="shared" si="45"/>
        <v/>
      </c>
      <c r="U107" s="674" t="str">
        <f t="shared" si="45"/>
        <v/>
      </c>
      <c r="V107" s="674" t="str">
        <f t="shared" si="45"/>
        <v/>
      </c>
      <c r="W107" s="674" t="str">
        <f t="shared" si="45"/>
        <v/>
      </c>
      <c r="X107" s="674" t="str">
        <f t="shared" si="45"/>
        <v/>
      </c>
      <c r="Y107" s="674" t="str">
        <f t="shared" si="45"/>
        <v/>
      </c>
      <c r="Z107" s="674" t="str">
        <f t="shared" si="45"/>
        <v/>
      </c>
      <c r="AA107" s="674" t="str">
        <f t="shared" si="45"/>
        <v/>
      </c>
      <c r="AB107" s="674" t="str">
        <f t="shared" si="45"/>
        <v/>
      </c>
      <c r="AC107" s="674" t="str">
        <f t="shared" si="45"/>
        <v/>
      </c>
      <c r="AD107" s="674" t="str">
        <f t="shared" si="45"/>
        <v/>
      </c>
      <c r="AE107" s="674" t="str">
        <f t="shared" si="45"/>
        <v/>
      </c>
      <c r="AF107" s="674" t="str">
        <f t="shared" si="45"/>
        <v/>
      </c>
      <c r="AG107" s="674" t="str">
        <f t="shared" si="45"/>
        <v/>
      </c>
      <c r="AH107" s="674" t="str">
        <f t="shared" si="45"/>
        <v/>
      </c>
      <c r="AI107" s="674" t="str">
        <f t="shared" si="45"/>
        <v/>
      </c>
      <c r="AJ107" s="674" t="str">
        <f t="shared" si="45"/>
        <v/>
      </c>
      <c r="AK107" s="675" t="str">
        <f t="shared" si="45"/>
        <v/>
      </c>
      <c r="AL107" s="15"/>
      <c r="AM107" s="15"/>
      <c r="AP107" s="536"/>
      <c r="AR107" s="537"/>
      <c r="AS107" s="529"/>
      <c r="AW107" s="390" t="str">
        <f>""</f>
        <v/>
      </c>
      <c r="AX107" s="531"/>
      <c r="AY107" s="390" t="str">
        <f>""</f>
        <v/>
      </c>
      <c r="BD107" s="520"/>
      <c r="BE107" s="520"/>
      <c r="BF107" s="520"/>
      <c r="BG107" s="520"/>
      <c r="BH107" s="520"/>
      <c r="BI107" s="520"/>
      <c r="BJ107" s="520"/>
      <c r="BK107" s="520"/>
      <c r="BL107" s="520"/>
      <c r="BM107" s="520"/>
      <c r="BN107" s="520"/>
      <c r="BO107" s="520"/>
      <c r="BP107" s="520"/>
      <c r="BQ107" s="520"/>
      <c r="BR107" s="520"/>
      <c r="BS107" s="520"/>
      <c r="BT107" s="520"/>
      <c r="BU107" s="520"/>
      <c r="BV107" s="520"/>
      <c r="BW107" s="520"/>
      <c r="BX107" s="520"/>
      <c r="BY107" s="520"/>
    </row>
    <row r="108" spans="1:84" ht="12" customHeight="1" x14ac:dyDescent="0.3">
      <c r="A108" s="765"/>
      <c r="E108" s="258" t="str">
        <f>$AX$97</f>
        <v>Fordított gólkülönbség: 1 p</v>
      </c>
      <c r="H108" s="676" t="str">
        <f t="shared" ref="H108:AK108" si="46">IF(OR(BC102,NOT($AS$30)),"",IF(AND(NOT($AS$32),COUNTIF(H103:H107,"ü")&gt;0),"",IF(AND(H101-H102=$E102-$E101,H101&lt;&gt;H102),"ü"," ")))</f>
        <v/>
      </c>
      <c r="I108" s="677" t="str">
        <f t="shared" si="46"/>
        <v/>
      </c>
      <c r="J108" s="677" t="str">
        <f t="shared" si="46"/>
        <v/>
      </c>
      <c r="K108" s="677" t="str">
        <f t="shared" si="46"/>
        <v/>
      </c>
      <c r="L108" s="677" t="str">
        <f t="shared" si="46"/>
        <v/>
      </c>
      <c r="M108" s="677" t="str">
        <f t="shared" si="46"/>
        <v/>
      </c>
      <c r="N108" s="677" t="str">
        <f t="shared" si="46"/>
        <v/>
      </c>
      <c r="O108" s="677" t="str">
        <f t="shared" si="46"/>
        <v/>
      </c>
      <c r="P108" s="677" t="str">
        <f t="shared" si="46"/>
        <v/>
      </c>
      <c r="Q108" s="677" t="str">
        <f t="shared" si="46"/>
        <v/>
      </c>
      <c r="R108" s="677" t="str">
        <f t="shared" si="46"/>
        <v/>
      </c>
      <c r="S108" s="677" t="str">
        <f t="shared" si="46"/>
        <v/>
      </c>
      <c r="T108" s="677" t="str">
        <f t="shared" si="46"/>
        <v/>
      </c>
      <c r="U108" s="677" t="str">
        <f t="shared" si="46"/>
        <v/>
      </c>
      <c r="V108" s="677" t="str">
        <f t="shared" si="46"/>
        <v/>
      </c>
      <c r="W108" s="677" t="str">
        <f t="shared" si="46"/>
        <v/>
      </c>
      <c r="X108" s="677" t="str">
        <f t="shared" si="46"/>
        <v/>
      </c>
      <c r="Y108" s="677" t="str">
        <f t="shared" si="46"/>
        <v/>
      </c>
      <c r="Z108" s="677" t="str">
        <f t="shared" si="46"/>
        <v/>
      </c>
      <c r="AA108" s="677" t="str">
        <f t="shared" si="46"/>
        <v/>
      </c>
      <c r="AB108" s="677" t="str">
        <f t="shared" si="46"/>
        <v/>
      </c>
      <c r="AC108" s="677" t="str">
        <f t="shared" si="46"/>
        <v/>
      </c>
      <c r="AD108" s="677" t="str">
        <f t="shared" si="46"/>
        <v/>
      </c>
      <c r="AE108" s="677" t="str">
        <f t="shared" si="46"/>
        <v/>
      </c>
      <c r="AF108" s="677" t="str">
        <f t="shared" si="46"/>
        <v/>
      </c>
      <c r="AG108" s="677" t="str">
        <f t="shared" si="46"/>
        <v/>
      </c>
      <c r="AH108" s="677" t="str">
        <f t="shared" si="46"/>
        <v/>
      </c>
      <c r="AI108" s="677" t="str">
        <f t="shared" si="46"/>
        <v/>
      </c>
      <c r="AJ108" s="677" t="str">
        <f t="shared" si="46"/>
        <v/>
      </c>
      <c r="AK108" s="678" t="str">
        <f t="shared" si="46"/>
        <v/>
      </c>
      <c r="AL108" s="15"/>
      <c r="AM108" s="15"/>
      <c r="AP108" s="536"/>
      <c r="AR108" s="537"/>
      <c r="AS108" s="529"/>
      <c r="AW108" s="390" t="str">
        <f>""</f>
        <v/>
      </c>
      <c r="AX108" s="531"/>
      <c r="AY108" s="390" t="str">
        <f>""</f>
        <v/>
      </c>
      <c r="BD108" s="520"/>
      <c r="BE108" s="520"/>
      <c r="BF108" s="520"/>
      <c r="BG108" s="520"/>
      <c r="BH108" s="520"/>
      <c r="BI108" s="520"/>
      <c r="BJ108" s="520"/>
      <c r="BK108" s="520"/>
      <c r="BL108" s="520"/>
      <c r="BM108" s="520"/>
      <c r="BN108" s="520"/>
      <c r="BO108" s="520"/>
      <c r="BP108" s="520"/>
      <c r="BQ108" s="520"/>
      <c r="BR108" s="520"/>
      <c r="BS108" s="520"/>
      <c r="BT108" s="520"/>
      <c r="BU108" s="520"/>
      <c r="BV108" s="520"/>
      <c r="BW108" s="520"/>
      <c r="BX108" s="520"/>
      <c r="BY108" s="520"/>
    </row>
    <row r="109" spans="1:84" ht="15" customHeight="1" x14ac:dyDescent="0.3">
      <c r="A109" s="765"/>
      <c r="E109" s="79" t="s">
        <v>799</v>
      </c>
      <c r="H109" s="679">
        <f t="shared" ref="H109:AK109" si="47">IF(NOT(H$13),"",SUMPRODUCT((H103:H108="ü")*($AW$92:$AW$97)))</f>
        <v>0</v>
      </c>
      <c r="I109" s="680">
        <f t="shared" si="47"/>
        <v>0</v>
      </c>
      <c r="J109" s="680">
        <f t="shared" si="47"/>
        <v>0</v>
      </c>
      <c r="K109" s="680">
        <f t="shared" si="47"/>
        <v>0</v>
      </c>
      <c r="L109" s="680">
        <f t="shared" si="47"/>
        <v>0</v>
      </c>
      <c r="M109" s="680">
        <f t="shared" si="47"/>
        <v>0</v>
      </c>
      <c r="N109" s="680">
        <f t="shared" si="47"/>
        <v>0</v>
      </c>
      <c r="O109" s="680">
        <f t="shared" si="47"/>
        <v>0</v>
      </c>
      <c r="P109" s="680">
        <f t="shared" si="47"/>
        <v>0</v>
      </c>
      <c r="Q109" s="680">
        <f t="shared" si="47"/>
        <v>0</v>
      </c>
      <c r="R109" s="680">
        <f t="shared" si="47"/>
        <v>0</v>
      </c>
      <c r="S109" s="680">
        <f t="shared" si="47"/>
        <v>0</v>
      </c>
      <c r="T109" s="680">
        <f t="shared" si="47"/>
        <v>0</v>
      </c>
      <c r="U109" s="680">
        <f t="shared" si="47"/>
        <v>0</v>
      </c>
      <c r="V109" s="680">
        <f t="shared" si="47"/>
        <v>0</v>
      </c>
      <c r="W109" s="680">
        <f t="shared" si="47"/>
        <v>0</v>
      </c>
      <c r="X109" s="680">
        <f t="shared" si="47"/>
        <v>0</v>
      </c>
      <c r="Y109" s="680">
        <f t="shared" si="47"/>
        <v>0</v>
      </c>
      <c r="Z109" s="680">
        <f t="shared" si="47"/>
        <v>0</v>
      </c>
      <c r="AA109" s="680">
        <f t="shared" si="47"/>
        <v>0</v>
      </c>
      <c r="AB109" s="680">
        <f t="shared" si="47"/>
        <v>0</v>
      </c>
      <c r="AC109" s="680">
        <f t="shared" si="47"/>
        <v>0</v>
      </c>
      <c r="AD109" s="680">
        <f t="shared" si="47"/>
        <v>0</v>
      </c>
      <c r="AE109" s="680" t="str">
        <f t="shared" si="47"/>
        <v/>
      </c>
      <c r="AF109" s="680" t="str">
        <f t="shared" si="47"/>
        <v/>
      </c>
      <c r="AG109" s="680" t="str">
        <f t="shared" si="47"/>
        <v/>
      </c>
      <c r="AH109" s="680" t="str">
        <f t="shared" si="47"/>
        <v/>
      </c>
      <c r="AI109" s="680" t="str">
        <f t="shared" si="47"/>
        <v/>
      </c>
      <c r="AJ109" s="680" t="str">
        <f t="shared" si="47"/>
        <v/>
      </c>
      <c r="AK109" s="681" t="str">
        <f t="shared" si="47"/>
        <v/>
      </c>
      <c r="AP109" s="536"/>
      <c r="AR109" s="537"/>
      <c r="AS109" s="529"/>
    </row>
    <row r="110" spans="1:84" ht="9" customHeight="1" x14ac:dyDescent="0.3">
      <c r="A110" s="765"/>
      <c r="D110" s="15"/>
      <c r="E110" s="15"/>
      <c r="F110" s="15"/>
      <c r="G110" s="15"/>
      <c r="H110" s="15"/>
      <c r="I110" s="16"/>
      <c r="J110" s="15"/>
      <c r="K110" s="15"/>
      <c r="L110" s="16"/>
      <c r="M110" s="15"/>
      <c r="N110" s="15"/>
      <c r="O110" s="16"/>
      <c r="P110" s="15"/>
      <c r="Q110" s="15"/>
      <c r="R110" s="16"/>
      <c r="S110" s="15"/>
      <c r="T110" s="15"/>
      <c r="U110" s="16"/>
      <c r="V110" s="15"/>
      <c r="W110" s="15"/>
      <c r="X110" s="16"/>
      <c r="Y110" s="15"/>
      <c r="Z110" s="15"/>
      <c r="AA110" s="16"/>
      <c r="AB110" s="15"/>
      <c r="AC110" s="15"/>
      <c r="AD110" s="16"/>
      <c r="AE110" s="15"/>
      <c r="AF110" s="15"/>
      <c r="AG110" s="16"/>
      <c r="AH110" s="15"/>
      <c r="AI110" s="15"/>
      <c r="AJ110" s="16"/>
      <c r="AK110" s="15"/>
      <c r="AP110" s="536"/>
      <c r="AR110" s="537"/>
      <c r="AS110" s="529"/>
    </row>
    <row r="111" spans="1:84" ht="15" customHeight="1" x14ac:dyDescent="0.3">
      <c r="A111" s="765"/>
      <c r="C111" s="27" t="str">
        <f>" "&amp;VLOOKUP(AQ112,schedule,18,FALSE)&amp;"  ("&amp;VLOOKUP(AQ112,schedule,3,FALSE)&amp;" CSOPORT)"</f>
        <v xml:space="preserve"> JÚNIUS 12. – SZOMBAT 18:00  (B CSOPORT)</v>
      </c>
      <c r="D111" s="27"/>
      <c r="E111" s="26"/>
      <c r="F111" s="26"/>
      <c r="G111" s="26"/>
      <c r="H111" s="26"/>
      <c r="I111" s="26"/>
      <c r="J111" s="26"/>
      <c r="AP111" s="536"/>
      <c r="AR111" s="537"/>
      <c r="AS111" s="529"/>
    </row>
    <row r="112" spans="1:84" ht="15" customHeight="1" x14ac:dyDescent="0.3">
      <c r="A112" s="765"/>
      <c r="C112" s="661"/>
      <c r="D112" s="662" t="str">
        <f>IF(INDEX(n.er,$AR112,8)="","",INDEX(n.er,$AR112,8))</f>
        <v>Dánia</v>
      </c>
      <c r="E112" s="663" t="str">
        <f>IF(NOT($AS112),"",INDEX(n.er,$AR112,9))</f>
        <v/>
      </c>
      <c r="F112" s="662"/>
      <c r="G112" s="259"/>
      <c r="H112" s="664">
        <v>3</v>
      </c>
      <c r="I112" s="665">
        <v>0</v>
      </c>
      <c r="J112" s="665">
        <v>1</v>
      </c>
      <c r="K112" s="665">
        <v>1</v>
      </c>
      <c r="L112" s="665">
        <v>1</v>
      </c>
      <c r="M112" s="665">
        <v>2</v>
      </c>
      <c r="N112" s="665">
        <v>2</v>
      </c>
      <c r="O112" s="665">
        <v>0</v>
      </c>
      <c r="P112" s="665">
        <v>1</v>
      </c>
      <c r="Q112" s="665">
        <v>2</v>
      </c>
      <c r="R112" s="665">
        <v>3</v>
      </c>
      <c r="S112" s="665">
        <v>2</v>
      </c>
      <c r="T112" s="665">
        <v>3</v>
      </c>
      <c r="U112" s="665">
        <v>2</v>
      </c>
      <c r="V112" s="665">
        <v>3</v>
      </c>
      <c r="W112" s="665">
        <v>3</v>
      </c>
      <c r="X112" s="665">
        <v>2</v>
      </c>
      <c r="Y112" s="665">
        <v>1</v>
      </c>
      <c r="Z112" s="665">
        <v>3</v>
      </c>
      <c r="AA112" s="665">
        <v>2</v>
      </c>
      <c r="AB112" s="665">
        <v>2</v>
      </c>
      <c r="AC112" s="665">
        <v>3</v>
      </c>
      <c r="AD112" s="665">
        <v>0</v>
      </c>
      <c r="AE112" s="665"/>
      <c r="AF112" s="665"/>
      <c r="AG112" s="665"/>
      <c r="AH112" s="665"/>
      <c r="AI112" s="665"/>
      <c r="AJ112" s="665"/>
      <c r="AK112" s="666"/>
      <c r="AP112" s="52">
        <f>AP101+1</f>
        <v>3</v>
      </c>
      <c r="AQ112" s="311">
        <f>INDEX(schedule,AP112,1)</f>
        <v>3</v>
      </c>
      <c r="AR112" s="311">
        <f>MATCH(AQ112,n.er.index,0)</f>
        <v>7</v>
      </c>
      <c r="AS112" s="532" t="b">
        <f>INDEX(n.er,$AR112,3)</f>
        <v>0</v>
      </c>
      <c r="AT112" s="531"/>
      <c r="AU112" s="531"/>
      <c r="AV112" s="531"/>
      <c r="AW112" s="531"/>
      <c r="AX112" s="531"/>
      <c r="BC112" s="525" t="b">
        <f t="shared" ref="BC112:CF112" si="48">IF(AND(ISNUMBER(H112),ISNUMBER(H113),H112&lt;&gt;"",H113&lt;&gt;""),AND(H112&gt;=0,H113&gt;=0,MOD(H112+H113,1)=0),FALSE)</f>
        <v>1</v>
      </c>
      <c r="BD112" s="525" t="b">
        <f t="shared" si="48"/>
        <v>1</v>
      </c>
      <c r="BE112" s="525" t="b">
        <f t="shared" si="48"/>
        <v>1</v>
      </c>
      <c r="BF112" s="525" t="b">
        <f t="shared" si="48"/>
        <v>1</v>
      </c>
      <c r="BG112" s="525" t="b">
        <f t="shared" si="48"/>
        <v>1</v>
      </c>
      <c r="BH112" s="525" t="b">
        <f t="shared" si="48"/>
        <v>1</v>
      </c>
      <c r="BI112" s="525" t="b">
        <f t="shared" si="48"/>
        <v>1</v>
      </c>
      <c r="BJ112" s="525" t="b">
        <f t="shared" si="48"/>
        <v>1</v>
      </c>
      <c r="BK112" s="525" t="b">
        <f t="shared" si="48"/>
        <v>1</v>
      </c>
      <c r="BL112" s="525" t="b">
        <f t="shared" si="48"/>
        <v>1</v>
      </c>
      <c r="BM112" s="525" t="b">
        <f t="shared" si="48"/>
        <v>1</v>
      </c>
      <c r="BN112" s="525" t="b">
        <f t="shared" si="48"/>
        <v>1</v>
      </c>
      <c r="BO112" s="525" t="b">
        <f t="shared" si="48"/>
        <v>1</v>
      </c>
      <c r="BP112" s="525" t="b">
        <f t="shared" si="48"/>
        <v>1</v>
      </c>
      <c r="BQ112" s="525" t="b">
        <f t="shared" si="48"/>
        <v>1</v>
      </c>
      <c r="BR112" s="525" t="b">
        <f t="shared" si="48"/>
        <v>1</v>
      </c>
      <c r="BS112" s="525" t="b">
        <f t="shared" si="48"/>
        <v>1</v>
      </c>
      <c r="BT112" s="525" t="b">
        <f t="shared" si="48"/>
        <v>1</v>
      </c>
      <c r="BU112" s="525" t="b">
        <f t="shared" si="48"/>
        <v>1</v>
      </c>
      <c r="BV112" s="525" t="b">
        <f t="shared" si="48"/>
        <v>1</v>
      </c>
      <c r="BW112" s="525" t="b">
        <f t="shared" si="48"/>
        <v>1</v>
      </c>
      <c r="BX112" s="525" t="b">
        <f t="shared" si="48"/>
        <v>1</v>
      </c>
      <c r="BY112" s="525" t="b">
        <f t="shared" si="48"/>
        <v>1</v>
      </c>
      <c r="BZ112" s="525" t="b">
        <f t="shared" si="48"/>
        <v>0</v>
      </c>
      <c r="CA112" s="525" t="b">
        <f t="shared" si="48"/>
        <v>0</v>
      </c>
      <c r="CB112" s="525" t="b">
        <f t="shared" si="48"/>
        <v>0</v>
      </c>
      <c r="CC112" s="525" t="b">
        <f t="shared" si="48"/>
        <v>0</v>
      </c>
      <c r="CD112" s="525" t="b">
        <f t="shared" si="48"/>
        <v>0</v>
      </c>
      <c r="CE112" s="525" t="b">
        <f t="shared" si="48"/>
        <v>0</v>
      </c>
      <c r="CF112" s="525" t="b">
        <f t="shared" si="48"/>
        <v>0</v>
      </c>
    </row>
    <row r="113" spans="1:84" ht="15" customHeight="1" x14ac:dyDescent="0.3">
      <c r="A113" s="765"/>
      <c r="C113" s="695"/>
      <c r="D113" s="696" t="str">
        <f>IF(INDEX(n.er,$AR112,11)="","",INDEX(n.er,$AR112,11))</f>
        <v>Finnország</v>
      </c>
      <c r="E113" s="697" t="str">
        <f>IF(NOT($AS112),"",INDEX(n.er,$AR112,10))</f>
        <v/>
      </c>
      <c r="F113" s="696"/>
      <c r="G113" s="259"/>
      <c r="H113" s="667">
        <v>0</v>
      </c>
      <c r="I113" s="668">
        <v>2</v>
      </c>
      <c r="J113" s="668">
        <v>1</v>
      </c>
      <c r="K113" s="668">
        <v>1</v>
      </c>
      <c r="L113" s="668">
        <v>1</v>
      </c>
      <c r="M113" s="668">
        <v>1</v>
      </c>
      <c r="N113" s="668">
        <v>1</v>
      </c>
      <c r="O113" s="668">
        <v>0</v>
      </c>
      <c r="P113" s="668">
        <v>0</v>
      </c>
      <c r="Q113" s="668">
        <v>2</v>
      </c>
      <c r="R113" s="668">
        <v>1</v>
      </c>
      <c r="S113" s="668">
        <v>0</v>
      </c>
      <c r="T113" s="668">
        <v>0</v>
      </c>
      <c r="U113" s="668">
        <v>1</v>
      </c>
      <c r="V113" s="668">
        <v>0</v>
      </c>
      <c r="W113" s="668">
        <v>1</v>
      </c>
      <c r="X113" s="668">
        <v>1</v>
      </c>
      <c r="Y113" s="668">
        <v>0</v>
      </c>
      <c r="Z113" s="668">
        <v>0</v>
      </c>
      <c r="AA113" s="668">
        <v>0</v>
      </c>
      <c r="AB113" s="668">
        <v>0</v>
      </c>
      <c r="AC113" s="668">
        <v>0</v>
      </c>
      <c r="AD113" s="668">
        <v>0</v>
      </c>
      <c r="AE113" s="668"/>
      <c r="AF113" s="668"/>
      <c r="AG113" s="668"/>
      <c r="AH113" s="668"/>
      <c r="AI113" s="668"/>
      <c r="AJ113" s="668"/>
      <c r="AK113" s="669"/>
      <c r="AP113" s="533"/>
      <c r="AQ113" s="577"/>
      <c r="AR113" s="534"/>
      <c r="AS113" s="535"/>
      <c r="AX113" s="531"/>
      <c r="BC113" s="34" t="b">
        <f t="shared" ref="BC113:CF113" si="49">OR(NOT(H$13),NOT($AS112),NOT(BC112))</f>
        <v>1</v>
      </c>
      <c r="BD113" s="34" t="b">
        <f t="shared" si="49"/>
        <v>1</v>
      </c>
      <c r="BE113" s="34" t="b">
        <f t="shared" si="49"/>
        <v>1</v>
      </c>
      <c r="BF113" s="34" t="b">
        <f t="shared" si="49"/>
        <v>1</v>
      </c>
      <c r="BG113" s="34" t="b">
        <f t="shared" si="49"/>
        <v>1</v>
      </c>
      <c r="BH113" s="34" t="b">
        <f t="shared" si="49"/>
        <v>1</v>
      </c>
      <c r="BI113" s="34" t="b">
        <f t="shared" si="49"/>
        <v>1</v>
      </c>
      <c r="BJ113" s="34" t="b">
        <f t="shared" si="49"/>
        <v>1</v>
      </c>
      <c r="BK113" s="34" t="b">
        <f t="shared" si="49"/>
        <v>1</v>
      </c>
      <c r="BL113" s="34" t="b">
        <f t="shared" si="49"/>
        <v>1</v>
      </c>
      <c r="BM113" s="34" t="b">
        <f t="shared" si="49"/>
        <v>1</v>
      </c>
      <c r="BN113" s="34" t="b">
        <f t="shared" si="49"/>
        <v>1</v>
      </c>
      <c r="BO113" s="34" t="b">
        <f t="shared" si="49"/>
        <v>1</v>
      </c>
      <c r="BP113" s="34" t="b">
        <f t="shared" si="49"/>
        <v>1</v>
      </c>
      <c r="BQ113" s="34" t="b">
        <f t="shared" si="49"/>
        <v>1</v>
      </c>
      <c r="BR113" s="34" t="b">
        <f t="shared" si="49"/>
        <v>1</v>
      </c>
      <c r="BS113" s="34" t="b">
        <f t="shared" si="49"/>
        <v>1</v>
      </c>
      <c r="BT113" s="34" t="b">
        <f t="shared" si="49"/>
        <v>1</v>
      </c>
      <c r="BU113" s="34" t="b">
        <f t="shared" si="49"/>
        <v>1</v>
      </c>
      <c r="BV113" s="34" t="b">
        <f t="shared" si="49"/>
        <v>1</v>
      </c>
      <c r="BW113" s="34" t="b">
        <f t="shared" si="49"/>
        <v>1</v>
      </c>
      <c r="BX113" s="34" t="b">
        <f t="shared" si="49"/>
        <v>1</v>
      </c>
      <c r="BY113" s="34" t="b">
        <f t="shared" si="49"/>
        <v>1</v>
      </c>
      <c r="BZ113" s="34" t="b">
        <f t="shared" si="49"/>
        <v>1</v>
      </c>
      <c r="CA113" s="34" t="b">
        <f t="shared" si="49"/>
        <v>1</v>
      </c>
      <c r="CB113" s="34" t="b">
        <f t="shared" si="49"/>
        <v>1</v>
      </c>
      <c r="CC113" s="34" t="b">
        <f t="shared" si="49"/>
        <v>1</v>
      </c>
      <c r="CD113" s="34" t="b">
        <f t="shared" si="49"/>
        <v>1</v>
      </c>
      <c r="CE113" s="34" t="b">
        <f t="shared" si="49"/>
        <v>1</v>
      </c>
      <c r="CF113" s="34" t="b">
        <f t="shared" si="49"/>
        <v>1</v>
      </c>
    </row>
    <row r="114" spans="1:84" ht="12" customHeight="1" x14ac:dyDescent="0.3">
      <c r="A114" s="765"/>
      <c r="E114" s="258" t="str">
        <f>$AX$92</f>
        <v>Telitalálat: 10 p</v>
      </c>
      <c r="H114" s="670" t="str">
        <f t="shared" ref="H114:AK114" si="50">IF(OR(BC113,NOT($AS$20)),"",IF(AND(H112=$E112,H113=$E113),"ü",""))</f>
        <v/>
      </c>
      <c r="I114" s="671" t="str">
        <f t="shared" si="50"/>
        <v/>
      </c>
      <c r="J114" s="671" t="str">
        <f t="shared" si="50"/>
        <v/>
      </c>
      <c r="K114" s="671" t="str">
        <f t="shared" si="50"/>
        <v/>
      </c>
      <c r="L114" s="671" t="str">
        <f t="shared" si="50"/>
        <v/>
      </c>
      <c r="M114" s="671" t="str">
        <f t="shared" si="50"/>
        <v/>
      </c>
      <c r="N114" s="671" t="str">
        <f t="shared" si="50"/>
        <v/>
      </c>
      <c r="O114" s="671" t="str">
        <f t="shared" si="50"/>
        <v/>
      </c>
      <c r="P114" s="671" t="str">
        <f t="shared" si="50"/>
        <v/>
      </c>
      <c r="Q114" s="671" t="str">
        <f t="shared" si="50"/>
        <v/>
      </c>
      <c r="R114" s="671" t="str">
        <f t="shared" si="50"/>
        <v/>
      </c>
      <c r="S114" s="671" t="str">
        <f t="shared" si="50"/>
        <v/>
      </c>
      <c r="T114" s="671" t="str">
        <f t="shared" si="50"/>
        <v/>
      </c>
      <c r="U114" s="671" t="str">
        <f t="shared" si="50"/>
        <v/>
      </c>
      <c r="V114" s="671" t="str">
        <f t="shared" si="50"/>
        <v/>
      </c>
      <c r="W114" s="671" t="str">
        <f t="shared" si="50"/>
        <v/>
      </c>
      <c r="X114" s="671" t="str">
        <f t="shared" si="50"/>
        <v/>
      </c>
      <c r="Y114" s="671" t="str">
        <f t="shared" si="50"/>
        <v/>
      </c>
      <c r="Z114" s="671" t="str">
        <f t="shared" si="50"/>
        <v/>
      </c>
      <c r="AA114" s="671" t="str">
        <f t="shared" si="50"/>
        <v/>
      </c>
      <c r="AB114" s="671" t="str">
        <f t="shared" si="50"/>
        <v/>
      </c>
      <c r="AC114" s="671" t="str">
        <f t="shared" si="50"/>
        <v/>
      </c>
      <c r="AD114" s="671" t="str">
        <f t="shared" si="50"/>
        <v/>
      </c>
      <c r="AE114" s="671" t="str">
        <f t="shared" si="50"/>
        <v/>
      </c>
      <c r="AF114" s="671" t="str">
        <f t="shared" si="50"/>
        <v/>
      </c>
      <c r="AG114" s="671" t="str">
        <f t="shared" si="50"/>
        <v/>
      </c>
      <c r="AH114" s="671" t="str">
        <f t="shared" si="50"/>
        <v/>
      </c>
      <c r="AI114" s="671" t="str">
        <f t="shared" si="50"/>
        <v/>
      </c>
      <c r="AJ114" s="671" t="str">
        <f t="shared" si="50"/>
        <v/>
      </c>
      <c r="AK114" s="672" t="str">
        <f t="shared" si="50"/>
        <v/>
      </c>
      <c r="AL114" s="15"/>
      <c r="AM114" s="15"/>
      <c r="AP114" s="536"/>
      <c r="AR114" s="537"/>
      <c r="AS114" s="529"/>
      <c r="AW114" s="390" t="str">
        <f>""</f>
        <v/>
      </c>
      <c r="AX114" s="531"/>
      <c r="AY114" s="390" t="str">
        <f>""</f>
        <v/>
      </c>
      <c r="BD114" s="520"/>
      <c r="BE114" s="520"/>
      <c r="BF114" s="520"/>
      <c r="BG114" s="520"/>
      <c r="BH114" s="520"/>
      <c r="BI114" s="520"/>
      <c r="BJ114" s="520"/>
      <c r="BK114" s="520"/>
      <c r="BL114" s="520"/>
      <c r="BM114" s="520"/>
      <c r="BN114" s="520"/>
      <c r="BO114" s="520"/>
      <c r="BP114" s="520"/>
      <c r="BQ114" s="520"/>
      <c r="BR114" s="520"/>
      <c r="BS114" s="520"/>
      <c r="BT114" s="520"/>
      <c r="BU114" s="520"/>
      <c r="BV114" s="520"/>
      <c r="BW114" s="520"/>
      <c r="BX114" s="520"/>
      <c r="BY114" s="520"/>
    </row>
    <row r="115" spans="1:84" ht="12" customHeight="1" x14ac:dyDescent="0.3">
      <c r="A115" s="765"/>
      <c r="E115" s="258" t="str">
        <f>$AX$93</f>
        <v>Gólkülönbség: 6 p</v>
      </c>
      <c r="H115" s="673" t="str">
        <f t="shared" ref="H115:AK115" si="51">IF(OR(BC113,NOT($AS$22)),"",IF(AND(NOT($AS$32),H114="ü"),"",IF(H112-H113=$E112-$E113,"ü"," ")))</f>
        <v/>
      </c>
      <c r="I115" s="674" t="str">
        <f t="shared" si="51"/>
        <v/>
      </c>
      <c r="J115" s="674" t="str">
        <f t="shared" si="51"/>
        <v/>
      </c>
      <c r="K115" s="674" t="str">
        <f t="shared" si="51"/>
        <v/>
      </c>
      <c r="L115" s="674" t="str">
        <f t="shared" si="51"/>
        <v/>
      </c>
      <c r="M115" s="674" t="str">
        <f t="shared" si="51"/>
        <v/>
      </c>
      <c r="N115" s="674" t="str">
        <f t="shared" si="51"/>
        <v/>
      </c>
      <c r="O115" s="674" t="str">
        <f t="shared" si="51"/>
        <v/>
      </c>
      <c r="P115" s="674" t="str">
        <f t="shared" si="51"/>
        <v/>
      </c>
      <c r="Q115" s="674" t="str">
        <f t="shared" si="51"/>
        <v/>
      </c>
      <c r="R115" s="674" t="str">
        <f t="shared" si="51"/>
        <v/>
      </c>
      <c r="S115" s="674" t="str">
        <f t="shared" si="51"/>
        <v/>
      </c>
      <c r="T115" s="674" t="str">
        <f t="shared" si="51"/>
        <v/>
      </c>
      <c r="U115" s="674" t="str">
        <f t="shared" si="51"/>
        <v/>
      </c>
      <c r="V115" s="674" t="str">
        <f t="shared" si="51"/>
        <v/>
      </c>
      <c r="W115" s="674" t="str">
        <f t="shared" si="51"/>
        <v/>
      </c>
      <c r="X115" s="674" t="str">
        <f t="shared" si="51"/>
        <v/>
      </c>
      <c r="Y115" s="674" t="str">
        <f t="shared" si="51"/>
        <v/>
      </c>
      <c r="Z115" s="674" t="str">
        <f t="shared" si="51"/>
        <v/>
      </c>
      <c r="AA115" s="674" t="str">
        <f t="shared" si="51"/>
        <v/>
      </c>
      <c r="AB115" s="674" t="str">
        <f t="shared" si="51"/>
        <v/>
      </c>
      <c r="AC115" s="674" t="str">
        <f t="shared" si="51"/>
        <v/>
      </c>
      <c r="AD115" s="674" t="str">
        <f t="shared" si="51"/>
        <v/>
      </c>
      <c r="AE115" s="674" t="str">
        <f t="shared" si="51"/>
        <v/>
      </c>
      <c r="AF115" s="674" t="str">
        <f t="shared" si="51"/>
        <v/>
      </c>
      <c r="AG115" s="674" t="str">
        <f t="shared" si="51"/>
        <v/>
      </c>
      <c r="AH115" s="674" t="str">
        <f t="shared" si="51"/>
        <v/>
      </c>
      <c r="AI115" s="674" t="str">
        <f t="shared" si="51"/>
        <v/>
      </c>
      <c r="AJ115" s="674" t="str">
        <f t="shared" si="51"/>
        <v/>
      </c>
      <c r="AK115" s="675" t="str">
        <f t="shared" si="51"/>
        <v/>
      </c>
      <c r="AL115" s="15"/>
      <c r="AM115" s="15"/>
      <c r="AP115" s="536"/>
      <c r="AR115" s="537"/>
      <c r="AS115" s="529"/>
      <c r="AW115" s="390" t="str">
        <f>""</f>
        <v/>
      </c>
      <c r="AX115" s="531"/>
      <c r="AY115" s="390" t="str">
        <f>""</f>
        <v/>
      </c>
      <c r="BD115" s="520"/>
      <c r="BE115" s="520"/>
      <c r="BF115" s="520"/>
      <c r="BG115" s="520"/>
      <c r="BH115" s="520"/>
      <c r="BI115" s="520"/>
      <c r="BJ115" s="520"/>
      <c r="BK115" s="520"/>
      <c r="BL115" s="520"/>
      <c r="BM115" s="520"/>
      <c r="BN115" s="520"/>
      <c r="BO115" s="520"/>
      <c r="BP115" s="520"/>
      <c r="BQ115" s="520"/>
      <c r="BR115" s="520"/>
      <c r="BS115" s="520"/>
      <c r="BT115" s="520"/>
      <c r="BU115" s="520"/>
      <c r="BV115" s="520"/>
      <c r="BW115" s="520"/>
      <c r="BX115" s="520"/>
      <c r="BY115" s="520"/>
    </row>
    <row r="116" spans="1:84" ht="12" customHeight="1" x14ac:dyDescent="0.3">
      <c r="A116" s="765"/>
      <c r="E116" s="258" t="str">
        <f>$AX$94</f>
        <v>Mérkőzés kimenetele: 4 p</v>
      </c>
      <c r="H116" s="673" t="str">
        <f t="shared" ref="H116:AK116" si="52">IF(OR(BC113,NOT($AS$24)),"",IF(AND(NOT($AS$32),COUNTIF(H114:H115,"ü")&gt;0),"",IF(SIGN(H112-H113)=SIGN($E112-$E113),"ü"," ")))</f>
        <v/>
      </c>
      <c r="I116" s="674" t="str">
        <f t="shared" si="52"/>
        <v/>
      </c>
      <c r="J116" s="674" t="str">
        <f t="shared" si="52"/>
        <v/>
      </c>
      <c r="K116" s="674" t="str">
        <f t="shared" si="52"/>
        <v/>
      </c>
      <c r="L116" s="674" t="str">
        <f t="shared" si="52"/>
        <v/>
      </c>
      <c r="M116" s="674" t="str">
        <f t="shared" si="52"/>
        <v/>
      </c>
      <c r="N116" s="674" t="str">
        <f t="shared" si="52"/>
        <v/>
      </c>
      <c r="O116" s="674" t="str">
        <f t="shared" si="52"/>
        <v/>
      </c>
      <c r="P116" s="674" t="str">
        <f t="shared" si="52"/>
        <v/>
      </c>
      <c r="Q116" s="674" t="str">
        <f t="shared" si="52"/>
        <v/>
      </c>
      <c r="R116" s="674" t="str">
        <f t="shared" si="52"/>
        <v/>
      </c>
      <c r="S116" s="674" t="str">
        <f t="shared" si="52"/>
        <v/>
      </c>
      <c r="T116" s="674" t="str">
        <f t="shared" si="52"/>
        <v/>
      </c>
      <c r="U116" s="674" t="str">
        <f t="shared" si="52"/>
        <v/>
      </c>
      <c r="V116" s="674" t="str">
        <f t="shared" si="52"/>
        <v/>
      </c>
      <c r="W116" s="674" t="str">
        <f t="shared" si="52"/>
        <v/>
      </c>
      <c r="X116" s="674" t="str">
        <f t="shared" si="52"/>
        <v/>
      </c>
      <c r="Y116" s="674" t="str">
        <f t="shared" si="52"/>
        <v/>
      </c>
      <c r="Z116" s="674" t="str">
        <f t="shared" si="52"/>
        <v/>
      </c>
      <c r="AA116" s="674" t="str">
        <f t="shared" si="52"/>
        <v/>
      </c>
      <c r="AB116" s="674" t="str">
        <f t="shared" si="52"/>
        <v/>
      </c>
      <c r="AC116" s="674" t="str">
        <f t="shared" si="52"/>
        <v/>
      </c>
      <c r="AD116" s="674" t="str">
        <f t="shared" si="52"/>
        <v/>
      </c>
      <c r="AE116" s="674" t="str">
        <f t="shared" si="52"/>
        <v/>
      </c>
      <c r="AF116" s="674" t="str">
        <f t="shared" si="52"/>
        <v/>
      </c>
      <c r="AG116" s="674" t="str">
        <f t="shared" si="52"/>
        <v/>
      </c>
      <c r="AH116" s="674" t="str">
        <f t="shared" si="52"/>
        <v/>
      </c>
      <c r="AI116" s="674" t="str">
        <f t="shared" si="52"/>
        <v/>
      </c>
      <c r="AJ116" s="674" t="str">
        <f t="shared" si="52"/>
        <v/>
      </c>
      <c r="AK116" s="675" t="str">
        <f t="shared" si="52"/>
        <v/>
      </c>
      <c r="AL116" s="15"/>
      <c r="AM116" s="15"/>
      <c r="AP116" s="536"/>
      <c r="AR116" s="537"/>
      <c r="AS116" s="529"/>
      <c r="AW116" s="390" t="str">
        <f>""</f>
        <v/>
      </c>
      <c r="AX116" s="531"/>
      <c r="AY116" s="390" t="str">
        <f>""</f>
        <v/>
      </c>
      <c r="BD116" s="520"/>
      <c r="BE116" s="520"/>
      <c r="BF116" s="520"/>
      <c r="BG116" s="520"/>
      <c r="BH116" s="520"/>
      <c r="BI116" s="520"/>
      <c r="BJ116" s="520"/>
      <c r="BK116" s="520"/>
      <c r="BL116" s="520"/>
      <c r="BM116" s="520"/>
      <c r="BN116" s="520"/>
      <c r="BO116" s="520"/>
      <c r="BP116" s="520"/>
      <c r="BQ116" s="520"/>
      <c r="BR116" s="520"/>
      <c r="BS116" s="520"/>
      <c r="BT116" s="520"/>
      <c r="BU116" s="520"/>
      <c r="BV116" s="520"/>
      <c r="BW116" s="520"/>
      <c r="BX116" s="520"/>
      <c r="BY116" s="520"/>
    </row>
    <row r="117" spans="1:84" ht="12" customHeight="1" x14ac:dyDescent="0.3">
      <c r="A117" s="765"/>
      <c r="E117" s="258" t="str">
        <f>$AX$95</f>
        <v>Egyik csapat góljainak száma: 3 p</v>
      </c>
      <c r="H117" s="673" t="str">
        <f t="shared" ref="H117:AK117" si="53">IF(OR(BC113,NOT($AS$26)),"",IF(AND(NOT($AS$32),COUNTIF(H114:H116,"ü")&gt;0),"",IF(OR(H112=$E112,H113=$E113),"ü"," ")))</f>
        <v/>
      </c>
      <c r="I117" s="674" t="str">
        <f t="shared" si="53"/>
        <v/>
      </c>
      <c r="J117" s="674" t="str">
        <f t="shared" si="53"/>
        <v/>
      </c>
      <c r="K117" s="674" t="str">
        <f t="shared" si="53"/>
        <v/>
      </c>
      <c r="L117" s="674" t="str">
        <f t="shared" si="53"/>
        <v/>
      </c>
      <c r="M117" s="674" t="str">
        <f t="shared" si="53"/>
        <v/>
      </c>
      <c r="N117" s="674" t="str">
        <f t="shared" si="53"/>
        <v/>
      </c>
      <c r="O117" s="674" t="str">
        <f t="shared" si="53"/>
        <v/>
      </c>
      <c r="P117" s="674" t="str">
        <f t="shared" si="53"/>
        <v/>
      </c>
      <c r="Q117" s="674" t="str">
        <f t="shared" si="53"/>
        <v/>
      </c>
      <c r="R117" s="674" t="str">
        <f t="shared" si="53"/>
        <v/>
      </c>
      <c r="S117" s="674" t="str">
        <f t="shared" si="53"/>
        <v/>
      </c>
      <c r="T117" s="674" t="str">
        <f t="shared" si="53"/>
        <v/>
      </c>
      <c r="U117" s="674" t="str">
        <f t="shared" si="53"/>
        <v/>
      </c>
      <c r="V117" s="674" t="str">
        <f t="shared" si="53"/>
        <v/>
      </c>
      <c r="W117" s="674" t="str">
        <f t="shared" si="53"/>
        <v/>
      </c>
      <c r="X117" s="674" t="str">
        <f t="shared" si="53"/>
        <v/>
      </c>
      <c r="Y117" s="674" t="str">
        <f t="shared" si="53"/>
        <v/>
      </c>
      <c r="Z117" s="674" t="str">
        <f t="shared" si="53"/>
        <v/>
      </c>
      <c r="AA117" s="674" t="str">
        <f t="shared" si="53"/>
        <v/>
      </c>
      <c r="AB117" s="674" t="str">
        <f t="shared" si="53"/>
        <v/>
      </c>
      <c r="AC117" s="674" t="str">
        <f t="shared" si="53"/>
        <v/>
      </c>
      <c r="AD117" s="674" t="str">
        <f t="shared" si="53"/>
        <v/>
      </c>
      <c r="AE117" s="674" t="str">
        <f t="shared" si="53"/>
        <v/>
      </c>
      <c r="AF117" s="674" t="str">
        <f t="shared" si="53"/>
        <v/>
      </c>
      <c r="AG117" s="674" t="str">
        <f t="shared" si="53"/>
        <v/>
      </c>
      <c r="AH117" s="674" t="str">
        <f t="shared" si="53"/>
        <v/>
      </c>
      <c r="AI117" s="674" t="str">
        <f t="shared" si="53"/>
        <v/>
      </c>
      <c r="AJ117" s="674" t="str">
        <f t="shared" si="53"/>
        <v/>
      </c>
      <c r="AK117" s="675" t="str">
        <f t="shared" si="53"/>
        <v/>
      </c>
      <c r="AL117" s="15"/>
      <c r="AM117" s="15"/>
      <c r="AP117" s="536"/>
      <c r="AR117" s="537"/>
      <c r="AS117" s="529"/>
      <c r="AW117" s="390" t="str">
        <f>""</f>
        <v/>
      </c>
      <c r="AX117" s="531"/>
      <c r="AY117" s="390" t="str">
        <f>""</f>
        <v/>
      </c>
      <c r="BD117" s="520"/>
      <c r="BE117" s="520"/>
      <c r="BF117" s="520"/>
      <c r="BG117" s="520"/>
      <c r="BH117" s="520"/>
      <c r="BI117" s="520"/>
      <c r="BJ117" s="520"/>
      <c r="BK117" s="520"/>
      <c r="BL117" s="520"/>
      <c r="BM117" s="520"/>
      <c r="BN117" s="520"/>
      <c r="BO117" s="520"/>
      <c r="BP117" s="520"/>
      <c r="BQ117" s="520"/>
      <c r="BR117" s="520"/>
      <c r="BS117" s="520"/>
      <c r="BT117" s="520"/>
      <c r="BU117" s="520"/>
      <c r="BV117" s="520"/>
      <c r="BW117" s="520"/>
      <c r="BX117" s="520"/>
      <c r="BY117" s="520"/>
    </row>
    <row r="118" spans="1:84" ht="12" customHeight="1" x14ac:dyDescent="0.3">
      <c r="A118" s="765"/>
      <c r="E118" s="258" t="str">
        <f>$AX$96</f>
        <v>Összes gól: 2 p</v>
      </c>
      <c r="H118" s="673" t="str">
        <f t="shared" ref="H118:AK118" si="54">IF(OR(BC113,NOT($AS$28)),"",IF(AND(NOT($AS$32),COUNTIF(H114:H117,"ü")&gt;0),"",IF(H112+H113=$E112+$E113,"ü"," ")))</f>
        <v/>
      </c>
      <c r="I118" s="674" t="str">
        <f t="shared" si="54"/>
        <v/>
      </c>
      <c r="J118" s="674" t="str">
        <f t="shared" si="54"/>
        <v/>
      </c>
      <c r="K118" s="674" t="str">
        <f t="shared" si="54"/>
        <v/>
      </c>
      <c r="L118" s="674" t="str">
        <f t="shared" si="54"/>
        <v/>
      </c>
      <c r="M118" s="674" t="str">
        <f t="shared" si="54"/>
        <v/>
      </c>
      <c r="N118" s="674" t="str">
        <f t="shared" si="54"/>
        <v/>
      </c>
      <c r="O118" s="674" t="str">
        <f t="shared" si="54"/>
        <v/>
      </c>
      <c r="P118" s="674" t="str">
        <f t="shared" si="54"/>
        <v/>
      </c>
      <c r="Q118" s="674" t="str">
        <f t="shared" si="54"/>
        <v/>
      </c>
      <c r="R118" s="674" t="str">
        <f t="shared" si="54"/>
        <v/>
      </c>
      <c r="S118" s="674" t="str">
        <f t="shared" si="54"/>
        <v/>
      </c>
      <c r="T118" s="674" t="str">
        <f t="shared" si="54"/>
        <v/>
      </c>
      <c r="U118" s="674" t="str">
        <f t="shared" si="54"/>
        <v/>
      </c>
      <c r="V118" s="674" t="str">
        <f t="shared" si="54"/>
        <v/>
      </c>
      <c r="W118" s="674" t="str">
        <f t="shared" si="54"/>
        <v/>
      </c>
      <c r="X118" s="674" t="str">
        <f t="shared" si="54"/>
        <v/>
      </c>
      <c r="Y118" s="674" t="str">
        <f t="shared" si="54"/>
        <v/>
      </c>
      <c r="Z118" s="674" t="str">
        <f t="shared" si="54"/>
        <v/>
      </c>
      <c r="AA118" s="674" t="str">
        <f t="shared" si="54"/>
        <v/>
      </c>
      <c r="AB118" s="674" t="str">
        <f t="shared" si="54"/>
        <v/>
      </c>
      <c r="AC118" s="674" t="str">
        <f t="shared" si="54"/>
        <v/>
      </c>
      <c r="AD118" s="674" t="str">
        <f t="shared" si="54"/>
        <v/>
      </c>
      <c r="AE118" s="674" t="str">
        <f t="shared" si="54"/>
        <v/>
      </c>
      <c r="AF118" s="674" t="str">
        <f t="shared" si="54"/>
        <v/>
      </c>
      <c r="AG118" s="674" t="str">
        <f t="shared" si="54"/>
        <v/>
      </c>
      <c r="AH118" s="674" t="str">
        <f t="shared" si="54"/>
        <v/>
      </c>
      <c r="AI118" s="674" t="str">
        <f t="shared" si="54"/>
        <v/>
      </c>
      <c r="AJ118" s="674" t="str">
        <f t="shared" si="54"/>
        <v/>
      </c>
      <c r="AK118" s="675" t="str">
        <f t="shared" si="54"/>
        <v/>
      </c>
      <c r="AL118" s="15"/>
      <c r="AM118" s="15"/>
      <c r="AP118" s="536"/>
      <c r="AR118" s="537"/>
      <c r="AS118" s="529"/>
      <c r="AW118" s="390" t="str">
        <f>""</f>
        <v/>
      </c>
      <c r="AX118" s="531"/>
      <c r="AY118" s="390" t="str">
        <f>""</f>
        <v/>
      </c>
      <c r="BD118" s="520"/>
      <c r="BE118" s="520"/>
      <c r="BF118" s="520"/>
      <c r="BG118" s="520"/>
      <c r="BH118" s="520"/>
      <c r="BI118" s="520"/>
      <c r="BJ118" s="520"/>
      <c r="BK118" s="520"/>
      <c r="BL118" s="520"/>
      <c r="BM118" s="520"/>
      <c r="BN118" s="520"/>
      <c r="BO118" s="520"/>
      <c r="BP118" s="520"/>
      <c r="BQ118" s="520"/>
      <c r="BR118" s="520"/>
      <c r="BS118" s="520"/>
      <c r="BT118" s="520"/>
      <c r="BU118" s="520"/>
      <c r="BV118" s="520"/>
      <c r="BW118" s="520"/>
      <c r="BX118" s="520"/>
      <c r="BY118" s="520"/>
    </row>
    <row r="119" spans="1:84" ht="12" customHeight="1" x14ac:dyDescent="0.3">
      <c r="A119" s="765"/>
      <c r="E119" s="258" t="str">
        <f>$AX$97</f>
        <v>Fordított gólkülönbség: 1 p</v>
      </c>
      <c r="H119" s="676" t="str">
        <f t="shared" ref="H119:AK119" si="55">IF(OR(BC113,NOT($AS$30)),"",IF(AND(NOT($AS$32),COUNTIF(H114:H118,"ü")&gt;0),"",IF(AND(H112-H113=$E113-$E112,H112&lt;&gt;H113),"ü"," ")))</f>
        <v/>
      </c>
      <c r="I119" s="677" t="str">
        <f t="shared" si="55"/>
        <v/>
      </c>
      <c r="J119" s="677" t="str">
        <f t="shared" si="55"/>
        <v/>
      </c>
      <c r="K119" s="677" t="str">
        <f t="shared" si="55"/>
        <v/>
      </c>
      <c r="L119" s="677" t="str">
        <f t="shared" si="55"/>
        <v/>
      </c>
      <c r="M119" s="677" t="str">
        <f t="shared" si="55"/>
        <v/>
      </c>
      <c r="N119" s="677" t="str">
        <f t="shared" si="55"/>
        <v/>
      </c>
      <c r="O119" s="677" t="str">
        <f t="shared" si="55"/>
        <v/>
      </c>
      <c r="P119" s="677" t="str">
        <f t="shared" si="55"/>
        <v/>
      </c>
      <c r="Q119" s="677" t="str">
        <f t="shared" si="55"/>
        <v/>
      </c>
      <c r="R119" s="677" t="str">
        <f t="shared" si="55"/>
        <v/>
      </c>
      <c r="S119" s="677" t="str">
        <f t="shared" si="55"/>
        <v/>
      </c>
      <c r="T119" s="677" t="str">
        <f t="shared" si="55"/>
        <v/>
      </c>
      <c r="U119" s="677" t="str">
        <f t="shared" si="55"/>
        <v/>
      </c>
      <c r="V119" s="677" t="str">
        <f t="shared" si="55"/>
        <v/>
      </c>
      <c r="W119" s="677" t="str">
        <f t="shared" si="55"/>
        <v/>
      </c>
      <c r="X119" s="677" t="str">
        <f t="shared" si="55"/>
        <v/>
      </c>
      <c r="Y119" s="677" t="str">
        <f t="shared" si="55"/>
        <v/>
      </c>
      <c r="Z119" s="677" t="str">
        <f t="shared" si="55"/>
        <v/>
      </c>
      <c r="AA119" s="677" t="str">
        <f t="shared" si="55"/>
        <v/>
      </c>
      <c r="AB119" s="677" t="str">
        <f t="shared" si="55"/>
        <v/>
      </c>
      <c r="AC119" s="677" t="str">
        <f t="shared" si="55"/>
        <v/>
      </c>
      <c r="AD119" s="677" t="str">
        <f t="shared" si="55"/>
        <v/>
      </c>
      <c r="AE119" s="677" t="str">
        <f t="shared" si="55"/>
        <v/>
      </c>
      <c r="AF119" s="677" t="str">
        <f t="shared" si="55"/>
        <v/>
      </c>
      <c r="AG119" s="677" t="str">
        <f t="shared" si="55"/>
        <v/>
      </c>
      <c r="AH119" s="677" t="str">
        <f t="shared" si="55"/>
        <v/>
      </c>
      <c r="AI119" s="677" t="str">
        <f t="shared" si="55"/>
        <v/>
      </c>
      <c r="AJ119" s="677" t="str">
        <f t="shared" si="55"/>
        <v/>
      </c>
      <c r="AK119" s="678" t="str">
        <f t="shared" si="55"/>
        <v/>
      </c>
      <c r="AL119" s="15"/>
      <c r="AM119" s="15"/>
      <c r="AP119" s="536"/>
      <c r="AR119" s="537"/>
      <c r="AS119" s="529"/>
      <c r="AW119" s="390" t="str">
        <f>""</f>
        <v/>
      </c>
      <c r="AX119" s="531"/>
      <c r="AY119" s="390" t="str">
        <f>""</f>
        <v/>
      </c>
      <c r="BD119" s="520"/>
      <c r="BE119" s="520"/>
      <c r="BF119" s="520"/>
      <c r="BG119" s="520"/>
      <c r="BH119" s="520"/>
      <c r="BI119" s="520"/>
      <c r="BJ119" s="520"/>
      <c r="BK119" s="520"/>
      <c r="BL119" s="520"/>
      <c r="BM119" s="520"/>
      <c r="BN119" s="520"/>
      <c r="BO119" s="520"/>
      <c r="BP119" s="520"/>
      <c r="BQ119" s="520"/>
      <c r="BR119" s="520"/>
      <c r="BS119" s="520"/>
      <c r="BT119" s="520"/>
      <c r="BU119" s="520"/>
      <c r="BV119" s="520"/>
      <c r="BW119" s="520"/>
      <c r="BX119" s="520"/>
      <c r="BY119" s="520"/>
    </row>
    <row r="120" spans="1:84" ht="15" customHeight="1" x14ac:dyDescent="0.3">
      <c r="A120" s="765"/>
      <c r="E120" s="79" t="s">
        <v>799</v>
      </c>
      <c r="H120" s="679">
        <f t="shared" ref="H120:AK120" si="56">IF(NOT(H$13),"",SUMPRODUCT((H114:H119="ü")*($AW$92:$AW$97)))</f>
        <v>0</v>
      </c>
      <c r="I120" s="680">
        <f t="shared" si="56"/>
        <v>0</v>
      </c>
      <c r="J120" s="680">
        <f t="shared" si="56"/>
        <v>0</v>
      </c>
      <c r="K120" s="680">
        <f t="shared" si="56"/>
        <v>0</v>
      </c>
      <c r="L120" s="680">
        <f t="shared" si="56"/>
        <v>0</v>
      </c>
      <c r="M120" s="680">
        <f t="shared" si="56"/>
        <v>0</v>
      </c>
      <c r="N120" s="680">
        <f t="shared" si="56"/>
        <v>0</v>
      </c>
      <c r="O120" s="680">
        <f t="shared" si="56"/>
        <v>0</v>
      </c>
      <c r="P120" s="680">
        <f t="shared" si="56"/>
        <v>0</v>
      </c>
      <c r="Q120" s="680">
        <f t="shared" si="56"/>
        <v>0</v>
      </c>
      <c r="R120" s="680">
        <f t="shared" si="56"/>
        <v>0</v>
      </c>
      <c r="S120" s="680">
        <f t="shared" si="56"/>
        <v>0</v>
      </c>
      <c r="T120" s="680">
        <f t="shared" si="56"/>
        <v>0</v>
      </c>
      <c r="U120" s="680">
        <f t="shared" si="56"/>
        <v>0</v>
      </c>
      <c r="V120" s="680">
        <f t="shared" si="56"/>
        <v>0</v>
      </c>
      <c r="W120" s="680">
        <f t="shared" si="56"/>
        <v>0</v>
      </c>
      <c r="X120" s="680">
        <f t="shared" si="56"/>
        <v>0</v>
      </c>
      <c r="Y120" s="680">
        <f t="shared" si="56"/>
        <v>0</v>
      </c>
      <c r="Z120" s="680">
        <f t="shared" si="56"/>
        <v>0</v>
      </c>
      <c r="AA120" s="680">
        <f t="shared" si="56"/>
        <v>0</v>
      </c>
      <c r="AB120" s="680">
        <f t="shared" si="56"/>
        <v>0</v>
      </c>
      <c r="AC120" s="680">
        <f t="shared" si="56"/>
        <v>0</v>
      </c>
      <c r="AD120" s="680">
        <f t="shared" si="56"/>
        <v>0</v>
      </c>
      <c r="AE120" s="680" t="str">
        <f t="shared" si="56"/>
        <v/>
      </c>
      <c r="AF120" s="680" t="str">
        <f t="shared" si="56"/>
        <v/>
      </c>
      <c r="AG120" s="680" t="str">
        <f t="shared" si="56"/>
        <v/>
      </c>
      <c r="AH120" s="680" t="str">
        <f t="shared" si="56"/>
        <v/>
      </c>
      <c r="AI120" s="680" t="str">
        <f t="shared" si="56"/>
        <v/>
      </c>
      <c r="AJ120" s="680" t="str">
        <f t="shared" si="56"/>
        <v/>
      </c>
      <c r="AK120" s="681" t="str">
        <f t="shared" si="56"/>
        <v/>
      </c>
      <c r="AP120" s="536"/>
      <c r="AR120" s="537"/>
      <c r="AS120" s="529"/>
    </row>
    <row r="121" spans="1:84" ht="9" customHeight="1" x14ac:dyDescent="0.3">
      <c r="A121" s="765"/>
      <c r="D121" s="15"/>
      <c r="E121" s="15"/>
      <c r="F121" s="15"/>
      <c r="G121" s="15"/>
      <c r="H121" s="15"/>
      <c r="I121" s="16"/>
      <c r="J121" s="15"/>
      <c r="K121" s="15"/>
      <c r="L121" s="16"/>
      <c r="M121" s="15"/>
      <c r="N121" s="15"/>
      <c r="O121" s="16"/>
      <c r="P121" s="15"/>
      <c r="Q121" s="15"/>
      <c r="R121" s="16"/>
      <c r="S121" s="15"/>
      <c r="T121" s="15"/>
      <c r="U121" s="16"/>
      <c r="V121" s="15"/>
      <c r="W121" s="15"/>
      <c r="X121" s="16"/>
      <c r="Y121" s="15"/>
      <c r="Z121" s="15"/>
      <c r="AA121" s="16"/>
      <c r="AB121" s="15"/>
      <c r="AC121" s="15"/>
      <c r="AD121" s="16"/>
      <c r="AE121" s="15"/>
      <c r="AF121" s="15"/>
      <c r="AG121" s="16"/>
      <c r="AH121" s="15"/>
      <c r="AI121" s="15"/>
      <c r="AJ121" s="16"/>
      <c r="AK121" s="15"/>
      <c r="AP121" s="536"/>
      <c r="AR121" s="537"/>
      <c r="AS121" s="529"/>
    </row>
    <row r="122" spans="1:84" ht="15" customHeight="1" x14ac:dyDescent="0.3">
      <c r="A122" s="765"/>
      <c r="C122" s="27" t="str">
        <f>" "&amp;VLOOKUP(AQ123,schedule,18,FALSE)&amp;"  ("&amp;VLOOKUP(AQ123,schedule,3,FALSE)&amp;" CSOPORT)"</f>
        <v xml:space="preserve"> JÚNIUS 12. – SZOMBAT 21:00  (B CSOPORT)</v>
      </c>
      <c r="D122" s="27"/>
      <c r="E122" s="26"/>
      <c r="F122" s="26"/>
      <c r="G122" s="26"/>
      <c r="H122" s="26"/>
      <c r="I122" s="26"/>
      <c r="J122" s="26"/>
      <c r="AP122" s="536"/>
      <c r="AR122" s="537"/>
      <c r="AS122" s="529"/>
    </row>
    <row r="123" spans="1:84" ht="15" customHeight="1" x14ac:dyDescent="0.3">
      <c r="A123" s="765"/>
      <c r="C123" s="661"/>
      <c r="D123" s="662" t="str">
        <f>IF(INDEX(n.er,$AR123,8)="","",INDEX(n.er,$AR123,8))</f>
        <v>Belgium</v>
      </c>
      <c r="E123" s="663" t="str">
        <f>IF(NOT($AS123),"",INDEX(n.er,$AR123,9))</f>
        <v/>
      </c>
      <c r="F123" s="662"/>
      <c r="G123" s="259"/>
      <c r="H123" s="664">
        <v>2</v>
      </c>
      <c r="I123" s="665">
        <v>3</v>
      </c>
      <c r="J123" s="665">
        <v>3</v>
      </c>
      <c r="K123" s="665">
        <v>4</v>
      </c>
      <c r="L123" s="665">
        <v>3</v>
      </c>
      <c r="M123" s="665">
        <v>2</v>
      </c>
      <c r="N123" s="665">
        <v>3</v>
      </c>
      <c r="O123" s="665">
        <v>2</v>
      </c>
      <c r="P123" s="665">
        <v>3</v>
      </c>
      <c r="Q123" s="665">
        <v>2</v>
      </c>
      <c r="R123" s="665">
        <v>3</v>
      </c>
      <c r="S123" s="665">
        <v>3</v>
      </c>
      <c r="T123" s="665">
        <v>3</v>
      </c>
      <c r="U123" s="665">
        <v>2</v>
      </c>
      <c r="V123" s="665">
        <v>2</v>
      </c>
      <c r="W123" s="665">
        <v>2</v>
      </c>
      <c r="X123" s="665">
        <v>2</v>
      </c>
      <c r="Y123" s="665">
        <v>1</v>
      </c>
      <c r="Z123" s="665">
        <v>2</v>
      </c>
      <c r="AA123" s="665">
        <v>3</v>
      </c>
      <c r="AB123" s="665">
        <v>2</v>
      </c>
      <c r="AC123" s="665">
        <v>2</v>
      </c>
      <c r="AD123" s="665">
        <v>3</v>
      </c>
      <c r="AE123" s="665"/>
      <c r="AF123" s="665"/>
      <c r="AG123" s="665"/>
      <c r="AH123" s="665"/>
      <c r="AI123" s="665"/>
      <c r="AJ123" s="665"/>
      <c r="AK123" s="666"/>
      <c r="AP123" s="52">
        <f>AP112+1</f>
        <v>4</v>
      </c>
      <c r="AQ123" s="311">
        <f>INDEX(schedule,AP123,1)</f>
        <v>4</v>
      </c>
      <c r="AR123" s="311">
        <f>MATCH(AQ123,n.er.index,0)</f>
        <v>8</v>
      </c>
      <c r="AS123" s="532" t="b">
        <f>INDEX(n.er,$AR123,3)</f>
        <v>0</v>
      </c>
      <c r="AT123" s="531"/>
      <c r="AU123" s="531"/>
      <c r="AV123" s="531"/>
      <c r="AW123" s="531"/>
      <c r="AX123" s="531"/>
      <c r="BC123" s="525" t="b">
        <f t="shared" ref="BC123:CF123" si="57">IF(AND(ISNUMBER(H123),ISNUMBER(H124),H123&lt;&gt;"",H124&lt;&gt;""),AND(H123&gt;=0,H124&gt;=0,MOD(H123+H124,1)=0),FALSE)</f>
        <v>1</v>
      </c>
      <c r="BD123" s="525" t="b">
        <f t="shared" si="57"/>
        <v>1</v>
      </c>
      <c r="BE123" s="525" t="b">
        <f t="shared" si="57"/>
        <v>1</v>
      </c>
      <c r="BF123" s="525" t="b">
        <f t="shared" si="57"/>
        <v>1</v>
      </c>
      <c r="BG123" s="525" t="b">
        <f t="shared" si="57"/>
        <v>1</v>
      </c>
      <c r="BH123" s="525" t="b">
        <f t="shared" si="57"/>
        <v>1</v>
      </c>
      <c r="BI123" s="525" t="b">
        <f t="shared" si="57"/>
        <v>1</v>
      </c>
      <c r="BJ123" s="525" t="b">
        <f t="shared" si="57"/>
        <v>1</v>
      </c>
      <c r="BK123" s="525" t="b">
        <f t="shared" si="57"/>
        <v>1</v>
      </c>
      <c r="BL123" s="525" t="b">
        <f t="shared" si="57"/>
        <v>1</v>
      </c>
      <c r="BM123" s="525" t="b">
        <f t="shared" si="57"/>
        <v>1</v>
      </c>
      <c r="BN123" s="525" t="b">
        <f t="shared" si="57"/>
        <v>1</v>
      </c>
      <c r="BO123" s="525" t="b">
        <f t="shared" si="57"/>
        <v>1</v>
      </c>
      <c r="BP123" s="525" t="b">
        <f t="shared" si="57"/>
        <v>1</v>
      </c>
      <c r="BQ123" s="525" t="b">
        <f t="shared" si="57"/>
        <v>1</v>
      </c>
      <c r="BR123" s="525" t="b">
        <f t="shared" si="57"/>
        <v>1</v>
      </c>
      <c r="BS123" s="525" t="b">
        <f t="shared" si="57"/>
        <v>1</v>
      </c>
      <c r="BT123" s="525" t="b">
        <f t="shared" si="57"/>
        <v>1</v>
      </c>
      <c r="BU123" s="525" t="b">
        <f t="shared" si="57"/>
        <v>1</v>
      </c>
      <c r="BV123" s="525" t="b">
        <f t="shared" si="57"/>
        <v>1</v>
      </c>
      <c r="BW123" s="525" t="b">
        <f t="shared" si="57"/>
        <v>1</v>
      </c>
      <c r="BX123" s="525" t="b">
        <f t="shared" si="57"/>
        <v>1</v>
      </c>
      <c r="BY123" s="525" t="b">
        <f t="shared" si="57"/>
        <v>1</v>
      </c>
      <c r="BZ123" s="525" t="b">
        <f t="shared" si="57"/>
        <v>0</v>
      </c>
      <c r="CA123" s="525" t="b">
        <f t="shared" si="57"/>
        <v>0</v>
      </c>
      <c r="CB123" s="525" t="b">
        <f t="shared" si="57"/>
        <v>0</v>
      </c>
      <c r="CC123" s="525" t="b">
        <f t="shared" si="57"/>
        <v>0</v>
      </c>
      <c r="CD123" s="525" t="b">
        <f t="shared" si="57"/>
        <v>0</v>
      </c>
      <c r="CE123" s="525" t="b">
        <f t="shared" si="57"/>
        <v>0</v>
      </c>
      <c r="CF123" s="525" t="b">
        <f t="shared" si="57"/>
        <v>0</v>
      </c>
    </row>
    <row r="124" spans="1:84" ht="15" customHeight="1" x14ac:dyDescent="0.3">
      <c r="A124" s="765"/>
      <c r="C124" s="695"/>
      <c r="D124" s="696" t="str">
        <f>IF(INDEX(n.er,$AR123,11)="","",INDEX(n.er,$AR123,11))</f>
        <v>Oroszország</v>
      </c>
      <c r="E124" s="697" t="str">
        <f>IF(NOT($AS123),"",INDEX(n.er,$AR123,10))</f>
        <v/>
      </c>
      <c r="F124" s="696"/>
      <c r="G124" s="259"/>
      <c r="H124" s="667">
        <v>1</v>
      </c>
      <c r="I124" s="668">
        <v>1</v>
      </c>
      <c r="J124" s="668">
        <v>1</v>
      </c>
      <c r="K124" s="668">
        <v>1</v>
      </c>
      <c r="L124" s="668">
        <v>1</v>
      </c>
      <c r="M124" s="668">
        <v>0</v>
      </c>
      <c r="N124" s="668">
        <v>1</v>
      </c>
      <c r="O124" s="668">
        <v>2</v>
      </c>
      <c r="P124" s="668">
        <v>1</v>
      </c>
      <c r="Q124" s="668">
        <v>1</v>
      </c>
      <c r="R124" s="668">
        <v>0</v>
      </c>
      <c r="S124" s="668">
        <v>1</v>
      </c>
      <c r="T124" s="668">
        <v>1</v>
      </c>
      <c r="U124" s="668">
        <v>2</v>
      </c>
      <c r="V124" s="668">
        <v>1</v>
      </c>
      <c r="W124" s="668">
        <v>0</v>
      </c>
      <c r="X124" s="668">
        <v>0</v>
      </c>
      <c r="Y124" s="668">
        <v>1</v>
      </c>
      <c r="Z124" s="668">
        <v>0</v>
      </c>
      <c r="AA124" s="668">
        <v>1</v>
      </c>
      <c r="AB124" s="668">
        <v>1</v>
      </c>
      <c r="AC124" s="668">
        <v>0</v>
      </c>
      <c r="AD124" s="668">
        <v>0</v>
      </c>
      <c r="AE124" s="668"/>
      <c r="AF124" s="668"/>
      <c r="AG124" s="668"/>
      <c r="AH124" s="668"/>
      <c r="AI124" s="668"/>
      <c r="AJ124" s="668"/>
      <c r="AK124" s="669"/>
      <c r="AP124" s="533"/>
      <c r="AQ124" s="577"/>
      <c r="AR124" s="534"/>
      <c r="AS124" s="535"/>
      <c r="AX124" s="531"/>
      <c r="BC124" s="34" t="b">
        <f t="shared" ref="BC124:CF124" si="58">OR(NOT(H$13),NOT($AS123),NOT(BC123))</f>
        <v>1</v>
      </c>
      <c r="BD124" s="34" t="b">
        <f t="shared" si="58"/>
        <v>1</v>
      </c>
      <c r="BE124" s="34" t="b">
        <f t="shared" si="58"/>
        <v>1</v>
      </c>
      <c r="BF124" s="34" t="b">
        <f t="shared" si="58"/>
        <v>1</v>
      </c>
      <c r="BG124" s="34" t="b">
        <f t="shared" si="58"/>
        <v>1</v>
      </c>
      <c r="BH124" s="34" t="b">
        <f t="shared" si="58"/>
        <v>1</v>
      </c>
      <c r="BI124" s="34" t="b">
        <f t="shared" si="58"/>
        <v>1</v>
      </c>
      <c r="BJ124" s="34" t="b">
        <f t="shared" si="58"/>
        <v>1</v>
      </c>
      <c r="BK124" s="34" t="b">
        <f t="shared" si="58"/>
        <v>1</v>
      </c>
      <c r="BL124" s="34" t="b">
        <f t="shared" si="58"/>
        <v>1</v>
      </c>
      <c r="BM124" s="34" t="b">
        <f t="shared" si="58"/>
        <v>1</v>
      </c>
      <c r="BN124" s="34" t="b">
        <f t="shared" si="58"/>
        <v>1</v>
      </c>
      <c r="BO124" s="34" t="b">
        <f t="shared" si="58"/>
        <v>1</v>
      </c>
      <c r="BP124" s="34" t="b">
        <f t="shared" si="58"/>
        <v>1</v>
      </c>
      <c r="BQ124" s="34" t="b">
        <f t="shared" si="58"/>
        <v>1</v>
      </c>
      <c r="BR124" s="34" t="b">
        <f t="shared" si="58"/>
        <v>1</v>
      </c>
      <c r="BS124" s="34" t="b">
        <f t="shared" si="58"/>
        <v>1</v>
      </c>
      <c r="BT124" s="34" t="b">
        <f t="shared" si="58"/>
        <v>1</v>
      </c>
      <c r="BU124" s="34" t="b">
        <f t="shared" si="58"/>
        <v>1</v>
      </c>
      <c r="BV124" s="34" t="b">
        <f t="shared" si="58"/>
        <v>1</v>
      </c>
      <c r="BW124" s="34" t="b">
        <f t="shared" si="58"/>
        <v>1</v>
      </c>
      <c r="BX124" s="34" t="b">
        <f t="shared" si="58"/>
        <v>1</v>
      </c>
      <c r="BY124" s="34" t="b">
        <f t="shared" si="58"/>
        <v>1</v>
      </c>
      <c r="BZ124" s="34" t="b">
        <f t="shared" si="58"/>
        <v>1</v>
      </c>
      <c r="CA124" s="34" t="b">
        <f t="shared" si="58"/>
        <v>1</v>
      </c>
      <c r="CB124" s="34" t="b">
        <f t="shared" si="58"/>
        <v>1</v>
      </c>
      <c r="CC124" s="34" t="b">
        <f t="shared" si="58"/>
        <v>1</v>
      </c>
      <c r="CD124" s="34" t="b">
        <f t="shared" si="58"/>
        <v>1</v>
      </c>
      <c r="CE124" s="34" t="b">
        <f t="shared" si="58"/>
        <v>1</v>
      </c>
      <c r="CF124" s="34" t="b">
        <f t="shared" si="58"/>
        <v>1</v>
      </c>
    </row>
    <row r="125" spans="1:84" ht="12" customHeight="1" x14ac:dyDescent="0.3">
      <c r="A125" s="765"/>
      <c r="E125" s="258" t="str">
        <f>$AX$92</f>
        <v>Telitalálat: 10 p</v>
      </c>
      <c r="H125" s="670" t="str">
        <f t="shared" ref="H125:AK125" si="59">IF(OR(BC124,NOT($AS$20)),"",IF(AND(H123=$E123,H124=$E124),"ü",""))</f>
        <v/>
      </c>
      <c r="I125" s="671" t="str">
        <f t="shared" si="59"/>
        <v/>
      </c>
      <c r="J125" s="671" t="str">
        <f t="shared" si="59"/>
        <v/>
      </c>
      <c r="K125" s="671" t="str">
        <f t="shared" si="59"/>
        <v/>
      </c>
      <c r="L125" s="671" t="str">
        <f t="shared" si="59"/>
        <v/>
      </c>
      <c r="M125" s="671" t="str">
        <f t="shared" si="59"/>
        <v/>
      </c>
      <c r="N125" s="671" t="str">
        <f t="shared" si="59"/>
        <v/>
      </c>
      <c r="O125" s="671" t="str">
        <f t="shared" si="59"/>
        <v/>
      </c>
      <c r="P125" s="671" t="str">
        <f t="shared" si="59"/>
        <v/>
      </c>
      <c r="Q125" s="671" t="str">
        <f t="shared" si="59"/>
        <v/>
      </c>
      <c r="R125" s="671" t="str">
        <f t="shared" si="59"/>
        <v/>
      </c>
      <c r="S125" s="671" t="str">
        <f t="shared" si="59"/>
        <v/>
      </c>
      <c r="T125" s="671" t="str">
        <f t="shared" si="59"/>
        <v/>
      </c>
      <c r="U125" s="671" t="str">
        <f t="shared" si="59"/>
        <v/>
      </c>
      <c r="V125" s="671" t="str">
        <f t="shared" si="59"/>
        <v/>
      </c>
      <c r="W125" s="671" t="str">
        <f t="shared" si="59"/>
        <v/>
      </c>
      <c r="X125" s="671" t="str">
        <f t="shared" si="59"/>
        <v/>
      </c>
      <c r="Y125" s="671" t="str">
        <f t="shared" si="59"/>
        <v/>
      </c>
      <c r="Z125" s="671" t="str">
        <f t="shared" si="59"/>
        <v/>
      </c>
      <c r="AA125" s="671" t="str">
        <f t="shared" si="59"/>
        <v/>
      </c>
      <c r="AB125" s="671" t="str">
        <f t="shared" si="59"/>
        <v/>
      </c>
      <c r="AC125" s="671" t="str">
        <f t="shared" si="59"/>
        <v/>
      </c>
      <c r="AD125" s="671" t="str">
        <f t="shared" si="59"/>
        <v/>
      </c>
      <c r="AE125" s="671" t="str">
        <f t="shared" si="59"/>
        <v/>
      </c>
      <c r="AF125" s="671" t="str">
        <f t="shared" si="59"/>
        <v/>
      </c>
      <c r="AG125" s="671" t="str">
        <f t="shared" si="59"/>
        <v/>
      </c>
      <c r="AH125" s="671" t="str">
        <f t="shared" si="59"/>
        <v/>
      </c>
      <c r="AI125" s="671" t="str">
        <f t="shared" si="59"/>
        <v/>
      </c>
      <c r="AJ125" s="671" t="str">
        <f t="shared" si="59"/>
        <v/>
      </c>
      <c r="AK125" s="672" t="str">
        <f t="shared" si="59"/>
        <v/>
      </c>
      <c r="AL125" s="15"/>
      <c r="AM125" s="15"/>
      <c r="AP125" s="536"/>
      <c r="AR125" s="537"/>
      <c r="AS125" s="529"/>
      <c r="AW125" s="390" t="str">
        <f>""</f>
        <v/>
      </c>
      <c r="AX125" s="531"/>
      <c r="AY125" s="390" t="str">
        <f>""</f>
        <v/>
      </c>
      <c r="BD125" s="520"/>
      <c r="BE125" s="520"/>
      <c r="BF125" s="520"/>
      <c r="BG125" s="520"/>
      <c r="BH125" s="520"/>
      <c r="BI125" s="520"/>
      <c r="BJ125" s="520"/>
      <c r="BK125" s="520"/>
      <c r="BL125" s="520"/>
      <c r="BM125" s="520"/>
      <c r="BN125" s="520"/>
      <c r="BO125" s="520"/>
      <c r="BP125" s="520"/>
      <c r="BQ125" s="520"/>
      <c r="BR125" s="520"/>
      <c r="BS125" s="520"/>
      <c r="BT125" s="520"/>
      <c r="BU125" s="520"/>
      <c r="BV125" s="520"/>
      <c r="BW125" s="520"/>
      <c r="BX125" s="520"/>
      <c r="BY125" s="520"/>
    </row>
    <row r="126" spans="1:84" ht="12" customHeight="1" x14ac:dyDescent="0.3">
      <c r="A126" s="765"/>
      <c r="E126" s="258" t="str">
        <f>$AX$93</f>
        <v>Gólkülönbség: 6 p</v>
      </c>
      <c r="H126" s="673" t="str">
        <f t="shared" ref="H126:AK126" si="60">IF(OR(BC124,NOT($AS$22)),"",IF(AND(NOT($AS$32),H125="ü"),"",IF(H123-H124=$E123-$E124,"ü"," ")))</f>
        <v/>
      </c>
      <c r="I126" s="674" t="str">
        <f t="shared" si="60"/>
        <v/>
      </c>
      <c r="J126" s="674" t="str">
        <f t="shared" si="60"/>
        <v/>
      </c>
      <c r="K126" s="674" t="str">
        <f t="shared" si="60"/>
        <v/>
      </c>
      <c r="L126" s="674" t="str">
        <f t="shared" si="60"/>
        <v/>
      </c>
      <c r="M126" s="674" t="str">
        <f t="shared" si="60"/>
        <v/>
      </c>
      <c r="N126" s="674" t="str">
        <f t="shared" si="60"/>
        <v/>
      </c>
      <c r="O126" s="674" t="str">
        <f t="shared" si="60"/>
        <v/>
      </c>
      <c r="P126" s="674" t="str">
        <f t="shared" si="60"/>
        <v/>
      </c>
      <c r="Q126" s="674" t="str">
        <f t="shared" si="60"/>
        <v/>
      </c>
      <c r="R126" s="674" t="str">
        <f t="shared" si="60"/>
        <v/>
      </c>
      <c r="S126" s="674" t="str">
        <f t="shared" si="60"/>
        <v/>
      </c>
      <c r="T126" s="674" t="str">
        <f t="shared" si="60"/>
        <v/>
      </c>
      <c r="U126" s="674" t="str">
        <f t="shared" si="60"/>
        <v/>
      </c>
      <c r="V126" s="674" t="str">
        <f t="shared" si="60"/>
        <v/>
      </c>
      <c r="W126" s="674" t="str">
        <f t="shared" si="60"/>
        <v/>
      </c>
      <c r="X126" s="674" t="str">
        <f t="shared" si="60"/>
        <v/>
      </c>
      <c r="Y126" s="674" t="str">
        <f t="shared" si="60"/>
        <v/>
      </c>
      <c r="Z126" s="674" t="str">
        <f t="shared" si="60"/>
        <v/>
      </c>
      <c r="AA126" s="674" t="str">
        <f t="shared" si="60"/>
        <v/>
      </c>
      <c r="AB126" s="674" t="str">
        <f t="shared" si="60"/>
        <v/>
      </c>
      <c r="AC126" s="674" t="str">
        <f t="shared" si="60"/>
        <v/>
      </c>
      <c r="AD126" s="674" t="str">
        <f t="shared" si="60"/>
        <v/>
      </c>
      <c r="AE126" s="674" t="str">
        <f t="shared" si="60"/>
        <v/>
      </c>
      <c r="AF126" s="674" t="str">
        <f t="shared" si="60"/>
        <v/>
      </c>
      <c r="AG126" s="674" t="str">
        <f t="shared" si="60"/>
        <v/>
      </c>
      <c r="AH126" s="674" t="str">
        <f t="shared" si="60"/>
        <v/>
      </c>
      <c r="AI126" s="674" t="str">
        <f t="shared" si="60"/>
        <v/>
      </c>
      <c r="AJ126" s="674" t="str">
        <f t="shared" si="60"/>
        <v/>
      </c>
      <c r="AK126" s="675" t="str">
        <f t="shared" si="60"/>
        <v/>
      </c>
      <c r="AL126" s="15"/>
      <c r="AM126" s="15"/>
      <c r="AP126" s="536"/>
      <c r="AR126" s="537"/>
      <c r="AS126" s="529"/>
      <c r="AW126" s="390" t="str">
        <f>""</f>
        <v/>
      </c>
      <c r="AX126" s="531"/>
      <c r="AY126" s="390" t="str">
        <f>""</f>
        <v/>
      </c>
      <c r="BD126" s="520"/>
      <c r="BE126" s="520"/>
      <c r="BF126" s="520"/>
      <c r="BG126" s="520"/>
      <c r="BH126" s="520"/>
      <c r="BI126" s="520"/>
      <c r="BJ126" s="520"/>
      <c r="BK126" s="520"/>
      <c r="BL126" s="520"/>
      <c r="BM126" s="520"/>
      <c r="BN126" s="520"/>
      <c r="BO126" s="520"/>
      <c r="BP126" s="520"/>
      <c r="BQ126" s="520"/>
      <c r="BR126" s="520"/>
      <c r="BS126" s="520"/>
      <c r="BT126" s="520"/>
      <c r="BU126" s="520"/>
      <c r="BV126" s="520"/>
      <c r="BW126" s="520"/>
      <c r="BX126" s="520"/>
      <c r="BY126" s="520"/>
    </row>
    <row r="127" spans="1:84" ht="12" customHeight="1" x14ac:dyDescent="0.3">
      <c r="A127" s="765"/>
      <c r="E127" s="258" t="str">
        <f>$AX$94</f>
        <v>Mérkőzés kimenetele: 4 p</v>
      </c>
      <c r="H127" s="673" t="str">
        <f t="shared" ref="H127:AK127" si="61">IF(OR(BC124,NOT($AS$24)),"",IF(AND(NOT($AS$32),COUNTIF(H125:H126,"ü")&gt;0),"",IF(SIGN(H123-H124)=SIGN($E123-$E124),"ü"," ")))</f>
        <v/>
      </c>
      <c r="I127" s="674" t="str">
        <f t="shared" si="61"/>
        <v/>
      </c>
      <c r="J127" s="674" t="str">
        <f t="shared" si="61"/>
        <v/>
      </c>
      <c r="K127" s="674" t="str">
        <f t="shared" si="61"/>
        <v/>
      </c>
      <c r="L127" s="674" t="str">
        <f t="shared" si="61"/>
        <v/>
      </c>
      <c r="M127" s="674" t="str">
        <f t="shared" si="61"/>
        <v/>
      </c>
      <c r="N127" s="674" t="str">
        <f t="shared" si="61"/>
        <v/>
      </c>
      <c r="O127" s="674" t="str">
        <f t="shared" si="61"/>
        <v/>
      </c>
      <c r="P127" s="674" t="str">
        <f t="shared" si="61"/>
        <v/>
      </c>
      <c r="Q127" s="674" t="str">
        <f t="shared" si="61"/>
        <v/>
      </c>
      <c r="R127" s="674" t="str">
        <f t="shared" si="61"/>
        <v/>
      </c>
      <c r="S127" s="674" t="str">
        <f t="shared" si="61"/>
        <v/>
      </c>
      <c r="T127" s="674" t="str">
        <f t="shared" si="61"/>
        <v/>
      </c>
      <c r="U127" s="674" t="str">
        <f t="shared" si="61"/>
        <v/>
      </c>
      <c r="V127" s="674" t="str">
        <f t="shared" si="61"/>
        <v/>
      </c>
      <c r="W127" s="674" t="str">
        <f t="shared" si="61"/>
        <v/>
      </c>
      <c r="X127" s="674" t="str">
        <f t="shared" si="61"/>
        <v/>
      </c>
      <c r="Y127" s="674" t="str">
        <f t="shared" si="61"/>
        <v/>
      </c>
      <c r="Z127" s="674" t="str">
        <f t="shared" si="61"/>
        <v/>
      </c>
      <c r="AA127" s="674" t="str">
        <f t="shared" si="61"/>
        <v/>
      </c>
      <c r="AB127" s="674" t="str">
        <f t="shared" si="61"/>
        <v/>
      </c>
      <c r="AC127" s="674" t="str">
        <f t="shared" si="61"/>
        <v/>
      </c>
      <c r="AD127" s="674" t="str">
        <f t="shared" si="61"/>
        <v/>
      </c>
      <c r="AE127" s="674" t="str">
        <f t="shared" si="61"/>
        <v/>
      </c>
      <c r="AF127" s="674" t="str">
        <f t="shared" si="61"/>
        <v/>
      </c>
      <c r="AG127" s="674" t="str">
        <f t="shared" si="61"/>
        <v/>
      </c>
      <c r="AH127" s="674" t="str">
        <f t="shared" si="61"/>
        <v/>
      </c>
      <c r="AI127" s="674" t="str">
        <f t="shared" si="61"/>
        <v/>
      </c>
      <c r="AJ127" s="674" t="str">
        <f t="shared" si="61"/>
        <v/>
      </c>
      <c r="AK127" s="675" t="str">
        <f t="shared" si="61"/>
        <v/>
      </c>
      <c r="AL127" s="15"/>
      <c r="AM127" s="15"/>
      <c r="AP127" s="536"/>
      <c r="AR127" s="537"/>
      <c r="AS127" s="529"/>
      <c r="AW127" s="390" t="str">
        <f>""</f>
        <v/>
      </c>
      <c r="AX127" s="531"/>
      <c r="AY127" s="390" t="str">
        <f>""</f>
        <v/>
      </c>
      <c r="BD127" s="520"/>
      <c r="BE127" s="520"/>
      <c r="BF127" s="520"/>
      <c r="BG127" s="520"/>
      <c r="BH127" s="520"/>
      <c r="BI127" s="520"/>
      <c r="BJ127" s="520"/>
      <c r="BK127" s="520"/>
      <c r="BL127" s="520"/>
      <c r="BM127" s="520"/>
      <c r="BN127" s="520"/>
      <c r="BO127" s="520"/>
      <c r="BP127" s="520"/>
      <c r="BQ127" s="520"/>
      <c r="BR127" s="520"/>
      <c r="BS127" s="520"/>
      <c r="BT127" s="520"/>
      <c r="BU127" s="520"/>
      <c r="BV127" s="520"/>
      <c r="BW127" s="520"/>
      <c r="BX127" s="520"/>
      <c r="BY127" s="520"/>
    </row>
    <row r="128" spans="1:84" ht="12" customHeight="1" x14ac:dyDescent="0.3">
      <c r="A128" s="765"/>
      <c r="E128" s="258" t="str">
        <f>$AX$95</f>
        <v>Egyik csapat góljainak száma: 3 p</v>
      </c>
      <c r="H128" s="673" t="str">
        <f t="shared" ref="H128:AK128" si="62">IF(OR(BC124,NOT($AS$26)),"",IF(AND(NOT($AS$32),COUNTIF(H125:H127,"ü")&gt;0),"",IF(OR(H123=$E123,H124=$E124),"ü"," ")))</f>
        <v/>
      </c>
      <c r="I128" s="674" t="str">
        <f t="shared" si="62"/>
        <v/>
      </c>
      <c r="J128" s="674" t="str">
        <f t="shared" si="62"/>
        <v/>
      </c>
      <c r="K128" s="674" t="str">
        <f t="shared" si="62"/>
        <v/>
      </c>
      <c r="L128" s="674" t="str">
        <f t="shared" si="62"/>
        <v/>
      </c>
      <c r="M128" s="674" t="str">
        <f t="shared" si="62"/>
        <v/>
      </c>
      <c r="N128" s="674" t="str">
        <f t="shared" si="62"/>
        <v/>
      </c>
      <c r="O128" s="674" t="str">
        <f t="shared" si="62"/>
        <v/>
      </c>
      <c r="P128" s="674" t="str">
        <f t="shared" si="62"/>
        <v/>
      </c>
      <c r="Q128" s="674" t="str">
        <f t="shared" si="62"/>
        <v/>
      </c>
      <c r="R128" s="674" t="str">
        <f t="shared" si="62"/>
        <v/>
      </c>
      <c r="S128" s="674" t="str">
        <f t="shared" si="62"/>
        <v/>
      </c>
      <c r="T128" s="674" t="str">
        <f t="shared" si="62"/>
        <v/>
      </c>
      <c r="U128" s="674" t="str">
        <f t="shared" si="62"/>
        <v/>
      </c>
      <c r="V128" s="674" t="str">
        <f t="shared" si="62"/>
        <v/>
      </c>
      <c r="W128" s="674" t="str">
        <f t="shared" si="62"/>
        <v/>
      </c>
      <c r="X128" s="674" t="str">
        <f t="shared" si="62"/>
        <v/>
      </c>
      <c r="Y128" s="674" t="str">
        <f t="shared" si="62"/>
        <v/>
      </c>
      <c r="Z128" s="674" t="str">
        <f t="shared" si="62"/>
        <v/>
      </c>
      <c r="AA128" s="674" t="str">
        <f t="shared" si="62"/>
        <v/>
      </c>
      <c r="AB128" s="674" t="str">
        <f t="shared" si="62"/>
        <v/>
      </c>
      <c r="AC128" s="674" t="str">
        <f t="shared" si="62"/>
        <v/>
      </c>
      <c r="AD128" s="674" t="str">
        <f t="shared" si="62"/>
        <v/>
      </c>
      <c r="AE128" s="674" t="str">
        <f t="shared" si="62"/>
        <v/>
      </c>
      <c r="AF128" s="674" t="str">
        <f t="shared" si="62"/>
        <v/>
      </c>
      <c r="AG128" s="674" t="str">
        <f t="shared" si="62"/>
        <v/>
      </c>
      <c r="AH128" s="674" t="str">
        <f t="shared" si="62"/>
        <v/>
      </c>
      <c r="AI128" s="674" t="str">
        <f t="shared" si="62"/>
        <v/>
      </c>
      <c r="AJ128" s="674" t="str">
        <f t="shared" si="62"/>
        <v/>
      </c>
      <c r="AK128" s="675" t="str">
        <f t="shared" si="62"/>
        <v/>
      </c>
      <c r="AL128" s="15"/>
      <c r="AM128" s="15"/>
      <c r="AP128" s="536"/>
      <c r="AR128" s="537"/>
      <c r="AS128" s="529"/>
      <c r="AW128" s="390" t="str">
        <f>""</f>
        <v/>
      </c>
      <c r="AX128" s="531"/>
      <c r="AY128" s="390" t="str">
        <f>""</f>
        <v/>
      </c>
      <c r="BD128" s="520"/>
      <c r="BE128" s="520"/>
      <c r="BF128" s="520"/>
      <c r="BG128" s="520"/>
      <c r="BH128" s="520"/>
      <c r="BI128" s="520"/>
      <c r="BJ128" s="520"/>
      <c r="BK128" s="520"/>
      <c r="BL128" s="520"/>
      <c r="BM128" s="520"/>
      <c r="BN128" s="520"/>
      <c r="BO128" s="520"/>
      <c r="BP128" s="520"/>
      <c r="BQ128" s="520"/>
      <c r="BR128" s="520"/>
      <c r="BS128" s="520"/>
      <c r="BT128" s="520"/>
      <c r="BU128" s="520"/>
      <c r="BV128" s="520"/>
      <c r="BW128" s="520"/>
      <c r="BX128" s="520"/>
      <c r="BY128" s="520"/>
    </row>
    <row r="129" spans="1:84" ht="12" customHeight="1" x14ac:dyDescent="0.3">
      <c r="A129" s="765"/>
      <c r="E129" s="258" t="str">
        <f>$AX$96</f>
        <v>Összes gól: 2 p</v>
      </c>
      <c r="H129" s="673" t="str">
        <f t="shared" ref="H129:AK129" si="63">IF(OR(BC124,NOT($AS$28)),"",IF(AND(NOT($AS$32),COUNTIF(H125:H128,"ü")&gt;0),"",IF(H123+H124=$E123+$E124,"ü"," ")))</f>
        <v/>
      </c>
      <c r="I129" s="674" t="str">
        <f t="shared" si="63"/>
        <v/>
      </c>
      <c r="J129" s="674" t="str">
        <f t="shared" si="63"/>
        <v/>
      </c>
      <c r="K129" s="674" t="str">
        <f t="shared" si="63"/>
        <v/>
      </c>
      <c r="L129" s="674" t="str">
        <f t="shared" si="63"/>
        <v/>
      </c>
      <c r="M129" s="674" t="str">
        <f t="shared" si="63"/>
        <v/>
      </c>
      <c r="N129" s="674" t="str">
        <f t="shared" si="63"/>
        <v/>
      </c>
      <c r="O129" s="674" t="str">
        <f t="shared" si="63"/>
        <v/>
      </c>
      <c r="P129" s="674" t="str">
        <f t="shared" si="63"/>
        <v/>
      </c>
      <c r="Q129" s="674" t="str">
        <f t="shared" si="63"/>
        <v/>
      </c>
      <c r="R129" s="674" t="str">
        <f t="shared" si="63"/>
        <v/>
      </c>
      <c r="S129" s="674" t="str">
        <f t="shared" si="63"/>
        <v/>
      </c>
      <c r="T129" s="674" t="str">
        <f t="shared" si="63"/>
        <v/>
      </c>
      <c r="U129" s="674" t="str">
        <f t="shared" si="63"/>
        <v/>
      </c>
      <c r="V129" s="674" t="str">
        <f t="shared" si="63"/>
        <v/>
      </c>
      <c r="W129" s="674" t="str">
        <f t="shared" si="63"/>
        <v/>
      </c>
      <c r="X129" s="674" t="str">
        <f t="shared" si="63"/>
        <v/>
      </c>
      <c r="Y129" s="674" t="str">
        <f t="shared" si="63"/>
        <v/>
      </c>
      <c r="Z129" s="674" t="str">
        <f t="shared" si="63"/>
        <v/>
      </c>
      <c r="AA129" s="674" t="str">
        <f t="shared" si="63"/>
        <v/>
      </c>
      <c r="AB129" s="674" t="str">
        <f t="shared" si="63"/>
        <v/>
      </c>
      <c r="AC129" s="674" t="str">
        <f t="shared" si="63"/>
        <v/>
      </c>
      <c r="AD129" s="674" t="str">
        <f t="shared" si="63"/>
        <v/>
      </c>
      <c r="AE129" s="674" t="str">
        <f t="shared" si="63"/>
        <v/>
      </c>
      <c r="AF129" s="674" t="str">
        <f t="shared" si="63"/>
        <v/>
      </c>
      <c r="AG129" s="674" t="str">
        <f t="shared" si="63"/>
        <v/>
      </c>
      <c r="AH129" s="674" t="str">
        <f t="shared" si="63"/>
        <v/>
      </c>
      <c r="AI129" s="674" t="str">
        <f t="shared" si="63"/>
        <v/>
      </c>
      <c r="AJ129" s="674" t="str">
        <f t="shared" si="63"/>
        <v/>
      </c>
      <c r="AK129" s="675" t="str">
        <f t="shared" si="63"/>
        <v/>
      </c>
      <c r="AL129" s="15"/>
      <c r="AM129" s="15"/>
      <c r="AP129" s="536"/>
      <c r="AR129" s="537"/>
      <c r="AS129" s="529"/>
      <c r="AW129" s="390" t="str">
        <f>""</f>
        <v/>
      </c>
      <c r="AX129" s="531"/>
      <c r="AY129" s="390" t="str">
        <f>""</f>
        <v/>
      </c>
      <c r="BD129" s="520"/>
      <c r="BE129" s="520"/>
      <c r="BF129" s="520"/>
      <c r="BG129" s="520"/>
      <c r="BH129" s="520"/>
      <c r="BI129" s="520"/>
      <c r="BJ129" s="520"/>
      <c r="BK129" s="520"/>
      <c r="BL129" s="520"/>
      <c r="BM129" s="520"/>
      <c r="BN129" s="520"/>
      <c r="BO129" s="520"/>
      <c r="BP129" s="520"/>
      <c r="BQ129" s="520"/>
      <c r="BR129" s="520"/>
      <c r="BS129" s="520"/>
      <c r="BT129" s="520"/>
      <c r="BU129" s="520"/>
      <c r="BV129" s="520"/>
      <c r="BW129" s="520"/>
      <c r="BX129" s="520"/>
      <c r="BY129" s="520"/>
    </row>
    <row r="130" spans="1:84" ht="12" customHeight="1" x14ac:dyDescent="0.3">
      <c r="A130" s="765"/>
      <c r="E130" s="258" t="str">
        <f>$AX$97</f>
        <v>Fordított gólkülönbség: 1 p</v>
      </c>
      <c r="H130" s="676" t="str">
        <f t="shared" ref="H130:AK130" si="64">IF(OR(BC124,NOT($AS$30)),"",IF(AND(NOT($AS$32),COUNTIF(H125:H129,"ü")&gt;0),"",IF(AND(H123-H124=$E124-$E123,H123&lt;&gt;H124),"ü"," ")))</f>
        <v/>
      </c>
      <c r="I130" s="677" t="str">
        <f t="shared" si="64"/>
        <v/>
      </c>
      <c r="J130" s="677" t="str">
        <f t="shared" si="64"/>
        <v/>
      </c>
      <c r="K130" s="677" t="str">
        <f t="shared" si="64"/>
        <v/>
      </c>
      <c r="L130" s="677" t="str">
        <f t="shared" si="64"/>
        <v/>
      </c>
      <c r="M130" s="677" t="str">
        <f t="shared" si="64"/>
        <v/>
      </c>
      <c r="N130" s="677" t="str">
        <f t="shared" si="64"/>
        <v/>
      </c>
      <c r="O130" s="677" t="str">
        <f t="shared" si="64"/>
        <v/>
      </c>
      <c r="P130" s="677" t="str">
        <f t="shared" si="64"/>
        <v/>
      </c>
      <c r="Q130" s="677" t="str">
        <f t="shared" si="64"/>
        <v/>
      </c>
      <c r="R130" s="677" t="str">
        <f t="shared" si="64"/>
        <v/>
      </c>
      <c r="S130" s="677" t="str">
        <f t="shared" si="64"/>
        <v/>
      </c>
      <c r="T130" s="677" t="str">
        <f t="shared" si="64"/>
        <v/>
      </c>
      <c r="U130" s="677" t="str">
        <f t="shared" si="64"/>
        <v/>
      </c>
      <c r="V130" s="677" t="str">
        <f t="shared" si="64"/>
        <v/>
      </c>
      <c r="W130" s="677" t="str">
        <f t="shared" si="64"/>
        <v/>
      </c>
      <c r="X130" s="677" t="str">
        <f t="shared" si="64"/>
        <v/>
      </c>
      <c r="Y130" s="677" t="str">
        <f t="shared" si="64"/>
        <v/>
      </c>
      <c r="Z130" s="677" t="str">
        <f t="shared" si="64"/>
        <v/>
      </c>
      <c r="AA130" s="677" t="str">
        <f t="shared" si="64"/>
        <v/>
      </c>
      <c r="AB130" s="677" t="str">
        <f t="shared" si="64"/>
        <v/>
      </c>
      <c r="AC130" s="677" t="str">
        <f t="shared" si="64"/>
        <v/>
      </c>
      <c r="AD130" s="677" t="str">
        <f t="shared" si="64"/>
        <v/>
      </c>
      <c r="AE130" s="677" t="str">
        <f t="shared" si="64"/>
        <v/>
      </c>
      <c r="AF130" s="677" t="str">
        <f t="shared" si="64"/>
        <v/>
      </c>
      <c r="AG130" s="677" t="str">
        <f t="shared" si="64"/>
        <v/>
      </c>
      <c r="AH130" s="677" t="str">
        <f t="shared" si="64"/>
        <v/>
      </c>
      <c r="AI130" s="677" t="str">
        <f t="shared" si="64"/>
        <v/>
      </c>
      <c r="AJ130" s="677" t="str">
        <f t="shared" si="64"/>
        <v/>
      </c>
      <c r="AK130" s="678" t="str">
        <f t="shared" si="64"/>
        <v/>
      </c>
      <c r="AL130" s="15"/>
      <c r="AM130" s="15"/>
      <c r="AP130" s="536"/>
      <c r="AR130" s="537"/>
      <c r="AS130" s="529"/>
      <c r="AW130" s="390" t="str">
        <f>""</f>
        <v/>
      </c>
      <c r="AX130" s="531"/>
      <c r="AY130" s="390" t="str">
        <f>""</f>
        <v/>
      </c>
      <c r="BD130" s="520"/>
      <c r="BE130" s="520"/>
      <c r="BF130" s="520"/>
      <c r="BG130" s="520"/>
      <c r="BH130" s="520"/>
      <c r="BI130" s="520"/>
      <c r="BJ130" s="520"/>
      <c r="BK130" s="520"/>
      <c r="BL130" s="520"/>
      <c r="BM130" s="520"/>
      <c r="BN130" s="520"/>
      <c r="BO130" s="520"/>
      <c r="BP130" s="520"/>
      <c r="BQ130" s="520"/>
      <c r="BR130" s="520"/>
      <c r="BS130" s="520"/>
      <c r="BT130" s="520"/>
      <c r="BU130" s="520"/>
      <c r="BV130" s="520"/>
      <c r="BW130" s="520"/>
      <c r="BX130" s="520"/>
      <c r="BY130" s="520"/>
    </row>
    <row r="131" spans="1:84" ht="15" customHeight="1" x14ac:dyDescent="0.3">
      <c r="A131" s="765"/>
      <c r="E131" s="79" t="s">
        <v>799</v>
      </c>
      <c r="H131" s="679">
        <f t="shared" ref="H131:AK131" si="65">IF(NOT(H$13),"",SUMPRODUCT((H125:H130="ü")*($AW$92:$AW$97)))</f>
        <v>0</v>
      </c>
      <c r="I131" s="680">
        <f t="shared" si="65"/>
        <v>0</v>
      </c>
      <c r="J131" s="680">
        <f t="shared" si="65"/>
        <v>0</v>
      </c>
      <c r="K131" s="680">
        <f t="shared" si="65"/>
        <v>0</v>
      </c>
      <c r="L131" s="680">
        <f t="shared" si="65"/>
        <v>0</v>
      </c>
      <c r="M131" s="680">
        <f t="shared" si="65"/>
        <v>0</v>
      </c>
      <c r="N131" s="680">
        <f t="shared" si="65"/>
        <v>0</v>
      </c>
      <c r="O131" s="680">
        <f t="shared" si="65"/>
        <v>0</v>
      </c>
      <c r="P131" s="680">
        <f t="shared" si="65"/>
        <v>0</v>
      </c>
      <c r="Q131" s="680">
        <f t="shared" si="65"/>
        <v>0</v>
      </c>
      <c r="R131" s="680">
        <f t="shared" si="65"/>
        <v>0</v>
      </c>
      <c r="S131" s="680">
        <f t="shared" si="65"/>
        <v>0</v>
      </c>
      <c r="T131" s="680">
        <f t="shared" si="65"/>
        <v>0</v>
      </c>
      <c r="U131" s="680">
        <f t="shared" si="65"/>
        <v>0</v>
      </c>
      <c r="V131" s="680">
        <f t="shared" si="65"/>
        <v>0</v>
      </c>
      <c r="W131" s="680">
        <f t="shared" si="65"/>
        <v>0</v>
      </c>
      <c r="X131" s="680">
        <f t="shared" si="65"/>
        <v>0</v>
      </c>
      <c r="Y131" s="680">
        <f t="shared" si="65"/>
        <v>0</v>
      </c>
      <c r="Z131" s="680">
        <f t="shared" si="65"/>
        <v>0</v>
      </c>
      <c r="AA131" s="680">
        <f t="shared" si="65"/>
        <v>0</v>
      </c>
      <c r="AB131" s="680">
        <f t="shared" si="65"/>
        <v>0</v>
      </c>
      <c r="AC131" s="680">
        <f t="shared" si="65"/>
        <v>0</v>
      </c>
      <c r="AD131" s="680">
        <f t="shared" si="65"/>
        <v>0</v>
      </c>
      <c r="AE131" s="680" t="str">
        <f t="shared" si="65"/>
        <v/>
      </c>
      <c r="AF131" s="680" t="str">
        <f t="shared" si="65"/>
        <v/>
      </c>
      <c r="AG131" s="680" t="str">
        <f t="shared" si="65"/>
        <v/>
      </c>
      <c r="AH131" s="680" t="str">
        <f t="shared" si="65"/>
        <v/>
      </c>
      <c r="AI131" s="680" t="str">
        <f t="shared" si="65"/>
        <v/>
      </c>
      <c r="AJ131" s="680" t="str">
        <f t="shared" si="65"/>
        <v/>
      </c>
      <c r="AK131" s="681" t="str">
        <f t="shared" si="65"/>
        <v/>
      </c>
      <c r="AP131" s="536"/>
      <c r="AR131" s="537"/>
      <c r="AS131" s="529"/>
    </row>
    <row r="132" spans="1:84" ht="9" customHeight="1" x14ac:dyDescent="0.3">
      <c r="A132" s="765"/>
      <c r="D132" s="15"/>
      <c r="E132" s="15"/>
      <c r="F132" s="15"/>
      <c r="G132" s="15"/>
      <c r="H132" s="15"/>
      <c r="I132" s="16"/>
      <c r="J132" s="15"/>
      <c r="K132" s="15"/>
      <c r="L132" s="16"/>
      <c r="M132" s="15"/>
      <c r="N132" s="15"/>
      <c r="O132" s="16"/>
      <c r="P132" s="15"/>
      <c r="Q132" s="15"/>
      <c r="R132" s="16"/>
      <c r="S132" s="15"/>
      <c r="T132" s="15"/>
      <c r="U132" s="16"/>
      <c r="V132" s="15"/>
      <c r="W132" s="15"/>
      <c r="X132" s="16"/>
      <c r="Y132" s="15"/>
      <c r="Z132" s="15"/>
      <c r="AA132" s="16"/>
      <c r="AB132" s="15"/>
      <c r="AC132" s="15"/>
      <c r="AD132" s="16"/>
      <c r="AE132" s="15"/>
      <c r="AF132" s="15"/>
      <c r="AG132" s="16"/>
      <c r="AH132" s="15"/>
      <c r="AI132" s="15"/>
      <c r="AJ132" s="16"/>
      <c r="AK132" s="15"/>
      <c r="AP132" s="536"/>
      <c r="AR132" s="537"/>
      <c r="AS132" s="529"/>
    </row>
    <row r="133" spans="1:84" ht="15" customHeight="1" x14ac:dyDescent="0.3">
      <c r="A133" s="765"/>
      <c r="C133" s="27" t="str">
        <f>" "&amp;VLOOKUP(AQ134,schedule,18,FALSE)&amp;"  ("&amp;VLOOKUP(AQ134,schedule,3,FALSE)&amp;" CSOPORT)"</f>
        <v xml:space="preserve"> JÚNIUS 13. – VASÁRNAP 15:00  (D CSOPORT)</v>
      </c>
      <c r="D133" s="27"/>
      <c r="E133" s="26"/>
      <c r="F133" s="26"/>
      <c r="G133" s="26"/>
      <c r="H133" s="26"/>
      <c r="I133" s="26"/>
      <c r="J133" s="26"/>
      <c r="AP133" s="536"/>
      <c r="AR133" s="537"/>
      <c r="AS133" s="529"/>
    </row>
    <row r="134" spans="1:84" ht="15" customHeight="1" x14ac:dyDescent="0.3">
      <c r="A134" s="765"/>
      <c r="C134" s="661"/>
      <c r="D134" s="662" t="str">
        <f>IF(INDEX(n.er,$AR134,8)="","",INDEX(n.er,$AR134,8))</f>
        <v>Anglia</v>
      </c>
      <c r="E134" s="663" t="str">
        <f>IF(NOT($AS134),"",INDEX(n.er,$AR134,9))</f>
        <v/>
      </c>
      <c r="F134" s="662"/>
      <c r="G134" s="259"/>
      <c r="H134" s="664">
        <v>2</v>
      </c>
      <c r="I134" s="665">
        <v>3</v>
      </c>
      <c r="J134" s="665">
        <v>2</v>
      </c>
      <c r="K134" s="665">
        <v>2</v>
      </c>
      <c r="L134" s="665">
        <v>3</v>
      </c>
      <c r="M134" s="665">
        <v>3</v>
      </c>
      <c r="N134" s="665">
        <v>2</v>
      </c>
      <c r="O134" s="665">
        <v>2</v>
      </c>
      <c r="P134" s="665">
        <v>2</v>
      </c>
      <c r="Q134" s="665">
        <v>2</v>
      </c>
      <c r="R134" s="665">
        <v>2</v>
      </c>
      <c r="S134" s="665">
        <v>2</v>
      </c>
      <c r="T134" s="665">
        <v>1</v>
      </c>
      <c r="U134" s="665">
        <v>1</v>
      </c>
      <c r="V134" s="665">
        <v>1</v>
      </c>
      <c r="W134" s="665">
        <v>3</v>
      </c>
      <c r="X134" s="665">
        <v>2</v>
      </c>
      <c r="Y134" s="665">
        <v>2</v>
      </c>
      <c r="Z134" s="665">
        <v>2</v>
      </c>
      <c r="AA134" s="665">
        <v>1</v>
      </c>
      <c r="AB134" s="665">
        <v>0</v>
      </c>
      <c r="AC134" s="665">
        <v>2</v>
      </c>
      <c r="AD134" s="665">
        <v>2</v>
      </c>
      <c r="AE134" s="665"/>
      <c r="AF134" s="665"/>
      <c r="AG134" s="665"/>
      <c r="AH134" s="665"/>
      <c r="AI134" s="665"/>
      <c r="AJ134" s="665"/>
      <c r="AK134" s="666"/>
      <c r="AP134" s="52">
        <f>AP123+1</f>
        <v>5</v>
      </c>
      <c r="AQ134" s="311">
        <f>INDEX(schedule,AP134,1)</f>
        <v>5</v>
      </c>
      <c r="AR134" s="311">
        <f>MATCH(AQ134,n.er.index,0)</f>
        <v>13</v>
      </c>
      <c r="AS134" s="532" t="b">
        <f>INDEX(n.er,$AR134,3)</f>
        <v>0</v>
      </c>
      <c r="AT134" s="531"/>
      <c r="AU134" s="531"/>
      <c r="AV134" s="531"/>
      <c r="AW134" s="531"/>
      <c r="AX134" s="531"/>
      <c r="BC134" s="525" t="b">
        <f t="shared" ref="BC134:CF134" si="66">IF(AND(ISNUMBER(H134),ISNUMBER(H135),H134&lt;&gt;"",H135&lt;&gt;""),AND(H134&gt;=0,H135&gt;=0,MOD(H134+H135,1)=0),FALSE)</f>
        <v>1</v>
      </c>
      <c r="BD134" s="525" t="b">
        <f t="shared" si="66"/>
        <v>1</v>
      </c>
      <c r="BE134" s="525" t="b">
        <f t="shared" si="66"/>
        <v>1</v>
      </c>
      <c r="BF134" s="525" t="b">
        <f t="shared" si="66"/>
        <v>1</v>
      </c>
      <c r="BG134" s="525" t="b">
        <f t="shared" si="66"/>
        <v>1</v>
      </c>
      <c r="BH134" s="525" t="b">
        <f t="shared" si="66"/>
        <v>1</v>
      </c>
      <c r="BI134" s="525" t="b">
        <f t="shared" si="66"/>
        <v>1</v>
      </c>
      <c r="BJ134" s="525" t="b">
        <f t="shared" si="66"/>
        <v>1</v>
      </c>
      <c r="BK134" s="525" t="b">
        <f t="shared" si="66"/>
        <v>1</v>
      </c>
      <c r="BL134" s="525" t="b">
        <f t="shared" si="66"/>
        <v>1</v>
      </c>
      <c r="BM134" s="525" t="b">
        <f t="shared" si="66"/>
        <v>1</v>
      </c>
      <c r="BN134" s="525" t="b">
        <f t="shared" si="66"/>
        <v>1</v>
      </c>
      <c r="BO134" s="525" t="b">
        <f t="shared" si="66"/>
        <v>1</v>
      </c>
      <c r="BP134" s="525" t="b">
        <f t="shared" si="66"/>
        <v>1</v>
      </c>
      <c r="BQ134" s="525" t="b">
        <f t="shared" si="66"/>
        <v>1</v>
      </c>
      <c r="BR134" s="525" t="b">
        <f t="shared" si="66"/>
        <v>1</v>
      </c>
      <c r="BS134" s="525" t="b">
        <f t="shared" si="66"/>
        <v>1</v>
      </c>
      <c r="BT134" s="525" t="b">
        <f t="shared" si="66"/>
        <v>1</v>
      </c>
      <c r="BU134" s="525" t="b">
        <f t="shared" si="66"/>
        <v>1</v>
      </c>
      <c r="BV134" s="525" t="b">
        <f t="shared" si="66"/>
        <v>1</v>
      </c>
      <c r="BW134" s="525" t="b">
        <f t="shared" si="66"/>
        <v>1</v>
      </c>
      <c r="BX134" s="525" t="b">
        <f t="shared" si="66"/>
        <v>1</v>
      </c>
      <c r="BY134" s="525" t="b">
        <f t="shared" si="66"/>
        <v>1</v>
      </c>
      <c r="BZ134" s="525" t="b">
        <f t="shared" si="66"/>
        <v>0</v>
      </c>
      <c r="CA134" s="525" t="b">
        <f t="shared" si="66"/>
        <v>0</v>
      </c>
      <c r="CB134" s="525" t="b">
        <f t="shared" si="66"/>
        <v>0</v>
      </c>
      <c r="CC134" s="525" t="b">
        <f t="shared" si="66"/>
        <v>0</v>
      </c>
      <c r="CD134" s="525" t="b">
        <f t="shared" si="66"/>
        <v>0</v>
      </c>
      <c r="CE134" s="525" t="b">
        <f t="shared" si="66"/>
        <v>0</v>
      </c>
      <c r="CF134" s="525" t="b">
        <f t="shared" si="66"/>
        <v>0</v>
      </c>
    </row>
    <row r="135" spans="1:84" ht="15" customHeight="1" x14ac:dyDescent="0.3">
      <c r="A135" s="765"/>
      <c r="C135" s="695"/>
      <c r="D135" s="696" t="str">
        <f>IF(INDEX(n.er,$AR134,11)="","",INDEX(n.er,$AR134,11))</f>
        <v>Horvátország</v>
      </c>
      <c r="E135" s="697" t="str">
        <f>IF(NOT($AS134),"",INDEX(n.er,$AR134,10))</f>
        <v/>
      </c>
      <c r="F135" s="696"/>
      <c r="G135" s="259"/>
      <c r="H135" s="667">
        <v>1</v>
      </c>
      <c r="I135" s="668">
        <v>0</v>
      </c>
      <c r="J135" s="668">
        <v>2</v>
      </c>
      <c r="K135" s="668">
        <v>1</v>
      </c>
      <c r="L135" s="668">
        <v>2</v>
      </c>
      <c r="M135" s="668">
        <v>1</v>
      </c>
      <c r="N135" s="668">
        <v>0</v>
      </c>
      <c r="O135" s="668">
        <v>2</v>
      </c>
      <c r="P135" s="668">
        <v>1</v>
      </c>
      <c r="Q135" s="668">
        <v>1</v>
      </c>
      <c r="R135" s="668">
        <v>1</v>
      </c>
      <c r="S135" s="668">
        <v>2</v>
      </c>
      <c r="T135" s="668">
        <v>1</v>
      </c>
      <c r="U135" s="668">
        <v>3</v>
      </c>
      <c r="V135" s="668">
        <v>2</v>
      </c>
      <c r="W135" s="668">
        <v>2</v>
      </c>
      <c r="X135" s="668">
        <v>2</v>
      </c>
      <c r="Y135" s="668">
        <v>2</v>
      </c>
      <c r="Z135" s="668">
        <v>2</v>
      </c>
      <c r="AA135" s="668">
        <v>1</v>
      </c>
      <c r="AB135" s="668">
        <v>0</v>
      </c>
      <c r="AC135" s="668">
        <v>1</v>
      </c>
      <c r="AD135" s="668">
        <v>2</v>
      </c>
      <c r="AE135" s="668"/>
      <c r="AF135" s="668"/>
      <c r="AG135" s="668"/>
      <c r="AH135" s="668"/>
      <c r="AI135" s="668"/>
      <c r="AJ135" s="668"/>
      <c r="AK135" s="669"/>
      <c r="AP135" s="533"/>
      <c r="AQ135" s="577"/>
      <c r="AR135" s="534"/>
      <c r="AS135" s="535"/>
      <c r="AX135" s="531"/>
      <c r="BC135" s="34" t="b">
        <f t="shared" ref="BC135:CF135" si="67">OR(NOT(H$13),NOT($AS134),NOT(BC134))</f>
        <v>1</v>
      </c>
      <c r="BD135" s="34" t="b">
        <f t="shared" si="67"/>
        <v>1</v>
      </c>
      <c r="BE135" s="34" t="b">
        <f t="shared" si="67"/>
        <v>1</v>
      </c>
      <c r="BF135" s="34" t="b">
        <f t="shared" si="67"/>
        <v>1</v>
      </c>
      <c r="BG135" s="34" t="b">
        <f t="shared" si="67"/>
        <v>1</v>
      </c>
      <c r="BH135" s="34" t="b">
        <f t="shared" si="67"/>
        <v>1</v>
      </c>
      <c r="BI135" s="34" t="b">
        <f t="shared" si="67"/>
        <v>1</v>
      </c>
      <c r="BJ135" s="34" t="b">
        <f t="shared" si="67"/>
        <v>1</v>
      </c>
      <c r="BK135" s="34" t="b">
        <f t="shared" si="67"/>
        <v>1</v>
      </c>
      <c r="BL135" s="34" t="b">
        <f t="shared" si="67"/>
        <v>1</v>
      </c>
      <c r="BM135" s="34" t="b">
        <f t="shared" si="67"/>
        <v>1</v>
      </c>
      <c r="BN135" s="34" t="b">
        <f t="shared" si="67"/>
        <v>1</v>
      </c>
      <c r="BO135" s="34" t="b">
        <f t="shared" si="67"/>
        <v>1</v>
      </c>
      <c r="BP135" s="34" t="b">
        <f t="shared" si="67"/>
        <v>1</v>
      </c>
      <c r="BQ135" s="34" t="b">
        <f t="shared" si="67"/>
        <v>1</v>
      </c>
      <c r="BR135" s="34" t="b">
        <f t="shared" si="67"/>
        <v>1</v>
      </c>
      <c r="BS135" s="34" t="b">
        <f t="shared" si="67"/>
        <v>1</v>
      </c>
      <c r="BT135" s="34" t="b">
        <f t="shared" si="67"/>
        <v>1</v>
      </c>
      <c r="BU135" s="34" t="b">
        <f t="shared" si="67"/>
        <v>1</v>
      </c>
      <c r="BV135" s="34" t="b">
        <f t="shared" si="67"/>
        <v>1</v>
      </c>
      <c r="BW135" s="34" t="b">
        <f t="shared" si="67"/>
        <v>1</v>
      </c>
      <c r="BX135" s="34" t="b">
        <f t="shared" si="67"/>
        <v>1</v>
      </c>
      <c r="BY135" s="34" t="b">
        <f t="shared" si="67"/>
        <v>1</v>
      </c>
      <c r="BZ135" s="34" t="b">
        <f t="shared" si="67"/>
        <v>1</v>
      </c>
      <c r="CA135" s="34" t="b">
        <f t="shared" si="67"/>
        <v>1</v>
      </c>
      <c r="CB135" s="34" t="b">
        <f t="shared" si="67"/>
        <v>1</v>
      </c>
      <c r="CC135" s="34" t="b">
        <f t="shared" si="67"/>
        <v>1</v>
      </c>
      <c r="CD135" s="34" t="b">
        <f t="shared" si="67"/>
        <v>1</v>
      </c>
      <c r="CE135" s="34" t="b">
        <f t="shared" si="67"/>
        <v>1</v>
      </c>
      <c r="CF135" s="34" t="b">
        <f t="shared" si="67"/>
        <v>1</v>
      </c>
    </row>
    <row r="136" spans="1:84" ht="12" customHeight="1" x14ac:dyDescent="0.3">
      <c r="A136" s="765"/>
      <c r="E136" s="258" t="str">
        <f>$AX$92</f>
        <v>Telitalálat: 10 p</v>
      </c>
      <c r="H136" s="670" t="str">
        <f t="shared" ref="H136:AK136" si="68">IF(OR(BC135,NOT($AS$20)),"",IF(AND(H134=$E134,H135=$E135),"ü",""))</f>
        <v/>
      </c>
      <c r="I136" s="671" t="str">
        <f t="shared" si="68"/>
        <v/>
      </c>
      <c r="J136" s="671" t="str">
        <f t="shared" si="68"/>
        <v/>
      </c>
      <c r="K136" s="671" t="str">
        <f t="shared" si="68"/>
        <v/>
      </c>
      <c r="L136" s="671" t="str">
        <f t="shared" si="68"/>
        <v/>
      </c>
      <c r="M136" s="671" t="str">
        <f t="shared" si="68"/>
        <v/>
      </c>
      <c r="N136" s="671" t="str">
        <f t="shared" si="68"/>
        <v/>
      </c>
      <c r="O136" s="671" t="str">
        <f t="shared" si="68"/>
        <v/>
      </c>
      <c r="P136" s="671" t="str">
        <f t="shared" si="68"/>
        <v/>
      </c>
      <c r="Q136" s="671" t="str">
        <f t="shared" si="68"/>
        <v/>
      </c>
      <c r="R136" s="671" t="str">
        <f t="shared" si="68"/>
        <v/>
      </c>
      <c r="S136" s="671" t="str">
        <f t="shared" si="68"/>
        <v/>
      </c>
      <c r="T136" s="671" t="str">
        <f t="shared" si="68"/>
        <v/>
      </c>
      <c r="U136" s="671" t="str">
        <f t="shared" si="68"/>
        <v/>
      </c>
      <c r="V136" s="671" t="str">
        <f t="shared" si="68"/>
        <v/>
      </c>
      <c r="W136" s="671" t="str">
        <f t="shared" si="68"/>
        <v/>
      </c>
      <c r="X136" s="671" t="str">
        <f t="shared" si="68"/>
        <v/>
      </c>
      <c r="Y136" s="671" t="str">
        <f t="shared" si="68"/>
        <v/>
      </c>
      <c r="Z136" s="671" t="str">
        <f t="shared" si="68"/>
        <v/>
      </c>
      <c r="AA136" s="671" t="str">
        <f t="shared" si="68"/>
        <v/>
      </c>
      <c r="AB136" s="671" t="str">
        <f t="shared" si="68"/>
        <v/>
      </c>
      <c r="AC136" s="671" t="str">
        <f t="shared" si="68"/>
        <v/>
      </c>
      <c r="AD136" s="671" t="str">
        <f t="shared" si="68"/>
        <v/>
      </c>
      <c r="AE136" s="671" t="str">
        <f t="shared" si="68"/>
        <v/>
      </c>
      <c r="AF136" s="671" t="str">
        <f t="shared" si="68"/>
        <v/>
      </c>
      <c r="AG136" s="671" t="str">
        <f t="shared" si="68"/>
        <v/>
      </c>
      <c r="AH136" s="671" t="str">
        <f t="shared" si="68"/>
        <v/>
      </c>
      <c r="AI136" s="671" t="str">
        <f t="shared" si="68"/>
        <v/>
      </c>
      <c r="AJ136" s="671" t="str">
        <f t="shared" si="68"/>
        <v/>
      </c>
      <c r="AK136" s="672" t="str">
        <f t="shared" si="68"/>
        <v/>
      </c>
      <c r="AL136" s="15"/>
      <c r="AM136" s="15"/>
      <c r="AP136" s="536"/>
      <c r="AR136" s="537"/>
      <c r="AS136" s="529"/>
      <c r="AW136" s="390" t="str">
        <f>""</f>
        <v/>
      </c>
      <c r="AX136" s="531"/>
      <c r="AY136" s="390" t="str">
        <f>""</f>
        <v/>
      </c>
      <c r="BD136" s="520"/>
      <c r="BE136" s="520"/>
      <c r="BF136" s="520"/>
      <c r="BG136" s="520"/>
      <c r="BH136" s="520"/>
      <c r="BI136" s="520"/>
      <c r="BJ136" s="520"/>
      <c r="BK136" s="520"/>
      <c r="BL136" s="520"/>
      <c r="BM136" s="520"/>
      <c r="BN136" s="520"/>
      <c r="BO136" s="520"/>
      <c r="BP136" s="520"/>
      <c r="BQ136" s="520"/>
      <c r="BR136" s="520"/>
      <c r="BS136" s="520"/>
      <c r="BT136" s="520"/>
      <c r="BU136" s="520"/>
      <c r="BV136" s="520"/>
      <c r="BW136" s="520"/>
      <c r="BX136" s="520"/>
      <c r="BY136" s="520"/>
    </row>
    <row r="137" spans="1:84" ht="12" customHeight="1" x14ac:dyDescent="0.3">
      <c r="A137" s="765"/>
      <c r="E137" s="258" t="str">
        <f>$AX$93</f>
        <v>Gólkülönbség: 6 p</v>
      </c>
      <c r="H137" s="673" t="str">
        <f t="shared" ref="H137:AK137" si="69">IF(OR(BC135,NOT($AS$22)),"",IF(AND(NOT($AS$32),H136="ü"),"",IF(H134-H135=$E134-$E135,"ü"," ")))</f>
        <v/>
      </c>
      <c r="I137" s="674" t="str">
        <f t="shared" si="69"/>
        <v/>
      </c>
      <c r="J137" s="674" t="str">
        <f t="shared" si="69"/>
        <v/>
      </c>
      <c r="K137" s="674" t="str">
        <f t="shared" si="69"/>
        <v/>
      </c>
      <c r="L137" s="674" t="str">
        <f t="shared" si="69"/>
        <v/>
      </c>
      <c r="M137" s="674" t="str">
        <f t="shared" si="69"/>
        <v/>
      </c>
      <c r="N137" s="674" t="str">
        <f t="shared" si="69"/>
        <v/>
      </c>
      <c r="O137" s="674" t="str">
        <f t="shared" si="69"/>
        <v/>
      </c>
      <c r="P137" s="674" t="str">
        <f t="shared" si="69"/>
        <v/>
      </c>
      <c r="Q137" s="674" t="str">
        <f t="shared" si="69"/>
        <v/>
      </c>
      <c r="R137" s="674" t="str">
        <f t="shared" si="69"/>
        <v/>
      </c>
      <c r="S137" s="674" t="str">
        <f t="shared" si="69"/>
        <v/>
      </c>
      <c r="T137" s="674" t="str">
        <f t="shared" si="69"/>
        <v/>
      </c>
      <c r="U137" s="674" t="str">
        <f t="shared" si="69"/>
        <v/>
      </c>
      <c r="V137" s="674" t="str">
        <f t="shared" si="69"/>
        <v/>
      </c>
      <c r="W137" s="674" t="str">
        <f t="shared" si="69"/>
        <v/>
      </c>
      <c r="X137" s="674" t="str">
        <f t="shared" si="69"/>
        <v/>
      </c>
      <c r="Y137" s="674" t="str">
        <f t="shared" si="69"/>
        <v/>
      </c>
      <c r="Z137" s="674" t="str">
        <f t="shared" si="69"/>
        <v/>
      </c>
      <c r="AA137" s="674" t="str">
        <f t="shared" si="69"/>
        <v/>
      </c>
      <c r="AB137" s="674" t="str">
        <f t="shared" si="69"/>
        <v/>
      </c>
      <c r="AC137" s="674" t="str">
        <f t="shared" si="69"/>
        <v/>
      </c>
      <c r="AD137" s="674" t="str">
        <f t="shared" si="69"/>
        <v/>
      </c>
      <c r="AE137" s="674" t="str">
        <f t="shared" si="69"/>
        <v/>
      </c>
      <c r="AF137" s="674" t="str">
        <f t="shared" si="69"/>
        <v/>
      </c>
      <c r="AG137" s="674" t="str">
        <f t="shared" si="69"/>
        <v/>
      </c>
      <c r="AH137" s="674" t="str">
        <f t="shared" si="69"/>
        <v/>
      </c>
      <c r="AI137" s="674" t="str">
        <f t="shared" si="69"/>
        <v/>
      </c>
      <c r="AJ137" s="674" t="str">
        <f t="shared" si="69"/>
        <v/>
      </c>
      <c r="AK137" s="675" t="str">
        <f t="shared" si="69"/>
        <v/>
      </c>
      <c r="AL137" s="15"/>
      <c r="AM137" s="15"/>
      <c r="AP137" s="536"/>
      <c r="AR137" s="537"/>
      <c r="AS137" s="529"/>
      <c r="AW137" s="390" t="str">
        <f>""</f>
        <v/>
      </c>
      <c r="AX137" s="531"/>
      <c r="AY137" s="390" t="str">
        <f>""</f>
        <v/>
      </c>
      <c r="BD137" s="520"/>
      <c r="BE137" s="520"/>
      <c r="BF137" s="520"/>
      <c r="BG137" s="520"/>
      <c r="BH137" s="520"/>
      <c r="BI137" s="520"/>
      <c r="BJ137" s="520"/>
      <c r="BK137" s="520"/>
      <c r="BL137" s="520"/>
      <c r="BM137" s="520"/>
      <c r="BN137" s="520"/>
      <c r="BO137" s="520"/>
      <c r="BP137" s="520"/>
      <c r="BQ137" s="520"/>
      <c r="BR137" s="520"/>
      <c r="BS137" s="520"/>
      <c r="BT137" s="520"/>
      <c r="BU137" s="520"/>
      <c r="BV137" s="520"/>
      <c r="BW137" s="520"/>
      <c r="BX137" s="520"/>
      <c r="BY137" s="520"/>
    </row>
    <row r="138" spans="1:84" ht="12" customHeight="1" x14ac:dyDescent="0.3">
      <c r="A138" s="765"/>
      <c r="E138" s="258" t="str">
        <f>$AX$94</f>
        <v>Mérkőzés kimenetele: 4 p</v>
      </c>
      <c r="H138" s="673" t="str">
        <f t="shared" ref="H138:AK138" si="70">IF(OR(BC135,NOT($AS$24)),"",IF(AND(NOT($AS$32),COUNTIF(H136:H137,"ü")&gt;0),"",IF(SIGN(H134-H135)=SIGN($E134-$E135),"ü"," ")))</f>
        <v/>
      </c>
      <c r="I138" s="674" t="str">
        <f t="shared" si="70"/>
        <v/>
      </c>
      <c r="J138" s="674" t="str">
        <f t="shared" si="70"/>
        <v/>
      </c>
      <c r="K138" s="674" t="str">
        <f t="shared" si="70"/>
        <v/>
      </c>
      <c r="L138" s="674" t="str">
        <f t="shared" si="70"/>
        <v/>
      </c>
      <c r="M138" s="674" t="str">
        <f t="shared" si="70"/>
        <v/>
      </c>
      <c r="N138" s="674" t="str">
        <f t="shared" si="70"/>
        <v/>
      </c>
      <c r="O138" s="674" t="str">
        <f t="shared" si="70"/>
        <v/>
      </c>
      <c r="P138" s="674" t="str">
        <f t="shared" si="70"/>
        <v/>
      </c>
      <c r="Q138" s="674" t="str">
        <f t="shared" si="70"/>
        <v/>
      </c>
      <c r="R138" s="674" t="str">
        <f t="shared" si="70"/>
        <v/>
      </c>
      <c r="S138" s="674" t="str">
        <f t="shared" si="70"/>
        <v/>
      </c>
      <c r="T138" s="674" t="str">
        <f t="shared" si="70"/>
        <v/>
      </c>
      <c r="U138" s="674" t="str">
        <f t="shared" si="70"/>
        <v/>
      </c>
      <c r="V138" s="674" t="str">
        <f t="shared" si="70"/>
        <v/>
      </c>
      <c r="W138" s="674" t="str">
        <f t="shared" si="70"/>
        <v/>
      </c>
      <c r="X138" s="674" t="str">
        <f t="shared" si="70"/>
        <v/>
      </c>
      <c r="Y138" s="674" t="str">
        <f t="shared" si="70"/>
        <v/>
      </c>
      <c r="Z138" s="674" t="str">
        <f t="shared" si="70"/>
        <v/>
      </c>
      <c r="AA138" s="674" t="str">
        <f t="shared" si="70"/>
        <v/>
      </c>
      <c r="AB138" s="674" t="str">
        <f t="shared" si="70"/>
        <v/>
      </c>
      <c r="AC138" s="674" t="str">
        <f t="shared" si="70"/>
        <v/>
      </c>
      <c r="AD138" s="674" t="str">
        <f t="shared" si="70"/>
        <v/>
      </c>
      <c r="AE138" s="674" t="str">
        <f t="shared" si="70"/>
        <v/>
      </c>
      <c r="AF138" s="674" t="str">
        <f t="shared" si="70"/>
        <v/>
      </c>
      <c r="AG138" s="674" t="str">
        <f t="shared" si="70"/>
        <v/>
      </c>
      <c r="AH138" s="674" t="str">
        <f t="shared" si="70"/>
        <v/>
      </c>
      <c r="AI138" s="674" t="str">
        <f t="shared" si="70"/>
        <v/>
      </c>
      <c r="AJ138" s="674" t="str">
        <f t="shared" si="70"/>
        <v/>
      </c>
      <c r="AK138" s="675" t="str">
        <f t="shared" si="70"/>
        <v/>
      </c>
      <c r="AL138" s="15"/>
      <c r="AM138" s="15"/>
      <c r="AP138" s="536"/>
      <c r="AR138" s="537"/>
      <c r="AS138" s="529"/>
      <c r="AW138" s="390" t="str">
        <f>""</f>
        <v/>
      </c>
      <c r="AX138" s="531"/>
      <c r="AY138" s="390" t="str">
        <f>""</f>
        <v/>
      </c>
      <c r="BD138" s="520"/>
      <c r="BE138" s="520"/>
      <c r="BF138" s="520"/>
      <c r="BG138" s="520"/>
      <c r="BH138" s="520"/>
      <c r="BI138" s="520"/>
      <c r="BJ138" s="520"/>
      <c r="BK138" s="520"/>
      <c r="BL138" s="520"/>
      <c r="BM138" s="520"/>
      <c r="BN138" s="520"/>
      <c r="BO138" s="520"/>
      <c r="BP138" s="520"/>
      <c r="BQ138" s="520"/>
      <c r="BR138" s="520"/>
      <c r="BS138" s="520"/>
      <c r="BT138" s="520"/>
      <c r="BU138" s="520"/>
      <c r="BV138" s="520"/>
      <c r="BW138" s="520"/>
      <c r="BX138" s="520"/>
      <c r="BY138" s="520"/>
    </row>
    <row r="139" spans="1:84" ht="12" customHeight="1" x14ac:dyDescent="0.3">
      <c r="A139" s="765"/>
      <c r="E139" s="258" t="str">
        <f>$AX$95</f>
        <v>Egyik csapat góljainak száma: 3 p</v>
      </c>
      <c r="H139" s="673" t="str">
        <f t="shared" ref="H139:AK139" si="71">IF(OR(BC135,NOT($AS$26)),"",IF(AND(NOT($AS$32),COUNTIF(H136:H138,"ü")&gt;0),"",IF(OR(H134=$E134,H135=$E135),"ü"," ")))</f>
        <v/>
      </c>
      <c r="I139" s="674" t="str">
        <f t="shared" si="71"/>
        <v/>
      </c>
      <c r="J139" s="674" t="str">
        <f t="shared" si="71"/>
        <v/>
      </c>
      <c r="K139" s="674" t="str">
        <f t="shared" si="71"/>
        <v/>
      </c>
      <c r="L139" s="674" t="str">
        <f t="shared" si="71"/>
        <v/>
      </c>
      <c r="M139" s="674" t="str">
        <f t="shared" si="71"/>
        <v/>
      </c>
      <c r="N139" s="674" t="str">
        <f t="shared" si="71"/>
        <v/>
      </c>
      <c r="O139" s="674" t="str">
        <f t="shared" si="71"/>
        <v/>
      </c>
      <c r="P139" s="674" t="str">
        <f t="shared" si="71"/>
        <v/>
      </c>
      <c r="Q139" s="674" t="str">
        <f t="shared" si="71"/>
        <v/>
      </c>
      <c r="R139" s="674" t="str">
        <f t="shared" si="71"/>
        <v/>
      </c>
      <c r="S139" s="674" t="str">
        <f t="shared" si="71"/>
        <v/>
      </c>
      <c r="T139" s="674" t="str">
        <f t="shared" si="71"/>
        <v/>
      </c>
      <c r="U139" s="674" t="str">
        <f t="shared" si="71"/>
        <v/>
      </c>
      <c r="V139" s="674" t="str">
        <f t="shared" si="71"/>
        <v/>
      </c>
      <c r="W139" s="674" t="str">
        <f t="shared" si="71"/>
        <v/>
      </c>
      <c r="X139" s="674" t="str">
        <f t="shared" si="71"/>
        <v/>
      </c>
      <c r="Y139" s="674" t="str">
        <f t="shared" si="71"/>
        <v/>
      </c>
      <c r="Z139" s="674" t="str">
        <f t="shared" si="71"/>
        <v/>
      </c>
      <c r="AA139" s="674" t="str">
        <f t="shared" si="71"/>
        <v/>
      </c>
      <c r="AB139" s="674" t="str">
        <f t="shared" si="71"/>
        <v/>
      </c>
      <c r="AC139" s="674" t="str">
        <f t="shared" si="71"/>
        <v/>
      </c>
      <c r="AD139" s="674" t="str">
        <f t="shared" si="71"/>
        <v/>
      </c>
      <c r="AE139" s="674" t="str">
        <f t="shared" si="71"/>
        <v/>
      </c>
      <c r="AF139" s="674" t="str">
        <f t="shared" si="71"/>
        <v/>
      </c>
      <c r="AG139" s="674" t="str">
        <f t="shared" si="71"/>
        <v/>
      </c>
      <c r="AH139" s="674" t="str">
        <f t="shared" si="71"/>
        <v/>
      </c>
      <c r="AI139" s="674" t="str">
        <f t="shared" si="71"/>
        <v/>
      </c>
      <c r="AJ139" s="674" t="str">
        <f t="shared" si="71"/>
        <v/>
      </c>
      <c r="AK139" s="675" t="str">
        <f t="shared" si="71"/>
        <v/>
      </c>
      <c r="AL139" s="15"/>
      <c r="AM139" s="15"/>
      <c r="AP139" s="536"/>
      <c r="AR139" s="537"/>
      <c r="AS139" s="529"/>
      <c r="AW139" s="390" t="str">
        <f>""</f>
        <v/>
      </c>
      <c r="AX139" s="531"/>
      <c r="AY139" s="390" t="str">
        <f>""</f>
        <v/>
      </c>
      <c r="BD139" s="520"/>
      <c r="BE139" s="520"/>
      <c r="BF139" s="520"/>
      <c r="BG139" s="520"/>
      <c r="BH139" s="520"/>
      <c r="BI139" s="520"/>
      <c r="BJ139" s="520"/>
      <c r="BK139" s="520"/>
      <c r="BL139" s="520"/>
      <c r="BM139" s="520"/>
      <c r="BN139" s="520"/>
      <c r="BO139" s="520"/>
      <c r="BP139" s="520"/>
      <c r="BQ139" s="520"/>
      <c r="BR139" s="520"/>
      <c r="BS139" s="520"/>
      <c r="BT139" s="520"/>
      <c r="BU139" s="520"/>
      <c r="BV139" s="520"/>
      <c r="BW139" s="520"/>
      <c r="BX139" s="520"/>
      <c r="BY139" s="520"/>
    </row>
    <row r="140" spans="1:84" ht="12" customHeight="1" x14ac:dyDescent="0.3">
      <c r="A140" s="765"/>
      <c r="E140" s="258" t="str">
        <f>$AX$96</f>
        <v>Összes gól: 2 p</v>
      </c>
      <c r="H140" s="673" t="str">
        <f t="shared" ref="H140:AK140" si="72">IF(OR(BC135,NOT($AS$28)),"",IF(AND(NOT($AS$32),COUNTIF(H136:H139,"ü")&gt;0),"",IF(H134+H135=$E134+$E135,"ü"," ")))</f>
        <v/>
      </c>
      <c r="I140" s="674" t="str">
        <f t="shared" si="72"/>
        <v/>
      </c>
      <c r="J140" s="674" t="str">
        <f t="shared" si="72"/>
        <v/>
      </c>
      <c r="K140" s="674" t="str">
        <f t="shared" si="72"/>
        <v/>
      </c>
      <c r="L140" s="674" t="str">
        <f t="shared" si="72"/>
        <v/>
      </c>
      <c r="M140" s="674" t="str">
        <f t="shared" si="72"/>
        <v/>
      </c>
      <c r="N140" s="674" t="str">
        <f t="shared" si="72"/>
        <v/>
      </c>
      <c r="O140" s="674" t="str">
        <f t="shared" si="72"/>
        <v/>
      </c>
      <c r="P140" s="674" t="str">
        <f t="shared" si="72"/>
        <v/>
      </c>
      <c r="Q140" s="674" t="str">
        <f t="shared" si="72"/>
        <v/>
      </c>
      <c r="R140" s="674" t="str">
        <f t="shared" si="72"/>
        <v/>
      </c>
      <c r="S140" s="674" t="str">
        <f t="shared" si="72"/>
        <v/>
      </c>
      <c r="T140" s="674" t="str">
        <f t="shared" si="72"/>
        <v/>
      </c>
      <c r="U140" s="674" t="str">
        <f t="shared" si="72"/>
        <v/>
      </c>
      <c r="V140" s="674" t="str">
        <f t="shared" si="72"/>
        <v/>
      </c>
      <c r="W140" s="674" t="str">
        <f t="shared" si="72"/>
        <v/>
      </c>
      <c r="X140" s="674" t="str">
        <f t="shared" si="72"/>
        <v/>
      </c>
      <c r="Y140" s="674" t="str">
        <f t="shared" si="72"/>
        <v/>
      </c>
      <c r="Z140" s="674" t="str">
        <f t="shared" si="72"/>
        <v/>
      </c>
      <c r="AA140" s="674" t="str">
        <f t="shared" si="72"/>
        <v/>
      </c>
      <c r="AB140" s="674" t="str">
        <f t="shared" si="72"/>
        <v/>
      </c>
      <c r="AC140" s="674" t="str">
        <f t="shared" si="72"/>
        <v/>
      </c>
      <c r="AD140" s="674" t="str">
        <f t="shared" si="72"/>
        <v/>
      </c>
      <c r="AE140" s="674" t="str">
        <f t="shared" si="72"/>
        <v/>
      </c>
      <c r="AF140" s="674" t="str">
        <f t="shared" si="72"/>
        <v/>
      </c>
      <c r="AG140" s="674" t="str">
        <f t="shared" si="72"/>
        <v/>
      </c>
      <c r="AH140" s="674" t="str">
        <f t="shared" si="72"/>
        <v/>
      </c>
      <c r="AI140" s="674" t="str">
        <f t="shared" si="72"/>
        <v/>
      </c>
      <c r="AJ140" s="674" t="str">
        <f t="shared" si="72"/>
        <v/>
      </c>
      <c r="AK140" s="675" t="str">
        <f t="shared" si="72"/>
        <v/>
      </c>
      <c r="AL140" s="15"/>
      <c r="AM140" s="15"/>
      <c r="AP140" s="536"/>
      <c r="AR140" s="537"/>
      <c r="AS140" s="529"/>
      <c r="AW140" s="390" t="str">
        <f>""</f>
        <v/>
      </c>
      <c r="AX140" s="531"/>
      <c r="AY140" s="390" t="str">
        <f>""</f>
        <v/>
      </c>
      <c r="BD140" s="520"/>
      <c r="BE140" s="520"/>
      <c r="BF140" s="520"/>
      <c r="BG140" s="520"/>
      <c r="BH140" s="520"/>
      <c r="BI140" s="520"/>
      <c r="BJ140" s="520"/>
      <c r="BK140" s="520"/>
      <c r="BL140" s="520"/>
      <c r="BM140" s="520"/>
      <c r="BN140" s="520"/>
      <c r="BO140" s="520"/>
      <c r="BP140" s="520"/>
      <c r="BQ140" s="520"/>
      <c r="BR140" s="520"/>
      <c r="BS140" s="520"/>
      <c r="BT140" s="520"/>
      <c r="BU140" s="520"/>
      <c r="BV140" s="520"/>
      <c r="BW140" s="520"/>
      <c r="BX140" s="520"/>
      <c r="BY140" s="520"/>
    </row>
    <row r="141" spans="1:84" ht="12" customHeight="1" x14ac:dyDescent="0.3">
      <c r="A141" s="765"/>
      <c r="E141" s="258" t="str">
        <f>$AX$97</f>
        <v>Fordított gólkülönbség: 1 p</v>
      </c>
      <c r="H141" s="676" t="str">
        <f t="shared" ref="H141:AK141" si="73">IF(OR(BC135,NOT($AS$30)),"",IF(AND(NOT($AS$32),COUNTIF(H136:H140,"ü")&gt;0),"",IF(AND(H134-H135=$E135-$E134,H134&lt;&gt;H135),"ü"," ")))</f>
        <v/>
      </c>
      <c r="I141" s="677" t="str">
        <f t="shared" si="73"/>
        <v/>
      </c>
      <c r="J141" s="677" t="str">
        <f t="shared" si="73"/>
        <v/>
      </c>
      <c r="K141" s="677" t="str">
        <f t="shared" si="73"/>
        <v/>
      </c>
      <c r="L141" s="677" t="str">
        <f t="shared" si="73"/>
        <v/>
      </c>
      <c r="M141" s="677" t="str">
        <f t="shared" si="73"/>
        <v/>
      </c>
      <c r="N141" s="677" t="str">
        <f t="shared" si="73"/>
        <v/>
      </c>
      <c r="O141" s="677" t="str">
        <f t="shared" si="73"/>
        <v/>
      </c>
      <c r="P141" s="677" t="str">
        <f t="shared" si="73"/>
        <v/>
      </c>
      <c r="Q141" s="677" t="str">
        <f t="shared" si="73"/>
        <v/>
      </c>
      <c r="R141" s="677" t="str">
        <f t="shared" si="73"/>
        <v/>
      </c>
      <c r="S141" s="677" t="str">
        <f t="shared" si="73"/>
        <v/>
      </c>
      <c r="T141" s="677" t="str">
        <f t="shared" si="73"/>
        <v/>
      </c>
      <c r="U141" s="677" t="str">
        <f t="shared" si="73"/>
        <v/>
      </c>
      <c r="V141" s="677" t="str">
        <f t="shared" si="73"/>
        <v/>
      </c>
      <c r="W141" s="677" t="str">
        <f t="shared" si="73"/>
        <v/>
      </c>
      <c r="X141" s="677" t="str">
        <f t="shared" si="73"/>
        <v/>
      </c>
      <c r="Y141" s="677" t="str">
        <f t="shared" si="73"/>
        <v/>
      </c>
      <c r="Z141" s="677" t="str">
        <f t="shared" si="73"/>
        <v/>
      </c>
      <c r="AA141" s="677" t="str">
        <f t="shared" si="73"/>
        <v/>
      </c>
      <c r="AB141" s="677" t="str">
        <f t="shared" si="73"/>
        <v/>
      </c>
      <c r="AC141" s="677" t="str">
        <f t="shared" si="73"/>
        <v/>
      </c>
      <c r="AD141" s="677" t="str">
        <f t="shared" si="73"/>
        <v/>
      </c>
      <c r="AE141" s="677" t="str">
        <f t="shared" si="73"/>
        <v/>
      </c>
      <c r="AF141" s="677" t="str">
        <f t="shared" si="73"/>
        <v/>
      </c>
      <c r="AG141" s="677" t="str">
        <f t="shared" si="73"/>
        <v/>
      </c>
      <c r="AH141" s="677" t="str">
        <f t="shared" si="73"/>
        <v/>
      </c>
      <c r="AI141" s="677" t="str">
        <f t="shared" si="73"/>
        <v/>
      </c>
      <c r="AJ141" s="677" t="str">
        <f t="shared" si="73"/>
        <v/>
      </c>
      <c r="AK141" s="678" t="str">
        <f t="shared" si="73"/>
        <v/>
      </c>
      <c r="AL141" s="15"/>
      <c r="AM141" s="15"/>
      <c r="AP141" s="536"/>
      <c r="AR141" s="537"/>
      <c r="AS141" s="529"/>
      <c r="AW141" s="390" t="str">
        <f>""</f>
        <v/>
      </c>
      <c r="AX141" s="531"/>
      <c r="AY141" s="390" t="str">
        <f>""</f>
        <v/>
      </c>
      <c r="BD141" s="520"/>
      <c r="BE141" s="520"/>
      <c r="BF141" s="520"/>
      <c r="BG141" s="520"/>
      <c r="BH141" s="520"/>
      <c r="BI141" s="520"/>
      <c r="BJ141" s="520"/>
      <c r="BK141" s="520"/>
      <c r="BL141" s="520"/>
      <c r="BM141" s="520"/>
      <c r="BN141" s="520"/>
      <c r="BO141" s="520"/>
      <c r="BP141" s="520"/>
      <c r="BQ141" s="520"/>
      <c r="BR141" s="520"/>
      <c r="BS141" s="520"/>
      <c r="BT141" s="520"/>
      <c r="BU141" s="520"/>
      <c r="BV141" s="520"/>
      <c r="BW141" s="520"/>
      <c r="BX141" s="520"/>
      <c r="BY141" s="520"/>
    </row>
    <row r="142" spans="1:84" ht="15" customHeight="1" x14ac:dyDescent="0.3">
      <c r="A142" s="765"/>
      <c r="E142" s="79" t="s">
        <v>799</v>
      </c>
      <c r="H142" s="679">
        <f t="shared" ref="H142:AK142" si="74">IF(NOT(H$13),"",SUMPRODUCT((H136:H141="ü")*($AW$92:$AW$97)))</f>
        <v>0</v>
      </c>
      <c r="I142" s="680">
        <f t="shared" si="74"/>
        <v>0</v>
      </c>
      <c r="J142" s="680">
        <f t="shared" si="74"/>
        <v>0</v>
      </c>
      <c r="K142" s="680">
        <f t="shared" si="74"/>
        <v>0</v>
      </c>
      <c r="L142" s="680">
        <f t="shared" si="74"/>
        <v>0</v>
      </c>
      <c r="M142" s="680">
        <f t="shared" si="74"/>
        <v>0</v>
      </c>
      <c r="N142" s="680">
        <f t="shared" si="74"/>
        <v>0</v>
      </c>
      <c r="O142" s="680">
        <f t="shared" si="74"/>
        <v>0</v>
      </c>
      <c r="P142" s="680">
        <f t="shared" si="74"/>
        <v>0</v>
      </c>
      <c r="Q142" s="680">
        <f t="shared" si="74"/>
        <v>0</v>
      </c>
      <c r="R142" s="680">
        <f t="shared" si="74"/>
        <v>0</v>
      </c>
      <c r="S142" s="680">
        <f t="shared" si="74"/>
        <v>0</v>
      </c>
      <c r="T142" s="680">
        <f t="shared" si="74"/>
        <v>0</v>
      </c>
      <c r="U142" s="680">
        <f t="shared" si="74"/>
        <v>0</v>
      </c>
      <c r="V142" s="680">
        <f t="shared" si="74"/>
        <v>0</v>
      </c>
      <c r="W142" s="680">
        <f t="shared" si="74"/>
        <v>0</v>
      </c>
      <c r="X142" s="680">
        <f t="shared" si="74"/>
        <v>0</v>
      </c>
      <c r="Y142" s="680">
        <f t="shared" si="74"/>
        <v>0</v>
      </c>
      <c r="Z142" s="680">
        <f t="shared" si="74"/>
        <v>0</v>
      </c>
      <c r="AA142" s="680">
        <f t="shared" si="74"/>
        <v>0</v>
      </c>
      <c r="AB142" s="680">
        <f t="shared" si="74"/>
        <v>0</v>
      </c>
      <c r="AC142" s="680">
        <f t="shared" si="74"/>
        <v>0</v>
      </c>
      <c r="AD142" s="680">
        <f t="shared" si="74"/>
        <v>0</v>
      </c>
      <c r="AE142" s="680" t="str">
        <f t="shared" si="74"/>
        <v/>
      </c>
      <c r="AF142" s="680" t="str">
        <f t="shared" si="74"/>
        <v/>
      </c>
      <c r="AG142" s="680" t="str">
        <f t="shared" si="74"/>
        <v/>
      </c>
      <c r="AH142" s="680" t="str">
        <f t="shared" si="74"/>
        <v/>
      </c>
      <c r="AI142" s="680" t="str">
        <f t="shared" si="74"/>
        <v/>
      </c>
      <c r="AJ142" s="680" t="str">
        <f t="shared" si="74"/>
        <v/>
      </c>
      <c r="AK142" s="681" t="str">
        <f t="shared" si="74"/>
        <v/>
      </c>
      <c r="AP142" s="536"/>
      <c r="AR142" s="537"/>
      <c r="AS142" s="529"/>
    </row>
    <row r="143" spans="1:84" ht="9" customHeight="1" x14ac:dyDescent="0.3">
      <c r="A143" s="765"/>
      <c r="D143" s="15"/>
      <c r="E143" s="15"/>
      <c r="F143" s="15"/>
      <c r="G143" s="15"/>
      <c r="H143" s="15"/>
      <c r="I143" s="16"/>
      <c r="J143" s="15"/>
      <c r="K143" s="15"/>
      <c r="L143" s="16"/>
      <c r="M143" s="15"/>
      <c r="N143" s="15"/>
      <c r="O143" s="16"/>
      <c r="P143" s="15"/>
      <c r="Q143" s="15"/>
      <c r="R143" s="16"/>
      <c r="S143" s="15"/>
      <c r="T143" s="15"/>
      <c r="U143" s="16"/>
      <c r="V143" s="15"/>
      <c r="W143" s="15"/>
      <c r="X143" s="16"/>
      <c r="Y143" s="15"/>
      <c r="Z143" s="15"/>
      <c r="AA143" s="16"/>
      <c r="AB143" s="15"/>
      <c r="AC143" s="15"/>
      <c r="AD143" s="16"/>
      <c r="AE143" s="15"/>
      <c r="AF143" s="15"/>
      <c r="AG143" s="16"/>
      <c r="AH143" s="15"/>
      <c r="AI143" s="15"/>
      <c r="AJ143" s="16"/>
      <c r="AK143" s="15"/>
      <c r="AP143" s="536"/>
      <c r="AR143" s="537"/>
      <c r="AS143" s="529"/>
    </row>
    <row r="144" spans="1:84" ht="15" customHeight="1" x14ac:dyDescent="0.3">
      <c r="A144" s="765"/>
      <c r="C144" s="27" t="str">
        <f>" "&amp;VLOOKUP(AQ145,schedule,18,FALSE)&amp;"  ("&amp;VLOOKUP(AQ145,schedule,3,FALSE)&amp;" CSOPORT)"</f>
        <v xml:space="preserve"> JÚNIUS 13. – VASÁRNAP 18:00  (C CSOPORT)</v>
      </c>
      <c r="D144" s="27"/>
      <c r="E144" s="26"/>
      <c r="F144" s="26"/>
      <c r="G144" s="26"/>
      <c r="H144" s="26"/>
      <c r="I144" s="26"/>
      <c r="J144" s="26"/>
      <c r="AP144" s="536"/>
      <c r="AR144" s="537"/>
      <c r="AS144" s="529"/>
    </row>
    <row r="145" spans="1:84" ht="15" customHeight="1" x14ac:dyDescent="0.3">
      <c r="A145" s="765"/>
      <c r="C145" s="661"/>
      <c r="D145" s="662" t="str">
        <f>IF(INDEX(n.er,$AR145,8)="","",INDEX(n.er,$AR145,8))</f>
        <v>Ausztria</v>
      </c>
      <c r="E145" s="663" t="str">
        <f>IF(NOT($AS145),"",INDEX(n.er,$AR145,9))</f>
        <v/>
      </c>
      <c r="F145" s="662"/>
      <c r="G145" s="259"/>
      <c r="H145" s="664">
        <v>2</v>
      </c>
      <c r="I145" s="665">
        <v>4</v>
      </c>
      <c r="J145" s="665">
        <v>2</v>
      </c>
      <c r="K145" s="665">
        <v>1</v>
      </c>
      <c r="L145" s="665">
        <v>1</v>
      </c>
      <c r="M145" s="665">
        <v>2</v>
      </c>
      <c r="N145" s="665">
        <v>1</v>
      </c>
      <c r="O145" s="665">
        <v>1</v>
      </c>
      <c r="P145" s="665">
        <v>2</v>
      </c>
      <c r="Q145" s="665">
        <v>2</v>
      </c>
      <c r="R145" s="665">
        <v>0</v>
      </c>
      <c r="S145" s="665">
        <v>0</v>
      </c>
      <c r="T145" s="665">
        <v>2</v>
      </c>
      <c r="U145" s="665">
        <v>1</v>
      </c>
      <c r="V145" s="665">
        <v>1</v>
      </c>
      <c r="W145" s="665">
        <v>2</v>
      </c>
      <c r="X145" s="665">
        <v>1</v>
      </c>
      <c r="Y145" s="665">
        <v>3</v>
      </c>
      <c r="Z145" s="665">
        <v>4</v>
      </c>
      <c r="AA145" s="665">
        <v>1</v>
      </c>
      <c r="AB145" s="665">
        <v>1</v>
      </c>
      <c r="AC145" s="665">
        <v>0</v>
      </c>
      <c r="AD145" s="665">
        <v>2</v>
      </c>
      <c r="AE145" s="665"/>
      <c r="AF145" s="665"/>
      <c r="AG145" s="665"/>
      <c r="AH145" s="665"/>
      <c r="AI145" s="665"/>
      <c r="AJ145" s="665"/>
      <c r="AK145" s="666"/>
      <c r="AP145" s="52">
        <f>AP134+1</f>
        <v>6</v>
      </c>
      <c r="AQ145" s="311">
        <f>INDEX(schedule,AP145,1)</f>
        <v>6</v>
      </c>
      <c r="AR145" s="311">
        <f>MATCH(AQ145,n.er.index,0)</f>
        <v>14</v>
      </c>
      <c r="AS145" s="532" t="b">
        <f>INDEX(n.er,$AR145,3)</f>
        <v>0</v>
      </c>
      <c r="AT145" s="531"/>
      <c r="AU145" s="531"/>
      <c r="AV145" s="531"/>
      <c r="AW145" s="531"/>
      <c r="AX145" s="531"/>
      <c r="BC145" s="525" t="b">
        <f t="shared" ref="BC145:CF145" si="75">IF(AND(ISNUMBER(H145),ISNUMBER(H146),H145&lt;&gt;"",H146&lt;&gt;""),AND(H145&gt;=0,H146&gt;=0,MOD(H145+H146,1)=0),FALSE)</f>
        <v>1</v>
      </c>
      <c r="BD145" s="525" t="b">
        <f t="shared" si="75"/>
        <v>1</v>
      </c>
      <c r="BE145" s="525" t="b">
        <f t="shared" si="75"/>
        <v>1</v>
      </c>
      <c r="BF145" s="525" t="b">
        <f t="shared" si="75"/>
        <v>1</v>
      </c>
      <c r="BG145" s="525" t="b">
        <f t="shared" si="75"/>
        <v>1</v>
      </c>
      <c r="BH145" s="525" t="b">
        <f t="shared" si="75"/>
        <v>1</v>
      </c>
      <c r="BI145" s="525" t="b">
        <f t="shared" si="75"/>
        <v>1</v>
      </c>
      <c r="BJ145" s="525" t="b">
        <f t="shared" si="75"/>
        <v>1</v>
      </c>
      <c r="BK145" s="525" t="b">
        <f t="shared" si="75"/>
        <v>1</v>
      </c>
      <c r="BL145" s="525" t="b">
        <f t="shared" si="75"/>
        <v>1</v>
      </c>
      <c r="BM145" s="525" t="b">
        <f t="shared" si="75"/>
        <v>1</v>
      </c>
      <c r="BN145" s="525" t="b">
        <f t="shared" si="75"/>
        <v>1</v>
      </c>
      <c r="BO145" s="525" t="b">
        <f t="shared" si="75"/>
        <v>1</v>
      </c>
      <c r="BP145" s="525" t="b">
        <f t="shared" si="75"/>
        <v>1</v>
      </c>
      <c r="BQ145" s="525" t="b">
        <f t="shared" si="75"/>
        <v>1</v>
      </c>
      <c r="BR145" s="525" t="b">
        <f t="shared" si="75"/>
        <v>1</v>
      </c>
      <c r="BS145" s="525" t="b">
        <f t="shared" si="75"/>
        <v>1</v>
      </c>
      <c r="BT145" s="525" t="b">
        <f t="shared" si="75"/>
        <v>1</v>
      </c>
      <c r="BU145" s="525" t="b">
        <f t="shared" si="75"/>
        <v>1</v>
      </c>
      <c r="BV145" s="525" t="b">
        <f t="shared" si="75"/>
        <v>1</v>
      </c>
      <c r="BW145" s="525" t="b">
        <f t="shared" si="75"/>
        <v>1</v>
      </c>
      <c r="BX145" s="525" t="b">
        <f t="shared" si="75"/>
        <v>1</v>
      </c>
      <c r="BY145" s="525" t="b">
        <f t="shared" si="75"/>
        <v>1</v>
      </c>
      <c r="BZ145" s="525" t="b">
        <f t="shared" si="75"/>
        <v>0</v>
      </c>
      <c r="CA145" s="525" t="b">
        <f t="shared" si="75"/>
        <v>0</v>
      </c>
      <c r="CB145" s="525" t="b">
        <f t="shared" si="75"/>
        <v>0</v>
      </c>
      <c r="CC145" s="525" t="b">
        <f t="shared" si="75"/>
        <v>0</v>
      </c>
      <c r="CD145" s="525" t="b">
        <f t="shared" si="75"/>
        <v>0</v>
      </c>
      <c r="CE145" s="525" t="b">
        <f t="shared" si="75"/>
        <v>0</v>
      </c>
      <c r="CF145" s="525" t="b">
        <f t="shared" si="75"/>
        <v>0</v>
      </c>
    </row>
    <row r="146" spans="1:84" ht="15" customHeight="1" x14ac:dyDescent="0.3">
      <c r="A146" s="765"/>
      <c r="C146" s="695"/>
      <c r="D146" s="696" t="str">
        <f>IF(INDEX(n.er,$AR145,11)="","",INDEX(n.er,$AR145,11))</f>
        <v>Észak-Macedónia</v>
      </c>
      <c r="E146" s="697" t="str">
        <f>IF(NOT($AS145),"",INDEX(n.er,$AR145,10))</f>
        <v/>
      </c>
      <c r="F146" s="696"/>
      <c r="G146" s="259"/>
      <c r="H146" s="667">
        <v>0</v>
      </c>
      <c r="I146" s="668">
        <v>1</v>
      </c>
      <c r="J146" s="668">
        <v>1</v>
      </c>
      <c r="K146" s="668">
        <v>1</v>
      </c>
      <c r="L146" s="668">
        <v>2</v>
      </c>
      <c r="M146" s="668">
        <v>3</v>
      </c>
      <c r="N146" s="668">
        <v>2</v>
      </c>
      <c r="O146" s="668">
        <v>1</v>
      </c>
      <c r="P146" s="668">
        <v>0</v>
      </c>
      <c r="Q146" s="668">
        <v>1</v>
      </c>
      <c r="R146" s="668">
        <v>1</v>
      </c>
      <c r="S146" s="668">
        <v>0</v>
      </c>
      <c r="T146" s="668">
        <v>0</v>
      </c>
      <c r="U146" s="668">
        <v>0</v>
      </c>
      <c r="V146" s="668">
        <v>2</v>
      </c>
      <c r="W146" s="668">
        <v>1</v>
      </c>
      <c r="X146" s="668">
        <v>1</v>
      </c>
      <c r="Y146" s="668">
        <v>0</v>
      </c>
      <c r="Z146" s="668">
        <v>1</v>
      </c>
      <c r="AA146" s="668">
        <v>0</v>
      </c>
      <c r="AB146" s="668">
        <v>2</v>
      </c>
      <c r="AC146" s="668">
        <v>2</v>
      </c>
      <c r="AD146" s="668">
        <v>0</v>
      </c>
      <c r="AE146" s="668"/>
      <c r="AF146" s="668"/>
      <c r="AG146" s="668"/>
      <c r="AH146" s="668"/>
      <c r="AI146" s="668"/>
      <c r="AJ146" s="668"/>
      <c r="AK146" s="669"/>
      <c r="AP146" s="533"/>
      <c r="AQ146" s="577"/>
      <c r="AR146" s="534"/>
      <c r="AS146" s="535"/>
      <c r="AX146" s="531"/>
      <c r="BC146" s="34" t="b">
        <f t="shared" ref="BC146:CF146" si="76">OR(NOT(H$13),NOT($AS145),NOT(BC145))</f>
        <v>1</v>
      </c>
      <c r="BD146" s="34" t="b">
        <f t="shared" si="76"/>
        <v>1</v>
      </c>
      <c r="BE146" s="34" t="b">
        <f t="shared" si="76"/>
        <v>1</v>
      </c>
      <c r="BF146" s="34" t="b">
        <f t="shared" si="76"/>
        <v>1</v>
      </c>
      <c r="BG146" s="34" t="b">
        <f t="shared" si="76"/>
        <v>1</v>
      </c>
      <c r="BH146" s="34" t="b">
        <f t="shared" si="76"/>
        <v>1</v>
      </c>
      <c r="BI146" s="34" t="b">
        <f t="shared" si="76"/>
        <v>1</v>
      </c>
      <c r="BJ146" s="34" t="b">
        <f t="shared" si="76"/>
        <v>1</v>
      </c>
      <c r="BK146" s="34" t="b">
        <f t="shared" si="76"/>
        <v>1</v>
      </c>
      <c r="BL146" s="34" t="b">
        <f t="shared" si="76"/>
        <v>1</v>
      </c>
      <c r="BM146" s="34" t="b">
        <f t="shared" si="76"/>
        <v>1</v>
      </c>
      <c r="BN146" s="34" t="b">
        <f t="shared" si="76"/>
        <v>1</v>
      </c>
      <c r="BO146" s="34" t="b">
        <f t="shared" si="76"/>
        <v>1</v>
      </c>
      <c r="BP146" s="34" t="b">
        <f t="shared" si="76"/>
        <v>1</v>
      </c>
      <c r="BQ146" s="34" t="b">
        <f t="shared" si="76"/>
        <v>1</v>
      </c>
      <c r="BR146" s="34" t="b">
        <f t="shared" si="76"/>
        <v>1</v>
      </c>
      <c r="BS146" s="34" t="b">
        <f t="shared" si="76"/>
        <v>1</v>
      </c>
      <c r="BT146" s="34" t="b">
        <f t="shared" si="76"/>
        <v>1</v>
      </c>
      <c r="BU146" s="34" t="b">
        <f t="shared" si="76"/>
        <v>1</v>
      </c>
      <c r="BV146" s="34" t="b">
        <f t="shared" si="76"/>
        <v>1</v>
      </c>
      <c r="BW146" s="34" t="b">
        <f t="shared" si="76"/>
        <v>1</v>
      </c>
      <c r="BX146" s="34" t="b">
        <f t="shared" si="76"/>
        <v>1</v>
      </c>
      <c r="BY146" s="34" t="b">
        <f t="shared" si="76"/>
        <v>1</v>
      </c>
      <c r="BZ146" s="34" t="b">
        <f t="shared" si="76"/>
        <v>1</v>
      </c>
      <c r="CA146" s="34" t="b">
        <f t="shared" si="76"/>
        <v>1</v>
      </c>
      <c r="CB146" s="34" t="b">
        <f t="shared" si="76"/>
        <v>1</v>
      </c>
      <c r="CC146" s="34" t="b">
        <f t="shared" si="76"/>
        <v>1</v>
      </c>
      <c r="CD146" s="34" t="b">
        <f t="shared" si="76"/>
        <v>1</v>
      </c>
      <c r="CE146" s="34" t="b">
        <f t="shared" si="76"/>
        <v>1</v>
      </c>
      <c r="CF146" s="34" t="b">
        <f t="shared" si="76"/>
        <v>1</v>
      </c>
    </row>
    <row r="147" spans="1:84" ht="12" customHeight="1" x14ac:dyDescent="0.3">
      <c r="A147" s="765"/>
      <c r="E147" s="258" t="str">
        <f>$AX$92</f>
        <v>Telitalálat: 10 p</v>
      </c>
      <c r="H147" s="670" t="str">
        <f t="shared" ref="H147:AK147" si="77">IF(OR(BC146,NOT($AS$20)),"",IF(AND(H145=$E145,H146=$E146),"ü",""))</f>
        <v/>
      </c>
      <c r="I147" s="671" t="str">
        <f t="shared" si="77"/>
        <v/>
      </c>
      <c r="J147" s="671" t="str">
        <f t="shared" si="77"/>
        <v/>
      </c>
      <c r="K147" s="671" t="str">
        <f t="shared" si="77"/>
        <v/>
      </c>
      <c r="L147" s="671" t="str">
        <f t="shared" si="77"/>
        <v/>
      </c>
      <c r="M147" s="671" t="str">
        <f t="shared" si="77"/>
        <v/>
      </c>
      <c r="N147" s="671" t="str">
        <f t="shared" si="77"/>
        <v/>
      </c>
      <c r="O147" s="671" t="str">
        <f t="shared" si="77"/>
        <v/>
      </c>
      <c r="P147" s="671" t="str">
        <f t="shared" si="77"/>
        <v/>
      </c>
      <c r="Q147" s="671" t="str">
        <f t="shared" si="77"/>
        <v/>
      </c>
      <c r="R147" s="671" t="str">
        <f t="shared" si="77"/>
        <v/>
      </c>
      <c r="S147" s="671" t="str">
        <f t="shared" si="77"/>
        <v/>
      </c>
      <c r="T147" s="671" t="str">
        <f t="shared" si="77"/>
        <v/>
      </c>
      <c r="U147" s="671" t="str">
        <f t="shared" si="77"/>
        <v/>
      </c>
      <c r="V147" s="671" t="str">
        <f t="shared" si="77"/>
        <v/>
      </c>
      <c r="W147" s="671" t="str">
        <f t="shared" si="77"/>
        <v/>
      </c>
      <c r="X147" s="671" t="str">
        <f t="shared" si="77"/>
        <v/>
      </c>
      <c r="Y147" s="671" t="str">
        <f t="shared" si="77"/>
        <v/>
      </c>
      <c r="Z147" s="671" t="str">
        <f t="shared" si="77"/>
        <v/>
      </c>
      <c r="AA147" s="671" t="str">
        <f t="shared" si="77"/>
        <v/>
      </c>
      <c r="AB147" s="671" t="str">
        <f t="shared" si="77"/>
        <v/>
      </c>
      <c r="AC147" s="671" t="str">
        <f t="shared" si="77"/>
        <v/>
      </c>
      <c r="AD147" s="671" t="str">
        <f t="shared" si="77"/>
        <v/>
      </c>
      <c r="AE147" s="671" t="str">
        <f t="shared" si="77"/>
        <v/>
      </c>
      <c r="AF147" s="671" t="str">
        <f t="shared" si="77"/>
        <v/>
      </c>
      <c r="AG147" s="671" t="str">
        <f t="shared" si="77"/>
        <v/>
      </c>
      <c r="AH147" s="671" t="str">
        <f t="shared" si="77"/>
        <v/>
      </c>
      <c r="AI147" s="671" t="str">
        <f t="shared" si="77"/>
        <v/>
      </c>
      <c r="AJ147" s="671" t="str">
        <f t="shared" si="77"/>
        <v/>
      </c>
      <c r="AK147" s="672" t="str">
        <f t="shared" si="77"/>
        <v/>
      </c>
      <c r="AL147" s="15"/>
      <c r="AM147" s="15"/>
      <c r="AP147" s="536"/>
      <c r="AR147" s="537"/>
      <c r="AS147" s="529"/>
      <c r="AW147" s="390" t="str">
        <f>""</f>
        <v/>
      </c>
      <c r="AX147" s="531"/>
      <c r="AY147" s="390" t="str">
        <f>""</f>
        <v/>
      </c>
      <c r="BD147" s="520"/>
      <c r="BE147" s="520"/>
      <c r="BF147" s="520"/>
      <c r="BG147" s="520"/>
      <c r="BH147" s="520"/>
      <c r="BI147" s="520"/>
      <c r="BJ147" s="520"/>
      <c r="BK147" s="520"/>
      <c r="BL147" s="520"/>
      <c r="BM147" s="520"/>
      <c r="BN147" s="520"/>
      <c r="BO147" s="520"/>
      <c r="BP147" s="520"/>
      <c r="BQ147" s="520"/>
      <c r="BR147" s="520"/>
      <c r="BS147" s="520"/>
      <c r="BT147" s="520"/>
      <c r="BU147" s="520"/>
      <c r="BV147" s="520"/>
      <c r="BW147" s="520"/>
      <c r="BX147" s="520"/>
      <c r="BY147" s="520"/>
    </row>
    <row r="148" spans="1:84" ht="12" customHeight="1" x14ac:dyDescent="0.3">
      <c r="A148" s="765"/>
      <c r="E148" s="258" t="str">
        <f>$AX$93</f>
        <v>Gólkülönbség: 6 p</v>
      </c>
      <c r="H148" s="673" t="str">
        <f t="shared" ref="H148:AK148" si="78">IF(OR(BC146,NOT($AS$22)),"",IF(AND(NOT($AS$32),H147="ü"),"",IF(H145-H146=$E145-$E146,"ü"," ")))</f>
        <v/>
      </c>
      <c r="I148" s="674" t="str">
        <f t="shared" si="78"/>
        <v/>
      </c>
      <c r="J148" s="674" t="str">
        <f t="shared" si="78"/>
        <v/>
      </c>
      <c r="K148" s="674" t="str">
        <f t="shared" si="78"/>
        <v/>
      </c>
      <c r="L148" s="674" t="str">
        <f t="shared" si="78"/>
        <v/>
      </c>
      <c r="M148" s="674" t="str">
        <f t="shared" si="78"/>
        <v/>
      </c>
      <c r="N148" s="674" t="str">
        <f t="shared" si="78"/>
        <v/>
      </c>
      <c r="O148" s="674" t="str">
        <f t="shared" si="78"/>
        <v/>
      </c>
      <c r="P148" s="674" t="str">
        <f t="shared" si="78"/>
        <v/>
      </c>
      <c r="Q148" s="674" t="str">
        <f t="shared" si="78"/>
        <v/>
      </c>
      <c r="R148" s="674" t="str">
        <f t="shared" si="78"/>
        <v/>
      </c>
      <c r="S148" s="674" t="str">
        <f t="shared" si="78"/>
        <v/>
      </c>
      <c r="T148" s="674" t="str">
        <f t="shared" si="78"/>
        <v/>
      </c>
      <c r="U148" s="674" t="str">
        <f t="shared" si="78"/>
        <v/>
      </c>
      <c r="V148" s="674" t="str">
        <f t="shared" si="78"/>
        <v/>
      </c>
      <c r="W148" s="674" t="str">
        <f t="shared" si="78"/>
        <v/>
      </c>
      <c r="X148" s="674" t="str">
        <f t="shared" si="78"/>
        <v/>
      </c>
      <c r="Y148" s="674" t="str">
        <f t="shared" si="78"/>
        <v/>
      </c>
      <c r="Z148" s="674" t="str">
        <f t="shared" si="78"/>
        <v/>
      </c>
      <c r="AA148" s="674" t="str">
        <f t="shared" si="78"/>
        <v/>
      </c>
      <c r="AB148" s="674" t="str">
        <f t="shared" si="78"/>
        <v/>
      </c>
      <c r="AC148" s="674" t="str">
        <f t="shared" si="78"/>
        <v/>
      </c>
      <c r="AD148" s="674" t="str">
        <f t="shared" si="78"/>
        <v/>
      </c>
      <c r="AE148" s="674" t="str">
        <f t="shared" si="78"/>
        <v/>
      </c>
      <c r="AF148" s="674" t="str">
        <f t="shared" si="78"/>
        <v/>
      </c>
      <c r="AG148" s="674" t="str">
        <f t="shared" si="78"/>
        <v/>
      </c>
      <c r="AH148" s="674" t="str">
        <f t="shared" si="78"/>
        <v/>
      </c>
      <c r="AI148" s="674" t="str">
        <f t="shared" si="78"/>
        <v/>
      </c>
      <c r="AJ148" s="674" t="str">
        <f t="shared" si="78"/>
        <v/>
      </c>
      <c r="AK148" s="675" t="str">
        <f t="shared" si="78"/>
        <v/>
      </c>
      <c r="AL148" s="15"/>
      <c r="AM148" s="15"/>
      <c r="AP148" s="536"/>
      <c r="AR148" s="537"/>
      <c r="AS148" s="529"/>
      <c r="AW148" s="390" t="str">
        <f>""</f>
        <v/>
      </c>
      <c r="AX148" s="531"/>
      <c r="AY148" s="390" t="str">
        <f>""</f>
        <v/>
      </c>
      <c r="BD148" s="520"/>
      <c r="BE148" s="520"/>
      <c r="BF148" s="520"/>
      <c r="BG148" s="520"/>
      <c r="BH148" s="520"/>
      <c r="BI148" s="520"/>
      <c r="BJ148" s="520"/>
      <c r="BK148" s="520"/>
      <c r="BL148" s="520"/>
      <c r="BM148" s="520"/>
      <c r="BN148" s="520"/>
      <c r="BO148" s="520"/>
      <c r="BP148" s="520"/>
      <c r="BQ148" s="520"/>
      <c r="BR148" s="520"/>
      <c r="BS148" s="520"/>
      <c r="BT148" s="520"/>
      <c r="BU148" s="520"/>
      <c r="BV148" s="520"/>
      <c r="BW148" s="520"/>
      <c r="BX148" s="520"/>
      <c r="BY148" s="520"/>
    </row>
    <row r="149" spans="1:84" ht="12" customHeight="1" x14ac:dyDescent="0.3">
      <c r="A149" s="765"/>
      <c r="E149" s="258" t="str">
        <f>$AX$94</f>
        <v>Mérkőzés kimenetele: 4 p</v>
      </c>
      <c r="H149" s="673" t="str">
        <f t="shared" ref="H149:AK149" si="79">IF(OR(BC146,NOT($AS$24)),"",IF(AND(NOT($AS$32),COUNTIF(H147:H148,"ü")&gt;0),"",IF(SIGN(H145-H146)=SIGN($E145-$E146),"ü"," ")))</f>
        <v/>
      </c>
      <c r="I149" s="674" t="str">
        <f t="shared" si="79"/>
        <v/>
      </c>
      <c r="J149" s="674" t="str">
        <f t="shared" si="79"/>
        <v/>
      </c>
      <c r="K149" s="674" t="str">
        <f t="shared" si="79"/>
        <v/>
      </c>
      <c r="L149" s="674" t="str">
        <f t="shared" si="79"/>
        <v/>
      </c>
      <c r="M149" s="674" t="str">
        <f t="shared" si="79"/>
        <v/>
      </c>
      <c r="N149" s="674" t="str">
        <f t="shared" si="79"/>
        <v/>
      </c>
      <c r="O149" s="674" t="str">
        <f t="shared" si="79"/>
        <v/>
      </c>
      <c r="P149" s="674" t="str">
        <f t="shared" si="79"/>
        <v/>
      </c>
      <c r="Q149" s="674" t="str">
        <f t="shared" si="79"/>
        <v/>
      </c>
      <c r="R149" s="674" t="str">
        <f t="shared" si="79"/>
        <v/>
      </c>
      <c r="S149" s="674" t="str">
        <f t="shared" si="79"/>
        <v/>
      </c>
      <c r="T149" s="674" t="str">
        <f t="shared" si="79"/>
        <v/>
      </c>
      <c r="U149" s="674" t="str">
        <f t="shared" si="79"/>
        <v/>
      </c>
      <c r="V149" s="674" t="str">
        <f t="shared" si="79"/>
        <v/>
      </c>
      <c r="W149" s="674" t="str">
        <f t="shared" si="79"/>
        <v/>
      </c>
      <c r="X149" s="674" t="str">
        <f t="shared" si="79"/>
        <v/>
      </c>
      <c r="Y149" s="674" t="str">
        <f t="shared" si="79"/>
        <v/>
      </c>
      <c r="Z149" s="674" t="str">
        <f t="shared" si="79"/>
        <v/>
      </c>
      <c r="AA149" s="674" t="str">
        <f t="shared" si="79"/>
        <v/>
      </c>
      <c r="AB149" s="674" t="str">
        <f t="shared" si="79"/>
        <v/>
      </c>
      <c r="AC149" s="674" t="str">
        <f t="shared" si="79"/>
        <v/>
      </c>
      <c r="AD149" s="674" t="str">
        <f t="shared" si="79"/>
        <v/>
      </c>
      <c r="AE149" s="674" t="str">
        <f t="shared" si="79"/>
        <v/>
      </c>
      <c r="AF149" s="674" t="str">
        <f t="shared" si="79"/>
        <v/>
      </c>
      <c r="AG149" s="674" t="str">
        <f t="shared" si="79"/>
        <v/>
      </c>
      <c r="AH149" s="674" t="str">
        <f t="shared" si="79"/>
        <v/>
      </c>
      <c r="AI149" s="674" t="str">
        <f t="shared" si="79"/>
        <v/>
      </c>
      <c r="AJ149" s="674" t="str">
        <f t="shared" si="79"/>
        <v/>
      </c>
      <c r="AK149" s="675" t="str">
        <f t="shared" si="79"/>
        <v/>
      </c>
      <c r="AL149" s="15"/>
      <c r="AM149" s="15"/>
      <c r="AP149" s="536"/>
      <c r="AR149" s="537"/>
      <c r="AS149" s="529"/>
      <c r="AW149" s="390" t="str">
        <f>""</f>
        <v/>
      </c>
      <c r="AX149" s="531"/>
      <c r="AY149" s="390" t="str">
        <f>""</f>
        <v/>
      </c>
      <c r="BD149" s="520"/>
      <c r="BE149" s="520"/>
      <c r="BF149" s="520"/>
      <c r="BG149" s="520"/>
      <c r="BH149" s="520"/>
      <c r="BI149" s="520"/>
      <c r="BJ149" s="520"/>
      <c r="BK149" s="520"/>
      <c r="BL149" s="520"/>
      <c r="BM149" s="520"/>
      <c r="BN149" s="520"/>
      <c r="BO149" s="520"/>
      <c r="BP149" s="520"/>
      <c r="BQ149" s="520"/>
      <c r="BR149" s="520"/>
      <c r="BS149" s="520"/>
      <c r="BT149" s="520"/>
      <c r="BU149" s="520"/>
      <c r="BV149" s="520"/>
      <c r="BW149" s="520"/>
      <c r="BX149" s="520"/>
      <c r="BY149" s="520"/>
    </row>
    <row r="150" spans="1:84" ht="12" customHeight="1" x14ac:dyDescent="0.3">
      <c r="A150" s="765"/>
      <c r="E150" s="258" t="str">
        <f>$AX$95</f>
        <v>Egyik csapat góljainak száma: 3 p</v>
      </c>
      <c r="H150" s="673" t="str">
        <f t="shared" ref="H150:AK150" si="80">IF(OR(BC146,NOT($AS$26)),"",IF(AND(NOT($AS$32),COUNTIF(H147:H149,"ü")&gt;0),"",IF(OR(H145=$E145,H146=$E146),"ü"," ")))</f>
        <v/>
      </c>
      <c r="I150" s="674" t="str">
        <f t="shared" si="80"/>
        <v/>
      </c>
      <c r="J150" s="674" t="str">
        <f t="shared" si="80"/>
        <v/>
      </c>
      <c r="K150" s="674" t="str">
        <f t="shared" si="80"/>
        <v/>
      </c>
      <c r="L150" s="674" t="str">
        <f t="shared" si="80"/>
        <v/>
      </c>
      <c r="M150" s="674" t="str">
        <f t="shared" si="80"/>
        <v/>
      </c>
      <c r="N150" s="674" t="str">
        <f t="shared" si="80"/>
        <v/>
      </c>
      <c r="O150" s="674" t="str">
        <f t="shared" si="80"/>
        <v/>
      </c>
      <c r="P150" s="674" t="str">
        <f t="shared" si="80"/>
        <v/>
      </c>
      <c r="Q150" s="674" t="str">
        <f t="shared" si="80"/>
        <v/>
      </c>
      <c r="R150" s="674" t="str">
        <f t="shared" si="80"/>
        <v/>
      </c>
      <c r="S150" s="674" t="str">
        <f t="shared" si="80"/>
        <v/>
      </c>
      <c r="T150" s="674" t="str">
        <f t="shared" si="80"/>
        <v/>
      </c>
      <c r="U150" s="674" t="str">
        <f t="shared" si="80"/>
        <v/>
      </c>
      <c r="V150" s="674" t="str">
        <f t="shared" si="80"/>
        <v/>
      </c>
      <c r="W150" s="674" t="str">
        <f t="shared" si="80"/>
        <v/>
      </c>
      <c r="X150" s="674" t="str">
        <f t="shared" si="80"/>
        <v/>
      </c>
      <c r="Y150" s="674" t="str">
        <f t="shared" si="80"/>
        <v/>
      </c>
      <c r="Z150" s="674" t="str">
        <f t="shared" si="80"/>
        <v/>
      </c>
      <c r="AA150" s="674" t="str">
        <f t="shared" si="80"/>
        <v/>
      </c>
      <c r="AB150" s="674" t="str">
        <f t="shared" si="80"/>
        <v/>
      </c>
      <c r="AC150" s="674" t="str">
        <f t="shared" si="80"/>
        <v/>
      </c>
      <c r="AD150" s="674" t="str">
        <f t="shared" si="80"/>
        <v/>
      </c>
      <c r="AE150" s="674" t="str">
        <f t="shared" si="80"/>
        <v/>
      </c>
      <c r="AF150" s="674" t="str">
        <f t="shared" si="80"/>
        <v/>
      </c>
      <c r="AG150" s="674" t="str">
        <f t="shared" si="80"/>
        <v/>
      </c>
      <c r="AH150" s="674" t="str">
        <f t="shared" si="80"/>
        <v/>
      </c>
      <c r="AI150" s="674" t="str">
        <f t="shared" si="80"/>
        <v/>
      </c>
      <c r="AJ150" s="674" t="str">
        <f t="shared" si="80"/>
        <v/>
      </c>
      <c r="AK150" s="675" t="str">
        <f t="shared" si="80"/>
        <v/>
      </c>
      <c r="AL150" s="15"/>
      <c r="AM150" s="15"/>
      <c r="AP150" s="536"/>
      <c r="AR150" s="537"/>
      <c r="AS150" s="529"/>
      <c r="AW150" s="390" t="str">
        <f>""</f>
        <v/>
      </c>
      <c r="AX150" s="531"/>
      <c r="AY150" s="390" t="str">
        <f>""</f>
        <v/>
      </c>
      <c r="BD150" s="520"/>
      <c r="BE150" s="520"/>
      <c r="BF150" s="520"/>
      <c r="BG150" s="520"/>
      <c r="BH150" s="520"/>
      <c r="BI150" s="520"/>
      <c r="BJ150" s="520"/>
      <c r="BK150" s="520"/>
      <c r="BL150" s="520"/>
      <c r="BM150" s="520"/>
      <c r="BN150" s="520"/>
      <c r="BO150" s="520"/>
      <c r="BP150" s="520"/>
      <c r="BQ150" s="520"/>
      <c r="BR150" s="520"/>
      <c r="BS150" s="520"/>
      <c r="BT150" s="520"/>
      <c r="BU150" s="520"/>
      <c r="BV150" s="520"/>
      <c r="BW150" s="520"/>
      <c r="BX150" s="520"/>
      <c r="BY150" s="520"/>
    </row>
    <row r="151" spans="1:84" ht="12" customHeight="1" x14ac:dyDescent="0.3">
      <c r="A151" s="765"/>
      <c r="E151" s="258" t="str">
        <f>$AX$96</f>
        <v>Összes gól: 2 p</v>
      </c>
      <c r="H151" s="673" t="str">
        <f t="shared" ref="H151:AK151" si="81">IF(OR(BC146,NOT($AS$28)),"",IF(AND(NOT($AS$32),COUNTIF(H147:H150,"ü")&gt;0),"",IF(H145+H146=$E145+$E146,"ü"," ")))</f>
        <v/>
      </c>
      <c r="I151" s="674" t="str">
        <f t="shared" si="81"/>
        <v/>
      </c>
      <c r="J151" s="674" t="str">
        <f t="shared" si="81"/>
        <v/>
      </c>
      <c r="K151" s="674" t="str">
        <f t="shared" si="81"/>
        <v/>
      </c>
      <c r="L151" s="674" t="str">
        <f t="shared" si="81"/>
        <v/>
      </c>
      <c r="M151" s="674" t="str">
        <f t="shared" si="81"/>
        <v/>
      </c>
      <c r="N151" s="674" t="str">
        <f t="shared" si="81"/>
        <v/>
      </c>
      <c r="O151" s="674" t="str">
        <f t="shared" si="81"/>
        <v/>
      </c>
      <c r="P151" s="674" t="str">
        <f t="shared" si="81"/>
        <v/>
      </c>
      <c r="Q151" s="674" t="str">
        <f t="shared" si="81"/>
        <v/>
      </c>
      <c r="R151" s="674" t="str">
        <f t="shared" si="81"/>
        <v/>
      </c>
      <c r="S151" s="674" t="str">
        <f t="shared" si="81"/>
        <v/>
      </c>
      <c r="T151" s="674" t="str">
        <f t="shared" si="81"/>
        <v/>
      </c>
      <c r="U151" s="674" t="str">
        <f t="shared" si="81"/>
        <v/>
      </c>
      <c r="V151" s="674" t="str">
        <f t="shared" si="81"/>
        <v/>
      </c>
      <c r="W151" s="674" t="str">
        <f t="shared" si="81"/>
        <v/>
      </c>
      <c r="X151" s="674" t="str">
        <f t="shared" si="81"/>
        <v/>
      </c>
      <c r="Y151" s="674" t="str">
        <f t="shared" si="81"/>
        <v/>
      </c>
      <c r="Z151" s="674" t="str">
        <f t="shared" si="81"/>
        <v/>
      </c>
      <c r="AA151" s="674" t="str">
        <f t="shared" si="81"/>
        <v/>
      </c>
      <c r="AB151" s="674" t="str">
        <f t="shared" si="81"/>
        <v/>
      </c>
      <c r="AC151" s="674" t="str">
        <f t="shared" si="81"/>
        <v/>
      </c>
      <c r="AD151" s="674" t="str">
        <f t="shared" si="81"/>
        <v/>
      </c>
      <c r="AE151" s="674" t="str">
        <f t="shared" si="81"/>
        <v/>
      </c>
      <c r="AF151" s="674" t="str">
        <f t="shared" si="81"/>
        <v/>
      </c>
      <c r="AG151" s="674" t="str">
        <f t="shared" si="81"/>
        <v/>
      </c>
      <c r="AH151" s="674" t="str">
        <f t="shared" si="81"/>
        <v/>
      </c>
      <c r="AI151" s="674" t="str">
        <f t="shared" si="81"/>
        <v/>
      </c>
      <c r="AJ151" s="674" t="str">
        <f t="shared" si="81"/>
        <v/>
      </c>
      <c r="AK151" s="675" t="str">
        <f t="shared" si="81"/>
        <v/>
      </c>
      <c r="AL151" s="15"/>
      <c r="AM151" s="15"/>
      <c r="AP151" s="536"/>
      <c r="AR151" s="537"/>
      <c r="AS151" s="529"/>
      <c r="AW151" s="390" t="str">
        <f>""</f>
        <v/>
      </c>
      <c r="AX151" s="531"/>
      <c r="AY151" s="390" t="str">
        <f>""</f>
        <v/>
      </c>
      <c r="BD151" s="520"/>
      <c r="BE151" s="520"/>
      <c r="BF151" s="520"/>
      <c r="BG151" s="520"/>
      <c r="BH151" s="520"/>
      <c r="BI151" s="520"/>
      <c r="BJ151" s="520"/>
      <c r="BK151" s="520"/>
      <c r="BL151" s="520"/>
      <c r="BM151" s="520"/>
      <c r="BN151" s="520"/>
      <c r="BO151" s="520"/>
      <c r="BP151" s="520"/>
      <c r="BQ151" s="520"/>
      <c r="BR151" s="520"/>
      <c r="BS151" s="520"/>
      <c r="BT151" s="520"/>
      <c r="BU151" s="520"/>
      <c r="BV151" s="520"/>
      <c r="BW151" s="520"/>
      <c r="BX151" s="520"/>
      <c r="BY151" s="520"/>
    </row>
    <row r="152" spans="1:84" ht="12" customHeight="1" x14ac:dyDescent="0.3">
      <c r="A152" s="765"/>
      <c r="E152" s="258" t="str">
        <f>$AX$97</f>
        <v>Fordított gólkülönbség: 1 p</v>
      </c>
      <c r="H152" s="676" t="str">
        <f t="shared" ref="H152:AK152" si="82">IF(OR(BC146,NOT($AS$30)),"",IF(AND(NOT($AS$32),COUNTIF(H147:H151,"ü")&gt;0),"",IF(AND(H145-H146=$E146-$E145,H145&lt;&gt;H146),"ü"," ")))</f>
        <v/>
      </c>
      <c r="I152" s="677" t="str">
        <f t="shared" si="82"/>
        <v/>
      </c>
      <c r="J152" s="677" t="str">
        <f t="shared" si="82"/>
        <v/>
      </c>
      <c r="K152" s="677" t="str">
        <f t="shared" si="82"/>
        <v/>
      </c>
      <c r="L152" s="677" t="str">
        <f t="shared" si="82"/>
        <v/>
      </c>
      <c r="M152" s="677" t="str">
        <f t="shared" si="82"/>
        <v/>
      </c>
      <c r="N152" s="677" t="str">
        <f t="shared" si="82"/>
        <v/>
      </c>
      <c r="O152" s="677" t="str">
        <f t="shared" si="82"/>
        <v/>
      </c>
      <c r="P152" s="677" t="str">
        <f t="shared" si="82"/>
        <v/>
      </c>
      <c r="Q152" s="677" t="str">
        <f t="shared" si="82"/>
        <v/>
      </c>
      <c r="R152" s="677" t="str">
        <f t="shared" si="82"/>
        <v/>
      </c>
      <c r="S152" s="677" t="str">
        <f t="shared" si="82"/>
        <v/>
      </c>
      <c r="T152" s="677" t="str">
        <f t="shared" si="82"/>
        <v/>
      </c>
      <c r="U152" s="677" t="str">
        <f t="shared" si="82"/>
        <v/>
      </c>
      <c r="V152" s="677" t="str">
        <f t="shared" si="82"/>
        <v/>
      </c>
      <c r="W152" s="677" t="str">
        <f t="shared" si="82"/>
        <v/>
      </c>
      <c r="X152" s="677" t="str">
        <f t="shared" si="82"/>
        <v/>
      </c>
      <c r="Y152" s="677" t="str">
        <f t="shared" si="82"/>
        <v/>
      </c>
      <c r="Z152" s="677" t="str">
        <f t="shared" si="82"/>
        <v/>
      </c>
      <c r="AA152" s="677" t="str">
        <f t="shared" si="82"/>
        <v/>
      </c>
      <c r="AB152" s="677" t="str">
        <f t="shared" si="82"/>
        <v/>
      </c>
      <c r="AC152" s="677" t="str">
        <f t="shared" si="82"/>
        <v/>
      </c>
      <c r="AD152" s="677" t="str">
        <f t="shared" si="82"/>
        <v/>
      </c>
      <c r="AE152" s="677" t="str">
        <f t="shared" si="82"/>
        <v/>
      </c>
      <c r="AF152" s="677" t="str">
        <f t="shared" si="82"/>
        <v/>
      </c>
      <c r="AG152" s="677" t="str">
        <f t="shared" si="82"/>
        <v/>
      </c>
      <c r="AH152" s="677" t="str">
        <f t="shared" si="82"/>
        <v/>
      </c>
      <c r="AI152" s="677" t="str">
        <f t="shared" si="82"/>
        <v/>
      </c>
      <c r="AJ152" s="677" t="str">
        <f t="shared" si="82"/>
        <v/>
      </c>
      <c r="AK152" s="678" t="str">
        <f t="shared" si="82"/>
        <v/>
      </c>
      <c r="AL152" s="15"/>
      <c r="AM152" s="15"/>
      <c r="AP152" s="536"/>
      <c r="AR152" s="537"/>
      <c r="AS152" s="529"/>
      <c r="AW152" s="390" t="str">
        <f>""</f>
        <v/>
      </c>
      <c r="AX152" s="531"/>
      <c r="AY152" s="390" t="str">
        <f>""</f>
        <v/>
      </c>
      <c r="BD152" s="520"/>
      <c r="BE152" s="520"/>
      <c r="BF152" s="520"/>
      <c r="BG152" s="520"/>
      <c r="BH152" s="520"/>
      <c r="BI152" s="520"/>
      <c r="BJ152" s="520"/>
      <c r="BK152" s="520"/>
      <c r="BL152" s="520"/>
      <c r="BM152" s="520"/>
      <c r="BN152" s="520"/>
      <c r="BO152" s="520"/>
      <c r="BP152" s="520"/>
      <c r="BQ152" s="520"/>
      <c r="BR152" s="520"/>
      <c r="BS152" s="520"/>
      <c r="BT152" s="520"/>
      <c r="BU152" s="520"/>
      <c r="BV152" s="520"/>
      <c r="BW152" s="520"/>
      <c r="BX152" s="520"/>
      <c r="BY152" s="520"/>
    </row>
    <row r="153" spans="1:84" ht="15" customHeight="1" x14ac:dyDescent="0.3">
      <c r="A153" s="765"/>
      <c r="E153" s="79" t="s">
        <v>799</v>
      </c>
      <c r="H153" s="679">
        <f t="shared" ref="H153:AK153" si="83">IF(NOT(H$13),"",SUMPRODUCT((H147:H152="ü")*($AW$92:$AW$97)))</f>
        <v>0</v>
      </c>
      <c r="I153" s="680">
        <f t="shared" si="83"/>
        <v>0</v>
      </c>
      <c r="J153" s="680">
        <f t="shared" si="83"/>
        <v>0</v>
      </c>
      <c r="K153" s="680">
        <f t="shared" si="83"/>
        <v>0</v>
      </c>
      <c r="L153" s="680">
        <f t="shared" si="83"/>
        <v>0</v>
      </c>
      <c r="M153" s="680">
        <f t="shared" si="83"/>
        <v>0</v>
      </c>
      <c r="N153" s="680">
        <f t="shared" si="83"/>
        <v>0</v>
      </c>
      <c r="O153" s="680">
        <f t="shared" si="83"/>
        <v>0</v>
      </c>
      <c r="P153" s="680">
        <f t="shared" si="83"/>
        <v>0</v>
      </c>
      <c r="Q153" s="680">
        <f t="shared" si="83"/>
        <v>0</v>
      </c>
      <c r="R153" s="680">
        <f t="shared" si="83"/>
        <v>0</v>
      </c>
      <c r="S153" s="680">
        <f t="shared" si="83"/>
        <v>0</v>
      </c>
      <c r="T153" s="680">
        <f t="shared" si="83"/>
        <v>0</v>
      </c>
      <c r="U153" s="680">
        <f t="shared" si="83"/>
        <v>0</v>
      </c>
      <c r="V153" s="680">
        <f t="shared" si="83"/>
        <v>0</v>
      </c>
      <c r="W153" s="680">
        <f t="shared" si="83"/>
        <v>0</v>
      </c>
      <c r="X153" s="680">
        <f t="shared" si="83"/>
        <v>0</v>
      </c>
      <c r="Y153" s="680">
        <f t="shared" si="83"/>
        <v>0</v>
      </c>
      <c r="Z153" s="680">
        <f t="shared" si="83"/>
        <v>0</v>
      </c>
      <c r="AA153" s="680">
        <f t="shared" si="83"/>
        <v>0</v>
      </c>
      <c r="AB153" s="680">
        <f t="shared" si="83"/>
        <v>0</v>
      </c>
      <c r="AC153" s="680">
        <f t="shared" si="83"/>
        <v>0</v>
      </c>
      <c r="AD153" s="680">
        <f t="shared" si="83"/>
        <v>0</v>
      </c>
      <c r="AE153" s="680" t="str">
        <f t="shared" si="83"/>
        <v/>
      </c>
      <c r="AF153" s="680" t="str">
        <f t="shared" si="83"/>
        <v/>
      </c>
      <c r="AG153" s="680" t="str">
        <f t="shared" si="83"/>
        <v/>
      </c>
      <c r="AH153" s="680" t="str">
        <f t="shared" si="83"/>
        <v/>
      </c>
      <c r="AI153" s="680" t="str">
        <f t="shared" si="83"/>
        <v/>
      </c>
      <c r="AJ153" s="680" t="str">
        <f t="shared" si="83"/>
        <v/>
      </c>
      <c r="AK153" s="681" t="str">
        <f t="shared" si="83"/>
        <v/>
      </c>
      <c r="AP153" s="536"/>
      <c r="AR153" s="537"/>
      <c r="AS153" s="529"/>
    </row>
    <row r="154" spans="1:84" ht="9" customHeight="1" x14ac:dyDescent="0.3">
      <c r="A154" s="765"/>
      <c r="D154" s="15"/>
      <c r="E154" s="15"/>
      <c r="F154" s="15"/>
      <c r="G154" s="15"/>
      <c r="H154" s="15"/>
      <c r="I154" s="16"/>
      <c r="J154" s="15"/>
      <c r="K154" s="15"/>
      <c r="L154" s="16"/>
      <c r="M154" s="15"/>
      <c r="N154" s="15"/>
      <c r="O154" s="16"/>
      <c r="P154" s="15"/>
      <c r="Q154" s="15"/>
      <c r="R154" s="16"/>
      <c r="S154" s="15"/>
      <c r="T154" s="15"/>
      <c r="U154" s="16"/>
      <c r="V154" s="15"/>
      <c r="W154" s="15"/>
      <c r="X154" s="16"/>
      <c r="Y154" s="15"/>
      <c r="Z154" s="15"/>
      <c r="AA154" s="16"/>
      <c r="AB154" s="15"/>
      <c r="AC154" s="15"/>
      <c r="AD154" s="16"/>
      <c r="AE154" s="15"/>
      <c r="AF154" s="15"/>
      <c r="AG154" s="16"/>
      <c r="AH154" s="15"/>
      <c r="AI154" s="15"/>
      <c r="AJ154" s="16"/>
      <c r="AK154" s="15"/>
      <c r="AP154" s="536"/>
      <c r="AR154" s="537"/>
      <c r="AS154" s="529"/>
    </row>
    <row r="155" spans="1:84" ht="15" customHeight="1" x14ac:dyDescent="0.3">
      <c r="A155" s="765"/>
      <c r="C155" s="27" t="str">
        <f>" "&amp;VLOOKUP(AQ156,schedule,18,FALSE)&amp;"  ("&amp;VLOOKUP(AQ156,schedule,3,FALSE)&amp;" CSOPORT)"</f>
        <v xml:space="preserve"> JÚNIUS 13. – VASÁRNAP 21:00  (C CSOPORT)</v>
      </c>
      <c r="D155" s="27"/>
      <c r="E155" s="26"/>
      <c r="F155" s="26"/>
      <c r="G155" s="26"/>
      <c r="H155" s="26"/>
      <c r="I155" s="26"/>
      <c r="J155" s="26"/>
      <c r="AP155" s="536"/>
      <c r="AR155" s="537"/>
      <c r="AS155" s="529"/>
    </row>
    <row r="156" spans="1:84" ht="15" customHeight="1" x14ac:dyDescent="0.3">
      <c r="A156" s="765"/>
      <c r="C156" s="661"/>
      <c r="D156" s="662" t="str">
        <f>IF(INDEX(n.er,$AR156,8)="","",INDEX(n.er,$AR156,8))</f>
        <v>Hollandia</v>
      </c>
      <c r="E156" s="663" t="str">
        <f>IF(NOT($AS156),"",INDEX(n.er,$AR156,9))</f>
        <v/>
      </c>
      <c r="F156" s="662"/>
      <c r="G156" s="259"/>
      <c r="H156" s="664">
        <v>2</v>
      </c>
      <c r="I156" s="665">
        <v>1</v>
      </c>
      <c r="J156" s="665">
        <v>2</v>
      </c>
      <c r="K156" s="665">
        <v>3</v>
      </c>
      <c r="L156" s="665">
        <v>2</v>
      </c>
      <c r="M156" s="665">
        <v>4</v>
      </c>
      <c r="N156" s="665">
        <v>2</v>
      </c>
      <c r="O156" s="665">
        <v>3</v>
      </c>
      <c r="P156" s="665">
        <v>2</v>
      </c>
      <c r="Q156" s="665">
        <v>2</v>
      </c>
      <c r="R156" s="665">
        <v>1</v>
      </c>
      <c r="S156" s="665">
        <v>2</v>
      </c>
      <c r="T156" s="665">
        <v>2</v>
      </c>
      <c r="U156" s="665">
        <v>4</v>
      </c>
      <c r="V156" s="665">
        <v>2</v>
      </c>
      <c r="W156" s="665">
        <v>2</v>
      </c>
      <c r="X156" s="665">
        <v>2</v>
      </c>
      <c r="Y156" s="665">
        <v>3</v>
      </c>
      <c r="Z156" s="665">
        <v>2</v>
      </c>
      <c r="AA156" s="665">
        <v>3</v>
      </c>
      <c r="AB156" s="665">
        <v>2</v>
      </c>
      <c r="AC156" s="665">
        <v>2</v>
      </c>
      <c r="AD156" s="665">
        <v>4</v>
      </c>
      <c r="AE156" s="665"/>
      <c r="AF156" s="665"/>
      <c r="AG156" s="665"/>
      <c r="AH156" s="665"/>
      <c r="AI156" s="665"/>
      <c r="AJ156" s="665"/>
      <c r="AK156" s="666"/>
      <c r="AP156" s="52">
        <f>AP145+1</f>
        <v>7</v>
      </c>
      <c r="AQ156" s="311">
        <f>INDEX(schedule,AP156,1)</f>
        <v>7</v>
      </c>
      <c r="AR156" s="311">
        <f>MATCH(AQ156,n.er.index,0)</f>
        <v>15</v>
      </c>
      <c r="AS156" s="532" t="b">
        <f>INDEX(n.er,$AR156,3)</f>
        <v>0</v>
      </c>
      <c r="AT156" s="531"/>
      <c r="AU156" s="531"/>
      <c r="AV156" s="531"/>
      <c r="AW156" s="531"/>
      <c r="AX156" s="531"/>
      <c r="BC156" s="525" t="b">
        <f t="shared" ref="BC156:CF156" si="84">IF(AND(ISNUMBER(H156),ISNUMBER(H157),H156&lt;&gt;"",H157&lt;&gt;""),AND(H156&gt;=0,H157&gt;=0,MOD(H156+H157,1)=0),FALSE)</f>
        <v>1</v>
      </c>
      <c r="BD156" s="525" t="b">
        <f t="shared" si="84"/>
        <v>1</v>
      </c>
      <c r="BE156" s="525" t="b">
        <f t="shared" si="84"/>
        <v>1</v>
      </c>
      <c r="BF156" s="525" t="b">
        <f t="shared" si="84"/>
        <v>1</v>
      </c>
      <c r="BG156" s="525" t="b">
        <f t="shared" si="84"/>
        <v>1</v>
      </c>
      <c r="BH156" s="525" t="b">
        <f t="shared" si="84"/>
        <v>1</v>
      </c>
      <c r="BI156" s="525" t="b">
        <f t="shared" si="84"/>
        <v>1</v>
      </c>
      <c r="BJ156" s="525" t="b">
        <f t="shared" si="84"/>
        <v>1</v>
      </c>
      <c r="BK156" s="525" t="b">
        <f t="shared" si="84"/>
        <v>1</v>
      </c>
      <c r="BL156" s="525" t="b">
        <f t="shared" si="84"/>
        <v>1</v>
      </c>
      <c r="BM156" s="525" t="b">
        <f t="shared" si="84"/>
        <v>1</v>
      </c>
      <c r="BN156" s="525" t="b">
        <f t="shared" si="84"/>
        <v>1</v>
      </c>
      <c r="BO156" s="525" t="b">
        <f t="shared" si="84"/>
        <v>1</v>
      </c>
      <c r="BP156" s="525" t="b">
        <f t="shared" si="84"/>
        <v>1</v>
      </c>
      <c r="BQ156" s="525" t="b">
        <f t="shared" si="84"/>
        <v>1</v>
      </c>
      <c r="BR156" s="525" t="b">
        <f t="shared" si="84"/>
        <v>1</v>
      </c>
      <c r="BS156" s="525" t="b">
        <f t="shared" si="84"/>
        <v>1</v>
      </c>
      <c r="BT156" s="525" t="b">
        <f t="shared" si="84"/>
        <v>1</v>
      </c>
      <c r="BU156" s="525" t="b">
        <f t="shared" si="84"/>
        <v>1</v>
      </c>
      <c r="BV156" s="525" t="b">
        <f t="shared" si="84"/>
        <v>1</v>
      </c>
      <c r="BW156" s="525" t="b">
        <f t="shared" si="84"/>
        <v>1</v>
      </c>
      <c r="BX156" s="525" t="b">
        <f t="shared" si="84"/>
        <v>1</v>
      </c>
      <c r="BY156" s="525" t="b">
        <f t="shared" si="84"/>
        <v>1</v>
      </c>
      <c r="BZ156" s="525" t="b">
        <f t="shared" si="84"/>
        <v>0</v>
      </c>
      <c r="CA156" s="525" t="b">
        <f t="shared" si="84"/>
        <v>0</v>
      </c>
      <c r="CB156" s="525" t="b">
        <f t="shared" si="84"/>
        <v>0</v>
      </c>
      <c r="CC156" s="525" t="b">
        <f t="shared" si="84"/>
        <v>0</v>
      </c>
      <c r="CD156" s="525" t="b">
        <f t="shared" si="84"/>
        <v>0</v>
      </c>
      <c r="CE156" s="525" t="b">
        <f t="shared" si="84"/>
        <v>0</v>
      </c>
      <c r="CF156" s="525" t="b">
        <f t="shared" si="84"/>
        <v>0</v>
      </c>
    </row>
    <row r="157" spans="1:84" ht="15" customHeight="1" x14ac:dyDescent="0.3">
      <c r="A157" s="765"/>
      <c r="C157" s="695"/>
      <c r="D157" s="696" t="str">
        <f>IF(INDEX(n.er,$AR156,11)="","",INDEX(n.er,$AR156,11))</f>
        <v>Ukrajna</v>
      </c>
      <c r="E157" s="697" t="str">
        <f>IF(NOT($AS156),"",INDEX(n.er,$AR156,10))</f>
        <v/>
      </c>
      <c r="F157" s="696"/>
      <c r="G157" s="259"/>
      <c r="H157" s="667">
        <v>0</v>
      </c>
      <c r="I157" s="668">
        <v>1</v>
      </c>
      <c r="J157" s="668">
        <v>1</v>
      </c>
      <c r="K157" s="668">
        <v>1</v>
      </c>
      <c r="L157" s="668">
        <v>1</v>
      </c>
      <c r="M157" s="668">
        <v>0</v>
      </c>
      <c r="N157" s="668">
        <v>0</v>
      </c>
      <c r="O157" s="668">
        <v>1</v>
      </c>
      <c r="P157" s="668">
        <v>0</v>
      </c>
      <c r="Q157" s="668">
        <v>1</v>
      </c>
      <c r="R157" s="668">
        <v>1</v>
      </c>
      <c r="S157" s="668">
        <v>1</v>
      </c>
      <c r="T157" s="668">
        <v>1</v>
      </c>
      <c r="U157" s="668">
        <v>1</v>
      </c>
      <c r="V157" s="668">
        <v>1</v>
      </c>
      <c r="W157" s="668">
        <v>1</v>
      </c>
      <c r="X157" s="668">
        <v>0</v>
      </c>
      <c r="Y157" s="668">
        <v>2</v>
      </c>
      <c r="Z157" s="668">
        <v>0</v>
      </c>
      <c r="AA157" s="668">
        <v>0</v>
      </c>
      <c r="AB157" s="668">
        <v>1</v>
      </c>
      <c r="AC157" s="668">
        <v>0</v>
      </c>
      <c r="AD157" s="668">
        <v>1</v>
      </c>
      <c r="AE157" s="668"/>
      <c r="AF157" s="668"/>
      <c r="AG157" s="668"/>
      <c r="AH157" s="668"/>
      <c r="AI157" s="668"/>
      <c r="AJ157" s="668"/>
      <c r="AK157" s="669"/>
      <c r="AP157" s="533"/>
      <c r="AQ157" s="577"/>
      <c r="AR157" s="534"/>
      <c r="AS157" s="535"/>
      <c r="AX157" s="531"/>
      <c r="BC157" s="34" t="b">
        <f t="shared" ref="BC157:CF157" si="85">OR(NOT(H$13),NOT($AS156),NOT(BC156))</f>
        <v>1</v>
      </c>
      <c r="BD157" s="34" t="b">
        <f t="shared" si="85"/>
        <v>1</v>
      </c>
      <c r="BE157" s="34" t="b">
        <f t="shared" si="85"/>
        <v>1</v>
      </c>
      <c r="BF157" s="34" t="b">
        <f t="shared" si="85"/>
        <v>1</v>
      </c>
      <c r="BG157" s="34" t="b">
        <f t="shared" si="85"/>
        <v>1</v>
      </c>
      <c r="BH157" s="34" t="b">
        <f t="shared" si="85"/>
        <v>1</v>
      </c>
      <c r="BI157" s="34" t="b">
        <f t="shared" si="85"/>
        <v>1</v>
      </c>
      <c r="BJ157" s="34" t="b">
        <f t="shared" si="85"/>
        <v>1</v>
      </c>
      <c r="BK157" s="34" t="b">
        <f t="shared" si="85"/>
        <v>1</v>
      </c>
      <c r="BL157" s="34" t="b">
        <f t="shared" si="85"/>
        <v>1</v>
      </c>
      <c r="BM157" s="34" t="b">
        <f t="shared" si="85"/>
        <v>1</v>
      </c>
      <c r="BN157" s="34" t="b">
        <f t="shared" si="85"/>
        <v>1</v>
      </c>
      <c r="BO157" s="34" t="b">
        <f t="shared" si="85"/>
        <v>1</v>
      </c>
      <c r="BP157" s="34" t="b">
        <f t="shared" si="85"/>
        <v>1</v>
      </c>
      <c r="BQ157" s="34" t="b">
        <f t="shared" si="85"/>
        <v>1</v>
      </c>
      <c r="BR157" s="34" t="b">
        <f t="shared" si="85"/>
        <v>1</v>
      </c>
      <c r="BS157" s="34" t="b">
        <f t="shared" si="85"/>
        <v>1</v>
      </c>
      <c r="BT157" s="34" t="b">
        <f t="shared" si="85"/>
        <v>1</v>
      </c>
      <c r="BU157" s="34" t="b">
        <f t="shared" si="85"/>
        <v>1</v>
      </c>
      <c r="BV157" s="34" t="b">
        <f t="shared" si="85"/>
        <v>1</v>
      </c>
      <c r="BW157" s="34" t="b">
        <f t="shared" si="85"/>
        <v>1</v>
      </c>
      <c r="BX157" s="34" t="b">
        <f t="shared" si="85"/>
        <v>1</v>
      </c>
      <c r="BY157" s="34" t="b">
        <f t="shared" si="85"/>
        <v>1</v>
      </c>
      <c r="BZ157" s="34" t="b">
        <f t="shared" si="85"/>
        <v>1</v>
      </c>
      <c r="CA157" s="34" t="b">
        <f t="shared" si="85"/>
        <v>1</v>
      </c>
      <c r="CB157" s="34" t="b">
        <f t="shared" si="85"/>
        <v>1</v>
      </c>
      <c r="CC157" s="34" t="b">
        <f t="shared" si="85"/>
        <v>1</v>
      </c>
      <c r="CD157" s="34" t="b">
        <f t="shared" si="85"/>
        <v>1</v>
      </c>
      <c r="CE157" s="34" t="b">
        <f t="shared" si="85"/>
        <v>1</v>
      </c>
      <c r="CF157" s="34" t="b">
        <f t="shared" si="85"/>
        <v>1</v>
      </c>
    </row>
    <row r="158" spans="1:84" ht="12" customHeight="1" x14ac:dyDescent="0.3">
      <c r="A158" s="765"/>
      <c r="E158" s="258" t="str">
        <f>$AX$92</f>
        <v>Telitalálat: 10 p</v>
      </c>
      <c r="H158" s="670" t="str">
        <f t="shared" ref="H158:AK158" si="86">IF(OR(BC157,NOT($AS$20)),"",IF(AND(H156=$E156,H157=$E157),"ü",""))</f>
        <v/>
      </c>
      <c r="I158" s="671" t="str">
        <f t="shared" si="86"/>
        <v/>
      </c>
      <c r="J158" s="671" t="str">
        <f t="shared" si="86"/>
        <v/>
      </c>
      <c r="K158" s="671" t="str">
        <f t="shared" si="86"/>
        <v/>
      </c>
      <c r="L158" s="671" t="str">
        <f t="shared" si="86"/>
        <v/>
      </c>
      <c r="M158" s="671" t="str">
        <f t="shared" si="86"/>
        <v/>
      </c>
      <c r="N158" s="671" t="str">
        <f t="shared" si="86"/>
        <v/>
      </c>
      <c r="O158" s="671" t="str">
        <f t="shared" si="86"/>
        <v/>
      </c>
      <c r="P158" s="671" t="str">
        <f t="shared" si="86"/>
        <v/>
      </c>
      <c r="Q158" s="671" t="str">
        <f t="shared" si="86"/>
        <v/>
      </c>
      <c r="R158" s="671" t="str">
        <f t="shared" si="86"/>
        <v/>
      </c>
      <c r="S158" s="671" t="str">
        <f t="shared" si="86"/>
        <v/>
      </c>
      <c r="T158" s="671" t="str">
        <f t="shared" si="86"/>
        <v/>
      </c>
      <c r="U158" s="671" t="str">
        <f t="shared" si="86"/>
        <v/>
      </c>
      <c r="V158" s="671" t="str">
        <f t="shared" si="86"/>
        <v/>
      </c>
      <c r="W158" s="671" t="str">
        <f t="shared" si="86"/>
        <v/>
      </c>
      <c r="X158" s="671" t="str">
        <f t="shared" si="86"/>
        <v/>
      </c>
      <c r="Y158" s="671" t="str">
        <f t="shared" si="86"/>
        <v/>
      </c>
      <c r="Z158" s="671" t="str">
        <f t="shared" si="86"/>
        <v/>
      </c>
      <c r="AA158" s="671" t="str">
        <f t="shared" si="86"/>
        <v/>
      </c>
      <c r="AB158" s="671" t="str">
        <f t="shared" si="86"/>
        <v/>
      </c>
      <c r="AC158" s="671" t="str">
        <f t="shared" si="86"/>
        <v/>
      </c>
      <c r="AD158" s="671" t="str">
        <f t="shared" si="86"/>
        <v/>
      </c>
      <c r="AE158" s="671" t="str">
        <f t="shared" si="86"/>
        <v/>
      </c>
      <c r="AF158" s="671" t="str">
        <f t="shared" si="86"/>
        <v/>
      </c>
      <c r="AG158" s="671" t="str">
        <f t="shared" si="86"/>
        <v/>
      </c>
      <c r="AH158" s="671" t="str">
        <f t="shared" si="86"/>
        <v/>
      </c>
      <c r="AI158" s="671" t="str">
        <f t="shared" si="86"/>
        <v/>
      </c>
      <c r="AJ158" s="671" t="str">
        <f t="shared" si="86"/>
        <v/>
      </c>
      <c r="AK158" s="672" t="str">
        <f t="shared" si="86"/>
        <v/>
      </c>
      <c r="AL158" s="15"/>
      <c r="AM158" s="15"/>
      <c r="AP158" s="536"/>
      <c r="AR158" s="537"/>
      <c r="AS158" s="529"/>
      <c r="AW158" s="390" t="str">
        <f>""</f>
        <v/>
      </c>
      <c r="AX158" s="531"/>
      <c r="AY158" s="390" t="str">
        <f>""</f>
        <v/>
      </c>
      <c r="BD158" s="520"/>
      <c r="BE158" s="520"/>
      <c r="BF158" s="520"/>
      <c r="BG158" s="520"/>
      <c r="BH158" s="520"/>
      <c r="BI158" s="520"/>
      <c r="BJ158" s="520"/>
      <c r="BK158" s="520"/>
      <c r="BL158" s="520"/>
      <c r="BM158" s="520"/>
      <c r="BN158" s="520"/>
      <c r="BO158" s="520"/>
      <c r="BP158" s="520"/>
      <c r="BQ158" s="520"/>
      <c r="BR158" s="520"/>
      <c r="BS158" s="520"/>
      <c r="BT158" s="520"/>
      <c r="BU158" s="520"/>
      <c r="BV158" s="520"/>
      <c r="BW158" s="520"/>
      <c r="BX158" s="520"/>
      <c r="BY158" s="520"/>
    </row>
    <row r="159" spans="1:84" ht="12" customHeight="1" x14ac:dyDescent="0.3">
      <c r="A159" s="765"/>
      <c r="E159" s="258" t="str">
        <f>$AX$93</f>
        <v>Gólkülönbség: 6 p</v>
      </c>
      <c r="H159" s="673" t="str">
        <f t="shared" ref="H159:AK159" si="87">IF(OR(BC157,NOT($AS$22)),"",IF(AND(NOT($AS$32),H158="ü"),"",IF(H156-H157=$E156-$E157,"ü"," ")))</f>
        <v/>
      </c>
      <c r="I159" s="674" t="str">
        <f t="shared" si="87"/>
        <v/>
      </c>
      <c r="J159" s="674" t="str">
        <f t="shared" si="87"/>
        <v/>
      </c>
      <c r="K159" s="674" t="str">
        <f t="shared" si="87"/>
        <v/>
      </c>
      <c r="L159" s="674" t="str">
        <f t="shared" si="87"/>
        <v/>
      </c>
      <c r="M159" s="674" t="str">
        <f t="shared" si="87"/>
        <v/>
      </c>
      <c r="N159" s="674" t="str">
        <f t="shared" si="87"/>
        <v/>
      </c>
      <c r="O159" s="674" t="str">
        <f t="shared" si="87"/>
        <v/>
      </c>
      <c r="P159" s="674" t="str">
        <f t="shared" si="87"/>
        <v/>
      </c>
      <c r="Q159" s="674" t="str">
        <f t="shared" si="87"/>
        <v/>
      </c>
      <c r="R159" s="674" t="str">
        <f t="shared" si="87"/>
        <v/>
      </c>
      <c r="S159" s="674" t="str">
        <f t="shared" si="87"/>
        <v/>
      </c>
      <c r="T159" s="674" t="str">
        <f t="shared" si="87"/>
        <v/>
      </c>
      <c r="U159" s="674" t="str">
        <f t="shared" si="87"/>
        <v/>
      </c>
      <c r="V159" s="674" t="str">
        <f t="shared" si="87"/>
        <v/>
      </c>
      <c r="W159" s="674" t="str">
        <f t="shared" si="87"/>
        <v/>
      </c>
      <c r="X159" s="674" t="str">
        <f t="shared" si="87"/>
        <v/>
      </c>
      <c r="Y159" s="674" t="str">
        <f t="shared" si="87"/>
        <v/>
      </c>
      <c r="Z159" s="674" t="str">
        <f t="shared" si="87"/>
        <v/>
      </c>
      <c r="AA159" s="674" t="str">
        <f t="shared" si="87"/>
        <v/>
      </c>
      <c r="AB159" s="674" t="str">
        <f t="shared" si="87"/>
        <v/>
      </c>
      <c r="AC159" s="674" t="str">
        <f t="shared" si="87"/>
        <v/>
      </c>
      <c r="AD159" s="674" t="str">
        <f t="shared" si="87"/>
        <v/>
      </c>
      <c r="AE159" s="674" t="str">
        <f t="shared" si="87"/>
        <v/>
      </c>
      <c r="AF159" s="674" t="str">
        <f t="shared" si="87"/>
        <v/>
      </c>
      <c r="AG159" s="674" t="str">
        <f t="shared" si="87"/>
        <v/>
      </c>
      <c r="AH159" s="674" t="str">
        <f t="shared" si="87"/>
        <v/>
      </c>
      <c r="AI159" s="674" t="str">
        <f t="shared" si="87"/>
        <v/>
      </c>
      <c r="AJ159" s="674" t="str">
        <f t="shared" si="87"/>
        <v/>
      </c>
      <c r="AK159" s="675" t="str">
        <f t="shared" si="87"/>
        <v/>
      </c>
      <c r="AL159" s="15"/>
      <c r="AM159" s="15"/>
      <c r="AP159" s="536"/>
      <c r="AR159" s="537"/>
      <c r="AS159" s="529"/>
      <c r="AW159" s="390" t="str">
        <f>""</f>
        <v/>
      </c>
      <c r="AX159" s="531"/>
      <c r="AY159" s="390" t="str">
        <f>""</f>
        <v/>
      </c>
      <c r="BD159" s="520"/>
      <c r="BE159" s="520"/>
      <c r="BF159" s="520"/>
      <c r="BG159" s="520"/>
      <c r="BH159" s="520"/>
      <c r="BI159" s="520"/>
      <c r="BJ159" s="520"/>
      <c r="BK159" s="520"/>
      <c r="BL159" s="520"/>
      <c r="BM159" s="520"/>
      <c r="BN159" s="520"/>
      <c r="BO159" s="520"/>
      <c r="BP159" s="520"/>
      <c r="BQ159" s="520"/>
      <c r="BR159" s="520"/>
      <c r="BS159" s="520"/>
      <c r="BT159" s="520"/>
      <c r="BU159" s="520"/>
      <c r="BV159" s="520"/>
      <c r="BW159" s="520"/>
      <c r="BX159" s="520"/>
      <c r="BY159" s="520"/>
    </row>
    <row r="160" spans="1:84" ht="12" customHeight="1" x14ac:dyDescent="0.3">
      <c r="A160" s="765"/>
      <c r="E160" s="258" t="str">
        <f>$AX$94</f>
        <v>Mérkőzés kimenetele: 4 p</v>
      </c>
      <c r="H160" s="673" t="str">
        <f t="shared" ref="H160:AK160" si="88">IF(OR(BC157,NOT($AS$24)),"",IF(AND(NOT($AS$32),COUNTIF(H158:H159,"ü")&gt;0),"",IF(SIGN(H156-H157)=SIGN($E156-$E157),"ü"," ")))</f>
        <v/>
      </c>
      <c r="I160" s="674" t="str">
        <f t="shared" si="88"/>
        <v/>
      </c>
      <c r="J160" s="674" t="str">
        <f t="shared" si="88"/>
        <v/>
      </c>
      <c r="K160" s="674" t="str">
        <f t="shared" si="88"/>
        <v/>
      </c>
      <c r="L160" s="674" t="str">
        <f t="shared" si="88"/>
        <v/>
      </c>
      <c r="M160" s="674" t="str">
        <f t="shared" si="88"/>
        <v/>
      </c>
      <c r="N160" s="674" t="str">
        <f t="shared" si="88"/>
        <v/>
      </c>
      <c r="O160" s="674" t="str">
        <f t="shared" si="88"/>
        <v/>
      </c>
      <c r="P160" s="674" t="str">
        <f t="shared" si="88"/>
        <v/>
      </c>
      <c r="Q160" s="674" t="str">
        <f t="shared" si="88"/>
        <v/>
      </c>
      <c r="R160" s="674" t="str">
        <f t="shared" si="88"/>
        <v/>
      </c>
      <c r="S160" s="674" t="str">
        <f t="shared" si="88"/>
        <v/>
      </c>
      <c r="T160" s="674" t="str">
        <f t="shared" si="88"/>
        <v/>
      </c>
      <c r="U160" s="674" t="str">
        <f t="shared" si="88"/>
        <v/>
      </c>
      <c r="V160" s="674" t="str">
        <f t="shared" si="88"/>
        <v/>
      </c>
      <c r="W160" s="674" t="str">
        <f t="shared" si="88"/>
        <v/>
      </c>
      <c r="X160" s="674" t="str">
        <f t="shared" si="88"/>
        <v/>
      </c>
      <c r="Y160" s="674" t="str">
        <f t="shared" si="88"/>
        <v/>
      </c>
      <c r="Z160" s="674" t="str">
        <f t="shared" si="88"/>
        <v/>
      </c>
      <c r="AA160" s="674" t="str">
        <f t="shared" si="88"/>
        <v/>
      </c>
      <c r="AB160" s="674" t="str">
        <f t="shared" si="88"/>
        <v/>
      </c>
      <c r="AC160" s="674" t="str">
        <f t="shared" si="88"/>
        <v/>
      </c>
      <c r="AD160" s="674" t="str">
        <f t="shared" si="88"/>
        <v/>
      </c>
      <c r="AE160" s="674" t="str">
        <f t="shared" si="88"/>
        <v/>
      </c>
      <c r="AF160" s="674" t="str">
        <f t="shared" si="88"/>
        <v/>
      </c>
      <c r="AG160" s="674" t="str">
        <f t="shared" si="88"/>
        <v/>
      </c>
      <c r="AH160" s="674" t="str">
        <f t="shared" si="88"/>
        <v/>
      </c>
      <c r="AI160" s="674" t="str">
        <f t="shared" si="88"/>
        <v/>
      </c>
      <c r="AJ160" s="674" t="str">
        <f t="shared" si="88"/>
        <v/>
      </c>
      <c r="AK160" s="675" t="str">
        <f t="shared" si="88"/>
        <v/>
      </c>
      <c r="AL160" s="15"/>
      <c r="AM160" s="15"/>
      <c r="AP160" s="536"/>
      <c r="AR160" s="537"/>
      <c r="AS160" s="529"/>
      <c r="AW160" s="390" t="str">
        <f>""</f>
        <v/>
      </c>
      <c r="AX160" s="531"/>
      <c r="AY160" s="390" t="str">
        <f>""</f>
        <v/>
      </c>
      <c r="BD160" s="520"/>
      <c r="BE160" s="520"/>
      <c r="BF160" s="520"/>
      <c r="BG160" s="520"/>
      <c r="BH160" s="520"/>
      <c r="BI160" s="520"/>
      <c r="BJ160" s="520"/>
      <c r="BK160" s="520"/>
      <c r="BL160" s="520"/>
      <c r="BM160" s="520"/>
      <c r="BN160" s="520"/>
      <c r="BO160" s="520"/>
      <c r="BP160" s="520"/>
      <c r="BQ160" s="520"/>
      <c r="BR160" s="520"/>
      <c r="BS160" s="520"/>
      <c r="BT160" s="520"/>
      <c r="BU160" s="520"/>
      <c r="BV160" s="520"/>
      <c r="BW160" s="520"/>
      <c r="BX160" s="520"/>
      <c r="BY160" s="520"/>
    </row>
    <row r="161" spans="1:84" ht="12" customHeight="1" x14ac:dyDescent="0.3">
      <c r="A161" s="765"/>
      <c r="E161" s="258" t="str">
        <f>$AX$95</f>
        <v>Egyik csapat góljainak száma: 3 p</v>
      </c>
      <c r="H161" s="673" t="str">
        <f t="shared" ref="H161:AK161" si="89">IF(OR(BC157,NOT($AS$26)),"",IF(AND(NOT($AS$32),COUNTIF(H158:H160,"ü")&gt;0),"",IF(OR(H156=$E156,H157=$E157),"ü"," ")))</f>
        <v/>
      </c>
      <c r="I161" s="674" t="str">
        <f t="shared" si="89"/>
        <v/>
      </c>
      <c r="J161" s="674" t="str">
        <f t="shared" si="89"/>
        <v/>
      </c>
      <c r="K161" s="674" t="str">
        <f t="shared" si="89"/>
        <v/>
      </c>
      <c r="L161" s="674" t="str">
        <f t="shared" si="89"/>
        <v/>
      </c>
      <c r="M161" s="674" t="str">
        <f t="shared" si="89"/>
        <v/>
      </c>
      <c r="N161" s="674" t="str">
        <f t="shared" si="89"/>
        <v/>
      </c>
      <c r="O161" s="674" t="str">
        <f t="shared" si="89"/>
        <v/>
      </c>
      <c r="P161" s="674" t="str">
        <f t="shared" si="89"/>
        <v/>
      </c>
      <c r="Q161" s="674" t="str">
        <f t="shared" si="89"/>
        <v/>
      </c>
      <c r="R161" s="674" t="str">
        <f t="shared" si="89"/>
        <v/>
      </c>
      <c r="S161" s="674" t="str">
        <f t="shared" si="89"/>
        <v/>
      </c>
      <c r="T161" s="674" t="str">
        <f t="shared" si="89"/>
        <v/>
      </c>
      <c r="U161" s="674" t="str">
        <f t="shared" si="89"/>
        <v/>
      </c>
      <c r="V161" s="674" t="str">
        <f t="shared" si="89"/>
        <v/>
      </c>
      <c r="W161" s="674" t="str">
        <f t="shared" si="89"/>
        <v/>
      </c>
      <c r="X161" s="674" t="str">
        <f t="shared" si="89"/>
        <v/>
      </c>
      <c r="Y161" s="674" t="str">
        <f t="shared" si="89"/>
        <v/>
      </c>
      <c r="Z161" s="674" t="str">
        <f t="shared" si="89"/>
        <v/>
      </c>
      <c r="AA161" s="674" t="str">
        <f t="shared" si="89"/>
        <v/>
      </c>
      <c r="AB161" s="674" t="str">
        <f t="shared" si="89"/>
        <v/>
      </c>
      <c r="AC161" s="674" t="str">
        <f t="shared" si="89"/>
        <v/>
      </c>
      <c r="AD161" s="674" t="str">
        <f t="shared" si="89"/>
        <v/>
      </c>
      <c r="AE161" s="674" t="str">
        <f t="shared" si="89"/>
        <v/>
      </c>
      <c r="AF161" s="674" t="str">
        <f t="shared" si="89"/>
        <v/>
      </c>
      <c r="AG161" s="674" t="str">
        <f t="shared" si="89"/>
        <v/>
      </c>
      <c r="AH161" s="674" t="str">
        <f t="shared" si="89"/>
        <v/>
      </c>
      <c r="AI161" s="674" t="str">
        <f t="shared" si="89"/>
        <v/>
      </c>
      <c r="AJ161" s="674" t="str">
        <f t="shared" si="89"/>
        <v/>
      </c>
      <c r="AK161" s="675" t="str">
        <f t="shared" si="89"/>
        <v/>
      </c>
      <c r="AL161" s="15"/>
      <c r="AM161" s="15"/>
      <c r="AP161" s="536"/>
      <c r="AR161" s="537"/>
      <c r="AS161" s="529"/>
      <c r="AW161" s="390" t="str">
        <f>""</f>
        <v/>
      </c>
      <c r="AX161" s="531"/>
      <c r="AY161" s="390" t="str">
        <f>""</f>
        <v/>
      </c>
      <c r="BD161" s="520"/>
      <c r="BE161" s="520"/>
      <c r="BF161" s="520"/>
      <c r="BG161" s="520"/>
      <c r="BH161" s="520"/>
      <c r="BI161" s="520"/>
      <c r="BJ161" s="520"/>
      <c r="BK161" s="520"/>
      <c r="BL161" s="520"/>
      <c r="BM161" s="520"/>
      <c r="BN161" s="520"/>
      <c r="BO161" s="520"/>
      <c r="BP161" s="520"/>
      <c r="BQ161" s="520"/>
      <c r="BR161" s="520"/>
      <c r="BS161" s="520"/>
      <c r="BT161" s="520"/>
      <c r="BU161" s="520"/>
      <c r="BV161" s="520"/>
      <c r="BW161" s="520"/>
      <c r="BX161" s="520"/>
      <c r="BY161" s="520"/>
    </row>
    <row r="162" spans="1:84" ht="12" customHeight="1" x14ac:dyDescent="0.3">
      <c r="A162" s="765"/>
      <c r="E162" s="258" t="str">
        <f>$AX$96</f>
        <v>Összes gól: 2 p</v>
      </c>
      <c r="H162" s="673" t="str">
        <f t="shared" ref="H162:AK162" si="90">IF(OR(BC157,NOT($AS$28)),"",IF(AND(NOT($AS$32),COUNTIF(H158:H161,"ü")&gt;0),"",IF(H156+H157=$E156+$E157,"ü"," ")))</f>
        <v/>
      </c>
      <c r="I162" s="674" t="str">
        <f t="shared" si="90"/>
        <v/>
      </c>
      <c r="J162" s="674" t="str">
        <f t="shared" si="90"/>
        <v/>
      </c>
      <c r="K162" s="674" t="str">
        <f t="shared" si="90"/>
        <v/>
      </c>
      <c r="L162" s="674" t="str">
        <f t="shared" si="90"/>
        <v/>
      </c>
      <c r="M162" s="674" t="str">
        <f t="shared" si="90"/>
        <v/>
      </c>
      <c r="N162" s="674" t="str">
        <f t="shared" si="90"/>
        <v/>
      </c>
      <c r="O162" s="674" t="str">
        <f t="shared" si="90"/>
        <v/>
      </c>
      <c r="P162" s="674" t="str">
        <f t="shared" si="90"/>
        <v/>
      </c>
      <c r="Q162" s="674" t="str">
        <f t="shared" si="90"/>
        <v/>
      </c>
      <c r="R162" s="674" t="str">
        <f t="shared" si="90"/>
        <v/>
      </c>
      <c r="S162" s="674" t="str">
        <f t="shared" si="90"/>
        <v/>
      </c>
      <c r="T162" s="674" t="str">
        <f t="shared" si="90"/>
        <v/>
      </c>
      <c r="U162" s="674" t="str">
        <f t="shared" si="90"/>
        <v/>
      </c>
      <c r="V162" s="674" t="str">
        <f t="shared" si="90"/>
        <v/>
      </c>
      <c r="W162" s="674" t="str">
        <f t="shared" si="90"/>
        <v/>
      </c>
      <c r="X162" s="674" t="str">
        <f t="shared" si="90"/>
        <v/>
      </c>
      <c r="Y162" s="674" t="str">
        <f t="shared" si="90"/>
        <v/>
      </c>
      <c r="Z162" s="674" t="str">
        <f t="shared" si="90"/>
        <v/>
      </c>
      <c r="AA162" s="674" t="str">
        <f t="shared" si="90"/>
        <v/>
      </c>
      <c r="AB162" s="674" t="str">
        <f t="shared" si="90"/>
        <v/>
      </c>
      <c r="AC162" s="674" t="str">
        <f t="shared" si="90"/>
        <v/>
      </c>
      <c r="AD162" s="674" t="str">
        <f t="shared" si="90"/>
        <v/>
      </c>
      <c r="AE162" s="674" t="str">
        <f t="shared" si="90"/>
        <v/>
      </c>
      <c r="AF162" s="674" t="str">
        <f t="shared" si="90"/>
        <v/>
      </c>
      <c r="AG162" s="674" t="str">
        <f t="shared" si="90"/>
        <v/>
      </c>
      <c r="AH162" s="674" t="str">
        <f t="shared" si="90"/>
        <v/>
      </c>
      <c r="AI162" s="674" t="str">
        <f t="shared" si="90"/>
        <v/>
      </c>
      <c r="AJ162" s="674" t="str">
        <f t="shared" si="90"/>
        <v/>
      </c>
      <c r="AK162" s="675" t="str">
        <f t="shared" si="90"/>
        <v/>
      </c>
      <c r="AL162" s="15"/>
      <c r="AM162" s="15"/>
      <c r="AP162" s="536"/>
      <c r="AR162" s="537"/>
      <c r="AS162" s="529"/>
      <c r="AW162" s="390" t="str">
        <f>""</f>
        <v/>
      </c>
      <c r="AX162" s="531"/>
      <c r="AY162" s="390" t="str">
        <f>""</f>
        <v/>
      </c>
      <c r="BD162" s="520"/>
      <c r="BE162" s="520"/>
      <c r="BF162" s="520"/>
      <c r="BG162" s="520"/>
      <c r="BH162" s="520"/>
      <c r="BI162" s="520"/>
      <c r="BJ162" s="520"/>
      <c r="BK162" s="520"/>
      <c r="BL162" s="520"/>
      <c r="BM162" s="520"/>
      <c r="BN162" s="520"/>
      <c r="BO162" s="520"/>
      <c r="BP162" s="520"/>
      <c r="BQ162" s="520"/>
      <c r="BR162" s="520"/>
      <c r="BS162" s="520"/>
      <c r="BT162" s="520"/>
      <c r="BU162" s="520"/>
      <c r="BV162" s="520"/>
      <c r="BW162" s="520"/>
      <c r="BX162" s="520"/>
      <c r="BY162" s="520"/>
    </row>
    <row r="163" spans="1:84" ht="12" customHeight="1" x14ac:dyDescent="0.3">
      <c r="A163" s="765"/>
      <c r="E163" s="258" t="str">
        <f>$AX$97</f>
        <v>Fordított gólkülönbség: 1 p</v>
      </c>
      <c r="H163" s="676" t="str">
        <f t="shared" ref="H163:AK163" si="91">IF(OR(BC157,NOT($AS$30)),"",IF(AND(NOT($AS$32),COUNTIF(H158:H162,"ü")&gt;0),"",IF(AND(H156-H157=$E157-$E156,H156&lt;&gt;H157),"ü"," ")))</f>
        <v/>
      </c>
      <c r="I163" s="677" t="str">
        <f t="shared" si="91"/>
        <v/>
      </c>
      <c r="J163" s="677" t="str">
        <f t="shared" si="91"/>
        <v/>
      </c>
      <c r="K163" s="677" t="str">
        <f t="shared" si="91"/>
        <v/>
      </c>
      <c r="L163" s="677" t="str">
        <f t="shared" si="91"/>
        <v/>
      </c>
      <c r="M163" s="677" t="str">
        <f t="shared" si="91"/>
        <v/>
      </c>
      <c r="N163" s="677" t="str">
        <f t="shared" si="91"/>
        <v/>
      </c>
      <c r="O163" s="677" t="str">
        <f t="shared" si="91"/>
        <v/>
      </c>
      <c r="P163" s="677" t="str">
        <f t="shared" si="91"/>
        <v/>
      </c>
      <c r="Q163" s="677" t="str">
        <f t="shared" si="91"/>
        <v/>
      </c>
      <c r="R163" s="677" t="str">
        <f t="shared" si="91"/>
        <v/>
      </c>
      <c r="S163" s="677" t="str">
        <f t="shared" si="91"/>
        <v/>
      </c>
      <c r="T163" s="677" t="str">
        <f t="shared" si="91"/>
        <v/>
      </c>
      <c r="U163" s="677" t="str">
        <f t="shared" si="91"/>
        <v/>
      </c>
      <c r="V163" s="677" t="str">
        <f t="shared" si="91"/>
        <v/>
      </c>
      <c r="W163" s="677" t="str">
        <f t="shared" si="91"/>
        <v/>
      </c>
      <c r="X163" s="677" t="str">
        <f t="shared" si="91"/>
        <v/>
      </c>
      <c r="Y163" s="677" t="str">
        <f t="shared" si="91"/>
        <v/>
      </c>
      <c r="Z163" s="677" t="str">
        <f t="shared" si="91"/>
        <v/>
      </c>
      <c r="AA163" s="677" t="str">
        <f t="shared" si="91"/>
        <v/>
      </c>
      <c r="AB163" s="677" t="str">
        <f t="shared" si="91"/>
        <v/>
      </c>
      <c r="AC163" s="677" t="str">
        <f t="shared" si="91"/>
        <v/>
      </c>
      <c r="AD163" s="677" t="str">
        <f t="shared" si="91"/>
        <v/>
      </c>
      <c r="AE163" s="677" t="str">
        <f t="shared" si="91"/>
        <v/>
      </c>
      <c r="AF163" s="677" t="str">
        <f t="shared" si="91"/>
        <v/>
      </c>
      <c r="AG163" s="677" t="str">
        <f t="shared" si="91"/>
        <v/>
      </c>
      <c r="AH163" s="677" t="str">
        <f t="shared" si="91"/>
        <v/>
      </c>
      <c r="AI163" s="677" t="str">
        <f t="shared" si="91"/>
        <v/>
      </c>
      <c r="AJ163" s="677" t="str">
        <f t="shared" si="91"/>
        <v/>
      </c>
      <c r="AK163" s="678" t="str">
        <f t="shared" si="91"/>
        <v/>
      </c>
      <c r="AL163" s="15"/>
      <c r="AM163" s="15"/>
      <c r="AP163" s="536"/>
      <c r="AR163" s="537"/>
      <c r="AS163" s="529"/>
      <c r="AW163" s="390" t="str">
        <f>""</f>
        <v/>
      </c>
      <c r="AX163" s="531"/>
      <c r="AY163" s="390" t="str">
        <f>""</f>
        <v/>
      </c>
      <c r="BD163" s="520"/>
      <c r="BE163" s="520"/>
      <c r="BF163" s="520"/>
      <c r="BG163" s="520"/>
      <c r="BH163" s="520"/>
      <c r="BI163" s="520"/>
      <c r="BJ163" s="520"/>
      <c r="BK163" s="520"/>
      <c r="BL163" s="520"/>
      <c r="BM163" s="520"/>
      <c r="BN163" s="520"/>
      <c r="BO163" s="520"/>
      <c r="BP163" s="520"/>
      <c r="BQ163" s="520"/>
      <c r="BR163" s="520"/>
      <c r="BS163" s="520"/>
      <c r="BT163" s="520"/>
      <c r="BU163" s="520"/>
      <c r="BV163" s="520"/>
      <c r="BW163" s="520"/>
      <c r="BX163" s="520"/>
      <c r="BY163" s="520"/>
    </row>
    <row r="164" spans="1:84" ht="15" customHeight="1" x14ac:dyDescent="0.3">
      <c r="A164" s="765"/>
      <c r="E164" s="79" t="s">
        <v>799</v>
      </c>
      <c r="H164" s="679">
        <f t="shared" ref="H164:AK164" si="92">IF(NOT(H$13),"",SUMPRODUCT((H158:H163="ü")*($AW$92:$AW$97)))</f>
        <v>0</v>
      </c>
      <c r="I164" s="680">
        <f t="shared" si="92"/>
        <v>0</v>
      </c>
      <c r="J164" s="680">
        <f t="shared" si="92"/>
        <v>0</v>
      </c>
      <c r="K164" s="680">
        <f t="shared" si="92"/>
        <v>0</v>
      </c>
      <c r="L164" s="680">
        <f t="shared" si="92"/>
        <v>0</v>
      </c>
      <c r="M164" s="680">
        <f t="shared" si="92"/>
        <v>0</v>
      </c>
      <c r="N164" s="680">
        <f t="shared" si="92"/>
        <v>0</v>
      </c>
      <c r="O164" s="680">
        <f t="shared" si="92"/>
        <v>0</v>
      </c>
      <c r="P164" s="680">
        <f t="shared" si="92"/>
        <v>0</v>
      </c>
      <c r="Q164" s="680">
        <f t="shared" si="92"/>
        <v>0</v>
      </c>
      <c r="R164" s="680">
        <f t="shared" si="92"/>
        <v>0</v>
      </c>
      <c r="S164" s="680">
        <f t="shared" si="92"/>
        <v>0</v>
      </c>
      <c r="T164" s="680">
        <f t="shared" si="92"/>
        <v>0</v>
      </c>
      <c r="U164" s="680">
        <f t="shared" si="92"/>
        <v>0</v>
      </c>
      <c r="V164" s="680">
        <f t="shared" si="92"/>
        <v>0</v>
      </c>
      <c r="W164" s="680">
        <f t="shared" si="92"/>
        <v>0</v>
      </c>
      <c r="X164" s="680">
        <f t="shared" si="92"/>
        <v>0</v>
      </c>
      <c r="Y164" s="680">
        <f t="shared" si="92"/>
        <v>0</v>
      </c>
      <c r="Z164" s="680">
        <f t="shared" si="92"/>
        <v>0</v>
      </c>
      <c r="AA164" s="680">
        <f t="shared" si="92"/>
        <v>0</v>
      </c>
      <c r="AB164" s="680">
        <f t="shared" si="92"/>
        <v>0</v>
      </c>
      <c r="AC164" s="680">
        <f t="shared" si="92"/>
        <v>0</v>
      </c>
      <c r="AD164" s="680">
        <f t="shared" si="92"/>
        <v>0</v>
      </c>
      <c r="AE164" s="680" t="str">
        <f t="shared" si="92"/>
        <v/>
      </c>
      <c r="AF164" s="680" t="str">
        <f t="shared" si="92"/>
        <v/>
      </c>
      <c r="AG164" s="680" t="str">
        <f t="shared" si="92"/>
        <v/>
      </c>
      <c r="AH164" s="680" t="str">
        <f t="shared" si="92"/>
        <v/>
      </c>
      <c r="AI164" s="680" t="str">
        <f t="shared" si="92"/>
        <v/>
      </c>
      <c r="AJ164" s="680" t="str">
        <f t="shared" si="92"/>
        <v/>
      </c>
      <c r="AK164" s="681" t="str">
        <f t="shared" si="92"/>
        <v/>
      </c>
      <c r="AP164" s="536"/>
      <c r="AR164" s="537"/>
      <c r="AS164" s="529"/>
    </row>
    <row r="165" spans="1:84" ht="9" customHeight="1" x14ac:dyDescent="0.3">
      <c r="A165" s="765"/>
      <c r="D165" s="15"/>
      <c r="E165" s="15"/>
      <c r="F165" s="15"/>
      <c r="G165" s="15"/>
      <c r="H165" s="15"/>
      <c r="I165" s="16"/>
      <c r="J165" s="15"/>
      <c r="K165" s="15"/>
      <c r="L165" s="16"/>
      <c r="M165" s="15"/>
      <c r="N165" s="15"/>
      <c r="O165" s="16"/>
      <c r="P165" s="15"/>
      <c r="Q165" s="15"/>
      <c r="R165" s="16"/>
      <c r="S165" s="15"/>
      <c r="T165" s="15"/>
      <c r="U165" s="16"/>
      <c r="V165" s="15"/>
      <c r="W165" s="15"/>
      <c r="X165" s="16"/>
      <c r="Y165" s="15"/>
      <c r="Z165" s="15"/>
      <c r="AA165" s="16"/>
      <c r="AB165" s="15"/>
      <c r="AC165" s="15"/>
      <c r="AD165" s="16"/>
      <c r="AE165" s="15"/>
      <c r="AF165" s="15"/>
      <c r="AG165" s="16"/>
      <c r="AH165" s="15"/>
      <c r="AI165" s="15"/>
      <c r="AJ165" s="16"/>
      <c r="AK165" s="15"/>
      <c r="AP165" s="536"/>
      <c r="AR165" s="537"/>
      <c r="AS165" s="529"/>
    </row>
    <row r="166" spans="1:84" ht="15" customHeight="1" x14ac:dyDescent="0.3">
      <c r="A166" s="765"/>
      <c r="C166" s="27" t="str">
        <f>" "&amp;VLOOKUP(AQ167,schedule,18,FALSE)&amp;"  ("&amp;VLOOKUP(AQ167,schedule,3,FALSE)&amp;" CSOPORT)"</f>
        <v xml:space="preserve"> JÚNIUS 14. – HÉTFŐ 15:00  (D CSOPORT)</v>
      </c>
      <c r="D166" s="27"/>
      <c r="E166" s="26"/>
      <c r="F166" s="26"/>
      <c r="G166" s="26"/>
      <c r="H166" s="26"/>
      <c r="I166" s="26"/>
      <c r="J166" s="26"/>
      <c r="AP166" s="536"/>
      <c r="AR166" s="537"/>
      <c r="AS166" s="529"/>
    </row>
    <row r="167" spans="1:84" ht="15" customHeight="1" x14ac:dyDescent="0.3">
      <c r="A167" s="765"/>
      <c r="C167" s="661"/>
      <c r="D167" s="662" t="str">
        <f>IF(INDEX(n.er,$AR167,8)="","",INDEX(n.er,$AR167,8))</f>
        <v>Skócia</v>
      </c>
      <c r="E167" s="663" t="str">
        <f>IF(NOT($AS167),"",INDEX(n.er,$AR167,9))</f>
        <v/>
      </c>
      <c r="F167" s="662"/>
      <c r="G167" s="259"/>
      <c r="H167" s="664">
        <v>0</v>
      </c>
      <c r="I167" s="665">
        <v>0</v>
      </c>
      <c r="J167" s="665">
        <v>1</v>
      </c>
      <c r="K167" s="665">
        <v>0</v>
      </c>
      <c r="L167" s="665">
        <v>0</v>
      </c>
      <c r="M167" s="665">
        <v>1</v>
      </c>
      <c r="N167" s="665">
        <v>0</v>
      </c>
      <c r="O167" s="665">
        <v>0</v>
      </c>
      <c r="P167" s="665">
        <v>1</v>
      </c>
      <c r="Q167" s="665">
        <v>1</v>
      </c>
      <c r="R167" s="665">
        <v>1</v>
      </c>
      <c r="S167" s="665">
        <v>0</v>
      </c>
      <c r="T167" s="665">
        <v>0</v>
      </c>
      <c r="U167" s="665">
        <v>2</v>
      </c>
      <c r="V167" s="665">
        <v>1</v>
      </c>
      <c r="W167" s="665">
        <v>1</v>
      </c>
      <c r="X167" s="665">
        <v>1</v>
      </c>
      <c r="Y167" s="665">
        <v>2</v>
      </c>
      <c r="Z167" s="665">
        <v>1</v>
      </c>
      <c r="AA167" s="665">
        <v>1</v>
      </c>
      <c r="AB167" s="665">
        <v>1</v>
      </c>
      <c r="AC167" s="665">
        <v>3</v>
      </c>
      <c r="AD167" s="665">
        <v>1</v>
      </c>
      <c r="AE167" s="665"/>
      <c r="AF167" s="665"/>
      <c r="AG167" s="665"/>
      <c r="AH167" s="665"/>
      <c r="AI167" s="665"/>
      <c r="AJ167" s="665"/>
      <c r="AK167" s="666"/>
      <c r="AP167" s="52">
        <f>AP156+1</f>
        <v>8</v>
      </c>
      <c r="AQ167" s="311">
        <f>INDEX(schedule,AP167,1)</f>
        <v>8</v>
      </c>
      <c r="AR167" s="311">
        <f>MATCH(AQ167,n.er.index,0)</f>
        <v>20</v>
      </c>
      <c r="AS167" s="532" t="b">
        <f>INDEX(n.er,$AR167,3)</f>
        <v>0</v>
      </c>
      <c r="AT167" s="531"/>
      <c r="AU167" s="531"/>
      <c r="AV167" s="531"/>
      <c r="AW167" s="531"/>
      <c r="AX167" s="531"/>
      <c r="BC167" s="525" t="b">
        <f t="shared" ref="BC167:CF167" si="93">IF(AND(ISNUMBER(H167),ISNUMBER(H168),H167&lt;&gt;"",H168&lt;&gt;""),AND(H167&gt;=0,H168&gt;=0,MOD(H167+H168,1)=0),FALSE)</f>
        <v>1</v>
      </c>
      <c r="BD167" s="525" t="b">
        <f t="shared" si="93"/>
        <v>1</v>
      </c>
      <c r="BE167" s="525" t="b">
        <f t="shared" si="93"/>
        <v>1</v>
      </c>
      <c r="BF167" s="525" t="b">
        <f t="shared" si="93"/>
        <v>1</v>
      </c>
      <c r="BG167" s="525" t="b">
        <f t="shared" si="93"/>
        <v>1</v>
      </c>
      <c r="BH167" s="525" t="b">
        <f t="shared" si="93"/>
        <v>1</v>
      </c>
      <c r="BI167" s="525" t="b">
        <f t="shared" si="93"/>
        <v>1</v>
      </c>
      <c r="BJ167" s="525" t="b">
        <f t="shared" si="93"/>
        <v>1</v>
      </c>
      <c r="BK167" s="525" t="b">
        <f t="shared" si="93"/>
        <v>1</v>
      </c>
      <c r="BL167" s="525" t="b">
        <f t="shared" si="93"/>
        <v>1</v>
      </c>
      <c r="BM167" s="525" t="b">
        <f t="shared" si="93"/>
        <v>1</v>
      </c>
      <c r="BN167" s="525" t="b">
        <f t="shared" si="93"/>
        <v>1</v>
      </c>
      <c r="BO167" s="525" t="b">
        <f t="shared" si="93"/>
        <v>1</v>
      </c>
      <c r="BP167" s="525" t="b">
        <f t="shared" si="93"/>
        <v>1</v>
      </c>
      <c r="BQ167" s="525" t="b">
        <f t="shared" si="93"/>
        <v>1</v>
      </c>
      <c r="BR167" s="525" t="b">
        <f t="shared" si="93"/>
        <v>1</v>
      </c>
      <c r="BS167" s="525" t="b">
        <f t="shared" si="93"/>
        <v>1</v>
      </c>
      <c r="BT167" s="525" t="b">
        <f t="shared" si="93"/>
        <v>1</v>
      </c>
      <c r="BU167" s="525" t="b">
        <f t="shared" si="93"/>
        <v>1</v>
      </c>
      <c r="BV167" s="525" t="b">
        <f t="shared" si="93"/>
        <v>1</v>
      </c>
      <c r="BW167" s="525" t="b">
        <f t="shared" si="93"/>
        <v>1</v>
      </c>
      <c r="BX167" s="525" t="b">
        <f t="shared" si="93"/>
        <v>1</v>
      </c>
      <c r="BY167" s="525" t="b">
        <f t="shared" si="93"/>
        <v>1</v>
      </c>
      <c r="BZ167" s="525" t="b">
        <f t="shared" si="93"/>
        <v>0</v>
      </c>
      <c r="CA167" s="525" t="b">
        <f t="shared" si="93"/>
        <v>0</v>
      </c>
      <c r="CB167" s="525" t="b">
        <f t="shared" si="93"/>
        <v>0</v>
      </c>
      <c r="CC167" s="525" t="b">
        <f t="shared" si="93"/>
        <v>0</v>
      </c>
      <c r="CD167" s="525" t="b">
        <f t="shared" si="93"/>
        <v>0</v>
      </c>
      <c r="CE167" s="525" t="b">
        <f t="shared" si="93"/>
        <v>0</v>
      </c>
      <c r="CF167" s="525" t="b">
        <f t="shared" si="93"/>
        <v>0</v>
      </c>
    </row>
    <row r="168" spans="1:84" ht="15" customHeight="1" x14ac:dyDescent="0.3">
      <c r="A168" s="765"/>
      <c r="C168" s="695"/>
      <c r="D168" s="696" t="str">
        <f>IF(INDEX(n.er,$AR167,11)="","",INDEX(n.er,$AR167,11))</f>
        <v>Csehország</v>
      </c>
      <c r="E168" s="697" t="str">
        <f>IF(NOT($AS167),"",INDEX(n.er,$AR167,10))</f>
        <v/>
      </c>
      <c r="F168" s="696"/>
      <c r="G168" s="259"/>
      <c r="H168" s="667">
        <v>0</v>
      </c>
      <c r="I168" s="668">
        <v>2</v>
      </c>
      <c r="J168" s="668">
        <v>1</v>
      </c>
      <c r="K168" s="668">
        <v>0</v>
      </c>
      <c r="L168" s="668">
        <v>0</v>
      </c>
      <c r="M168" s="668">
        <v>2</v>
      </c>
      <c r="N168" s="668">
        <v>1</v>
      </c>
      <c r="O168" s="668">
        <v>1</v>
      </c>
      <c r="P168" s="668">
        <v>2</v>
      </c>
      <c r="Q168" s="668">
        <v>2</v>
      </c>
      <c r="R168" s="668">
        <v>2</v>
      </c>
      <c r="S168" s="668">
        <v>1</v>
      </c>
      <c r="T168" s="668">
        <v>2</v>
      </c>
      <c r="U168" s="668">
        <v>2</v>
      </c>
      <c r="V168" s="668">
        <v>1</v>
      </c>
      <c r="W168" s="668">
        <v>1</v>
      </c>
      <c r="X168" s="668">
        <v>2</v>
      </c>
      <c r="Y168" s="668">
        <v>0</v>
      </c>
      <c r="Z168" s="668">
        <v>1</v>
      </c>
      <c r="AA168" s="668">
        <v>2</v>
      </c>
      <c r="AB168" s="668">
        <v>1</v>
      </c>
      <c r="AC168" s="668">
        <v>1</v>
      </c>
      <c r="AD168" s="668">
        <v>1</v>
      </c>
      <c r="AE168" s="668"/>
      <c r="AF168" s="668"/>
      <c r="AG168" s="668"/>
      <c r="AH168" s="668"/>
      <c r="AI168" s="668"/>
      <c r="AJ168" s="668"/>
      <c r="AK168" s="669"/>
      <c r="AP168" s="533"/>
      <c r="AQ168" s="577"/>
      <c r="AR168" s="534"/>
      <c r="AS168" s="535"/>
      <c r="AX168" s="531"/>
      <c r="BC168" s="34" t="b">
        <f t="shared" ref="BC168:CF168" si="94">OR(NOT(H$13),NOT($AS167),NOT(BC167))</f>
        <v>1</v>
      </c>
      <c r="BD168" s="34" t="b">
        <f t="shared" si="94"/>
        <v>1</v>
      </c>
      <c r="BE168" s="34" t="b">
        <f t="shared" si="94"/>
        <v>1</v>
      </c>
      <c r="BF168" s="34" t="b">
        <f t="shared" si="94"/>
        <v>1</v>
      </c>
      <c r="BG168" s="34" t="b">
        <f t="shared" si="94"/>
        <v>1</v>
      </c>
      <c r="BH168" s="34" t="b">
        <f t="shared" si="94"/>
        <v>1</v>
      </c>
      <c r="BI168" s="34" t="b">
        <f t="shared" si="94"/>
        <v>1</v>
      </c>
      <c r="BJ168" s="34" t="b">
        <f t="shared" si="94"/>
        <v>1</v>
      </c>
      <c r="BK168" s="34" t="b">
        <f t="shared" si="94"/>
        <v>1</v>
      </c>
      <c r="BL168" s="34" t="b">
        <f t="shared" si="94"/>
        <v>1</v>
      </c>
      <c r="BM168" s="34" t="b">
        <f t="shared" si="94"/>
        <v>1</v>
      </c>
      <c r="BN168" s="34" t="b">
        <f t="shared" si="94"/>
        <v>1</v>
      </c>
      <c r="BO168" s="34" t="b">
        <f t="shared" si="94"/>
        <v>1</v>
      </c>
      <c r="BP168" s="34" t="b">
        <f t="shared" si="94"/>
        <v>1</v>
      </c>
      <c r="BQ168" s="34" t="b">
        <f t="shared" si="94"/>
        <v>1</v>
      </c>
      <c r="BR168" s="34" t="b">
        <f t="shared" si="94"/>
        <v>1</v>
      </c>
      <c r="BS168" s="34" t="b">
        <f t="shared" si="94"/>
        <v>1</v>
      </c>
      <c r="BT168" s="34" t="b">
        <f t="shared" si="94"/>
        <v>1</v>
      </c>
      <c r="BU168" s="34" t="b">
        <f t="shared" si="94"/>
        <v>1</v>
      </c>
      <c r="BV168" s="34" t="b">
        <f t="shared" si="94"/>
        <v>1</v>
      </c>
      <c r="BW168" s="34" t="b">
        <f t="shared" si="94"/>
        <v>1</v>
      </c>
      <c r="BX168" s="34" t="b">
        <f t="shared" si="94"/>
        <v>1</v>
      </c>
      <c r="BY168" s="34" t="b">
        <f t="shared" si="94"/>
        <v>1</v>
      </c>
      <c r="BZ168" s="34" t="b">
        <f t="shared" si="94"/>
        <v>1</v>
      </c>
      <c r="CA168" s="34" t="b">
        <f t="shared" si="94"/>
        <v>1</v>
      </c>
      <c r="CB168" s="34" t="b">
        <f t="shared" si="94"/>
        <v>1</v>
      </c>
      <c r="CC168" s="34" t="b">
        <f t="shared" si="94"/>
        <v>1</v>
      </c>
      <c r="CD168" s="34" t="b">
        <f t="shared" si="94"/>
        <v>1</v>
      </c>
      <c r="CE168" s="34" t="b">
        <f t="shared" si="94"/>
        <v>1</v>
      </c>
      <c r="CF168" s="34" t="b">
        <f t="shared" si="94"/>
        <v>1</v>
      </c>
    </row>
    <row r="169" spans="1:84" ht="12" customHeight="1" x14ac:dyDescent="0.3">
      <c r="A169" s="765"/>
      <c r="E169" s="258" t="str">
        <f>$AX$92</f>
        <v>Telitalálat: 10 p</v>
      </c>
      <c r="H169" s="670" t="str">
        <f t="shared" ref="H169:AK169" si="95">IF(OR(BC168,NOT($AS$20)),"",IF(AND(H167=$E167,H168=$E168),"ü",""))</f>
        <v/>
      </c>
      <c r="I169" s="671" t="str">
        <f t="shared" si="95"/>
        <v/>
      </c>
      <c r="J169" s="671" t="str">
        <f t="shared" si="95"/>
        <v/>
      </c>
      <c r="K169" s="671" t="str">
        <f t="shared" si="95"/>
        <v/>
      </c>
      <c r="L169" s="671" t="str">
        <f t="shared" si="95"/>
        <v/>
      </c>
      <c r="M169" s="671" t="str">
        <f t="shared" si="95"/>
        <v/>
      </c>
      <c r="N169" s="671" t="str">
        <f t="shared" si="95"/>
        <v/>
      </c>
      <c r="O169" s="671" t="str">
        <f t="shared" si="95"/>
        <v/>
      </c>
      <c r="P169" s="671" t="str">
        <f t="shared" si="95"/>
        <v/>
      </c>
      <c r="Q169" s="671" t="str">
        <f t="shared" si="95"/>
        <v/>
      </c>
      <c r="R169" s="671" t="str">
        <f t="shared" si="95"/>
        <v/>
      </c>
      <c r="S169" s="671" t="str">
        <f t="shared" si="95"/>
        <v/>
      </c>
      <c r="T169" s="671" t="str">
        <f t="shared" si="95"/>
        <v/>
      </c>
      <c r="U169" s="671" t="str">
        <f t="shared" si="95"/>
        <v/>
      </c>
      <c r="V169" s="671" t="str">
        <f t="shared" si="95"/>
        <v/>
      </c>
      <c r="W169" s="671" t="str">
        <f t="shared" si="95"/>
        <v/>
      </c>
      <c r="X169" s="671" t="str">
        <f t="shared" si="95"/>
        <v/>
      </c>
      <c r="Y169" s="671" t="str">
        <f t="shared" si="95"/>
        <v/>
      </c>
      <c r="Z169" s="671" t="str">
        <f t="shared" si="95"/>
        <v/>
      </c>
      <c r="AA169" s="671" t="str">
        <f t="shared" si="95"/>
        <v/>
      </c>
      <c r="AB169" s="671" t="str">
        <f t="shared" si="95"/>
        <v/>
      </c>
      <c r="AC169" s="671" t="str">
        <f t="shared" si="95"/>
        <v/>
      </c>
      <c r="AD169" s="671" t="str">
        <f t="shared" si="95"/>
        <v/>
      </c>
      <c r="AE169" s="671" t="str">
        <f t="shared" si="95"/>
        <v/>
      </c>
      <c r="AF169" s="671" t="str">
        <f t="shared" si="95"/>
        <v/>
      </c>
      <c r="AG169" s="671" t="str">
        <f t="shared" si="95"/>
        <v/>
      </c>
      <c r="AH169" s="671" t="str">
        <f t="shared" si="95"/>
        <v/>
      </c>
      <c r="AI169" s="671" t="str">
        <f t="shared" si="95"/>
        <v/>
      </c>
      <c r="AJ169" s="671" t="str">
        <f t="shared" si="95"/>
        <v/>
      </c>
      <c r="AK169" s="672" t="str">
        <f t="shared" si="95"/>
        <v/>
      </c>
      <c r="AL169" s="15"/>
      <c r="AM169" s="15"/>
      <c r="AP169" s="536"/>
      <c r="AR169" s="537"/>
      <c r="AS169" s="529"/>
      <c r="AW169" s="390" t="str">
        <f>""</f>
        <v/>
      </c>
      <c r="AX169" s="531"/>
      <c r="AY169" s="390" t="str">
        <f>""</f>
        <v/>
      </c>
      <c r="BD169" s="520"/>
      <c r="BE169" s="520"/>
      <c r="BF169" s="520"/>
      <c r="BG169" s="520"/>
      <c r="BH169" s="520"/>
      <c r="BI169" s="520"/>
      <c r="BJ169" s="520"/>
      <c r="BK169" s="520"/>
      <c r="BL169" s="520"/>
      <c r="BM169" s="520"/>
      <c r="BN169" s="520"/>
      <c r="BO169" s="520"/>
      <c r="BP169" s="520"/>
      <c r="BQ169" s="520"/>
      <c r="BR169" s="520"/>
      <c r="BS169" s="520"/>
      <c r="BT169" s="520"/>
      <c r="BU169" s="520"/>
      <c r="BV169" s="520"/>
      <c r="BW169" s="520"/>
      <c r="BX169" s="520"/>
      <c r="BY169" s="520"/>
    </row>
    <row r="170" spans="1:84" ht="12" customHeight="1" x14ac:dyDescent="0.3">
      <c r="A170" s="765"/>
      <c r="E170" s="258" t="str">
        <f>$AX$93</f>
        <v>Gólkülönbség: 6 p</v>
      </c>
      <c r="H170" s="673" t="str">
        <f t="shared" ref="H170:AK170" si="96">IF(OR(BC168,NOT($AS$22)),"",IF(AND(NOT($AS$32),H169="ü"),"",IF(H167-H168=$E167-$E168,"ü"," ")))</f>
        <v/>
      </c>
      <c r="I170" s="674" t="str">
        <f t="shared" si="96"/>
        <v/>
      </c>
      <c r="J170" s="674" t="str">
        <f t="shared" si="96"/>
        <v/>
      </c>
      <c r="K170" s="674" t="str">
        <f t="shared" si="96"/>
        <v/>
      </c>
      <c r="L170" s="674" t="str">
        <f t="shared" si="96"/>
        <v/>
      </c>
      <c r="M170" s="674" t="str">
        <f t="shared" si="96"/>
        <v/>
      </c>
      <c r="N170" s="674" t="str">
        <f t="shared" si="96"/>
        <v/>
      </c>
      <c r="O170" s="674" t="str">
        <f t="shared" si="96"/>
        <v/>
      </c>
      <c r="P170" s="674" t="str">
        <f t="shared" si="96"/>
        <v/>
      </c>
      <c r="Q170" s="674" t="str">
        <f t="shared" si="96"/>
        <v/>
      </c>
      <c r="R170" s="674" t="str">
        <f t="shared" si="96"/>
        <v/>
      </c>
      <c r="S170" s="674" t="str">
        <f t="shared" si="96"/>
        <v/>
      </c>
      <c r="T170" s="674" t="str">
        <f t="shared" si="96"/>
        <v/>
      </c>
      <c r="U170" s="674" t="str">
        <f t="shared" si="96"/>
        <v/>
      </c>
      <c r="V170" s="674" t="str">
        <f t="shared" si="96"/>
        <v/>
      </c>
      <c r="W170" s="674" t="str">
        <f t="shared" si="96"/>
        <v/>
      </c>
      <c r="X170" s="674" t="str">
        <f t="shared" si="96"/>
        <v/>
      </c>
      <c r="Y170" s="674" t="str">
        <f t="shared" si="96"/>
        <v/>
      </c>
      <c r="Z170" s="674" t="str">
        <f t="shared" si="96"/>
        <v/>
      </c>
      <c r="AA170" s="674" t="str">
        <f t="shared" si="96"/>
        <v/>
      </c>
      <c r="AB170" s="674" t="str">
        <f t="shared" si="96"/>
        <v/>
      </c>
      <c r="AC170" s="674" t="str">
        <f t="shared" si="96"/>
        <v/>
      </c>
      <c r="AD170" s="674" t="str">
        <f t="shared" si="96"/>
        <v/>
      </c>
      <c r="AE170" s="674" t="str">
        <f t="shared" si="96"/>
        <v/>
      </c>
      <c r="AF170" s="674" t="str">
        <f t="shared" si="96"/>
        <v/>
      </c>
      <c r="AG170" s="674" t="str">
        <f t="shared" si="96"/>
        <v/>
      </c>
      <c r="AH170" s="674" t="str">
        <f t="shared" si="96"/>
        <v/>
      </c>
      <c r="AI170" s="674" t="str">
        <f t="shared" si="96"/>
        <v/>
      </c>
      <c r="AJ170" s="674" t="str">
        <f t="shared" si="96"/>
        <v/>
      </c>
      <c r="AK170" s="675" t="str">
        <f t="shared" si="96"/>
        <v/>
      </c>
      <c r="AL170" s="15"/>
      <c r="AM170" s="15"/>
      <c r="AP170" s="536"/>
      <c r="AR170" s="537"/>
      <c r="AS170" s="529"/>
      <c r="AW170" s="390" t="str">
        <f>""</f>
        <v/>
      </c>
      <c r="AX170" s="531"/>
      <c r="AY170" s="390" t="str">
        <f>""</f>
        <v/>
      </c>
      <c r="BD170" s="520"/>
      <c r="BE170" s="520"/>
      <c r="BF170" s="520"/>
      <c r="BG170" s="520"/>
      <c r="BH170" s="520"/>
      <c r="BI170" s="520"/>
      <c r="BJ170" s="520"/>
      <c r="BK170" s="520"/>
      <c r="BL170" s="520"/>
      <c r="BM170" s="520"/>
      <c r="BN170" s="520"/>
      <c r="BO170" s="520"/>
      <c r="BP170" s="520"/>
      <c r="BQ170" s="520"/>
      <c r="BR170" s="520"/>
      <c r="BS170" s="520"/>
      <c r="BT170" s="520"/>
      <c r="BU170" s="520"/>
      <c r="BV170" s="520"/>
      <c r="BW170" s="520"/>
      <c r="BX170" s="520"/>
      <c r="BY170" s="520"/>
    </row>
    <row r="171" spans="1:84" ht="12" customHeight="1" x14ac:dyDescent="0.3">
      <c r="A171" s="765"/>
      <c r="E171" s="258" t="str">
        <f>$AX$94</f>
        <v>Mérkőzés kimenetele: 4 p</v>
      </c>
      <c r="H171" s="673" t="str">
        <f t="shared" ref="H171:AK171" si="97">IF(OR(BC168,NOT($AS$24)),"",IF(AND(NOT($AS$32),COUNTIF(H169:H170,"ü")&gt;0),"",IF(SIGN(H167-H168)=SIGN($E167-$E168),"ü"," ")))</f>
        <v/>
      </c>
      <c r="I171" s="674" t="str">
        <f t="shared" si="97"/>
        <v/>
      </c>
      <c r="J171" s="674" t="str">
        <f t="shared" si="97"/>
        <v/>
      </c>
      <c r="K171" s="674" t="str">
        <f t="shared" si="97"/>
        <v/>
      </c>
      <c r="L171" s="674" t="str">
        <f t="shared" si="97"/>
        <v/>
      </c>
      <c r="M171" s="674" t="str">
        <f t="shared" si="97"/>
        <v/>
      </c>
      <c r="N171" s="674" t="str">
        <f t="shared" si="97"/>
        <v/>
      </c>
      <c r="O171" s="674" t="str">
        <f t="shared" si="97"/>
        <v/>
      </c>
      <c r="P171" s="674" t="str">
        <f t="shared" si="97"/>
        <v/>
      </c>
      <c r="Q171" s="674" t="str">
        <f t="shared" si="97"/>
        <v/>
      </c>
      <c r="R171" s="674" t="str">
        <f t="shared" si="97"/>
        <v/>
      </c>
      <c r="S171" s="674" t="str">
        <f t="shared" si="97"/>
        <v/>
      </c>
      <c r="T171" s="674" t="str">
        <f t="shared" si="97"/>
        <v/>
      </c>
      <c r="U171" s="674" t="str">
        <f t="shared" si="97"/>
        <v/>
      </c>
      <c r="V171" s="674" t="str">
        <f t="shared" si="97"/>
        <v/>
      </c>
      <c r="W171" s="674" t="str">
        <f t="shared" si="97"/>
        <v/>
      </c>
      <c r="X171" s="674" t="str">
        <f t="shared" si="97"/>
        <v/>
      </c>
      <c r="Y171" s="674" t="str">
        <f t="shared" si="97"/>
        <v/>
      </c>
      <c r="Z171" s="674" t="str">
        <f t="shared" si="97"/>
        <v/>
      </c>
      <c r="AA171" s="674" t="str">
        <f t="shared" si="97"/>
        <v/>
      </c>
      <c r="AB171" s="674" t="str">
        <f t="shared" si="97"/>
        <v/>
      </c>
      <c r="AC171" s="674" t="str">
        <f t="shared" si="97"/>
        <v/>
      </c>
      <c r="AD171" s="674" t="str">
        <f t="shared" si="97"/>
        <v/>
      </c>
      <c r="AE171" s="674" t="str">
        <f t="shared" si="97"/>
        <v/>
      </c>
      <c r="AF171" s="674" t="str">
        <f t="shared" si="97"/>
        <v/>
      </c>
      <c r="AG171" s="674" t="str">
        <f t="shared" si="97"/>
        <v/>
      </c>
      <c r="AH171" s="674" t="str">
        <f t="shared" si="97"/>
        <v/>
      </c>
      <c r="AI171" s="674" t="str">
        <f t="shared" si="97"/>
        <v/>
      </c>
      <c r="AJ171" s="674" t="str">
        <f t="shared" si="97"/>
        <v/>
      </c>
      <c r="AK171" s="675" t="str">
        <f t="shared" si="97"/>
        <v/>
      </c>
      <c r="AL171" s="15"/>
      <c r="AM171" s="15"/>
      <c r="AP171" s="536"/>
      <c r="AR171" s="537"/>
      <c r="AS171" s="529"/>
      <c r="AW171" s="390" t="str">
        <f>""</f>
        <v/>
      </c>
      <c r="AX171" s="531"/>
      <c r="AY171" s="390" t="str">
        <f>""</f>
        <v/>
      </c>
      <c r="BD171" s="520"/>
      <c r="BE171" s="520"/>
      <c r="BF171" s="520"/>
      <c r="BG171" s="520"/>
      <c r="BH171" s="520"/>
      <c r="BI171" s="520"/>
      <c r="BJ171" s="520"/>
      <c r="BK171" s="520"/>
      <c r="BL171" s="520"/>
      <c r="BM171" s="520"/>
      <c r="BN171" s="520"/>
      <c r="BO171" s="520"/>
      <c r="BP171" s="520"/>
      <c r="BQ171" s="520"/>
      <c r="BR171" s="520"/>
      <c r="BS171" s="520"/>
      <c r="BT171" s="520"/>
      <c r="BU171" s="520"/>
      <c r="BV171" s="520"/>
      <c r="BW171" s="520"/>
      <c r="BX171" s="520"/>
      <c r="BY171" s="520"/>
    </row>
    <row r="172" spans="1:84" ht="12" customHeight="1" x14ac:dyDescent="0.3">
      <c r="A172" s="765"/>
      <c r="E172" s="258" t="str">
        <f>$AX$95</f>
        <v>Egyik csapat góljainak száma: 3 p</v>
      </c>
      <c r="H172" s="673" t="str">
        <f t="shared" ref="H172:AK172" si="98">IF(OR(BC168,NOT($AS$26)),"",IF(AND(NOT($AS$32),COUNTIF(H169:H171,"ü")&gt;0),"",IF(OR(H167=$E167,H168=$E168),"ü"," ")))</f>
        <v/>
      </c>
      <c r="I172" s="674" t="str">
        <f t="shared" si="98"/>
        <v/>
      </c>
      <c r="J172" s="674" t="str">
        <f t="shared" si="98"/>
        <v/>
      </c>
      <c r="K172" s="674" t="str">
        <f t="shared" si="98"/>
        <v/>
      </c>
      <c r="L172" s="674" t="str">
        <f t="shared" si="98"/>
        <v/>
      </c>
      <c r="M172" s="674" t="str">
        <f t="shared" si="98"/>
        <v/>
      </c>
      <c r="N172" s="674" t="str">
        <f t="shared" si="98"/>
        <v/>
      </c>
      <c r="O172" s="674" t="str">
        <f t="shared" si="98"/>
        <v/>
      </c>
      <c r="P172" s="674" t="str">
        <f t="shared" si="98"/>
        <v/>
      </c>
      <c r="Q172" s="674" t="str">
        <f t="shared" si="98"/>
        <v/>
      </c>
      <c r="R172" s="674" t="str">
        <f t="shared" si="98"/>
        <v/>
      </c>
      <c r="S172" s="674" t="str">
        <f t="shared" si="98"/>
        <v/>
      </c>
      <c r="T172" s="674" t="str">
        <f t="shared" si="98"/>
        <v/>
      </c>
      <c r="U172" s="674" t="str">
        <f t="shared" si="98"/>
        <v/>
      </c>
      <c r="V172" s="674" t="str">
        <f t="shared" si="98"/>
        <v/>
      </c>
      <c r="W172" s="674" t="str">
        <f t="shared" si="98"/>
        <v/>
      </c>
      <c r="X172" s="674" t="str">
        <f t="shared" si="98"/>
        <v/>
      </c>
      <c r="Y172" s="674" t="str">
        <f t="shared" si="98"/>
        <v/>
      </c>
      <c r="Z172" s="674" t="str">
        <f t="shared" si="98"/>
        <v/>
      </c>
      <c r="AA172" s="674" t="str">
        <f t="shared" si="98"/>
        <v/>
      </c>
      <c r="AB172" s="674" t="str">
        <f t="shared" si="98"/>
        <v/>
      </c>
      <c r="AC172" s="674" t="str">
        <f t="shared" si="98"/>
        <v/>
      </c>
      <c r="AD172" s="674" t="str">
        <f t="shared" si="98"/>
        <v/>
      </c>
      <c r="AE172" s="674" t="str">
        <f t="shared" si="98"/>
        <v/>
      </c>
      <c r="AF172" s="674" t="str">
        <f t="shared" si="98"/>
        <v/>
      </c>
      <c r="AG172" s="674" t="str">
        <f t="shared" si="98"/>
        <v/>
      </c>
      <c r="AH172" s="674" t="str">
        <f t="shared" si="98"/>
        <v/>
      </c>
      <c r="AI172" s="674" t="str">
        <f t="shared" si="98"/>
        <v/>
      </c>
      <c r="AJ172" s="674" t="str">
        <f t="shared" si="98"/>
        <v/>
      </c>
      <c r="AK172" s="675" t="str">
        <f t="shared" si="98"/>
        <v/>
      </c>
      <c r="AL172" s="15"/>
      <c r="AM172" s="15"/>
      <c r="AP172" s="536"/>
      <c r="AR172" s="537"/>
      <c r="AS172" s="529"/>
      <c r="AW172" s="390" t="str">
        <f>""</f>
        <v/>
      </c>
      <c r="AX172" s="531"/>
      <c r="AY172" s="390" t="str">
        <f>""</f>
        <v/>
      </c>
      <c r="BD172" s="520"/>
      <c r="BE172" s="520"/>
      <c r="BF172" s="520"/>
      <c r="BG172" s="520"/>
      <c r="BH172" s="520"/>
      <c r="BI172" s="520"/>
      <c r="BJ172" s="520"/>
      <c r="BK172" s="520"/>
      <c r="BL172" s="520"/>
      <c r="BM172" s="520"/>
      <c r="BN172" s="520"/>
      <c r="BO172" s="520"/>
      <c r="BP172" s="520"/>
      <c r="BQ172" s="520"/>
      <c r="BR172" s="520"/>
      <c r="BS172" s="520"/>
      <c r="BT172" s="520"/>
      <c r="BU172" s="520"/>
      <c r="BV172" s="520"/>
      <c r="BW172" s="520"/>
      <c r="BX172" s="520"/>
      <c r="BY172" s="520"/>
    </row>
    <row r="173" spans="1:84" ht="12" customHeight="1" x14ac:dyDescent="0.3">
      <c r="A173" s="765"/>
      <c r="E173" s="258" t="str">
        <f>$AX$96</f>
        <v>Összes gól: 2 p</v>
      </c>
      <c r="H173" s="673" t="str">
        <f t="shared" ref="H173:AK173" si="99">IF(OR(BC168,NOT($AS$28)),"",IF(AND(NOT($AS$32),COUNTIF(H169:H172,"ü")&gt;0),"",IF(H167+H168=$E167+$E168,"ü"," ")))</f>
        <v/>
      </c>
      <c r="I173" s="674" t="str">
        <f t="shared" si="99"/>
        <v/>
      </c>
      <c r="J173" s="674" t="str">
        <f t="shared" si="99"/>
        <v/>
      </c>
      <c r="K173" s="674" t="str">
        <f t="shared" si="99"/>
        <v/>
      </c>
      <c r="L173" s="674" t="str">
        <f t="shared" si="99"/>
        <v/>
      </c>
      <c r="M173" s="674" t="str">
        <f t="shared" si="99"/>
        <v/>
      </c>
      <c r="N173" s="674" t="str">
        <f t="shared" si="99"/>
        <v/>
      </c>
      <c r="O173" s="674" t="str">
        <f t="shared" si="99"/>
        <v/>
      </c>
      <c r="P173" s="674" t="str">
        <f t="shared" si="99"/>
        <v/>
      </c>
      <c r="Q173" s="674" t="str">
        <f t="shared" si="99"/>
        <v/>
      </c>
      <c r="R173" s="674" t="str">
        <f t="shared" si="99"/>
        <v/>
      </c>
      <c r="S173" s="674" t="str">
        <f t="shared" si="99"/>
        <v/>
      </c>
      <c r="T173" s="674" t="str">
        <f t="shared" si="99"/>
        <v/>
      </c>
      <c r="U173" s="674" t="str">
        <f t="shared" si="99"/>
        <v/>
      </c>
      <c r="V173" s="674" t="str">
        <f t="shared" si="99"/>
        <v/>
      </c>
      <c r="W173" s="674" t="str">
        <f t="shared" si="99"/>
        <v/>
      </c>
      <c r="X173" s="674" t="str">
        <f t="shared" si="99"/>
        <v/>
      </c>
      <c r="Y173" s="674" t="str">
        <f t="shared" si="99"/>
        <v/>
      </c>
      <c r="Z173" s="674" t="str">
        <f t="shared" si="99"/>
        <v/>
      </c>
      <c r="AA173" s="674" t="str">
        <f t="shared" si="99"/>
        <v/>
      </c>
      <c r="AB173" s="674" t="str">
        <f t="shared" si="99"/>
        <v/>
      </c>
      <c r="AC173" s="674" t="str">
        <f t="shared" si="99"/>
        <v/>
      </c>
      <c r="AD173" s="674" t="str">
        <f t="shared" si="99"/>
        <v/>
      </c>
      <c r="AE173" s="674" t="str">
        <f t="shared" si="99"/>
        <v/>
      </c>
      <c r="AF173" s="674" t="str">
        <f t="shared" si="99"/>
        <v/>
      </c>
      <c r="AG173" s="674" t="str">
        <f t="shared" si="99"/>
        <v/>
      </c>
      <c r="AH173" s="674" t="str">
        <f t="shared" si="99"/>
        <v/>
      </c>
      <c r="AI173" s="674" t="str">
        <f t="shared" si="99"/>
        <v/>
      </c>
      <c r="AJ173" s="674" t="str">
        <f t="shared" si="99"/>
        <v/>
      </c>
      <c r="AK173" s="675" t="str">
        <f t="shared" si="99"/>
        <v/>
      </c>
      <c r="AL173" s="15"/>
      <c r="AM173" s="15"/>
      <c r="AP173" s="536"/>
      <c r="AR173" s="537"/>
      <c r="AS173" s="529"/>
      <c r="AW173" s="390" t="str">
        <f>""</f>
        <v/>
      </c>
      <c r="AX173" s="531"/>
      <c r="AY173" s="390" t="str">
        <f>""</f>
        <v/>
      </c>
      <c r="BD173" s="520"/>
      <c r="BE173" s="520"/>
      <c r="BF173" s="520"/>
      <c r="BG173" s="520"/>
      <c r="BH173" s="520"/>
      <c r="BI173" s="520"/>
      <c r="BJ173" s="520"/>
      <c r="BK173" s="520"/>
      <c r="BL173" s="520"/>
      <c r="BM173" s="520"/>
      <c r="BN173" s="520"/>
      <c r="BO173" s="520"/>
      <c r="BP173" s="520"/>
      <c r="BQ173" s="520"/>
      <c r="BR173" s="520"/>
      <c r="BS173" s="520"/>
      <c r="BT173" s="520"/>
      <c r="BU173" s="520"/>
      <c r="BV173" s="520"/>
      <c r="BW173" s="520"/>
      <c r="BX173" s="520"/>
      <c r="BY173" s="520"/>
    </row>
    <row r="174" spans="1:84" ht="12" customHeight="1" x14ac:dyDescent="0.3">
      <c r="A174" s="765"/>
      <c r="E174" s="258" t="str">
        <f>$AX$97</f>
        <v>Fordított gólkülönbség: 1 p</v>
      </c>
      <c r="H174" s="676" t="str">
        <f t="shared" ref="H174:AK174" si="100">IF(OR(BC168,NOT($AS$30)),"",IF(AND(NOT($AS$32),COUNTIF(H169:H173,"ü")&gt;0),"",IF(AND(H167-H168=$E168-$E167,H167&lt;&gt;H168),"ü"," ")))</f>
        <v/>
      </c>
      <c r="I174" s="677" t="str">
        <f t="shared" si="100"/>
        <v/>
      </c>
      <c r="J174" s="677" t="str">
        <f t="shared" si="100"/>
        <v/>
      </c>
      <c r="K174" s="677" t="str">
        <f t="shared" si="100"/>
        <v/>
      </c>
      <c r="L174" s="677" t="str">
        <f t="shared" si="100"/>
        <v/>
      </c>
      <c r="M174" s="677" t="str">
        <f t="shared" si="100"/>
        <v/>
      </c>
      <c r="N174" s="677" t="str">
        <f t="shared" si="100"/>
        <v/>
      </c>
      <c r="O174" s="677" t="str">
        <f t="shared" si="100"/>
        <v/>
      </c>
      <c r="P174" s="677" t="str">
        <f t="shared" si="100"/>
        <v/>
      </c>
      <c r="Q174" s="677" t="str">
        <f t="shared" si="100"/>
        <v/>
      </c>
      <c r="R174" s="677" t="str">
        <f t="shared" si="100"/>
        <v/>
      </c>
      <c r="S174" s="677" t="str">
        <f t="shared" si="100"/>
        <v/>
      </c>
      <c r="T174" s="677" t="str">
        <f t="shared" si="100"/>
        <v/>
      </c>
      <c r="U174" s="677" t="str">
        <f t="shared" si="100"/>
        <v/>
      </c>
      <c r="V174" s="677" t="str">
        <f t="shared" si="100"/>
        <v/>
      </c>
      <c r="W174" s="677" t="str">
        <f t="shared" si="100"/>
        <v/>
      </c>
      <c r="X174" s="677" t="str">
        <f t="shared" si="100"/>
        <v/>
      </c>
      <c r="Y174" s="677" t="str">
        <f t="shared" si="100"/>
        <v/>
      </c>
      <c r="Z174" s="677" t="str">
        <f t="shared" si="100"/>
        <v/>
      </c>
      <c r="AA174" s="677" t="str">
        <f t="shared" si="100"/>
        <v/>
      </c>
      <c r="AB174" s="677" t="str">
        <f t="shared" si="100"/>
        <v/>
      </c>
      <c r="AC174" s="677" t="str">
        <f t="shared" si="100"/>
        <v/>
      </c>
      <c r="AD174" s="677" t="str">
        <f t="shared" si="100"/>
        <v/>
      </c>
      <c r="AE174" s="677" t="str">
        <f t="shared" si="100"/>
        <v/>
      </c>
      <c r="AF174" s="677" t="str">
        <f t="shared" si="100"/>
        <v/>
      </c>
      <c r="AG174" s="677" t="str">
        <f t="shared" si="100"/>
        <v/>
      </c>
      <c r="AH174" s="677" t="str">
        <f t="shared" si="100"/>
        <v/>
      </c>
      <c r="AI174" s="677" t="str">
        <f t="shared" si="100"/>
        <v/>
      </c>
      <c r="AJ174" s="677" t="str">
        <f t="shared" si="100"/>
        <v/>
      </c>
      <c r="AK174" s="678" t="str">
        <f t="shared" si="100"/>
        <v/>
      </c>
      <c r="AL174" s="15"/>
      <c r="AM174" s="15"/>
      <c r="AP174" s="536"/>
      <c r="AR174" s="537"/>
      <c r="AS174" s="529"/>
      <c r="AW174" s="390" t="str">
        <f>""</f>
        <v/>
      </c>
      <c r="AX174" s="531"/>
      <c r="AY174" s="390" t="str">
        <f>""</f>
        <v/>
      </c>
      <c r="BD174" s="520"/>
      <c r="BE174" s="520"/>
      <c r="BF174" s="520"/>
      <c r="BG174" s="520"/>
      <c r="BH174" s="520"/>
      <c r="BI174" s="520"/>
      <c r="BJ174" s="520"/>
      <c r="BK174" s="520"/>
      <c r="BL174" s="520"/>
      <c r="BM174" s="520"/>
      <c r="BN174" s="520"/>
      <c r="BO174" s="520"/>
      <c r="BP174" s="520"/>
      <c r="BQ174" s="520"/>
      <c r="BR174" s="520"/>
      <c r="BS174" s="520"/>
      <c r="BT174" s="520"/>
      <c r="BU174" s="520"/>
      <c r="BV174" s="520"/>
      <c r="BW174" s="520"/>
      <c r="BX174" s="520"/>
      <c r="BY174" s="520"/>
    </row>
    <row r="175" spans="1:84" ht="15" customHeight="1" x14ac:dyDescent="0.3">
      <c r="A175" s="765"/>
      <c r="E175" s="79" t="s">
        <v>799</v>
      </c>
      <c r="H175" s="679">
        <f t="shared" ref="H175:AK175" si="101">IF(NOT(H$13),"",SUMPRODUCT((H169:H174="ü")*($AW$92:$AW$97)))</f>
        <v>0</v>
      </c>
      <c r="I175" s="680">
        <f t="shared" si="101"/>
        <v>0</v>
      </c>
      <c r="J175" s="680">
        <f t="shared" si="101"/>
        <v>0</v>
      </c>
      <c r="K175" s="680">
        <f t="shared" si="101"/>
        <v>0</v>
      </c>
      <c r="L175" s="680">
        <f t="shared" si="101"/>
        <v>0</v>
      </c>
      <c r="M175" s="680">
        <f t="shared" si="101"/>
        <v>0</v>
      </c>
      <c r="N175" s="680">
        <f t="shared" si="101"/>
        <v>0</v>
      </c>
      <c r="O175" s="680">
        <f t="shared" si="101"/>
        <v>0</v>
      </c>
      <c r="P175" s="680">
        <f t="shared" si="101"/>
        <v>0</v>
      </c>
      <c r="Q175" s="680">
        <f t="shared" si="101"/>
        <v>0</v>
      </c>
      <c r="R175" s="680">
        <f t="shared" si="101"/>
        <v>0</v>
      </c>
      <c r="S175" s="680">
        <f t="shared" si="101"/>
        <v>0</v>
      </c>
      <c r="T175" s="680">
        <f t="shared" si="101"/>
        <v>0</v>
      </c>
      <c r="U175" s="680">
        <f t="shared" si="101"/>
        <v>0</v>
      </c>
      <c r="V175" s="680">
        <f t="shared" si="101"/>
        <v>0</v>
      </c>
      <c r="W175" s="680">
        <f t="shared" si="101"/>
        <v>0</v>
      </c>
      <c r="X175" s="680">
        <f t="shared" si="101"/>
        <v>0</v>
      </c>
      <c r="Y175" s="680">
        <f t="shared" si="101"/>
        <v>0</v>
      </c>
      <c r="Z175" s="680">
        <f t="shared" si="101"/>
        <v>0</v>
      </c>
      <c r="AA175" s="680">
        <f t="shared" si="101"/>
        <v>0</v>
      </c>
      <c r="AB175" s="680">
        <f t="shared" si="101"/>
        <v>0</v>
      </c>
      <c r="AC175" s="680">
        <f t="shared" si="101"/>
        <v>0</v>
      </c>
      <c r="AD175" s="680">
        <f t="shared" si="101"/>
        <v>0</v>
      </c>
      <c r="AE175" s="680" t="str">
        <f t="shared" si="101"/>
        <v/>
      </c>
      <c r="AF175" s="680" t="str">
        <f t="shared" si="101"/>
        <v/>
      </c>
      <c r="AG175" s="680" t="str">
        <f t="shared" si="101"/>
        <v/>
      </c>
      <c r="AH175" s="680" t="str">
        <f t="shared" si="101"/>
        <v/>
      </c>
      <c r="AI175" s="680" t="str">
        <f t="shared" si="101"/>
        <v/>
      </c>
      <c r="AJ175" s="680" t="str">
        <f t="shared" si="101"/>
        <v/>
      </c>
      <c r="AK175" s="681" t="str">
        <f t="shared" si="101"/>
        <v/>
      </c>
      <c r="AP175" s="536"/>
      <c r="AR175" s="537"/>
      <c r="AS175" s="529"/>
    </row>
    <row r="176" spans="1:84" ht="9" customHeight="1" x14ac:dyDescent="0.3">
      <c r="A176" s="765"/>
      <c r="D176" s="15"/>
      <c r="E176" s="15"/>
      <c r="F176" s="15"/>
      <c r="G176" s="15"/>
      <c r="H176" s="15"/>
      <c r="I176" s="16"/>
      <c r="J176" s="15"/>
      <c r="K176" s="15"/>
      <c r="L176" s="16"/>
      <c r="M176" s="15"/>
      <c r="N176" s="15"/>
      <c r="O176" s="16"/>
      <c r="P176" s="15"/>
      <c r="Q176" s="15"/>
      <c r="R176" s="16"/>
      <c r="S176" s="15"/>
      <c r="T176" s="15"/>
      <c r="U176" s="16"/>
      <c r="V176" s="15"/>
      <c r="W176" s="15"/>
      <c r="X176" s="16"/>
      <c r="Y176" s="15"/>
      <c r="Z176" s="15"/>
      <c r="AA176" s="16"/>
      <c r="AB176" s="15"/>
      <c r="AC176" s="15"/>
      <c r="AD176" s="16"/>
      <c r="AE176" s="15"/>
      <c r="AF176" s="15"/>
      <c r="AG176" s="16"/>
      <c r="AH176" s="15"/>
      <c r="AI176" s="15"/>
      <c r="AJ176" s="16"/>
      <c r="AK176" s="15"/>
      <c r="AP176" s="536"/>
      <c r="AR176" s="537"/>
      <c r="AS176" s="529"/>
    </row>
    <row r="177" spans="1:84" ht="15" customHeight="1" x14ac:dyDescent="0.3">
      <c r="A177" s="765"/>
      <c r="C177" s="27" t="str">
        <f>" "&amp;VLOOKUP(AQ178,schedule,18,FALSE)&amp;"  ("&amp;VLOOKUP(AQ178,schedule,3,FALSE)&amp;" CSOPORT)"</f>
        <v xml:space="preserve"> JÚNIUS 14. – HÉTFŐ 18:00  (E CSOPORT)</v>
      </c>
      <c r="D177" s="27"/>
      <c r="E177" s="26"/>
      <c r="F177" s="26"/>
      <c r="G177" s="26"/>
      <c r="H177" s="26"/>
      <c r="I177" s="26"/>
      <c r="J177" s="26"/>
      <c r="AP177" s="536"/>
      <c r="AR177" s="537"/>
      <c r="AS177" s="529"/>
    </row>
    <row r="178" spans="1:84" ht="15" customHeight="1" x14ac:dyDescent="0.3">
      <c r="A178" s="765"/>
      <c r="C178" s="661"/>
      <c r="D178" s="662" t="str">
        <f>IF(INDEX(n.er,$AR178,8)="","",INDEX(n.er,$AR178,8))</f>
        <v>Lengyelország</v>
      </c>
      <c r="E178" s="663" t="str">
        <f>IF(NOT($AS178),"",INDEX(n.er,$AR178,9))</f>
        <v/>
      </c>
      <c r="F178" s="662"/>
      <c r="G178" s="259"/>
      <c r="H178" s="664">
        <v>2</v>
      </c>
      <c r="I178" s="665">
        <v>3</v>
      </c>
      <c r="J178" s="665">
        <v>2</v>
      </c>
      <c r="K178" s="665">
        <v>2</v>
      </c>
      <c r="L178" s="665">
        <v>2</v>
      </c>
      <c r="M178" s="665">
        <v>3</v>
      </c>
      <c r="N178" s="665">
        <v>2</v>
      </c>
      <c r="O178" s="665">
        <v>2</v>
      </c>
      <c r="P178" s="665">
        <v>2</v>
      </c>
      <c r="Q178" s="665">
        <v>2</v>
      </c>
      <c r="R178" s="665">
        <v>2</v>
      </c>
      <c r="S178" s="665">
        <v>2</v>
      </c>
      <c r="T178" s="665">
        <v>2</v>
      </c>
      <c r="U178" s="665">
        <v>2</v>
      </c>
      <c r="V178" s="665">
        <v>2</v>
      </c>
      <c r="W178" s="665">
        <v>2</v>
      </c>
      <c r="X178" s="665">
        <v>3</v>
      </c>
      <c r="Y178" s="665">
        <v>3</v>
      </c>
      <c r="Z178" s="665">
        <v>3</v>
      </c>
      <c r="AA178" s="665">
        <v>2</v>
      </c>
      <c r="AB178" s="665">
        <v>2</v>
      </c>
      <c r="AC178" s="665">
        <v>0</v>
      </c>
      <c r="AD178" s="665">
        <v>2</v>
      </c>
      <c r="AE178" s="665"/>
      <c r="AF178" s="665"/>
      <c r="AG178" s="665"/>
      <c r="AH178" s="665"/>
      <c r="AI178" s="665"/>
      <c r="AJ178" s="665"/>
      <c r="AK178" s="666"/>
      <c r="AP178" s="52">
        <f>AP167+1</f>
        <v>9</v>
      </c>
      <c r="AQ178" s="311">
        <f>INDEX(schedule,AP178,1)</f>
        <v>9</v>
      </c>
      <c r="AR178" s="311">
        <f>MATCH(AQ178,n.er.index,0)</f>
        <v>21</v>
      </c>
      <c r="AS178" s="532" t="b">
        <f>INDEX(n.er,$AR178,3)</f>
        <v>0</v>
      </c>
      <c r="AT178" s="531"/>
      <c r="AU178" s="531"/>
      <c r="AV178" s="531"/>
      <c r="AW178" s="531"/>
      <c r="AX178" s="531"/>
      <c r="BC178" s="525" t="b">
        <f t="shared" ref="BC178:CF178" si="102">IF(AND(ISNUMBER(H178),ISNUMBER(H179),H178&lt;&gt;"",H179&lt;&gt;""),AND(H178&gt;=0,H179&gt;=0,MOD(H178+H179,1)=0),FALSE)</f>
        <v>1</v>
      </c>
      <c r="BD178" s="525" t="b">
        <f t="shared" si="102"/>
        <v>1</v>
      </c>
      <c r="BE178" s="525" t="b">
        <f t="shared" si="102"/>
        <v>1</v>
      </c>
      <c r="BF178" s="525" t="b">
        <f t="shared" si="102"/>
        <v>1</v>
      </c>
      <c r="BG178" s="525" t="b">
        <f t="shared" si="102"/>
        <v>1</v>
      </c>
      <c r="BH178" s="525" t="b">
        <f t="shared" si="102"/>
        <v>1</v>
      </c>
      <c r="BI178" s="525" t="b">
        <f t="shared" si="102"/>
        <v>1</v>
      </c>
      <c r="BJ178" s="525" t="b">
        <f t="shared" si="102"/>
        <v>1</v>
      </c>
      <c r="BK178" s="525" t="b">
        <f t="shared" si="102"/>
        <v>1</v>
      </c>
      <c r="BL178" s="525" t="b">
        <f t="shared" si="102"/>
        <v>1</v>
      </c>
      <c r="BM178" s="525" t="b">
        <f t="shared" si="102"/>
        <v>1</v>
      </c>
      <c r="BN178" s="525" t="b">
        <f t="shared" si="102"/>
        <v>1</v>
      </c>
      <c r="BO178" s="525" t="b">
        <f t="shared" si="102"/>
        <v>1</v>
      </c>
      <c r="BP178" s="525" t="b">
        <f t="shared" si="102"/>
        <v>1</v>
      </c>
      <c r="BQ178" s="525" t="b">
        <f t="shared" si="102"/>
        <v>1</v>
      </c>
      <c r="BR178" s="525" t="b">
        <f t="shared" si="102"/>
        <v>1</v>
      </c>
      <c r="BS178" s="525" t="b">
        <f t="shared" si="102"/>
        <v>1</v>
      </c>
      <c r="BT178" s="525" t="b">
        <f t="shared" si="102"/>
        <v>1</v>
      </c>
      <c r="BU178" s="525" t="b">
        <f t="shared" si="102"/>
        <v>1</v>
      </c>
      <c r="BV178" s="525" t="b">
        <f t="shared" si="102"/>
        <v>1</v>
      </c>
      <c r="BW178" s="525" t="b">
        <f t="shared" si="102"/>
        <v>1</v>
      </c>
      <c r="BX178" s="525" t="b">
        <f t="shared" si="102"/>
        <v>1</v>
      </c>
      <c r="BY178" s="525" t="b">
        <f t="shared" si="102"/>
        <v>1</v>
      </c>
      <c r="BZ178" s="525" t="b">
        <f t="shared" si="102"/>
        <v>0</v>
      </c>
      <c r="CA178" s="525" t="b">
        <f t="shared" si="102"/>
        <v>0</v>
      </c>
      <c r="CB178" s="525" t="b">
        <f t="shared" si="102"/>
        <v>0</v>
      </c>
      <c r="CC178" s="525" t="b">
        <f t="shared" si="102"/>
        <v>0</v>
      </c>
      <c r="CD178" s="525" t="b">
        <f t="shared" si="102"/>
        <v>0</v>
      </c>
      <c r="CE178" s="525" t="b">
        <f t="shared" si="102"/>
        <v>0</v>
      </c>
      <c r="CF178" s="525" t="b">
        <f t="shared" si="102"/>
        <v>0</v>
      </c>
    </row>
    <row r="179" spans="1:84" ht="15" customHeight="1" x14ac:dyDescent="0.3">
      <c r="A179" s="765"/>
      <c r="C179" s="695"/>
      <c r="D179" s="696" t="str">
        <f>IF(INDEX(n.er,$AR178,11)="","",INDEX(n.er,$AR178,11))</f>
        <v>Szlovákia</v>
      </c>
      <c r="E179" s="697" t="str">
        <f>IF(NOT($AS178),"",INDEX(n.er,$AR178,10))</f>
        <v/>
      </c>
      <c r="F179" s="696"/>
      <c r="G179" s="259"/>
      <c r="H179" s="667">
        <v>0</v>
      </c>
      <c r="I179" s="668">
        <v>2</v>
      </c>
      <c r="J179" s="668">
        <v>1</v>
      </c>
      <c r="K179" s="668">
        <v>0</v>
      </c>
      <c r="L179" s="668">
        <v>1</v>
      </c>
      <c r="M179" s="668">
        <v>0</v>
      </c>
      <c r="N179" s="668">
        <v>1</v>
      </c>
      <c r="O179" s="668">
        <v>0</v>
      </c>
      <c r="P179" s="668">
        <v>1</v>
      </c>
      <c r="Q179" s="668">
        <v>1</v>
      </c>
      <c r="R179" s="668">
        <v>0</v>
      </c>
      <c r="S179" s="668">
        <v>1</v>
      </c>
      <c r="T179" s="668">
        <v>0</v>
      </c>
      <c r="U179" s="668">
        <v>1</v>
      </c>
      <c r="V179" s="668">
        <v>2</v>
      </c>
      <c r="W179" s="668">
        <v>0</v>
      </c>
      <c r="X179" s="668">
        <v>1</v>
      </c>
      <c r="Y179" s="668">
        <v>1</v>
      </c>
      <c r="Z179" s="668">
        <v>1</v>
      </c>
      <c r="AA179" s="668">
        <v>0</v>
      </c>
      <c r="AB179" s="668">
        <v>1</v>
      </c>
      <c r="AC179" s="668">
        <v>2</v>
      </c>
      <c r="AD179" s="668">
        <v>0</v>
      </c>
      <c r="AE179" s="668"/>
      <c r="AF179" s="668"/>
      <c r="AG179" s="668"/>
      <c r="AH179" s="668"/>
      <c r="AI179" s="668"/>
      <c r="AJ179" s="668"/>
      <c r="AK179" s="669"/>
      <c r="AP179" s="533"/>
      <c r="AQ179" s="577"/>
      <c r="AR179" s="534"/>
      <c r="AS179" s="535"/>
      <c r="AX179" s="531"/>
      <c r="BC179" s="34" t="b">
        <f t="shared" ref="BC179:CF179" si="103">OR(NOT(H$13),NOT($AS178),NOT(BC178))</f>
        <v>1</v>
      </c>
      <c r="BD179" s="34" t="b">
        <f t="shared" si="103"/>
        <v>1</v>
      </c>
      <c r="BE179" s="34" t="b">
        <f t="shared" si="103"/>
        <v>1</v>
      </c>
      <c r="BF179" s="34" t="b">
        <f t="shared" si="103"/>
        <v>1</v>
      </c>
      <c r="BG179" s="34" t="b">
        <f t="shared" si="103"/>
        <v>1</v>
      </c>
      <c r="BH179" s="34" t="b">
        <f t="shared" si="103"/>
        <v>1</v>
      </c>
      <c r="BI179" s="34" t="b">
        <f t="shared" si="103"/>
        <v>1</v>
      </c>
      <c r="BJ179" s="34" t="b">
        <f t="shared" si="103"/>
        <v>1</v>
      </c>
      <c r="BK179" s="34" t="b">
        <f t="shared" si="103"/>
        <v>1</v>
      </c>
      <c r="BL179" s="34" t="b">
        <f t="shared" si="103"/>
        <v>1</v>
      </c>
      <c r="BM179" s="34" t="b">
        <f t="shared" si="103"/>
        <v>1</v>
      </c>
      <c r="BN179" s="34" t="b">
        <f t="shared" si="103"/>
        <v>1</v>
      </c>
      <c r="BO179" s="34" t="b">
        <f t="shared" si="103"/>
        <v>1</v>
      </c>
      <c r="BP179" s="34" t="b">
        <f t="shared" si="103"/>
        <v>1</v>
      </c>
      <c r="BQ179" s="34" t="b">
        <f t="shared" si="103"/>
        <v>1</v>
      </c>
      <c r="BR179" s="34" t="b">
        <f t="shared" si="103"/>
        <v>1</v>
      </c>
      <c r="BS179" s="34" t="b">
        <f t="shared" si="103"/>
        <v>1</v>
      </c>
      <c r="BT179" s="34" t="b">
        <f t="shared" si="103"/>
        <v>1</v>
      </c>
      <c r="BU179" s="34" t="b">
        <f t="shared" si="103"/>
        <v>1</v>
      </c>
      <c r="BV179" s="34" t="b">
        <f t="shared" si="103"/>
        <v>1</v>
      </c>
      <c r="BW179" s="34" t="b">
        <f t="shared" si="103"/>
        <v>1</v>
      </c>
      <c r="BX179" s="34" t="b">
        <f t="shared" si="103"/>
        <v>1</v>
      </c>
      <c r="BY179" s="34" t="b">
        <f t="shared" si="103"/>
        <v>1</v>
      </c>
      <c r="BZ179" s="34" t="b">
        <f t="shared" si="103"/>
        <v>1</v>
      </c>
      <c r="CA179" s="34" t="b">
        <f t="shared" si="103"/>
        <v>1</v>
      </c>
      <c r="CB179" s="34" t="b">
        <f t="shared" si="103"/>
        <v>1</v>
      </c>
      <c r="CC179" s="34" t="b">
        <f t="shared" si="103"/>
        <v>1</v>
      </c>
      <c r="CD179" s="34" t="b">
        <f t="shared" si="103"/>
        <v>1</v>
      </c>
      <c r="CE179" s="34" t="b">
        <f t="shared" si="103"/>
        <v>1</v>
      </c>
      <c r="CF179" s="34" t="b">
        <f t="shared" si="103"/>
        <v>1</v>
      </c>
    </row>
    <row r="180" spans="1:84" ht="12" customHeight="1" x14ac:dyDescent="0.3">
      <c r="A180" s="765"/>
      <c r="E180" s="258" t="str">
        <f>$AX$92</f>
        <v>Telitalálat: 10 p</v>
      </c>
      <c r="H180" s="670" t="str">
        <f t="shared" ref="H180:AK180" si="104">IF(OR(BC179,NOT($AS$20)),"",IF(AND(H178=$E178,H179=$E179),"ü",""))</f>
        <v/>
      </c>
      <c r="I180" s="671" t="str">
        <f t="shared" si="104"/>
        <v/>
      </c>
      <c r="J180" s="671" t="str">
        <f t="shared" si="104"/>
        <v/>
      </c>
      <c r="K180" s="671" t="str">
        <f t="shared" si="104"/>
        <v/>
      </c>
      <c r="L180" s="671" t="str">
        <f t="shared" si="104"/>
        <v/>
      </c>
      <c r="M180" s="671" t="str">
        <f t="shared" si="104"/>
        <v/>
      </c>
      <c r="N180" s="671" t="str">
        <f t="shared" si="104"/>
        <v/>
      </c>
      <c r="O180" s="671" t="str">
        <f t="shared" si="104"/>
        <v/>
      </c>
      <c r="P180" s="671" t="str">
        <f t="shared" si="104"/>
        <v/>
      </c>
      <c r="Q180" s="671" t="str">
        <f t="shared" si="104"/>
        <v/>
      </c>
      <c r="R180" s="671" t="str">
        <f t="shared" si="104"/>
        <v/>
      </c>
      <c r="S180" s="671" t="str">
        <f t="shared" si="104"/>
        <v/>
      </c>
      <c r="T180" s="671" t="str">
        <f t="shared" si="104"/>
        <v/>
      </c>
      <c r="U180" s="671" t="str">
        <f t="shared" si="104"/>
        <v/>
      </c>
      <c r="V180" s="671" t="str">
        <f t="shared" si="104"/>
        <v/>
      </c>
      <c r="W180" s="671" t="str">
        <f t="shared" si="104"/>
        <v/>
      </c>
      <c r="X180" s="671" t="str">
        <f t="shared" si="104"/>
        <v/>
      </c>
      <c r="Y180" s="671" t="str">
        <f t="shared" si="104"/>
        <v/>
      </c>
      <c r="Z180" s="671" t="str">
        <f t="shared" si="104"/>
        <v/>
      </c>
      <c r="AA180" s="671" t="str">
        <f t="shared" si="104"/>
        <v/>
      </c>
      <c r="AB180" s="671" t="str">
        <f t="shared" si="104"/>
        <v/>
      </c>
      <c r="AC180" s="671" t="str">
        <f t="shared" si="104"/>
        <v/>
      </c>
      <c r="AD180" s="671" t="str">
        <f t="shared" si="104"/>
        <v/>
      </c>
      <c r="AE180" s="671" t="str">
        <f t="shared" si="104"/>
        <v/>
      </c>
      <c r="AF180" s="671" t="str">
        <f t="shared" si="104"/>
        <v/>
      </c>
      <c r="AG180" s="671" t="str">
        <f t="shared" si="104"/>
        <v/>
      </c>
      <c r="AH180" s="671" t="str">
        <f t="shared" si="104"/>
        <v/>
      </c>
      <c r="AI180" s="671" t="str">
        <f t="shared" si="104"/>
        <v/>
      </c>
      <c r="AJ180" s="671" t="str">
        <f t="shared" si="104"/>
        <v/>
      </c>
      <c r="AK180" s="672" t="str">
        <f t="shared" si="104"/>
        <v/>
      </c>
      <c r="AL180" s="15"/>
      <c r="AM180" s="15"/>
      <c r="AP180" s="536"/>
      <c r="AR180" s="537"/>
      <c r="AS180" s="529"/>
      <c r="AW180" s="390" t="str">
        <f>""</f>
        <v/>
      </c>
      <c r="AX180" s="531"/>
      <c r="AY180" s="390" t="str">
        <f>""</f>
        <v/>
      </c>
      <c r="BD180" s="520"/>
      <c r="BE180" s="520"/>
      <c r="BF180" s="520"/>
      <c r="BG180" s="520"/>
      <c r="BH180" s="520"/>
      <c r="BI180" s="520"/>
      <c r="BJ180" s="520"/>
      <c r="BK180" s="520"/>
      <c r="BL180" s="520"/>
      <c r="BM180" s="520"/>
      <c r="BN180" s="520"/>
      <c r="BO180" s="520"/>
      <c r="BP180" s="520"/>
      <c r="BQ180" s="520"/>
      <c r="BR180" s="520"/>
      <c r="BS180" s="520"/>
      <c r="BT180" s="520"/>
      <c r="BU180" s="520"/>
      <c r="BV180" s="520"/>
      <c r="BW180" s="520"/>
      <c r="BX180" s="520"/>
      <c r="BY180" s="520"/>
    </row>
    <row r="181" spans="1:84" ht="12" customHeight="1" x14ac:dyDescent="0.3">
      <c r="A181" s="765"/>
      <c r="E181" s="258" t="str">
        <f>$AX$93</f>
        <v>Gólkülönbség: 6 p</v>
      </c>
      <c r="H181" s="673" t="str">
        <f t="shared" ref="H181:AK181" si="105">IF(OR(BC179,NOT($AS$22)),"",IF(AND(NOT($AS$32),H180="ü"),"",IF(H178-H179=$E178-$E179,"ü"," ")))</f>
        <v/>
      </c>
      <c r="I181" s="674" t="str">
        <f t="shared" si="105"/>
        <v/>
      </c>
      <c r="J181" s="674" t="str">
        <f t="shared" si="105"/>
        <v/>
      </c>
      <c r="K181" s="674" t="str">
        <f t="shared" si="105"/>
        <v/>
      </c>
      <c r="L181" s="674" t="str">
        <f t="shared" si="105"/>
        <v/>
      </c>
      <c r="M181" s="674" t="str">
        <f t="shared" si="105"/>
        <v/>
      </c>
      <c r="N181" s="674" t="str">
        <f t="shared" si="105"/>
        <v/>
      </c>
      <c r="O181" s="674" t="str">
        <f t="shared" si="105"/>
        <v/>
      </c>
      <c r="P181" s="674" t="str">
        <f t="shared" si="105"/>
        <v/>
      </c>
      <c r="Q181" s="674" t="str">
        <f t="shared" si="105"/>
        <v/>
      </c>
      <c r="R181" s="674" t="str">
        <f t="shared" si="105"/>
        <v/>
      </c>
      <c r="S181" s="674" t="str">
        <f t="shared" si="105"/>
        <v/>
      </c>
      <c r="T181" s="674" t="str">
        <f t="shared" si="105"/>
        <v/>
      </c>
      <c r="U181" s="674" t="str">
        <f t="shared" si="105"/>
        <v/>
      </c>
      <c r="V181" s="674" t="str">
        <f t="shared" si="105"/>
        <v/>
      </c>
      <c r="W181" s="674" t="str">
        <f t="shared" si="105"/>
        <v/>
      </c>
      <c r="X181" s="674" t="str">
        <f t="shared" si="105"/>
        <v/>
      </c>
      <c r="Y181" s="674" t="str">
        <f t="shared" si="105"/>
        <v/>
      </c>
      <c r="Z181" s="674" t="str">
        <f t="shared" si="105"/>
        <v/>
      </c>
      <c r="AA181" s="674" t="str">
        <f t="shared" si="105"/>
        <v/>
      </c>
      <c r="AB181" s="674" t="str">
        <f t="shared" si="105"/>
        <v/>
      </c>
      <c r="AC181" s="674" t="str">
        <f t="shared" si="105"/>
        <v/>
      </c>
      <c r="AD181" s="674" t="str">
        <f t="shared" si="105"/>
        <v/>
      </c>
      <c r="AE181" s="674" t="str">
        <f t="shared" si="105"/>
        <v/>
      </c>
      <c r="AF181" s="674" t="str">
        <f t="shared" si="105"/>
        <v/>
      </c>
      <c r="AG181" s="674" t="str">
        <f t="shared" si="105"/>
        <v/>
      </c>
      <c r="AH181" s="674" t="str">
        <f t="shared" si="105"/>
        <v/>
      </c>
      <c r="AI181" s="674" t="str">
        <f t="shared" si="105"/>
        <v/>
      </c>
      <c r="AJ181" s="674" t="str">
        <f t="shared" si="105"/>
        <v/>
      </c>
      <c r="AK181" s="675" t="str">
        <f t="shared" si="105"/>
        <v/>
      </c>
      <c r="AL181" s="15"/>
      <c r="AM181" s="15"/>
      <c r="AP181" s="536"/>
      <c r="AR181" s="537"/>
      <c r="AS181" s="529"/>
      <c r="AW181" s="390" t="str">
        <f>""</f>
        <v/>
      </c>
      <c r="AX181" s="531"/>
      <c r="AY181" s="390" t="str">
        <f>""</f>
        <v/>
      </c>
      <c r="BD181" s="520"/>
      <c r="BE181" s="520"/>
      <c r="BF181" s="520"/>
      <c r="BG181" s="520"/>
      <c r="BH181" s="520"/>
      <c r="BI181" s="520"/>
      <c r="BJ181" s="520"/>
      <c r="BK181" s="520"/>
      <c r="BL181" s="520"/>
      <c r="BM181" s="520"/>
      <c r="BN181" s="520"/>
      <c r="BO181" s="520"/>
      <c r="BP181" s="520"/>
      <c r="BQ181" s="520"/>
      <c r="BR181" s="520"/>
      <c r="BS181" s="520"/>
      <c r="BT181" s="520"/>
      <c r="BU181" s="520"/>
      <c r="BV181" s="520"/>
      <c r="BW181" s="520"/>
      <c r="BX181" s="520"/>
      <c r="BY181" s="520"/>
    </row>
    <row r="182" spans="1:84" ht="12" customHeight="1" x14ac:dyDescent="0.3">
      <c r="A182" s="765"/>
      <c r="E182" s="258" t="str">
        <f>$AX$94</f>
        <v>Mérkőzés kimenetele: 4 p</v>
      </c>
      <c r="H182" s="673" t="str">
        <f t="shared" ref="H182:AK182" si="106">IF(OR(BC179,NOT($AS$24)),"",IF(AND(NOT($AS$32),COUNTIF(H180:H181,"ü")&gt;0),"",IF(SIGN(H178-H179)=SIGN($E178-$E179),"ü"," ")))</f>
        <v/>
      </c>
      <c r="I182" s="674" t="str">
        <f t="shared" si="106"/>
        <v/>
      </c>
      <c r="J182" s="674" t="str">
        <f t="shared" si="106"/>
        <v/>
      </c>
      <c r="K182" s="674" t="str">
        <f t="shared" si="106"/>
        <v/>
      </c>
      <c r="L182" s="674" t="str">
        <f t="shared" si="106"/>
        <v/>
      </c>
      <c r="M182" s="674" t="str">
        <f t="shared" si="106"/>
        <v/>
      </c>
      <c r="N182" s="674" t="str">
        <f t="shared" si="106"/>
        <v/>
      </c>
      <c r="O182" s="674" t="str">
        <f t="shared" si="106"/>
        <v/>
      </c>
      <c r="P182" s="674" t="str">
        <f t="shared" si="106"/>
        <v/>
      </c>
      <c r="Q182" s="674" t="str">
        <f t="shared" si="106"/>
        <v/>
      </c>
      <c r="R182" s="674" t="str">
        <f t="shared" si="106"/>
        <v/>
      </c>
      <c r="S182" s="674" t="str">
        <f t="shared" si="106"/>
        <v/>
      </c>
      <c r="T182" s="674" t="str">
        <f t="shared" si="106"/>
        <v/>
      </c>
      <c r="U182" s="674" t="str">
        <f t="shared" si="106"/>
        <v/>
      </c>
      <c r="V182" s="674" t="str">
        <f t="shared" si="106"/>
        <v/>
      </c>
      <c r="W182" s="674" t="str">
        <f t="shared" si="106"/>
        <v/>
      </c>
      <c r="X182" s="674" t="str">
        <f t="shared" si="106"/>
        <v/>
      </c>
      <c r="Y182" s="674" t="str">
        <f t="shared" si="106"/>
        <v/>
      </c>
      <c r="Z182" s="674" t="str">
        <f t="shared" si="106"/>
        <v/>
      </c>
      <c r="AA182" s="674" t="str">
        <f t="shared" si="106"/>
        <v/>
      </c>
      <c r="AB182" s="674" t="str">
        <f t="shared" si="106"/>
        <v/>
      </c>
      <c r="AC182" s="674" t="str">
        <f t="shared" si="106"/>
        <v/>
      </c>
      <c r="AD182" s="674" t="str">
        <f t="shared" si="106"/>
        <v/>
      </c>
      <c r="AE182" s="674" t="str">
        <f t="shared" si="106"/>
        <v/>
      </c>
      <c r="AF182" s="674" t="str">
        <f t="shared" si="106"/>
        <v/>
      </c>
      <c r="AG182" s="674" t="str">
        <f t="shared" si="106"/>
        <v/>
      </c>
      <c r="AH182" s="674" t="str">
        <f t="shared" si="106"/>
        <v/>
      </c>
      <c r="AI182" s="674" t="str">
        <f t="shared" si="106"/>
        <v/>
      </c>
      <c r="AJ182" s="674" t="str">
        <f t="shared" si="106"/>
        <v/>
      </c>
      <c r="AK182" s="675" t="str">
        <f t="shared" si="106"/>
        <v/>
      </c>
      <c r="AL182" s="15"/>
      <c r="AM182" s="15"/>
      <c r="AP182" s="536"/>
      <c r="AR182" s="537"/>
      <c r="AS182" s="529"/>
      <c r="AW182" s="390" t="str">
        <f>""</f>
        <v/>
      </c>
      <c r="AX182" s="531"/>
      <c r="AY182" s="390" t="str">
        <f>""</f>
        <v/>
      </c>
      <c r="BD182" s="520"/>
      <c r="BE182" s="520"/>
      <c r="BF182" s="520"/>
      <c r="BG182" s="520"/>
      <c r="BH182" s="520"/>
      <c r="BI182" s="520"/>
      <c r="BJ182" s="520"/>
      <c r="BK182" s="520"/>
      <c r="BL182" s="520"/>
      <c r="BM182" s="520"/>
      <c r="BN182" s="520"/>
      <c r="BO182" s="520"/>
      <c r="BP182" s="520"/>
      <c r="BQ182" s="520"/>
      <c r="BR182" s="520"/>
      <c r="BS182" s="520"/>
      <c r="BT182" s="520"/>
      <c r="BU182" s="520"/>
      <c r="BV182" s="520"/>
      <c r="BW182" s="520"/>
      <c r="BX182" s="520"/>
      <c r="BY182" s="520"/>
    </row>
    <row r="183" spans="1:84" ht="12" customHeight="1" x14ac:dyDescent="0.3">
      <c r="A183" s="765"/>
      <c r="E183" s="258" t="str">
        <f>$AX$95</f>
        <v>Egyik csapat góljainak száma: 3 p</v>
      </c>
      <c r="H183" s="673" t="str">
        <f t="shared" ref="H183:AK183" si="107">IF(OR(BC179,NOT($AS$26)),"",IF(AND(NOT($AS$32),COUNTIF(H180:H182,"ü")&gt;0),"",IF(OR(H178=$E178,H179=$E179),"ü"," ")))</f>
        <v/>
      </c>
      <c r="I183" s="674" t="str">
        <f t="shared" si="107"/>
        <v/>
      </c>
      <c r="J183" s="674" t="str">
        <f t="shared" si="107"/>
        <v/>
      </c>
      <c r="K183" s="674" t="str">
        <f t="shared" si="107"/>
        <v/>
      </c>
      <c r="L183" s="674" t="str">
        <f t="shared" si="107"/>
        <v/>
      </c>
      <c r="M183" s="674" t="str">
        <f t="shared" si="107"/>
        <v/>
      </c>
      <c r="N183" s="674" t="str">
        <f t="shared" si="107"/>
        <v/>
      </c>
      <c r="O183" s="674" t="str">
        <f t="shared" si="107"/>
        <v/>
      </c>
      <c r="P183" s="674" t="str">
        <f t="shared" si="107"/>
        <v/>
      </c>
      <c r="Q183" s="674" t="str">
        <f t="shared" si="107"/>
        <v/>
      </c>
      <c r="R183" s="674" t="str">
        <f t="shared" si="107"/>
        <v/>
      </c>
      <c r="S183" s="674" t="str">
        <f t="shared" si="107"/>
        <v/>
      </c>
      <c r="T183" s="674" t="str">
        <f t="shared" si="107"/>
        <v/>
      </c>
      <c r="U183" s="674" t="str">
        <f t="shared" si="107"/>
        <v/>
      </c>
      <c r="V183" s="674" t="str">
        <f t="shared" si="107"/>
        <v/>
      </c>
      <c r="W183" s="674" t="str">
        <f t="shared" si="107"/>
        <v/>
      </c>
      <c r="X183" s="674" t="str">
        <f t="shared" si="107"/>
        <v/>
      </c>
      <c r="Y183" s="674" t="str">
        <f t="shared" si="107"/>
        <v/>
      </c>
      <c r="Z183" s="674" t="str">
        <f t="shared" si="107"/>
        <v/>
      </c>
      <c r="AA183" s="674" t="str">
        <f t="shared" si="107"/>
        <v/>
      </c>
      <c r="AB183" s="674" t="str">
        <f t="shared" si="107"/>
        <v/>
      </c>
      <c r="AC183" s="674" t="str">
        <f t="shared" si="107"/>
        <v/>
      </c>
      <c r="AD183" s="674" t="str">
        <f t="shared" si="107"/>
        <v/>
      </c>
      <c r="AE183" s="674" t="str">
        <f t="shared" si="107"/>
        <v/>
      </c>
      <c r="AF183" s="674" t="str">
        <f t="shared" si="107"/>
        <v/>
      </c>
      <c r="AG183" s="674" t="str">
        <f t="shared" si="107"/>
        <v/>
      </c>
      <c r="AH183" s="674" t="str">
        <f t="shared" si="107"/>
        <v/>
      </c>
      <c r="AI183" s="674" t="str">
        <f t="shared" si="107"/>
        <v/>
      </c>
      <c r="AJ183" s="674" t="str">
        <f t="shared" si="107"/>
        <v/>
      </c>
      <c r="AK183" s="675" t="str">
        <f t="shared" si="107"/>
        <v/>
      </c>
      <c r="AL183" s="15"/>
      <c r="AM183" s="15"/>
      <c r="AP183" s="536"/>
      <c r="AR183" s="537"/>
      <c r="AS183" s="529"/>
      <c r="AW183" s="390" t="str">
        <f>""</f>
        <v/>
      </c>
      <c r="AX183" s="531"/>
      <c r="AY183" s="390" t="str">
        <f>""</f>
        <v/>
      </c>
      <c r="BD183" s="520"/>
      <c r="BE183" s="520"/>
      <c r="BF183" s="520"/>
      <c r="BG183" s="520"/>
      <c r="BH183" s="520"/>
      <c r="BI183" s="520"/>
      <c r="BJ183" s="520"/>
      <c r="BK183" s="520"/>
      <c r="BL183" s="520"/>
      <c r="BM183" s="520"/>
      <c r="BN183" s="520"/>
      <c r="BO183" s="520"/>
      <c r="BP183" s="520"/>
      <c r="BQ183" s="520"/>
      <c r="BR183" s="520"/>
      <c r="BS183" s="520"/>
      <c r="BT183" s="520"/>
      <c r="BU183" s="520"/>
      <c r="BV183" s="520"/>
      <c r="BW183" s="520"/>
      <c r="BX183" s="520"/>
      <c r="BY183" s="520"/>
    </row>
    <row r="184" spans="1:84" ht="12" customHeight="1" x14ac:dyDescent="0.3">
      <c r="A184" s="765"/>
      <c r="E184" s="258" t="str">
        <f>$AX$96</f>
        <v>Összes gól: 2 p</v>
      </c>
      <c r="H184" s="673" t="str">
        <f t="shared" ref="H184:AK184" si="108">IF(OR(BC179,NOT($AS$28)),"",IF(AND(NOT($AS$32),COUNTIF(H180:H183,"ü")&gt;0),"",IF(H178+H179=$E178+$E179,"ü"," ")))</f>
        <v/>
      </c>
      <c r="I184" s="674" t="str">
        <f t="shared" si="108"/>
        <v/>
      </c>
      <c r="J184" s="674" t="str">
        <f t="shared" si="108"/>
        <v/>
      </c>
      <c r="K184" s="674" t="str">
        <f t="shared" si="108"/>
        <v/>
      </c>
      <c r="L184" s="674" t="str">
        <f t="shared" si="108"/>
        <v/>
      </c>
      <c r="M184" s="674" t="str">
        <f t="shared" si="108"/>
        <v/>
      </c>
      <c r="N184" s="674" t="str">
        <f t="shared" si="108"/>
        <v/>
      </c>
      <c r="O184" s="674" t="str">
        <f t="shared" si="108"/>
        <v/>
      </c>
      <c r="P184" s="674" t="str">
        <f t="shared" si="108"/>
        <v/>
      </c>
      <c r="Q184" s="674" t="str">
        <f t="shared" si="108"/>
        <v/>
      </c>
      <c r="R184" s="674" t="str">
        <f t="shared" si="108"/>
        <v/>
      </c>
      <c r="S184" s="674" t="str">
        <f t="shared" si="108"/>
        <v/>
      </c>
      <c r="T184" s="674" t="str">
        <f t="shared" si="108"/>
        <v/>
      </c>
      <c r="U184" s="674" t="str">
        <f t="shared" si="108"/>
        <v/>
      </c>
      <c r="V184" s="674" t="str">
        <f t="shared" si="108"/>
        <v/>
      </c>
      <c r="W184" s="674" t="str">
        <f t="shared" si="108"/>
        <v/>
      </c>
      <c r="X184" s="674" t="str">
        <f t="shared" si="108"/>
        <v/>
      </c>
      <c r="Y184" s="674" t="str">
        <f t="shared" si="108"/>
        <v/>
      </c>
      <c r="Z184" s="674" t="str">
        <f t="shared" si="108"/>
        <v/>
      </c>
      <c r="AA184" s="674" t="str">
        <f t="shared" si="108"/>
        <v/>
      </c>
      <c r="AB184" s="674" t="str">
        <f t="shared" si="108"/>
        <v/>
      </c>
      <c r="AC184" s="674" t="str">
        <f t="shared" si="108"/>
        <v/>
      </c>
      <c r="AD184" s="674" t="str">
        <f t="shared" si="108"/>
        <v/>
      </c>
      <c r="AE184" s="674" t="str">
        <f t="shared" si="108"/>
        <v/>
      </c>
      <c r="AF184" s="674" t="str">
        <f t="shared" si="108"/>
        <v/>
      </c>
      <c r="AG184" s="674" t="str">
        <f t="shared" si="108"/>
        <v/>
      </c>
      <c r="AH184" s="674" t="str">
        <f t="shared" si="108"/>
        <v/>
      </c>
      <c r="AI184" s="674" t="str">
        <f t="shared" si="108"/>
        <v/>
      </c>
      <c r="AJ184" s="674" t="str">
        <f t="shared" si="108"/>
        <v/>
      </c>
      <c r="AK184" s="675" t="str">
        <f t="shared" si="108"/>
        <v/>
      </c>
      <c r="AL184" s="15"/>
      <c r="AM184" s="15"/>
      <c r="AP184" s="536"/>
      <c r="AR184" s="537"/>
      <c r="AS184" s="529"/>
      <c r="AW184" s="390" t="str">
        <f>""</f>
        <v/>
      </c>
      <c r="AX184" s="531"/>
      <c r="AY184" s="390" t="str">
        <f>""</f>
        <v/>
      </c>
      <c r="BD184" s="520"/>
      <c r="BE184" s="520"/>
      <c r="BF184" s="520"/>
      <c r="BG184" s="520"/>
      <c r="BH184" s="520"/>
      <c r="BI184" s="520"/>
      <c r="BJ184" s="520"/>
      <c r="BK184" s="520"/>
      <c r="BL184" s="520"/>
      <c r="BM184" s="520"/>
      <c r="BN184" s="520"/>
      <c r="BO184" s="520"/>
      <c r="BP184" s="520"/>
      <c r="BQ184" s="520"/>
      <c r="BR184" s="520"/>
      <c r="BS184" s="520"/>
      <c r="BT184" s="520"/>
      <c r="BU184" s="520"/>
      <c r="BV184" s="520"/>
      <c r="BW184" s="520"/>
      <c r="BX184" s="520"/>
      <c r="BY184" s="520"/>
    </row>
    <row r="185" spans="1:84" ht="12" customHeight="1" x14ac:dyDescent="0.3">
      <c r="A185" s="765"/>
      <c r="E185" s="258" t="str">
        <f>$AX$97</f>
        <v>Fordított gólkülönbség: 1 p</v>
      </c>
      <c r="H185" s="676" t="str">
        <f t="shared" ref="H185:AK185" si="109">IF(OR(BC179,NOT($AS$30)),"",IF(AND(NOT($AS$32),COUNTIF(H180:H184,"ü")&gt;0),"",IF(AND(H178-H179=$E179-$E178,H178&lt;&gt;H179),"ü"," ")))</f>
        <v/>
      </c>
      <c r="I185" s="677" t="str">
        <f t="shared" si="109"/>
        <v/>
      </c>
      <c r="J185" s="677" t="str">
        <f t="shared" si="109"/>
        <v/>
      </c>
      <c r="K185" s="677" t="str">
        <f t="shared" si="109"/>
        <v/>
      </c>
      <c r="L185" s="677" t="str">
        <f t="shared" si="109"/>
        <v/>
      </c>
      <c r="M185" s="677" t="str">
        <f t="shared" si="109"/>
        <v/>
      </c>
      <c r="N185" s="677" t="str">
        <f t="shared" si="109"/>
        <v/>
      </c>
      <c r="O185" s="677" t="str">
        <f t="shared" si="109"/>
        <v/>
      </c>
      <c r="P185" s="677" t="str">
        <f t="shared" si="109"/>
        <v/>
      </c>
      <c r="Q185" s="677" t="str">
        <f t="shared" si="109"/>
        <v/>
      </c>
      <c r="R185" s="677" t="str">
        <f t="shared" si="109"/>
        <v/>
      </c>
      <c r="S185" s="677" t="str">
        <f t="shared" si="109"/>
        <v/>
      </c>
      <c r="T185" s="677" t="str">
        <f t="shared" si="109"/>
        <v/>
      </c>
      <c r="U185" s="677" t="str">
        <f t="shared" si="109"/>
        <v/>
      </c>
      <c r="V185" s="677" t="str">
        <f t="shared" si="109"/>
        <v/>
      </c>
      <c r="W185" s="677" t="str">
        <f t="shared" si="109"/>
        <v/>
      </c>
      <c r="X185" s="677" t="str">
        <f t="shared" si="109"/>
        <v/>
      </c>
      <c r="Y185" s="677" t="str">
        <f t="shared" si="109"/>
        <v/>
      </c>
      <c r="Z185" s="677" t="str">
        <f t="shared" si="109"/>
        <v/>
      </c>
      <c r="AA185" s="677" t="str">
        <f t="shared" si="109"/>
        <v/>
      </c>
      <c r="AB185" s="677" t="str">
        <f t="shared" si="109"/>
        <v/>
      </c>
      <c r="AC185" s="677" t="str">
        <f t="shared" si="109"/>
        <v/>
      </c>
      <c r="AD185" s="677" t="str">
        <f t="shared" si="109"/>
        <v/>
      </c>
      <c r="AE185" s="677" t="str">
        <f t="shared" si="109"/>
        <v/>
      </c>
      <c r="AF185" s="677" t="str">
        <f t="shared" si="109"/>
        <v/>
      </c>
      <c r="AG185" s="677" t="str">
        <f t="shared" si="109"/>
        <v/>
      </c>
      <c r="AH185" s="677" t="str">
        <f t="shared" si="109"/>
        <v/>
      </c>
      <c r="AI185" s="677" t="str">
        <f t="shared" si="109"/>
        <v/>
      </c>
      <c r="AJ185" s="677" t="str">
        <f t="shared" si="109"/>
        <v/>
      </c>
      <c r="AK185" s="678" t="str">
        <f t="shared" si="109"/>
        <v/>
      </c>
      <c r="AL185" s="15"/>
      <c r="AM185" s="15"/>
      <c r="AP185" s="536"/>
      <c r="AR185" s="537"/>
      <c r="AS185" s="529"/>
      <c r="AW185" s="390" t="str">
        <f>""</f>
        <v/>
      </c>
      <c r="AX185" s="531"/>
      <c r="AY185" s="390" t="str">
        <f>""</f>
        <v/>
      </c>
      <c r="BD185" s="520"/>
      <c r="BE185" s="520"/>
      <c r="BF185" s="520"/>
      <c r="BG185" s="520"/>
      <c r="BH185" s="520"/>
      <c r="BI185" s="520"/>
      <c r="BJ185" s="520"/>
      <c r="BK185" s="520"/>
      <c r="BL185" s="520"/>
      <c r="BM185" s="520"/>
      <c r="BN185" s="520"/>
      <c r="BO185" s="520"/>
      <c r="BP185" s="520"/>
      <c r="BQ185" s="520"/>
      <c r="BR185" s="520"/>
      <c r="BS185" s="520"/>
      <c r="BT185" s="520"/>
      <c r="BU185" s="520"/>
      <c r="BV185" s="520"/>
      <c r="BW185" s="520"/>
      <c r="BX185" s="520"/>
      <c r="BY185" s="520"/>
    </row>
    <row r="186" spans="1:84" ht="15" customHeight="1" x14ac:dyDescent="0.3">
      <c r="A186" s="765"/>
      <c r="E186" s="79" t="s">
        <v>799</v>
      </c>
      <c r="H186" s="679">
        <f t="shared" ref="H186:AK186" si="110">IF(NOT(H$13),"",SUMPRODUCT((H180:H185="ü")*($AW$92:$AW$97)))</f>
        <v>0</v>
      </c>
      <c r="I186" s="680">
        <f t="shared" si="110"/>
        <v>0</v>
      </c>
      <c r="J186" s="680">
        <f t="shared" si="110"/>
        <v>0</v>
      </c>
      <c r="K186" s="680">
        <f t="shared" si="110"/>
        <v>0</v>
      </c>
      <c r="L186" s="680">
        <f t="shared" si="110"/>
        <v>0</v>
      </c>
      <c r="M186" s="680">
        <f t="shared" si="110"/>
        <v>0</v>
      </c>
      <c r="N186" s="680">
        <f t="shared" si="110"/>
        <v>0</v>
      </c>
      <c r="O186" s="680">
        <f t="shared" si="110"/>
        <v>0</v>
      </c>
      <c r="P186" s="680">
        <f t="shared" si="110"/>
        <v>0</v>
      </c>
      <c r="Q186" s="680">
        <f t="shared" si="110"/>
        <v>0</v>
      </c>
      <c r="R186" s="680">
        <f t="shared" si="110"/>
        <v>0</v>
      </c>
      <c r="S186" s="680">
        <f t="shared" si="110"/>
        <v>0</v>
      </c>
      <c r="T186" s="680">
        <f t="shared" si="110"/>
        <v>0</v>
      </c>
      <c r="U186" s="680">
        <f t="shared" si="110"/>
        <v>0</v>
      </c>
      <c r="V186" s="680">
        <f t="shared" si="110"/>
        <v>0</v>
      </c>
      <c r="W186" s="680">
        <f t="shared" si="110"/>
        <v>0</v>
      </c>
      <c r="X186" s="680">
        <f t="shared" si="110"/>
        <v>0</v>
      </c>
      <c r="Y186" s="680">
        <f t="shared" si="110"/>
        <v>0</v>
      </c>
      <c r="Z186" s="680">
        <f t="shared" si="110"/>
        <v>0</v>
      </c>
      <c r="AA186" s="680">
        <f t="shared" si="110"/>
        <v>0</v>
      </c>
      <c r="AB186" s="680">
        <f t="shared" si="110"/>
        <v>0</v>
      </c>
      <c r="AC186" s="680">
        <f t="shared" si="110"/>
        <v>0</v>
      </c>
      <c r="AD186" s="680">
        <f t="shared" si="110"/>
        <v>0</v>
      </c>
      <c r="AE186" s="680" t="str">
        <f t="shared" si="110"/>
        <v/>
      </c>
      <c r="AF186" s="680" t="str">
        <f t="shared" si="110"/>
        <v/>
      </c>
      <c r="AG186" s="680" t="str">
        <f t="shared" si="110"/>
        <v/>
      </c>
      <c r="AH186" s="680" t="str">
        <f t="shared" si="110"/>
        <v/>
      </c>
      <c r="AI186" s="680" t="str">
        <f t="shared" si="110"/>
        <v/>
      </c>
      <c r="AJ186" s="680" t="str">
        <f t="shared" si="110"/>
        <v/>
      </c>
      <c r="AK186" s="681" t="str">
        <f t="shared" si="110"/>
        <v/>
      </c>
      <c r="AP186" s="536"/>
      <c r="AR186" s="537"/>
      <c r="AS186" s="529"/>
    </row>
    <row r="187" spans="1:84" ht="9" customHeight="1" x14ac:dyDescent="0.3">
      <c r="A187" s="765"/>
      <c r="D187" s="15"/>
      <c r="E187" s="15"/>
      <c r="F187" s="15"/>
      <c r="G187" s="15"/>
      <c r="H187" s="15"/>
      <c r="I187" s="16"/>
      <c r="J187" s="15"/>
      <c r="K187" s="15"/>
      <c r="L187" s="16"/>
      <c r="M187" s="15"/>
      <c r="N187" s="15"/>
      <c r="O187" s="16"/>
      <c r="P187" s="15"/>
      <c r="Q187" s="15"/>
      <c r="R187" s="16"/>
      <c r="S187" s="15"/>
      <c r="T187" s="15"/>
      <c r="U187" s="16"/>
      <c r="V187" s="15"/>
      <c r="W187" s="15"/>
      <c r="X187" s="16"/>
      <c r="Y187" s="15"/>
      <c r="Z187" s="15"/>
      <c r="AA187" s="16"/>
      <c r="AB187" s="15"/>
      <c r="AC187" s="15"/>
      <c r="AD187" s="16"/>
      <c r="AE187" s="15"/>
      <c r="AF187" s="15"/>
      <c r="AG187" s="16"/>
      <c r="AH187" s="15"/>
      <c r="AI187" s="15"/>
      <c r="AJ187" s="16"/>
      <c r="AK187" s="15"/>
      <c r="AP187" s="536"/>
      <c r="AR187" s="537"/>
      <c r="AS187" s="529"/>
    </row>
    <row r="188" spans="1:84" ht="15" customHeight="1" x14ac:dyDescent="0.3">
      <c r="A188" s="765"/>
      <c r="C188" s="27" t="str">
        <f>" "&amp;VLOOKUP(AQ189,schedule,18,FALSE)&amp;"  ("&amp;VLOOKUP(AQ189,schedule,3,FALSE)&amp;" CSOPORT)"</f>
        <v xml:space="preserve"> JÚNIUS 14. – HÉTFŐ 21:00  (E CSOPORT)</v>
      </c>
      <c r="D188" s="27"/>
      <c r="E188" s="26"/>
      <c r="F188" s="26"/>
      <c r="G188" s="26"/>
      <c r="H188" s="26"/>
      <c r="I188" s="26"/>
      <c r="J188" s="26"/>
      <c r="AP188" s="536"/>
      <c r="AR188" s="537"/>
      <c r="AS188" s="529"/>
    </row>
    <row r="189" spans="1:84" ht="15" customHeight="1" x14ac:dyDescent="0.3">
      <c r="A189" s="765"/>
      <c r="C189" s="661"/>
      <c r="D189" s="662" t="str">
        <f>IF(INDEX(n.er,$AR189,8)="","",INDEX(n.er,$AR189,8))</f>
        <v>Spanyolország</v>
      </c>
      <c r="E189" s="663" t="str">
        <f>IF(NOT($AS189),"",INDEX(n.er,$AR189,9))</f>
        <v/>
      </c>
      <c r="F189" s="662"/>
      <c r="G189" s="259"/>
      <c r="H189" s="664">
        <v>2</v>
      </c>
      <c r="I189" s="665">
        <v>3</v>
      </c>
      <c r="J189" s="665">
        <v>2</v>
      </c>
      <c r="K189" s="665">
        <v>2</v>
      </c>
      <c r="L189" s="665">
        <v>3</v>
      </c>
      <c r="M189" s="665">
        <v>4</v>
      </c>
      <c r="N189" s="665">
        <v>2</v>
      </c>
      <c r="O189" s="665">
        <v>3</v>
      </c>
      <c r="P189" s="665">
        <v>2</v>
      </c>
      <c r="Q189" s="665">
        <v>2</v>
      </c>
      <c r="R189" s="665">
        <v>1</v>
      </c>
      <c r="S189" s="665">
        <v>1</v>
      </c>
      <c r="T189" s="665">
        <v>2</v>
      </c>
      <c r="U189" s="665">
        <v>3</v>
      </c>
      <c r="V189" s="665">
        <v>3</v>
      </c>
      <c r="W189" s="665">
        <v>1</v>
      </c>
      <c r="X189" s="665">
        <v>2</v>
      </c>
      <c r="Y189" s="665">
        <v>2</v>
      </c>
      <c r="Z189" s="665">
        <v>3</v>
      </c>
      <c r="AA189" s="665">
        <v>2</v>
      </c>
      <c r="AB189" s="665">
        <v>2</v>
      </c>
      <c r="AC189" s="665">
        <v>1</v>
      </c>
      <c r="AD189" s="665">
        <v>5</v>
      </c>
      <c r="AE189" s="665"/>
      <c r="AF189" s="665"/>
      <c r="AG189" s="665"/>
      <c r="AH189" s="665"/>
      <c r="AI189" s="665"/>
      <c r="AJ189" s="665"/>
      <c r="AK189" s="666"/>
      <c r="AP189" s="52">
        <f>AP178+1</f>
        <v>10</v>
      </c>
      <c r="AQ189" s="311">
        <f>INDEX(schedule,AP189,1)</f>
        <v>10</v>
      </c>
      <c r="AR189" s="311">
        <f>MATCH(AQ189,n.er.index,0)</f>
        <v>22</v>
      </c>
      <c r="AS189" s="532" t="b">
        <f>INDEX(n.er,$AR189,3)</f>
        <v>0</v>
      </c>
      <c r="AT189" s="531"/>
      <c r="AU189" s="531"/>
      <c r="AV189" s="531"/>
      <c r="AW189" s="531"/>
      <c r="AX189" s="531"/>
      <c r="BC189" s="525" t="b">
        <f t="shared" ref="BC189:CF189" si="111">IF(AND(ISNUMBER(H189),ISNUMBER(H190),H189&lt;&gt;"",H190&lt;&gt;""),AND(H189&gt;=0,H190&gt;=0,MOD(H189+H190,1)=0),FALSE)</f>
        <v>1</v>
      </c>
      <c r="BD189" s="525" t="b">
        <f t="shared" si="111"/>
        <v>1</v>
      </c>
      <c r="BE189" s="525" t="b">
        <f t="shared" si="111"/>
        <v>1</v>
      </c>
      <c r="BF189" s="525" t="b">
        <f t="shared" si="111"/>
        <v>1</v>
      </c>
      <c r="BG189" s="525" t="b">
        <f t="shared" si="111"/>
        <v>1</v>
      </c>
      <c r="BH189" s="525" t="b">
        <f t="shared" si="111"/>
        <v>1</v>
      </c>
      <c r="BI189" s="525" t="b">
        <f t="shared" si="111"/>
        <v>1</v>
      </c>
      <c r="BJ189" s="525" t="b">
        <f t="shared" si="111"/>
        <v>1</v>
      </c>
      <c r="BK189" s="525" t="b">
        <f t="shared" si="111"/>
        <v>1</v>
      </c>
      <c r="BL189" s="525" t="b">
        <f t="shared" si="111"/>
        <v>1</v>
      </c>
      <c r="BM189" s="525" t="b">
        <f t="shared" si="111"/>
        <v>1</v>
      </c>
      <c r="BN189" s="525" t="b">
        <f t="shared" si="111"/>
        <v>1</v>
      </c>
      <c r="BO189" s="525" t="b">
        <f t="shared" si="111"/>
        <v>1</v>
      </c>
      <c r="BP189" s="525" t="b">
        <f t="shared" si="111"/>
        <v>1</v>
      </c>
      <c r="BQ189" s="525" t="b">
        <f t="shared" si="111"/>
        <v>1</v>
      </c>
      <c r="BR189" s="525" t="b">
        <f t="shared" si="111"/>
        <v>1</v>
      </c>
      <c r="BS189" s="525" t="b">
        <f t="shared" si="111"/>
        <v>1</v>
      </c>
      <c r="BT189" s="525" t="b">
        <f t="shared" si="111"/>
        <v>1</v>
      </c>
      <c r="BU189" s="525" t="b">
        <f t="shared" si="111"/>
        <v>1</v>
      </c>
      <c r="BV189" s="525" t="b">
        <f t="shared" si="111"/>
        <v>1</v>
      </c>
      <c r="BW189" s="525" t="b">
        <f t="shared" si="111"/>
        <v>1</v>
      </c>
      <c r="BX189" s="525" t="b">
        <f t="shared" si="111"/>
        <v>1</v>
      </c>
      <c r="BY189" s="525" t="b">
        <f t="shared" si="111"/>
        <v>1</v>
      </c>
      <c r="BZ189" s="525" t="b">
        <f t="shared" si="111"/>
        <v>0</v>
      </c>
      <c r="CA189" s="525" t="b">
        <f t="shared" si="111"/>
        <v>0</v>
      </c>
      <c r="CB189" s="525" t="b">
        <f t="shared" si="111"/>
        <v>0</v>
      </c>
      <c r="CC189" s="525" t="b">
        <f t="shared" si="111"/>
        <v>0</v>
      </c>
      <c r="CD189" s="525" t="b">
        <f t="shared" si="111"/>
        <v>0</v>
      </c>
      <c r="CE189" s="525" t="b">
        <f t="shared" si="111"/>
        <v>0</v>
      </c>
      <c r="CF189" s="525" t="b">
        <f t="shared" si="111"/>
        <v>0</v>
      </c>
    </row>
    <row r="190" spans="1:84" ht="15" customHeight="1" x14ac:dyDescent="0.3">
      <c r="A190" s="765"/>
      <c r="C190" s="695"/>
      <c r="D190" s="696" t="str">
        <f>IF(INDEX(n.er,$AR189,11)="","",INDEX(n.er,$AR189,11))</f>
        <v>Svédország</v>
      </c>
      <c r="E190" s="697" t="str">
        <f>IF(NOT($AS189),"",INDEX(n.er,$AR189,10))</f>
        <v/>
      </c>
      <c r="F190" s="696"/>
      <c r="G190" s="259"/>
      <c r="H190" s="667">
        <v>2</v>
      </c>
      <c r="I190" s="668">
        <v>2</v>
      </c>
      <c r="J190" s="668">
        <v>0</v>
      </c>
      <c r="K190" s="668">
        <v>2</v>
      </c>
      <c r="L190" s="668">
        <v>2</v>
      </c>
      <c r="M190" s="668">
        <v>0</v>
      </c>
      <c r="N190" s="668">
        <v>0</v>
      </c>
      <c r="O190" s="668">
        <v>0</v>
      </c>
      <c r="P190" s="668">
        <v>1</v>
      </c>
      <c r="Q190" s="668">
        <v>1</v>
      </c>
      <c r="R190" s="668">
        <v>0</v>
      </c>
      <c r="S190" s="668">
        <v>1</v>
      </c>
      <c r="T190" s="668">
        <v>1</v>
      </c>
      <c r="U190" s="668">
        <v>1</v>
      </c>
      <c r="V190" s="668">
        <v>2</v>
      </c>
      <c r="W190" s="668">
        <v>1</v>
      </c>
      <c r="X190" s="668">
        <v>1</v>
      </c>
      <c r="Y190" s="668">
        <v>2</v>
      </c>
      <c r="Z190" s="668">
        <v>0</v>
      </c>
      <c r="AA190" s="668">
        <v>1</v>
      </c>
      <c r="AB190" s="668">
        <v>0</v>
      </c>
      <c r="AC190" s="668">
        <v>1</v>
      </c>
      <c r="AD190" s="668">
        <v>0</v>
      </c>
      <c r="AE190" s="668"/>
      <c r="AF190" s="668"/>
      <c r="AG190" s="668"/>
      <c r="AH190" s="668"/>
      <c r="AI190" s="668"/>
      <c r="AJ190" s="668"/>
      <c r="AK190" s="669"/>
      <c r="AP190" s="533"/>
      <c r="AQ190" s="577"/>
      <c r="AR190" s="534"/>
      <c r="AS190" s="535"/>
      <c r="AX190" s="531"/>
      <c r="BC190" s="34" t="b">
        <f t="shared" ref="BC190:CF190" si="112">OR(NOT(H$13),NOT($AS189),NOT(BC189))</f>
        <v>1</v>
      </c>
      <c r="BD190" s="34" t="b">
        <f t="shared" si="112"/>
        <v>1</v>
      </c>
      <c r="BE190" s="34" t="b">
        <f t="shared" si="112"/>
        <v>1</v>
      </c>
      <c r="BF190" s="34" t="b">
        <f t="shared" si="112"/>
        <v>1</v>
      </c>
      <c r="BG190" s="34" t="b">
        <f t="shared" si="112"/>
        <v>1</v>
      </c>
      <c r="BH190" s="34" t="b">
        <f t="shared" si="112"/>
        <v>1</v>
      </c>
      <c r="BI190" s="34" t="b">
        <f t="shared" si="112"/>
        <v>1</v>
      </c>
      <c r="BJ190" s="34" t="b">
        <f t="shared" si="112"/>
        <v>1</v>
      </c>
      <c r="BK190" s="34" t="b">
        <f t="shared" si="112"/>
        <v>1</v>
      </c>
      <c r="BL190" s="34" t="b">
        <f t="shared" si="112"/>
        <v>1</v>
      </c>
      <c r="BM190" s="34" t="b">
        <f t="shared" si="112"/>
        <v>1</v>
      </c>
      <c r="BN190" s="34" t="b">
        <f t="shared" si="112"/>
        <v>1</v>
      </c>
      <c r="BO190" s="34" t="b">
        <f t="shared" si="112"/>
        <v>1</v>
      </c>
      <c r="BP190" s="34" t="b">
        <f t="shared" si="112"/>
        <v>1</v>
      </c>
      <c r="BQ190" s="34" t="b">
        <f t="shared" si="112"/>
        <v>1</v>
      </c>
      <c r="BR190" s="34" t="b">
        <f t="shared" si="112"/>
        <v>1</v>
      </c>
      <c r="BS190" s="34" t="b">
        <f t="shared" si="112"/>
        <v>1</v>
      </c>
      <c r="BT190" s="34" t="b">
        <f t="shared" si="112"/>
        <v>1</v>
      </c>
      <c r="BU190" s="34" t="b">
        <f t="shared" si="112"/>
        <v>1</v>
      </c>
      <c r="BV190" s="34" t="b">
        <f t="shared" si="112"/>
        <v>1</v>
      </c>
      <c r="BW190" s="34" t="b">
        <f t="shared" si="112"/>
        <v>1</v>
      </c>
      <c r="BX190" s="34" t="b">
        <f t="shared" si="112"/>
        <v>1</v>
      </c>
      <c r="BY190" s="34" t="b">
        <f t="shared" si="112"/>
        <v>1</v>
      </c>
      <c r="BZ190" s="34" t="b">
        <f t="shared" si="112"/>
        <v>1</v>
      </c>
      <c r="CA190" s="34" t="b">
        <f t="shared" si="112"/>
        <v>1</v>
      </c>
      <c r="CB190" s="34" t="b">
        <f t="shared" si="112"/>
        <v>1</v>
      </c>
      <c r="CC190" s="34" t="b">
        <f t="shared" si="112"/>
        <v>1</v>
      </c>
      <c r="CD190" s="34" t="b">
        <f t="shared" si="112"/>
        <v>1</v>
      </c>
      <c r="CE190" s="34" t="b">
        <f t="shared" si="112"/>
        <v>1</v>
      </c>
      <c r="CF190" s="34" t="b">
        <f t="shared" si="112"/>
        <v>1</v>
      </c>
    </row>
    <row r="191" spans="1:84" ht="12" customHeight="1" x14ac:dyDescent="0.3">
      <c r="A191" s="765"/>
      <c r="E191" s="258" t="str">
        <f>$AX$92</f>
        <v>Telitalálat: 10 p</v>
      </c>
      <c r="H191" s="670" t="str">
        <f t="shared" ref="H191:AK191" si="113">IF(OR(BC190,NOT($AS$20)),"",IF(AND(H189=$E189,H190=$E190),"ü",""))</f>
        <v/>
      </c>
      <c r="I191" s="671" t="str">
        <f t="shared" si="113"/>
        <v/>
      </c>
      <c r="J191" s="671" t="str">
        <f t="shared" si="113"/>
        <v/>
      </c>
      <c r="K191" s="671" t="str">
        <f t="shared" si="113"/>
        <v/>
      </c>
      <c r="L191" s="671" t="str">
        <f t="shared" si="113"/>
        <v/>
      </c>
      <c r="M191" s="671" t="str">
        <f t="shared" si="113"/>
        <v/>
      </c>
      <c r="N191" s="671" t="str">
        <f t="shared" si="113"/>
        <v/>
      </c>
      <c r="O191" s="671" t="str">
        <f t="shared" si="113"/>
        <v/>
      </c>
      <c r="P191" s="671" t="str">
        <f t="shared" si="113"/>
        <v/>
      </c>
      <c r="Q191" s="671" t="str">
        <f t="shared" si="113"/>
        <v/>
      </c>
      <c r="R191" s="671" t="str">
        <f t="shared" si="113"/>
        <v/>
      </c>
      <c r="S191" s="671" t="str">
        <f t="shared" si="113"/>
        <v/>
      </c>
      <c r="T191" s="671" t="str">
        <f t="shared" si="113"/>
        <v/>
      </c>
      <c r="U191" s="671" t="str">
        <f t="shared" si="113"/>
        <v/>
      </c>
      <c r="V191" s="671" t="str">
        <f t="shared" si="113"/>
        <v/>
      </c>
      <c r="W191" s="671" t="str">
        <f t="shared" si="113"/>
        <v/>
      </c>
      <c r="X191" s="671" t="str">
        <f t="shared" si="113"/>
        <v/>
      </c>
      <c r="Y191" s="671" t="str">
        <f t="shared" si="113"/>
        <v/>
      </c>
      <c r="Z191" s="671" t="str">
        <f t="shared" si="113"/>
        <v/>
      </c>
      <c r="AA191" s="671" t="str">
        <f t="shared" si="113"/>
        <v/>
      </c>
      <c r="AB191" s="671" t="str">
        <f t="shared" si="113"/>
        <v/>
      </c>
      <c r="AC191" s="671" t="str">
        <f t="shared" si="113"/>
        <v/>
      </c>
      <c r="AD191" s="671" t="str">
        <f t="shared" si="113"/>
        <v/>
      </c>
      <c r="AE191" s="671" t="str">
        <f t="shared" si="113"/>
        <v/>
      </c>
      <c r="AF191" s="671" t="str">
        <f t="shared" si="113"/>
        <v/>
      </c>
      <c r="AG191" s="671" t="str">
        <f t="shared" si="113"/>
        <v/>
      </c>
      <c r="AH191" s="671" t="str">
        <f t="shared" si="113"/>
        <v/>
      </c>
      <c r="AI191" s="671" t="str">
        <f t="shared" si="113"/>
        <v/>
      </c>
      <c r="AJ191" s="671" t="str">
        <f t="shared" si="113"/>
        <v/>
      </c>
      <c r="AK191" s="672" t="str">
        <f t="shared" si="113"/>
        <v/>
      </c>
      <c r="AL191" s="15"/>
      <c r="AM191" s="15"/>
      <c r="AP191" s="536"/>
      <c r="AR191" s="537"/>
      <c r="AS191" s="529"/>
      <c r="AW191" s="390" t="str">
        <f>""</f>
        <v/>
      </c>
      <c r="AX191" s="531"/>
      <c r="AY191" s="390" t="str">
        <f>""</f>
        <v/>
      </c>
      <c r="BD191" s="520"/>
      <c r="BE191" s="520"/>
      <c r="BF191" s="520"/>
      <c r="BG191" s="520"/>
      <c r="BH191" s="520"/>
      <c r="BI191" s="520"/>
      <c r="BJ191" s="520"/>
      <c r="BK191" s="520"/>
      <c r="BL191" s="520"/>
      <c r="BM191" s="520"/>
      <c r="BN191" s="520"/>
      <c r="BO191" s="520"/>
      <c r="BP191" s="520"/>
      <c r="BQ191" s="520"/>
      <c r="BR191" s="520"/>
      <c r="BS191" s="520"/>
      <c r="BT191" s="520"/>
      <c r="BU191" s="520"/>
      <c r="BV191" s="520"/>
      <c r="BW191" s="520"/>
      <c r="BX191" s="520"/>
      <c r="BY191" s="520"/>
    </row>
    <row r="192" spans="1:84" ht="12" customHeight="1" x14ac:dyDescent="0.3">
      <c r="A192" s="765"/>
      <c r="E192" s="258" t="str">
        <f>$AX$93</f>
        <v>Gólkülönbség: 6 p</v>
      </c>
      <c r="H192" s="673" t="str">
        <f t="shared" ref="H192:AK192" si="114">IF(OR(BC190,NOT($AS$22)),"",IF(AND(NOT($AS$32),H191="ü"),"",IF(H189-H190=$E189-$E190,"ü"," ")))</f>
        <v/>
      </c>
      <c r="I192" s="674" t="str">
        <f t="shared" si="114"/>
        <v/>
      </c>
      <c r="J192" s="674" t="str">
        <f t="shared" si="114"/>
        <v/>
      </c>
      <c r="K192" s="674" t="str">
        <f t="shared" si="114"/>
        <v/>
      </c>
      <c r="L192" s="674" t="str">
        <f t="shared" si="114"/>
        <v/>
      </c>
      <c r="M192" s="674" t="str">
        <f t="shared" si="114"/>
        <v/>
      </c>
      <c r="N192" s="674" t="str">
        <f t="shared" si="114"/>
        <v/>
      </c>
      <c r="O192" s="674" t="str">
        <f t="shared" si="114"/>
        <v/>
      </c>
      <c r="P192" s="674" t="str">
        <f t="shared" si="114"/>
        <v/>
      </c>
      <c r="Q192" s="674" t="str">
        <f t="shared" si="114"/>
        <v/>
      </c>
      <c r="R192" s="674" t="str">
        <f t="shared" si="114"/>
        <v/>
      </c>
      <c r="S192" s="674" t="str">
        <f t="shared" si="114"/>
        <v/>
      </c>
      <c r="T192" s="674" t="str">
        <f t="shared" si="114"/>
        <v/>
      </c>
      <c r="U192" s="674" t="str">
        <f t="shared" si="114"/>
        <v/>
      </c>
      <c r="V192" s="674" t="str">
        <f t="shared" si="114"/>
        <v/>
      </c>
      <c r="W192" s="674" t="str">
        <f t="shared" si="114"/>
        <v/>
      </c>
      <c r="X192" s="674" t="str">
        <f t="shared" si="114"/>
        <v/>
      </c>
      <c r="Y192" s="674" t="str">
        <f t="shared" si="114"/>
        <v/>
      </c>
      <c r="Z192" s="674" t="str">
        <f t="shared" si="114"/>
        <v/>
      </c>
      <c r="AA192" s="674" t="str">
        <f t="shared" si="114"/>
        <v/>
      </c>
      <c r="AB192" s="674" t="str">
        <f t="shared" si="114"/>
        <v/>
      </c>
      <c r="AC192" s="674" t="str">
        <f t="shared" si="114"/>
        <v/>
      </c>
      <c r="AD192" s="674" t="str">
        <f t="shared" si="114"/>
        <v/>
      </c>
      <c r="AE192" s="674" t="str">
        <f t="shared" si="114"/>
        <v/>
      </c>
      <c r="AF192" s="674" t="str">
        <f t="shared" si="114"/>
        <v/>
      </c>
      <c r="AG192" s="674" t="str">
        <f t="shared" si="114"/>
        <v/>
      </c>
      <c r="AH192" s="674" t="str">
        <f t="shared" si="114"/>
        <v/>
      </c>
      <c r="AI192" s="674" t="str">
        <f t="shared" si="114"/>
        <v/>
      </c>
      <c r="AJ192" s="674" t="str">
        <f t="shared" si="114"/>
        <v/>
      </c>
      <c r="AK192" s="675" t="str">
        <f t="shared" si="114"/>
        <v/>
      </c>
      <c r="AL192" s="15"/>
      <c r="AM192" s="15"/>
      <c r="AP192" s="536"/>
      <c r="AR192" s="537"/>
      <c r="AS192" s="529"/>
      <c r="AW192" s="390" t="str">
        <f>""</f>
        <v/>
      </c>
      <c r="AX192" s="531"/>
      <c r="AY192" s="390" t="str">
        <f>""</f>
        <v/>
      </c>
      <c r="BD192" s="520"/>
      <c r="BE192" s="520"/>
      <c r="BF192" s="520"/>
      <c r="BG192" s="520"/>
      <c r="BH192" s="520"/>
      <c r="BI192" s="520"/>
      <c r="BJ192" s="520"/>
      <c r="BK192" s="520"/>
      <c r="BL192" s="520"/>
      <c r="BM192" s="520"/>
      <c r="BN192" s="520"/>
      <c r="BO192" s="520"/>
      <c r="BP192" s="520"/>
      <c r="BQ192" s="520"/>
      <c r="BR192" s="520"/>
      <c r="BS192" s="520"/>
      <c r="BT192" s="520"/>
      <c r="BU192" s="520"/>
      <c r="BV192" s="520"/>
      <c r="BW192" s="520"/>
      <c r="BX192" s="520"/>
      <c r="BY192" s="520"/>
    </row>
    <row r="193" spans="1:84" ht="12" customHeight="1" x14ac:dyDescent="0.3">
      <c r="A193" s="765"/>
      <c r="E193" s="258" t="str">
        <f>$AX$94</f>
        <v>Mérkőzés kimenetele: 4 p</v>
      </c>
      <c r="H193" s="673" t="str">
        <f t="shared" ref="H193:AK193" si="115">IF(OR(BC190,NOT($AS$24)),"",IF(AND(NOT($AS$32),COUNTIF(H191:H192,"ü")&gt;0),"",IF(SIGN(H189-H190)=SIGN($E189-$E190),"ü"," ")))</f>
        <v/>
      </c>
      <c r="I193" s="674" t="str">
        <f t="shared" si="115"/>
        <v/>
      </c>
      <c r="J193" s="674" t="str">
        <f t="shared" si="115"/>
        <v/>
      </c>
      <c r="K193" s="674" t="str">
        <f t="shared" si="115"/>
        <v/>
      </c>
      <c r="L193" s="674" t="str">
        <f t="shared" si="115"/>
        <v/>
      </c>
      <c r="M193" s="674" t="str">
        <f t="shared" si="115"/>
        <v/>
      </c>
      <c r="N193" s="674" t="str">
        <f t="shared" si="115"/>
        <v/>
      </c>
      <c r="O193" s="674" t="str">
        <f t="shared" si="115"/>
        <v/>
      </c>
      <c r="P193" s="674" t="str">
        <f t="shared" si="115"/>
        <v/>
      </c>
      <c r="Q193" s="674" t="str">
        <f t="shared" si="115"/>
        <v/>
      </c>
      <c r="R193" s="674" t="str">
        <f t="shared" si="115"/>
        <v/>
      </c>
      <c r="S193" s="674" t="str">
        <f t="shared" si="115"/>
        <v/>
      </c>
      <c r="T193" s="674" t="str">
        <f t="shared" si="115"/>
        <v/>
      </c>
      <c r="U193" s="674" t="str">
        <f t="shared" si="115"/>
        <v/>
      </c>
      <c r="V193" s="674" t="str">
        <f t="shared" si="115"/>
        <v/>
      </c>
      <c r="W193" s="674" t="str">
        <f t="shared" si="115"/>
        <v/>
      </c>
      <c r="X193" s="674" t="str">
        <f t="shared" si="115"/>
        <v/>
      </c>
      <c r="Y193" s="674" t="str">
        <f t="shared" si="115"/>
        <v/>
      </c>
      <c r="Z193" s="674" t="str">
        <f t="shared" si="115"/>
        <v/>
      </c>
      <c r="AA193" s="674" t="str">
        <f t="shared" si="115"/>
        <v/>
      </c>
      <c r="AB193" s="674" t="str">
        <f t="shared" si="115"/>
        <v/>
      </c>
      <c r="AC193" s="674" t="str">
        <f t="shared" si="115"/>
        <v/>
      </c>
      <c r="AD193" s="674" t="str">
        <f t="shared" si="115"/>
        <v/>
      </c>
      <c r="AE193" s="674" t="str">
        <f t="shared" si="115"/>
        <v/>
      </c>
      <c r="AF193" s="674" t="str">
        <f t="shared" si="115"/>
        <v/>
      </c>
      <c r="AG193" s="674" t="str">
        <f t="shared" si="115"/>
        <v/>
      </c>
      <c r="AH193" s="674" t="str">
        <f t="shared" si="115"/>
        <v/>
      </c>
      <c r="AI193" s="674" t="str">
        <f t="shared" si="115"/>
        <v/>
      </c>
      <c r="AJ193" s="674" t="str">
        <f t="shared" si="115"/>
        <v/>
      </c>
      <c r="AK193" s="675" t="str">
        <f t="shared" si="115"/>
        <v/>
      </c>
      <c r="AL193" s="15"/>
      <c r="AM193" s="15"/>
      <c r="AP193" s="536"/>
      <c r="AR193" s="537"/>
      <c r="AS193" s="529"/>
      <c r="AW193" s="390" t="str">
        <f>""</f>
        <v/>
      </c>
      <c r="AX193" s="531"/>
      <c r="AY193" s="390" t="str">
        <f>""</f>
        <v/>
      </c>
      <c r="BD193" s="520"/>
      <c r="BE193" s="520"/>
      <c r="BF193" s="520"/>
      <c r="BG193" s="520"/>
      <c r="BH193" s="520"/>
      <c r="BI193" s="520"/>
      <c r="BJ193" s="520"/>
      <c r="BK193" s="520"/>
      <c r="BL193" s="520"/>
      <c r="BM193" s="520"/>
      <c r="BN193" s="520"/>
      <c r="BO193" s="520"/>
      <c r="BP193" s="520"/>
      <c r="BQ193" s="520"/>
      <c r="BR193" s="520"/>
      <c r="BS193" s="520"/>
      <c r="BT193" s="520"/>
      <c r="BU193" s="520"/>
      <c r="BV193" s="520"/>
      <c r="BW193" s="520"/>
      <c r="BX193" s="520"/>
      <c r="BY193" s="520"/>
    </row>
    <row r="194" spans="1:84" ht="12" customHeight="1" x14ac:dyDescent="0.3">
      <c r="A194" s="765"/>
      <c r="E194" s="258" t="str">
        <f>$AX$95</f>
        <v>Egyik csapat góljainak száma: 3 p</v>
      </c>
      <c r="H194" s="673" t="str">
        <f t="shared" ref="H194:AK194" si="116">IF(OR(BC190,NOT($AS$26)),"",IF(AND(NOT($AS$32),COUNTIF(H191:H193,"ü")&gt;0),"",IF(OR(H189=$E189,H190=$E190),"ü"," ")))</f>
        <v/>
      </c>
      <c r="I194" s="674" t="str">
        <f t="shared" si="116"/>
        <v/>
      </c>
      <c r="J194" s="674" t="str">
        <f t="shared" si="116"/>
        <v/>
      </c>
      <c r="K194" s="674" t="str">
        <f t="shared" si="116"/>
        <v/>
      </c>
      <c r="L194" s="674" t="str">
        <f t="shared" si="116"/>
        <v/>
      </c>
      <c r="M194" s="674" t="str">
        <f t="shared" si="116"/>
        <v/>
      </c>
      <c r="N194" s="674" t="str">
        <f t="shared" si="116"/>
        <v/>
      </c>
      <c r="O194" s="674" t="str">
        <f t="shared" si="116"/>
        <v/>
      </c>
      <c r="P194" s="674" t="str">
        <f t="shared" si="116"/>
        <v/>
      </c>
      <c r="Q194" s="674" t="str">
        <f t="shared" si="116"/>
        <v/>
      </c>
      <c r="R194" s="674" t="str">
        <f t="shared" si="116"/>
        <v/>
      </c>
      <c r="S194" s="674" t="str">
        <f t="shared" si="116"/>
        <v/>
      </c>
      <c r="T194" s="674" t="str">
        <f t="shared" si="116"/>
        <v/>
      </c>
      <c r="U194" s="674" t="str">
        <f t="shared" si="116"/>
        <v/>
      </c>
      <c r="V194" s="674" t="str">
        <f t="shared" si="116"/>
        <v/>
      </c>
      <c r="W194" s="674" t="str">
        <f t="shared" si="116"/>
        <v/>
      </c>
      <c r="X194" s="674" t="str">
        <f t="shared" si="116"/>
        <v/>
      </c>
      <c r="Y194" s="674" t="str">
        <f t="shared" si="116"/>
        <v/>
      </c>
      <c r="Z194" s="674" t="str">
        <f t="shared" si="116"/>
        <v/>
      </c>
      <c r="AA194" s="674" t="str">
        <f t="shared" si="116"/>
        <v/>
      </c>
      <c r="AB194" s="674" t="str">
        <f t="shared" si="116"/>
        <v/>
      </c>
      <c r="AC194" s="674" t="str">
        <f t="shared" si="116"/>
        <v/>
      </c>
      <c r="AD194" s="674" t="str">
        <f t="shared" si="116"/>
        <v/>
      </c>
      <c r="AE194" s="674" t="str">
        <f t="shared" si="116"/>
        <v/>
      </c>
      <c r="AF194" s="674" t="str">
        <f t="shared" si="116"/>
        <v/>
      </c>
      <c r="AG194" s="674" t="str">
        <f t="shared" si="116"/>
        <v/>
      </c>
      <c r="AH194" s="674" t="str">
        <f t="shared" si="116"/>
        <v/>
      </c>
      <c r="AI194" s="674" t="str">
        <f t="shared" si="116"/>
        <v/>
      </c>
      <c r="AJ194" s="674" t="str">
        <f t="shared" si="116"/>
        <v/>
      </c>
      <c r="AK194" s="675" t="str">
        <f t="shared" si="116"/>
        <v/>
      </c>
      <c r="AL194" s="15"/>
      <c r="AM194" s="15"/>
      <c r="AP194" s="536"/>
      <c r="AR194" s="537"/>
      <c r="AS194" s="529"/>
      <c r="AW194" s="390" t="str">
        <f>""</f>
        <v/>
      </c>
      <c r="AX194" s="531"/>
      <c r="AY194" s="390" t="str">
        <f>""</f>
        <v/>
      </c>
      <c r="BD194" s="520"/>
      <c r="BE194" s="520"/>
      <c r="BF194" s="520"/>
      <c r="BG194" s="520"/>
      <c r="BH194" s="520"/>
      <c r="BI194" s="520"/>
      <c r="BJ194" s="520"/>
      <c r="BK194" s="520"/>
      <c r="BL194" s="520"/>
      <c r="BM194" s="520"/>
      <c r="BN194" s="520"/>
      <c r="BO194" s="520"/>
      <c r="BP194" s="520"/>
      <c r="BQ194" s="520"/>
      <c r="BR194" s="520"/>
      <c r="BS194" s="520"/>
      <c r="BT194" s="520"/>
      <c r="BU194" s="520"/>
      <c r="BV194" s="520"/>
      <c r="BW194" s="520"/>
      <c r="BX194" s="520"/>
      <c r="BY194" s="520"/>
    </row>
    <row r="195" spans="1:84" ht="12" customHeight="1" x14ac:dyDescent="0.3">
      <c r="A195" s="765"/>
      <c r="E195" s="258" t="str">
        <f>$AX$96</f>
        <v>Összes gól: 2 p</v>
      </c>
      <c r="H195" s="673" t="str">
        <f t="shared" ref="H195:AK195" si="117">IF(OR(BC190,NOT($AS$28)),"",IF(AND(NOT($AS$32),COUNTIF(H191:H194,"ü")&gt;0),"",IF(H189+H190=$E189+$E190,"ü"," ")))</f>
        <v/>
      </c>
      <c r="I195" s="674" t="str">
        <f t="shared" si="117"/>
        <v/>
      </c>
      <c r="J195" s="674" t="str">
        <f t="shared" si="117"/>
        <v/>
      </c>
      <c r="K195" s="674" t="str">
        <f t="shared" si="117"/>
        <v/>
      </c>
      <c r="L195" s="674" t="str">
        <f t="shared" si="117"/>
        <v/>
      </c>
      <c r="M195" s="674" t="str">
        <f t="shared" si="117"/>
        <v/>
      </c>
      <c r="N195" s="674" t="str">
        <f t="shared" si="117"/>
        <v/>
      </c>
      <c r="O195" s="674" t="str">
        <f t="shared" si="117"/>
        <v/>
      </c>
      <c r="P195" s="674" t="str">
        <f t="shared" si="117"/>
        <v/>
      </c>
      <c r="Q195" s="674" t="str">
        <f t="shared" si="117"/>
        <v/>
      </c>
      <c r="R195" s="674" t="str">
        <f t="shared" si="117"/>
        <v/>
      </c>
      <c r="S195" s="674" t="str">
        <f t="shared" si="117"/>
        <v/>
      </c>
      <c r="T195" s="674" t="str">
        <f t="shared" si="117"/>
        <v/>
      </c>
      <c r="U195" s="674" t="str">
        <f t="shared" si="117"/>
        <v/>
      </c>
      <c r="V195" s="674" t="str">
        <f t="shared" si="117"/>
        <v/>
      </c>
      <c r="W195" s="674" t="str">
        <f t="shared" si="117"/>
        <v/>
      </c>
      <c r="X195" s="674" t="str">
        <f t="shared" si="117"/>
        <v/>
      </c>
      <c r="Y195" s="674" t="str">
        <f t="shared" si="117"/>
        <v/>
      </c>
      <c r="Z195" s="674" t="str">
        <f t="shared" si="117"/>
        <v/>
      </c>
      <c r="AA195" s="674" t="str">
        <f t="shared" si="117"/>
        <v/>
      </c>
      <c r="AB195" s="674" t="str">
        <f t="shared" si="117"/>
        <v/>
      </c>
      <c r="AC195" s="674" t="str">
        <f t="shared" si="117"/>
        <v/>
      </c>
      <c r="AD195" s="674" t="str">
        <f t="shared" si="117"/>
        <v/>
      </c>
      <c r="AE195" s="674" t="str">
        <f t="shared" si="117"/>
        <v/>
      </c>
      <c r="AF195" s="674" t="str">
        <f t="shared" si="117"/>
        <v/>
      </c>
      <c r="AG195" s="674" t="str">
        <f t="shared" si="117"/>
        <v/>
      </c>
      <c r="AH195" s="674" t="str">
        <f t="shared" si="117"/>
        <v/>
      </c>
      <c r="AI195" s="674" t="str">
        <f t="shared" si="117"/>
        <v/>
      </c>
      <c r="AJ195" s="674" t="str">
        <f t="shared" si="117"/>
        <v/>
      </c>
      <c r="AK195" s="675" t="str">
        <f t="shared" si="117"/>
        <v/>
      </c>
      <c r="AL195" s="15"/>
      <c r="AM195" s="15"/>
      <c r="AP195" s="536"/>
      <c r="AR195" s="537"/>
      <c r="AS195" s="529"/>
      <c r="AW195" s="390" t="str">
        <f>""</f>
        <v/>
      </c>
      <c r="AX195" s="531"/>
      <c r="AY195" s="390" t="str">
        <f>""</f>
        <v/>
      </c>
      <c r="BD195" s="520"/>
      <c r="BE195" s="520"/>
      <c r="BF195" s="520"/>
      <c r="BG195" s="520"/>
      <c r="BH195" s="520"/>
      <c r="BI195" s="520"/>
      <c r="BJ195" s="520"/>
      <c r="BK195" s="520"/>
      <c r="BL195" s="520"/>
      <c r="BM195" s="520"/>
      <c r="BN195" s="520"/>
      <c r="BO195" s="520"/>
      <c r="BP195" s="520"/>
      <c r="BQ195" s="520"/>
      <c r="BR195" s="520"/>
      <c r="BS195" s="520"/>
      <c r="BT195" s="520"/>
      <c r="BU195" s="520"/>
      <c r="BV195" s="520"/>
      <c r="BW195" s="520"/>
      <c r="BX195" s="520"/>
      <c r="BY195" s="520"/>
    </row>
    <row r="196" spans="1:84" ht="12" customHeight="1" x14ac:dyDescent="0.3">
      <c r="A196" s="765"/>
      <c r="E196" s="258" t="str">
        <f>$AX$97</f>
        <v>Fordított gólkülönbség: 1 p</v>
      </c>
      <c r="H196" s="676" t="str">
        <f t="shared" ref="H196:AK196" si="118">IF(OR(BC190,NOT($AS$30)),"",IF(AND(NOT($AS$32),COUNTIF(H191:H195,"ü")&gt;0),"",IF(AND(H189-H190=$E190-$E189,H189&lt;&gt;H190),"ü"," ")))</f>
        <v/>
      </c>
      <c r="I196" s="677" t="str">
        <f t="shared" si="118"/>
        <v/>
      </c>
      <c r="J196" s="677" t="str">
        <f t="shared" si="118"/>
        <v/>
      </c>
      <c r="K196" s="677" t="str">
        <f t="shared" si="118"/>
        <v/>
      </c>
      <c r="L196" s="677" t="str">
        <f t="shared" si="118"/>
        <v/>
      </c>
      <c r="M196" s="677" t="str">
        <f t="shared" si="118"/>
        <v/>
      </c>
      <c r="N196" s="677" t="str">
        <f t="shared" si="118"/>
        <v/>
      </c>
      <c r="O196" s="677" t="str">
        <f t="shared" si="118"/>
        <v/>
      </c>
      <c r="P196" s="677" t="str">
        <f t="shared" si="118"/>
        <v/>
      </c>
      <c r="Q196" s="677" t="str">
        <f t="shared" si="118"/>
        <v/>
      </c>
      <c r="R196" s="677" t="str">
        <f t="shared" si="118"/>
        <v/>
      </c>
      <c r="S196" s="677" t="str">
        <f t="shared" si="118"/>
        <v/>
      </c>
      <c r="T196" s="677" t="str">
        <f t="shared" si="118"/>
        <v/>
      </c>
      <c r="U196" s="677" t="str">
        <f t="shared" si="118"/>
        <v/>
      </c>
      <c r="V196" s="677" t="str">
        <f t="shared" si="118"/>
        <v/>
      </c>
      <c r="W196" s="677" t="str">
        <f t="shared" si="118"/>
        <v/>
      </c>
      <c r="X196" s="677" t="str">
        <f t="shared" si="118"/>
        <v/>
      </c>
      <c r="Y196" s="677" t="str">
        <f t="shared" si="118"/>
        <v/>
      </c>
      <c r="Z196" s="677" t="str">
        <f t="shared" si="118"/>
        <v/>
      </c>
      <c r="AA196" s="677" t="str">
        <f t="shared" si="118"/>
        <v/>
      </c>
      <c r="AB196" s="677" t="str">
        <f t="shared" si="118"/>
        <v/>
      </c>
      <c r="AC196" s="677" t="str">
        <f t="shared" si="118"/>
        <v/>
      </c>
      <c r="AD196" s="677" t="str">
        <f t="shared" si="118"/>
        <v/>
      </c>
      <c r="AE196" s="677" t="str">
        <f t="shared" si="118"/>
        <v/>
      </c>
      <c r="AF196" s="677" t="str">
        <f t="shared" si="118"/>
        <v/>
      </c>
      <c r="AG196" s="677" t="str">
        <f t="shared" si="118"/>
        <v/>
      </c>
      <c r="AH196" s="677" t="str">
        <f t="shared" si="118"/>
        <v/>
      </c>
      <c r="AI196" s="677" t="str">
        <f t="shared" si="118"/>
        <v/>
      </c>
      <c r="AJ196" s="677" t="str">
        <f t="shared" si="118"/>
        <v/>
      </c>
      <c r="AK196" s="678" t="str">
        <f t="shared" si="118"/>
        <v/>
      </c>
      <c r="AL196" s="15"/>
      <c r="AM196" s="15"/>
      <c r="AP196" s="536"/>
      <c r="AR196" s="537"/>
      <c r="AS196" s="529"/>
      <c r="AW196" s="390" t="str">
        <f>""</f>
        <v/>
      </c>
      <c r="AX196" s="531"/>
      <c r="AY196" s="390" t="str">
        <f>""</f>
        <v/>
      </c>
      <c r="BD196" s="520"/>
      <c r="BE196" s="520"/>
      <c r="BF196" s="520"/>
      <c r="BG196" s="520"/>
      <c r="BH196" s="520"/>
      <c r="BI196" s="520"/>
      <c r="BJ196" s="520"/>
      <c r="BK196" s="520"/>
      <c r="BL196" s="520"/>
      <c r="BM196" s="520"/>
      <c r="BN196" s="520"/>
      <c r="BO196" s="520"/>
      <c r="BP196" s="520"/>
      <c r="BQ196" s="520"/>
      <c r="BR196" s="520"/>
      <c r="BS196" s="520"/>
      <c r="BT196" s="520"/>
      <c r="BU196" s="520"/>
      <c r="BV196" s="520"/>
      <c r="BW196" s="520"/>
      <c r="BX196" s="520"/>
      <c r="BY196" s="520"/>
    </row>
    <row r="197" spans="1:84" ht="15" customHeight="1" x14ac:dyDescent="0.3">
      <c r="A197" s="765"/>
      <c r="E197" s="79" t="s">
        <v>799</v>
      </c>
      <c r="H197" s="679">
        <f t="shared" ref="H197:AK197" si="119">IF(NOT(H$13),"",SUMPRODUCT((H191:H196="ü")*($AW$92:$AW$97)))</f>
        <v>0</v>
      </c>
      <c r="I197" s="680">
        <f t="shared" si="119"/>
        <v>0</v>
      </c>
      <c r="J197" s="680">
        <f t="shared" si="119"/>
        <v>0</v>
      </c>
      <c r="K197" s="680">
        <f t="shared" si="119"/>
        <v>0</v>
      </c>
      <c r="L197" s="680">
        <f t="shared" si="119"/>
        <v>0</v>
      </c>
      <c r="M197" s="680">
        <f t="shared" si="119"/>
        <v>0</v>
      </c>
      <c r="N197" s="680">
        <f t="shared" si="119"/>
        <v>0</v>
      </c>
      <c r="O197" s="680">
        <f t="shared" si="119"/>
        <v>0</v>
      </c>
      <c r="P197" s="680">
        <f t="shared" si="119"/>
        <v>0</v>
      </c>
      <c r="Q197" s="680">
        <f t="shared" si="119"/>
        <v>0</v>
      </c>
      <c r="R197" s="680">
        <f t="shared" si="119"/>
        <v>0</v>
      </c>
      <c r="S197" s="680">
        <f t="shared" si="119"/>
        <v>0</v>
      </c>
      <c r="T197" s="680">
        <f t="shared" si="119"/>
        <v>0</v>
      </c>
      <c r="U197" s="680">
        <f t="shared" si="119"/>
        <v>0</v>
      </c>
      <c r="V197" s="680">
        <f t="shared" si="119"/>
        <v>0</v>
      </c>
      <c r="W197" s="680">
        <f t="shared" si="119"/>
        <v>0</v>
      </c>
      <c r="X197" s="680">
        <f t="shared" si="119"/>
        <v>0</v>
      </c>
      <c r="Y197" s="680">
        <f t="shared" si="119"/>
        <v>0</v>
      </c>
      <c r="Z197" s="680">
        <f t="shared" si="119"/>
        <v>0</v>
      </c>
      <c r="AA197" s="680">
        <f t="shared" si="119"/>
        <v>0</v>
      </c>
      <c r="AB197" s="680">
        <f t="shared" si="119"/>
        <v>0</v>
      </c>
      <c r="AC197" s="680">
        <f t="shared" si="119"/>
        <v>0</v>
      </c>
      <c r="AD197" s="680">
        <f t="shared" si="119"/>
        <v>0</v>
      </c>
      <c r="AE197" s="680" t="str">
        <f t="shared" si="119"/>
        <v/>
      </c>
      <c r="AF197" s="680" t="str">
        <f t="shared" si="119"/>
        <v/>
      </c>
      <c r="AG197" s="680" t="str">
        <f t="shared" si="119"/>
        <v/>
      </c>
      <c r="AH197" s="680" t="str">
        <f t="shared" si="119"/>
        <v/>
      </c>
      <c r="AI197" s="680" t="str">
        <f t="shared" si="119"/>
        <v/>
      </c>
      <c r="AJ197" s="680" t="str">
        <f t="shared" si="119"/>
        <v/>
      </c>
      <c r="AK197" s="681" t="str">
        <f t="shared" si="119"/>
        <v/>
      </c>
      <c r="AP197" s="536"/>
      <c r="AR197" s="537"/>
      <c r="AS197" s="529"/>
    </row>
    <row r="198" spans="1:84" ht="9" customHeight="1" x14ac:dyDescent="0.3">
      <c r="A198" s="765"/>
      <c r="D198" s="15"/>
      <c r="E198" s="15"/>
      <c r="F198" s="15"/>
      <c r="G198" s="15"/>
      <c r="H198" s="15"/>
      <c r="I198" s="16"/>
      <c r="J198" s="15"/>
      <c r="K198" s="15"/>
      <c r="L198" s="16"/>
      <c r="M198" s="15"/>
      <c r="N198" s="15"/>
      <c r="O198" s="16"/>
      <c r="P198" s="15"/>
      <c r="Q198" s="15"/>
      <c r="R198" s="16"/>
      <c r="S198" s="15"/>
      <c r="T198" s="15"/>
      <c r="U198" s="16"/>
      <c r="V198" s="15"/>
      <c r="W198" s="15"/>
      <c r="X198" s="16"/>
      <c r="Y198" s="15"/>
      <c r="Z198" s="15"/>
      <c r="AA198" s="16"/>
      <c r="AB198" s="15"/>
      <c r="AC198" s="15"/>
      <c r="AD198" s="16"/>
      <c r="AE198" s="15"/>
      <c r="AF198" s="15"/>
      <c r="AG198" s="16"/>
      <c r="AH198" s="15"/>
      <c r="AI198" s="15"/>
      <c r="AJ198" s="16"/>
      <c r="AK198" s="15"/>
      <c r="AP198" s="536"/>
      <c r="AR198" s="537"/>
      <c r="AS198" s="529"/>
    </row>
    <row r="199" spans="1:84" ht="15" customHeight="1" x14ac:dyDescent="0.3">
      <c r="A199" s="765"/>
      <c r="C199" s="27" t="str">
        <f>" "&amp;VLOOKUP(AQ200,schedule,18,FALSE)&amp;"  ("&amp;VLOOKUP(AQ200,schedule,3,FALSE)&amp;" CSOPORT)"</f>
        <v xml:space="preserve"> JÚNIUS 15. – KEDD 18:00  (F CSOPORT)</v>
      </c>
      <c r="D199" s="27"/>
      <c r="E199" s="26"/>
      <c r="F199" s="26"/>
      <c r="G199" s="26"/>
      <c r="H199" s="26"/>
      <c r="I199" s="26"/>
      <c r="J199" s="26"/>
      <c r="AP199" s="536"/>
      <c r="AR199" s="537"/>
      <c r="AS199" s="529"/>
    </row>
    <row r="200" spans="1:84" ht="15" customHeight="1" x14ac:dyDescent="0.3">
      <c r="A200" s="765"/>
      <c r="C200" s="661"/>
      <c r="D200" s="662" t="str">
        <f>IF(INDEX(n.er,$AR200,8)="","",INDEX(n.er,$AR200,8))</f>
        <v>MAGYARORSZÁG</v>
      </c>
      <c r="E200" s="663" t="str">
        <f>IF(NOT($AS200),"",INDEX(n.er,$AR200,9))</f>
        <v/>
      </c>
      <c r="F200" s="662"/>
      <c r="G200" s="259"/>
      <c r="H200" s="664">
        <v>2</v>
      </c>
      <c r="I200" s="665">
        <v>2</v>
      </c>
      <c r="J200" s="665">
        <v>3</v>
      </c>
      <c r="K200" s="665">
        <v>2</v>
      </c>
      <c r="L200" s="665">
        <v>2</v>
      </c>
      <c r="M200" s="665">
        <v>1</v>
      </c>
      <c r="N200" s="665">
        <v>1</v>
      </c>
      <c r="O200" s="665">
        <v>0</v>
      </c>
      <c r="P200" s="665">
        <v>0</v>
      </c>
      <c r="Q200" s="665">
        <v>1</v>
      </c>
      <c r="R200" s="665">
        <v>2</v>
      </c>
      <c r="S200" s="665">
        <v>0</v>
      </c>
      <c r="T200" s="665">
        <v>0</v>
      </c>
      <c r="U200" s="665">
        <v>2</v>
      </c>
      <c r="V200" s="665">
        <v>1</v>
      </c>
      <c r="W200" s="665">
        <v>1</v>
      </c>
      <c r="X200" s="665">
        <v>1</v>
      </c>
      <c r="Y200" s="665">
        <v>1</v>
      </c>
      <c r="Z200" s="665">
        <v>2</v>
      </c>
      <c r="AA200" s="665">
        <v>0</v>
      </c>
      <c r="AB200" s="665">
        <v>1</v>
      </c>
      <c r="AC200" s="665">
        <v>1</v>
      </c>
      <c r="AD200" s="665">
        <v>2</v>
      </c>
      <c r="AE200" s="665"/>
      <c r="AF200" s="665"/>
      <c r="AG200" s="665"/>
      <c r="AH200" s="665"/>
      <c r="AI200" s="665"/>
      <c r="AJ200" s="665"/>
      <c r="AK200" s="666"/>
      <c r="AP200" s="52">
        <f>AP189+1</f>
        <v>11</v>
      </c>
      <c r="AQ200" s="311">
        <f>INDEX(schedule,AP200,1)</f>
        <v>11</v>
      </c>
      <c r="AR200" s="311">
        <f>MATCH(AQ200,n.er.index,0)</f>
        <v>27</v>
      </c>
      <c r="AS200" s="532" t="b">
        <f>INDEX(n.er,$AR200,3)</f>
        <v>0</v>
      </c>
      <c r="AT200" s="531"/>
      <c r="AU200" s="531"/>
      <c r="AV200" s="531"/>
      <c r="AW200" s="531"/>
      <c r="AX200" s="531"/>
      <c r="BC200" s="525" t="b">
        <f t="shared" ref="BC200:CF200" si="120">IF(AND(ISNUMBER(H200),ISNUMBER(H201),H200&lt;&gt;"",H201&lt;&gt;""),AND(H200&gt;=0,H201&gt;=0,MOD(H200+H201,1)=0),FALSE)</f>
        <v>1</v>
      </c>
      <c r="BD200" s="525" t="b">
        <f t="shared" si="120"/>
        <v>1</v>
      </c>
      <c r="BE200" s="525" t="b">
        <f t="shared" si="120"/>
        <v>1</v>
      </c>
      <c r="BF200" s="525" t="b">
        <f t="shared" si="120"/>
        <v>1</v>
      </c>
      <c r="BG200" s="525" t="b">
        <f t="shared" si="120"/>
        <v>1</v>
      </c>
      <c r="BH200" s="525" t="b">
        <f t="shared" si="120"/>
        <v>1</v>
      </c>
      <c r="BI200" s="525" t="b">
        <f t="shared" si="120"/>
        <v>1</v>
      </c>
      <c r="BJ200" s="525" t="b">
        <f t="shared" si="120"/>
        <v>1</v>
      </c>
      <c r="BK200" s="525" t="b">
        <f t="shared" si="120"/>
        <v>1</v>
      </c>
      <c r="BL200" s="525" t="b">
        <f t="shared" si="120"/>
        <v>1</v>
      </c>
      <c r="BM200" s="525" t="b">
        <f t="shared" si="120"/>
        <v>1</v>
      </c>
      <c r="BN200" s="525" t="b">
        <f t="shared" si="120"/>
        <v>1</v>
      </c>
      <c r="BO200" s="525" t="b">
        <f t="shared" si="120"/>
        <v>1</v>
      </c>
      <c r="BP200" s="525" t="b">
        <f t="shared" si="120"/>
        <v>1</v>
      </c>
      <c r="BQ200" s="525" t="b">
        <f t="shared" si="120"/>
        <v>1</v>
      </c>
      <c r="BR200" s="525" t="b">
        <f t="shared" si="120"/>
        <v>1</v>
      </c>
      <c r="BS200" s="525" t="b">
        <f t="shared" si="120"/>
        <v>1</v>
      </c>
      <c r="BT200" s="525" t="b">
        <f t="shared" si="120"/>
        <v>1</v>
      </c>
      <c r="BU200" s="525" t="b">
        <f t="shared" si="120"/>
        <v>1</v>
      </c>
      <c r="BV200" s="525" t="b">
        <f t="shared" si="120"/>
        <v>1</v>
      </c>
      <c r="BW200" s="525" t="b">
        <f t="shared" si="120"/>
        <v>1</v>
      </c>
      <c r="BX200" s="525" t="b">
        <f t="shared" si="120"/>
        <v>1</v>
      </c>
      <c r="BY200" s="525" t="b">
        <f t="shared" si="120"/>
        <v>1</v>
      </c>
      <c r="BZ200" s="525" t="b">
        <f t="shared" si="120"/>
        <v>0</v>
      </c>
      <c r="CA200" s="525" t="b">
        <f t="shared" si="120"/>
        <v>0</v>
      </c>
      <c r="CB200" s="525" t="b">
        <f t="shared" si="120"/>
        <v>0</v>
      </c>
      <c r="CC200" s="525" t="b">
        <f t="shared" si="120"/>
        <v>0</v>
      </c>
      <c r="CD200" s="525" t="b">
        <f t="shared" si="120"/>
        <v>0</v>
      </c>
      <c r="CE200" s="525" t="b">
        <f t="shared" si="120"/>
        <v>0</v>
      </c>
      <c r="CF200" s="525" t="b">
        <f t="shared" si="120"/>
        <v>0</v>
      </c>
    </row>
    <row r="201" spans="1:84" ht="15" customHeight="1" x14ac:dyDescent="0.3">
      <c r="A201" s="765"/>
      <c r="C201" s="695"/>
      <c r="D201" s="696" t="str">
        <f>IF(INDEX(n.er,$AR200,11)="","",INDEX(n.er,$AR200,11))</f>
        <v>Portugália</v>
      </c>
      <c r="E201" s="697" t="str">
        <f>IF(NOT($AS200),"",INDEX(n.er,$AR200,10))</f>
        <v/>
      </c>
      <c r="F201" s="696"/>
      <c r="G201" s="259"/>
      <c r="H201" s="667">
        <v>1</v>
      </c>
      <c r="I201" s="668">
        <v>4</v>
      </c>
      <c r="J201" s="668">
        <v>2</v>
      </c>
      <c r="K201" s="668">
        <v>2</v>
      </c>
      <c r="L201" s="668">
        <v>2</v>
      </c>
      <c r="M201" s="668">
        <v>3</v>
      </c>
      <c r="N201" s="668">
        <v>2</v>
      </c>
      <c r="O201" s="668">
        <v>3</v>
      </c>
      <c r="P201" s="668">
        <v>2</v>
      </c>
      <c r="Q201" s="668">
        <v>2</v>
      </c>
      <c r="R201" s="668">
        <v>2</v>
      </c>
      <c r="S201" s="668">
        <v>2</v>
      </c>
      <c r="T201" s="668">
        <v>3</v>
      </c>
      <c r="U201" s="668">
        <v>1</v>
      </c>
      <c r="V201" s="668">
        <v>2</v>
      </c>
      <c r="W201" s="668">
        <v>3</v>
      </c>
      <c r="X201" s="668">
        <v>3</v>
      </c>
      <c r="Y201" s="668">
        <v>3</v>
      </c>
      <c r="Z201" s="668">
        <v>3</v>
      </c>
      <c r="AA201" s="668">
        <v>3</v>
      </c>
      <c r="AB201" s="668">
        <v>1</v>
      </c>
      <c r="AC201" s="668">
        <v>2</v>
      </c>
      <c r="AD201" s="668">
        <v>4</v>
      </c>
      <c r="AE201" s="668"/>
      <c r="AF201" s="668"/>
      <c r="AG201" s="668"/>
      <c r="AH201" s="668"/>
      <c r="AI201" s="668"/>
      <c r="AJ201" s="668"/>
      <c r="AK201" s="669"/>
      <c r="AP201" s="533"/>
      <c r="AQ201" s="577"/>
      <c r="AR201" s="534"/>
      <c r="AS201" s="535"/>
      <c r="AX201" s="531"/>
      <c r="BC201" s="34" t="b">
        <f t="shared" ref="BC201:CF201" si="121">OR(NOT(H$13),NOT($AS200),NOT(BC200))</f>
        <v>1</v>
      </c>
      <c r="BD201" s="34" t="b">
        <f t="shared" si="121"/>
        <v>1</v>
      </c>
      <c r="BE201" s="34" t="b">
        <f t="shared" si="121"/>
        <v>1</v>
      </c>
      <c r="BF201" s="34" t="b">
        <f t="shared" si="121"/>
        <v>1</v>
      </c>
      <c r="BG201" s="34" t="b">
        <f t="shared" si="121"/>
        <v>1</v>
      </c>
      <c r="BH201" s="34" t="b">
        <f t="shared" si="121"/>
        <v>1</v>
      </c>
      <c r="BI201" s="34" t="b">
        <f t="shared" si="121"/>
        <v>1</v>
      </c>
      <c r="BJ201" s="34" t="b">
        <f t="shared" si="121"/>
        <v>1</v>
      </c>
      <c r="BK201" s="34" t="b">
        <f t="shared" si="121"/>
        <v>1</v>
      </c>
      <c r="BL201" s="34" t="b">
        <f t="shared" si="121"/>
        <v>1</v>
      </c>
      <c r="BM201" s="34" t="b">
        <f t="shared" si="121"/>
        <v>1</v>
      </c>
      <c r="BN201" s="34" t="b">
        <f t="shared" si="121"/>
        <v>1</v>
      </c>
      <c r="BO201" s="34" t="b">
        <f t="shared" si="121"/>
        <v>1</v>
      </c>
      <c r="BP201" s="34" t="b">
        <f t="shared" si="121"/>
        <v>1</v>
      </c>
      <c r="BQ201" s="34" t="b">
        <f t="shared" si="121"/>
        <v>1</v>
      </c>
      <c r="BR201" s="34" t="b">
        <f t="shared" si="121"/>
        <v>1</v>
      </c>
      <c r="BS201" s="34" t="b">
        <f t="shared" si="121"/>
        <v>1</v>
      </c>
      <c r="BT201" s="34" t="b">
        <f t="shared" si="121"/>
        <v>1</v>
      </c>
      <c r="BU201" s="34" t="b">
        <f t="shared" si="121"/>
        <v>1</v>
      </c>
      <c r="BV201" s="34" t="b">
        <f t="shared" si="121"/>
        <v>1</v>
      </c>
      <c r="BW201" s="34" t="b">
        <f t="shared" si="121"/>
        <v>1</v>
      </c>
      <c r="BX201" s="34" t="b">
        <f t="shared" si="121"/>
        <v>1</v>
      </c>
      <c r="BY201" s="34" t="b">
        <f t="shared" si="121"/>
        <v>1</v>
      </c>
      <c r="BZ201" s="34" t="b">
        <f t="shared" si="121"/>
        <v>1</v>
      </c>
      <c r="CA201" s="34" t="b">
        <f t="shared" si="121"/>
        <v>1</v>
      </c>
      <c r="CB201" s="34" t="b">
        <f t="shared" si="121"/>
        <v>1</v>
      </c>
      <c r="CC201" s="34" t="b">
        <f t="shared" si="121"/>
        <v>1</v>
      </c>
      <c r="CD201" s="34" t="b">
        <f t="shared" si="121"/>
        <v>1</v>
      </c>
      <c r="CE201" s="34" t="b">
        <f t="shared" si="121"/>
        <v>1</v>
      </c>
      <c r="CF201" s="34" t="b">
        <f t="shared" si="121"/>
        <v>1</v>
      </c>
    </row>
    <row r="202" spans="1:84" ht="12" customHeight="1" x14ac:dyDescent="0.3">
      <c r="A202" s="765"/>
      <c r="E202" s="258" t="str">
        <f>$AX$92</f>
        <v>Telitalálat: 10 p</v>
      </c>
      <c r="H202" s="670" t="str">
        <f t="shared" ref="H202:AK202" si="122">IF(OR(BC201,NOT($AS$20)),"",IF(AND(H200=$E200,H201=$E201),"ü",""))</f>
        <v/>
      </c>
      <c r="I202" s="671" t="str">
        <f t="shared" si="122"/>
        <v/>
      </c>
      <c r="J202" s="671" t="str">
        <f t="shared" si="122"/>
        <v/>
      </c>
      <c r="K202" s="671" t="str">
        <f t="shared" si="122"/>
        <v/>
      </c>
      <c r="L202" s="671" t="str">
        <f t="shared" si="122"/>
        <v/>
      </c>
      <c r="M202" s="671" t="str">
        <f t="shared" si="122"/>
        <v/>
      </c>
      <c r="N202" s="671" t="str">
        <f t="shared" si="122"/>
        <v/>
      </c>
      <c r="O202" s="671" t="str">
        <f t="shared" si="122"/>
        <v/>
      </c>
      <c r="P202" s="671" t="str">
        <f t="shared" si="122"/>
        <v/>
      </c>
      <c r="Q202" s="671" t="str">
        <f t="shared" si="122"/>
        <v/>
      </c>
      <c r="R202" s="671" t="str">
        <f t="shared" si="122"/>
        <v/>
      </c>
      <c r="S202" s="671" t="str">
        <f t="shared" si="122"/>
        <v/>
      </c>
      <c r="T202" s="671" t="str">
        <f t="shared" si="122"/>
        <v/>
      </c>
      <c r="U202" s="671" t="str">
        <f t="shared" si="122"/>
        <v/>
      </c>
      <c r="V202" s="671" t="str">
        <f t="shared" si="122"/>
        <v/>
      </c>
      <c r="W202" s="671" t="str">
        <f t="shared" si="122"/>
        <v/>
      </c>
      <c r="X202" s="671" t="str">
        <f t="shared" si="122"/>
        <v/>
      </c>
      <c r="Y202" s="671" t="str">
        <f t="shared" si="122"/>
        <v/>
      </c>
      <c r="Z202" s="671" t="str">
        <f t="shared" si="122"/>
        <v/>
      </c>
      <c r="AA202" s="671" t="str">
        <f t="shared" si="122"/>
        <v/>
      </c>
      <c r="AB202" s="671" t="str">
        <f t="shared" si="122"/>
        <v/>
      </c>
      <c r="AC202" s="671" t="str">
        <f t="shared" si="122"/>
        <v/>
      </c>
      <c r="AD202" s="671" t="str">
        <f t="shared" si="122"/>
        <v/>
      </c>
      <c r="AE202" s="671" t="str">
        <f t="shared" si="122"/>
        <v/>
      </c>
      <c r="AF202" s="671" t="str">
        <f t="shared" si="122"/>
        <v/>
      </c>
      <c r="AG202" s="671" t="str">
        <f t="shared" si="122"/>
        <v/>
      </c>
      <c r="AH202" s="671" t="str">
        <f t="shared" si="122"/>
        <v/>
      </c>
      <c r="AI202" s="671" t="str">
        <f t="shared" si="122"/>
        <v/>
      </c>
      <c r="AJ202" s="671" t="str">
        <f t="shared" si="122"/>
        <v/>
      </c>
      <c r="AK202" s="672" t="str">
        <f t="shared" si="122"/>
        <v/>
      </c>
      <c r="AL202" s="15"/>
      <c r="AM202" s="15"/>
      <c r="AP202" s="536"/>
      <c r="AR202" s="537"/>
      <c r="AS202" s="529"/>
      <c r="AW202" s="390" t="str">
        <f>""</f>
        <v/>
      </c>
      <c r="AX202" s="531"/>
      <c r="AY202" s="390" t="str">
        <f>""</f>
        <v/>
      </c>
      <c r="BD202" s="520"/>
      <c r="BE202" s="520"/>
      <c r="BF202" s="520"/>
      <c r="BG202" s="520"/>
      <c r="BH202" s="520"/>
      <c r="BI202" s="520"/>
      <c r="BJ202" s="520"/>
      <c r="BK202" s="520"/>
      <c r="BL202" s="520"/>
      <c r="BM202" s="520"/>
      <c r="BN202" s="520"/>
      <c r="BO202" s="520"/>
      <c r="BP202" s="520"/>
      <c r="BQ202" s="520"/>
      <c r="BR202" s="520"/>
      <c r="BS202" s="520"/>
      <c r="BT202" s="520"/>
      <c r="BU202" s="520"/>
      <c r="BV202" s="520"/>
      <c r="BW202" s="520"/>
      <c r="BX202" s="520"/>
      <c r="BY202" s="520"/>
    </row>
    <row r="203" spans="1:84" ht="12" customHeight="1" x14ac:dyDescent="0.3">
      <c r="A203" s="765"/>
      <c r="E203" s="258" t="str">
        <f>$AX$93</f>
        <v>Gólkülönbség: 6 p</v>
      </c>
      <c r="H203" s="673" t="str">
        <f t="shared" ref="H203:AK203" si="123">IF(OR(BC201,NOT($AS$22)),"",IF(AND(NOT($AS$32),H202="ü"),"",IF(H200-H201=$E200-$E201,"ü"," ")))</f>
        <v/>
      </c>
      <c r="I203" s="674" t="str">
        <f t="shared" si="123"/>
        <v/>
      </c>
      <c r="J203" s="674" t="str">
        <f t="shared" si="123"/>
        <v/>
      </c>
      <c r="K203" s="674" t="str">
        <f t="shared" si="123"/>
        <v/>
      </c>
      <c r="L203" s="674" t="str">
        <f t="shared" si="123"/>
        <v/>
      </c>
      <c r="M203" s="674" t="str">
        <f t="shared" si="123"/>
        <v/>
      </c>
      <c r="N203" s="674" t="str">
        <f t="shared" si="123"/>
        <v/>
      </c>
      <c r="O203" s="674" t="str">
        <f t="shared" si="123"/>
        <v/>
      </c>
      <c r="P203" s="674" t="str">
        <f t="shared" si="123"/>
        <v/>
      </c>
      <c r="Q203" s="674" t="str">
        <f t="shared" si="123"/>
        <v/>
      </c>
      <c r="R203" s="674" t="str">
        <f t="shared" si="123"/>
        <v/>
      </c>
      <c r="S203" s="674" t="str">
        <f t="shared" si="123"/>
        <v/>
      </c>
      <c r="T203" s="674" t="str">
        <f t="shared" si="123"/>
        <v/>
      </c>
      <c r="U203" s="674" t="str">
        <f t="shared" si="123"/>
        <v/>
      </c>
      <c r="V203" s="674" t="str">
        <f t="shared" si="123"/>
        <v/>
      </c>
      <c r="W203" s="674" t="str">
        <f t="shared" si="123"/>
        <v/>
      </c>
      <c r="X203" s="674" t="str">
        <f t="shared" si="123"/>
        <v/>
      </c>
      <c r="Y203" s="674" t="str">
        <f t="shared" si="123"/>
        <v/>
      </c>
      <c r="Z203" s="674" t="str">
        <f t="shared" si="123"/>
        <v/>
      </c>
      <c r="AA203" s="674" t="str">
        <f t="shared" si="123"/>
        <v/>
      </c>
      <c r="AB203" s="674" t="str">
        <f t="shared" si="123"/>
        <v/>
      </c>
      <c r="AC203" s="674" t="str">
        <f t="shared" si="123"/>
        <v/>
      </c>
      <c r="AD203" s="674" t="str">
        <f t="shared" si="123"/>
        <v/>
      </c>
      <c r="AE203" s="674" t="str">
        <f t="shared" si="123"/>
        <v/>
      </c>
      <c r="AF203" s="674" t="str">
        <f t="shared" si="123"/>
        <v/>
      </c>
      <c r="AG203" s="674" t="str">
        <f t="shared" si="123"/>
        <v/>
      </c>
      <c r="AH203" s="674" t="str">
        <f t="shared" si="123"/>
        <v/>
      </c>
      <c r="AI203" s="674" t="str">
        <f t="shared" si="123"/>
        <v/>
      </c>
      <c r="AJ203" s="674" t="str">
        <f t="shared" si="123"/>
        <v/>
      </c>
      <c r="AK203" s="675" t="str">
        <f t="shared" si="123"/>
        <v/>
      </c>
      <c r="AL203" s="15"/>
      <c r="AM203" s="15"/>
      <c r="AP203" s="536"/>
      <c r="AR203" s="537"/>
      <c r="AS203" s="529"/>
      <c r="AW203" s="390" t="str">
        <f>""</f>
        <v/>
      </c>
      <c r="AX203" s="531"/>
      <c r="AY203" s="390" t="str">
        <f>""</f>
        <v/>
      </c>
      <c r="BD203" s="520"/>
      <c r="BE203" s="520"/>
      <c r="BF203" s="520"/>
      <c r="BG203" s="520"/>
      <c r="BH203" s="520"/>
      <c r="BI203" s="520"/>
      <c r="BJ203" s="520"/>
      <c r="BK203" s="520"/>
      <c r="BL203" s="520"/>
      <c r="BM203" s="520"/>
      <c r="BN203" s="520"/>
      <c r="BO203" s="520"/>
      <c r="BP203" s="520"/>
      <c r="BQ203" s="520"/>
      <c r="BR203" s="520"/>
      <c r="BS203" s="520"/>
      <c r="BT203" s="520"/>
      <c r="BU203" s="520"/>
      <c r="BV203" s="520"/>
      <c r="BW203" s="520"/>
      <c r="BX203" s="520"/>
      <c r="BY203" s="520"/>
    </row>
    <row r="204" spans="1:84" ht="12" customHeight="1" x14ac:dyDescent="0.3">
      <c r="A204" s="765"/>
      <c r="E204" s="258" t="str">
        <f>$AX$94</f>
        <v>Mérkőzés kimenetele: 4 p</v>
      </c>
      <c r="H204" s="673" t="str">
        <f t="shared" ref="H204:AK204" si="124">IF(OR(BC201,NOT($AS$24)),"",IF(AND(NOT($AS$32),COUNTIF(H202:H203,"ü")&gt;0),"",IF(SIGN(H200-H201)=SIGN($E200-$E201),"ü"," ")))</f>
        <v/>
      </c>
      <c r="I204" s="674" t="str">
        <f t="shared" si="124"/>
        <v/>
      </c>
      <c r="J204" s="674" t="str">
        <f t="shared" si="124"/>
        <v/>
      </c>
      <c r="K204" s="674" t="str">
        <f t="shared" si="124"/>
        <v/>
      </c>
      <c r="L204" s="674" t="str">
        <f t="shared" si="124"/>
        <v/>
      </c>
      <c r="M204" s="674" t="str">
        <f t="shared" si="124"/>
        <v/>
      </c>
      <c r="N204" s="674" t="str">
        <f t="shared" si="124"/>
        <v/>
      </c>
      <c r="O204" s="674" t="str">
        <f t="shared" si="124"/>
        <v/>
      </c>
      <c r="P204" s="674" t="str">
        <f t="shared" si="124"/>
        <v/>
      </c>
      <c r="Q204" s="674" t="str">
        <f t="shared" si="124"/>
        <v/>
      </c>
      <c r="R204" s="674" t="str">
        <f t="shared" si="124"/>
        <v/>
      </c>
      <c r="S204" s="674" t="str">
        <f t="shared" si="124"/>
        <v/>
      </c>
      <c r="T204" s="674" t="str">
        <f t="shared" si="124"/>
        <v/>
      </c>
      <c r="U204" s="674" t="str">
        <f t="shared" si="124"/>
        <v/>
      </c>
      <c r="V204" s="674" t="str">
        <f t="shared" si="124"/>
        <v/>
      </c>
      <c r="W204" s="674" t="str">
        <f t="shared" si="124"/>
        <v/>
      </c>
      <c r="X204" s="674" t="str">
        <f t="shared" si="124"/>
        <v/>
      </c>
      <c r="Y204" s="674" t="str">
        <f t="shared" si="124"/>
        <v/>
      </c>
      <c r="Z204" s="674" t="str">
        <f t="shared" si="124"/>
        <v/>
      </c>
      <c r="AA204" s="674" t="str">
        <f t="shared" si="124"/>
        <v/>
      </c>
      <c r="AB204" s="674" t="str">
        <f t="shared" si="124"/>
        <v/>
      </c>
      <c r="AC204" s="674" t="str">
        <f t="shared" si="124"/>
        <v/>
      </c>
      <c r="AD204" s="674" t="str">
        <f t="shared" si="124"/>
        <v/>
      </c>
      <c r="AE204" s="674" t="str">
        <f t="shared" si="124"/>
        <v/>
      </c>
      <c r="AF204" s="674" t="str">
        <f t="shared" si="124"/>
        <v/>
      </c>
      <c r="AG204" s="674" t="str">
        <f t="shared" si="124"/>
        <v/>
      </c>
      <c r="AH204" s="674" t="str">
        <f t="shared" si="124"/>
        <v/>
      </c>
      <c r="AI204" s="674" t="str">
        <f t="shared" si="124"/>
        <v/>
      </c>
      <c r="AJ204" s="674" t="str">
        <f t="shared" si="124"/>
        <v/>
      </c>
      <c r="AK204" s="675" t="str">
        <f t="shared" si="124"/>
        <v/>
      </c>
      <c r="AL204" s="15"/>
      <c r="AM204" s="15"/>
      <c r="AP204" s="536"/>
      <c r="AR204" s="537"/>
      <c r="AS204" s="529"/>
      <c r="AW204" s="390" t="str">
        <f>""</f>
        <v/>
      </c>
      <c r="AX204" s="531"/>
      <c r="AY204" s="390" t="str">
        <f>""</f>
        <v/>
      </c>
      <c r="BD204" s="520"/>
      <c r="BE204" s="520"/>
      <c r="BF204" s="520"/>
      <c r="BG204" s="520"/>
      <c r="BH204" s="520"/>
      <c r="BI204" s="520"/>
      <c r="BJ204" s="520"/>
      <c r="BK204" s="520"/>
      <c r="BL204" s="520"/>
      <c r="BM204" s="520"/>
      <c r="BN204" s="520"/>
      <c r="BO204" s="520"/>
      <c r="BP204" s="520"/>
      <c r="BQ204" s="520"/>
      <c r="BR204" s="520"/>
      <c r="BS204" s="520"/>
      <c r="BT204" s="520"/>
      <c r="BU204" s="520"/>
      <c r="BV204" s="520"/>
      <c r="BW204" s="520"/>
      <c r="BX204" s="520"/>
      <c r="BY204" s="520"/>
    </row>
    <row r="205" spans="1:84" ht="12" customHeight="1" x14ac:dyDescent="0.3">
      <c r="A205" s="765"/>
      <c r="E205" s="258" t="str">
        <f>$AX$95</f>
        <v>Egyik csapat góljainak száma: 3 p</v>
      </c>
      <c r="H205" s="673" t="str">
        <f t="shared" ref="H205:AK205" si="125">IF(OR(BC201,NOT($AS$26)),"",IF(AND(NOT($AS$32),COUNTIF(H202:H204,"ü")&gt;0),"",IF(OR(H200=$E200,H201=$E201),"ü"," ")))</f>
        <v/>
      </c>
      <c r="I205" s="674" t="str">
        <f t="shared" si="125"/>
        <v/>
      </c>
      <c r="J205" s="674" t="str">
        <f t="shared" si="125"/>
        <v/>
      </c>
      <c r="K205" s="674" t="str">
        <f t="shared" si="125"/>
        <v/>
      </c>
      <c r="L205" s="674" t="str">
        <f t="shared" si="125"/>
        <v/>
      </c>
      <c r="M205" s="674" t="str">
        <f t="shared" si="125"/>
        <v/>
      </c>
      <c r="N205" s="674" t="str">
        <f t="shared" si="125"/>
        <v/>
      </c>
      <c r="O205" s="674" t="str">
        <f t="shared" si="125"/>
        <v/>
      </c>
      <c r="P205" s="674" t="str">
        <f t="shared" si="125"/>
        <v/>
      </c>
      <c r="Q205" s="674" t="str">
        <f t="shared" si="125"/>
        <v/>
      </c>
      <c r="R205" s="674" t="str">
        <f t="shared" si="125"/>
        <v/>
      </c>
      <c r="S205" s="674" t="str">
        <f t="shared" si="125"/>
        <v/>
      </c>
      <c r="T205" s="674" t="str">
        <f t="shared" si="125"/>
        <v/>
      </c>
      <c r="U205" s="674" t="str">
        <f t="shared" si="125"/>
        <v/>
      </c>
      <c r="V205" s="674" t="str">
        <f t="shared" si="125"/>
        <v/>
      </c>
      <c r="W205" s="674" t="str">
        <f t="shared" si="125"/>
        <v/>
      </c>
      <c r="X205" s="674" t="str">
        <f t="shared" si="125"/>
        <v/>
      </c>
      <c r="Y205" s="674" t="str">
        <f t="shared" si="125"/>
        <v/>
      </c>
      <c r="Z205" s="674" t="str">
        <f t="shared" si="125"/>
        <v/>
      </c>
      <c r="AA205" s="674" t="str">
        <f t="shared" si="125"/>
        <v/>
      </c>
      <c r="AB205" s="674" t="str">
        <f t="shared" si="125"/>
        <v/>
      </c>
      <c r="AC205" s="674" t="str">
        <f t="shared" si="125"/>
        <v/>
      </c>
      <c r="AD205" s="674" t="str">
        <f t="shared" si="125"/>
        <v/>
      </c>
      <c r="AE205" s="674" t="str">
        <f t="shared" si="125"/>
        <v/>
      </c>
      <c r="AF205" s="674" t="str">
        <f t="shared" si="125"/>
        <v/>
      </c>
      <c r="AG205" s="674" t="str">
        <f t="shared" si="125"/>
        <v/>
      </c>
      <c r="AH205" s="674" t="str">
        <f t="shared" si="125"/>
        <v/>
      </c>
      <c r="AI205" s="674" t="str">
        <f t="shared" si="125"/>
        <v/>
      </c>
      <c r="AJ205" s="674" t="str">
        <f t="shared" si="125"/>
        <v/>
      </c>
      <c r="AK205" s="675" t="str">
        <f t="shared" si="125"/>
        <v/>
      </c>
      <c r="AL205" s="15"/>
      <c r="AM205" s="15"/>
      <c r="AP205" s="536"/>
      <c r="AR205" s="537"/>
      <c r="AS205" s="529"/>
      <c r="AW205" s="390" t="str">
        <f>""</f>
        <v/>
      </c>
      <c r="AX205" s="531"/>
      <c r="AY205" s="390" t="str">
        <f>""</f>
        <v/>
      </c>
      <c r="BD205" s="520"/>
      <c r="BE205" s="520"/>
      <c r="BF205" s="520"/>
      <c r="BG205" s="520"/>
      <c r="BH205" s="520"/>
      <c r="BI205" s="520"/>
      <c r="BJ205" s="520"/>
      <c r="BK205" s="520"/>
      <c r="BL205" s="520"/>
      <c r="BM205" s="520"/>
      <c r="BN205" s="520"/>
      <c r="BO205" s="520"/>
      <c r="BP205" s="520"/>
      <c r="BQ205" s="520"/>
      <c r="BR205" s="520"/>
      <c r="BS205" s="520"/>
      <c r="BT205" s="520"/>
      <c r="BU205" s="520"/>
      <c r="BV205" s="520"/>
      <c r="BW205" s="520"/>
      <c r="BX205" s="520"/>
      <c r="BY205" s="520"/>
    </row>
    <row r="206" spans="1:84" ht="12" customHeight="1" x14ac:dyDescent="0.3">
      <c r="A206" s="765"/>
      <c r="E206" s="258" t="str">
        <f>$AX$96</f>
        <v>Összes gól: 2 p</v>
      </c>
      <c r="H206" s="673" t="str">
        <f t="shared" ref="H206:AK206" si="126">IF(OR(BC201,NOT($AS$28)),"",IF(AND(NOT($AS$32),COUNTIF(H202:H205,"ü")&gt;0),"",IF(H200+H201=$E200+$E201,"ü"," ")))</f>
        <v/>
      </c>
      <c r="I206" s="674" t="str">
        <f t="shared" si="126"/>
        <v/>
      </c>
      <c r="J206" s="674" t="str">
        <f t="shared" si="126"/>
        <v/>
      </c>
      <c r="K206" s="674" t="str">
        <f t="shared" si="126"/>
        <v/>
      </c>
      <c r="L206" s="674" t="str">
        <f t="shared" si="126"/>
        <v/>
      </c>
      <c r="M206" s="674" t="str">
        <f t="shared" si="126"/>
        <v/>
      </c>
      <c r="N206" s="674" t="str">
        <f t="shared" si="126"/>
        <v/>
      </c>
      <c r="O206" s="674" t="str">
        <f t="shared" si="126"/>
        <v/>
      </c>
      <c r="P206" s="674" t="str">
        <f t="shared" si="126"/>
        <v/>
      </c>
      <c r="Q206" s="674" t="str">
        <f t="shared" si="126"/>
        <v/>
      </c>
      <c r="R206" s="674" t="str">
        <f t="shared" si="126"/>
        <v/>
      </c>
      <c r="S206" s="674" t="str">
        <f t="shared" si="126"/>
        <v/>
      </c>
      <c r="T206" s="674" t="str">
        <f t="shared" si="126"/>
        <v/>
      </c>
      <c r="U206" s="674" t="str">
        <f t="shared" si="126"/>
        <v/>
      </c>
      <c r="V206" s="674" t="str">
        <f t="shared" si="126"/>
        <v/>
      </c>
      <c r="W206" s="674" t="str">
        <f t="shared" si="126"/>
        <v/>
      </c>
      <c r="X206" s="674" t="str">
        <f t="shared" si="126"/>
        <v/>
      </c>
      <c r="Y206" s="674" t="str">
        <f t="shared" si="126"/>
        <v/>
      </c>
      <c r="Z206" s="674" t="str">
        <f t="shared" si="126"/>
        <v/>
      </c>
      <c r="AA206" s="674" t="str">
        <f t="shared" si="126"/>
        <v/>
      </c>
      <c r="AB206" s="674" t="str">
        <f t="shared" si="126"/>
        <v/>
      </c>
      <c r="AC206" s="674" t="str">
        <f t="shared" si="126"/>
        <v/>
      </c>
      <c r="AD206" s="674" t="str">
        <f t="shared" si="126"/>
        <v/>
      </c>
      <c r="AE206" s="674" t="str">
        <f t="shared" si="126"/>
        <v/>
      </c>
      <c r="AF206" s="674" t="str">
        <f t="shared" si="126"/>
        <v/>
      </c>
      <c r="AG206" s="674" t="str">
        <f t="shared" si="126"/>
        <v/>
      </c>
      <c r="AH206" s="674" t="str">
        <f t="shared" si="126"/>
        <v/>
      </c>
      <c r="AI206" s="674" t="str">
        <f t="shared" si="126"/>
        <v/>
      </c>
      <c r="AJ206" s="674" t="str">
        <f t="shared" si="126"/>
        <v/>
      </c>
      <c r="AK206" s="675" t="str">
        <f t="shared" si="126"/>
        <v/>
      </c>
      <c r="AL206" s="15"/>
      <c r="AM206" s="15"/>
      <c r="AP206" s="536"/>
      <c r="AR206" s="537"/>
      <c r="AS206" s="529"/>
      <c r="AW206" s="390" t="str">
        <f>""</f>
        <v/>
      </c>
      <c r="AX206" s="531"/>
      <c r="AY206" s="390" t="str">
        <f>""</f>
        <v/>
      </c>
      <c r="BD206" s="520"/>
      <c r="BE206" s="520"/>
      <c r="BF206" s="520"/>
      <c r="BG206" s="520"/>
      <c r="BH206" s="520"/>
      <c r="BI206" s="520"/>
      <c r="BJ206" s="520"/>
      <c r="BK206" s="520"/>
      <c r="BL206" s="520"/>
      <c r="BM206" s="520"/>
      <c r="BN206" s="520"/>
      <c r="BO206" s="520"/>
      <c r="BP206" s="520"/>
      <c r="BQ206" s="520"/>
      <c r="BR206" s="520"/>
      <c r="BS206" s="520"/>
      <c r="BT206" s="520"/>
      <c r="BU206" s="520"/>
      <c r="BV206" s="520"/>
      <c r="BW206" s="520"/>
      <c r="BX206" s="520"/>
      <c r="BY206" s="520"/>
    </row>
    <row r="207" spans="1:84" ht="12" customHeight="1" x14ac:dyDescent="0.3">
      <c r="A207" s="765"/>
      <c r="E207" s="258" t="str">
        <f>$AX$97</f>
        <v>Fordított gólkülönbség: 1 p</v>
      </c>
      <c r="H207" s="676" t="str">
        <f t="shared" ref="H207:AK207" si="127">IF(OR(BC201,NOT($AS$30)),"",IF(AND(NOT($AS$32),COUNTIF(H202:H206,"ü")&gt;0),"",IF(AND(H200-H201=$E201-$E200,H200&lt;&gt;H201),"ü"," ")))</f>
        <v/>
      </c>
      <c r="I207" s="677" t="str">
        <f t="shared" si="127"/>
        <v/>
      </c>
      <c r="J207" s="677" t="str">
        <f t="shared" si="127"/>
        <v/>
      </c>
      <c r="K207" s="677" t="str">
        <f t="shared" si="127"/>
        <v/>
      </c>
      <c r="L207" s="677" t="str">
        <f t="shared" si="127"/>
        <v/>
      </c>
      <c r="M207" s="677" t="str">
        <f t="shared" si="127"/>
        <v/>
      </c>
      <c r="N207" s="677" t="str">
        <f t="shared" si="127"/>
        <v/>
      </c>
      <c r="O207" s="677" t="str">
        <f t="shared" si="127"/>
        <v/>
      </c>
      <c r="P207" s="677" t="str">
        <f t="shared" si="127"/>
        <v/>
      </c>
      <c r="Q207" s="677" t="str">
        <f t="shared" si="127"/>
        <v/>
      </c>
      <c r="R207" s="677" t="str">
        <f t="shared" si="127"/>
        <v/>
      </c>
      <c r="S207" s="677" t="str">
        <f t="shared" si="127"/>
        <v/>
      </c>
      <c r="T207" s="677" t="str">
        <f t="shared" si="127"/>
        <v/>
      </c>
      <c r="U207" s="677" t="str">
        <f t="shared" si="127"/>
        <v/>
      </c>
      <c r="V207" s="677" t="str">
        <f t="shared" si="127"/>
        <v/>
      </c>
      <c r="W207" s="677" t="str">
        <f t="shared" si="127"/>
        <v/>
      </c>
      <c r="X207" s="677" t="str">
        <f t="shared" si="127"/>
        <v/>
      </c>
      <c r="Y207" s="677" t="str">
        <f t="shared" si="127"/>
        <v/>
      </c>
      <c r="Z207" s="677" t="str">
        <f t="shared" si="127"/>
        <v/>
      </c>
      <c r="AA207" s="677" t="str">
        <f t="shared" si="127"/>
        <v/>
      </c>
      <c r="AB207" s="677" t="str">
        <f t="shared" si="127"/>
        <v/>
      </c>
      <c r="AC207" s="677" t="str">
        <f t="shared" si="127"/>
        <v/>
      </c>
      <c r="AD207" s="677" t="str">
        <f t="shared" si="127"/>
        <v/>
      </c>
      <c r="AE207" s="677" t="str">
        <f t="shared" si="127"/>
        <v/>
      </c>
      <c r="AF207" s="677" t="str">
        <f t="shared" si="127"/>
        <v/>
      </c>
      <c r="AG207" s="677" t="str">
        <f t="shared" si="127"/>
        <v/>
      </c>
      <c r="AH207" s="677" t="str">
        <f t="shared" si="127"/>
        <v/>
      </c>
      <c r="AI207" s="677" t="str">
        <f t="shared" si="127"/>
        <v/>
      </c>
      <c r="AJ207" s="677" t="str">
        <f t="shared" si="127"/>
        <v/>
      </c>
      <c r="AK207" s="678" t="str">
        <f t="shared" si="127"/>
        <v/>
      </c>
      <c r="AL207" s="15"/>
      <c r="AM207" s="15"/>
      <c r="AP207" s="536"/>
      <c r="AR207" s="537"/>
      <c r="AS207" s="529"/>
      <c r="AW207" s="390" t="str">
        <f>""</f>
        <v/>
      </c>
      <c r="AX207" s="531"/>
      <c r="AY207" s="390" t="str">
        <f>""</f>
        <v/>
      </c>
      <c r="BD207" s="520"/>
      <c r="BE207" s="520"/>
      <c r="BF207" s="520"/>
      <c r="BG207" s="520"/>
      <c r="BH207" s="520"/>
      <c r="BI207" s="520"/>
      <c r="BJ207" s="520"/>
      <c r="BK207" s="520"/>
      <c r="BL207" s="520"/>
      <c r="BM207" s="520"/>
      <c r="BN207" s="520"/>
      <c r="BO207" s="520"/>
      <c r="BP207" s="520"/>
      <c r="BQ207" s="520"/>
      <c r="BR207" s="520"/>
      <c r="BS207" s="520"/>
      <c r="BT207" s="520"/>
      <c r="BU207" s="520"/>
      <c r="BV207" s="520"/>
      <c r="BW207" s="520"/>
      <c r="BX207" s="520"/>
      <c r="BY207" s="520"/>
    </row>
    <row r="208" spans="1:84" ht="15" customHeight="1" x14ac:dyDescent="0.3">
      <c r="A208" s="765"/>
      <c r="E208" s="79" t="s">
        <v>799</v>
      </c>
      <c r="H208" s="679">
        <f t="shared" ref="H208:AK208" si="128">IF(NOT(H$13),"",SUMPRODUCT((H202:H207="ü")*($AW$92:$AW$97)))</f>
        <v>0</v>
      </c>
      <c r="I208" s="680">
        <f t="shared" si="128"/>
        <v>0</v>
      </c>
      <c r="J208" s="680">
        <f t="shared" si="128"/>
        <v>0</v>
      </c>
      <c r="K208" s="680">
        <f t="shared" si="128"/>
        <v>0</v>
      </c>
      <c r="L208" s="680">
        <f t="shared" si="128"/>
        <v>0</v>
      </c>
      <c r="M208" s="680">
        <f t="shared" si="128"/>
        <v>0</v>
      </c>
      <c r="N208" s="680">
        <f t="shared" si="128"/>
        <v>0</v>
      </c>
      <c r="O208" s="680">
        <f t="shared" si="128"/>
        <v>0</v>
      </c>
      <c r="P208" s="680">
        <f t="shared" si="128"/>
        <v>0</v>
      </c>
      <c r="Q208" s="680">
        <f t="shared" si="128"/>
        <v>0</v>
      </c>
      <c r="R208" s="680">
        <f t="shared" si="128"/>
        <v>0</v>
      </c>
      <c r="S208" s="680">
        <f t="shared" si="128"/>
        <v>0</v>
      </c>
      <c r="T208" s="680">
        <f t="shared" si="128"/>
        <v>0</v>
      </c>
      <c r="U208" s="680">
        <f t="shared" si="128"/>
        <v>0</v>
      </c>
      <c r="V208" s="680">
        <f t="shared" si="128"/>
        <v>0</v>
      </c>
      <c r="W208" s="680">
        <f t="shared" si="128"/>
        <v>0</v>
      </c>
      <c r="X208" s="680">
        <f t="shared" si="128"/>
        <v>0</v>
      </c>
      <c r="Y208" s="680">
        <f t="shared" si="128"/>
        <v>0</v>
      </c>
      <c r="Z208" s="680">
        <f t="shared" si="128"/>
        <v>0</v>
      </c>
      <c r="AA208" s="680">
        <f t="shared" si="128"/>
        <v>0</v>
      </c>
      <c r="AB208" s="680">
        <f t="shared" si="128"/>
        <v>0</v>
      </c>
      <c r="AC208" s="680">
        <f t="shared" si="128"/>
        <v>0</v>
      </c>
      <c r="AD208" s="680">
        <f t="shared" si="128"/>
        <v>0</v>
      </c>
      <c r="AE208" s="680" t="str">
        <f t="shared" si="128"/>
        <v/>
      </c>
      <c r="AF208" s="680" t="str">
        <f t="shared" si="128"/>
        <v/>
      </c>
      <c r="AG208" s="680" t="str">
        <f t="shared" si="128"/>
        <v/>
      </c>
      <c r="AH208" s="680" t="str">
        <f t="shared" si="128"/>
        <v/>
      </c>
      <c r="AI208" s="680" t="str">
        <f t="shared" si="128"/>
        <v/>
      </c>
      <c r="AJ208" s="680" t="str">
        <f t="shared" si="128"/>
        <v/>
      </c>
      <c r="AK208" s="681" t="str">
        <f t="shared" si="128"/>
        <v/>
      </c>
      <c r="AP208" s="536"/>
      <c r="AR208" s="537"/>
      <c r="AS208" s="529"/>
    </row>
    <row r="209" spans="1:84" ht="9" customHeight="1" x14ac:dyDescent="0.3">
      <c r="A209" s="765"/>
      <c r="D209" s="15"/>
      <c r="E209" s="15"/>
      <c r="F209" s="15"/>
      <c r="G209" s="15"/>
      <c r="H209" s="15"/>
      <c r="I209" s="16"/>
      <c r="J209" s="15"/>
      <c r="K209" s="15"/>
      <c r="L209" s="16"/>
      <c r="M209" s="15"/>
      <c r="N209" s="15"/>
      <c r="O209" s="16"/>
      <c r="P209" s="15"/>
      <c r="Q209" s="15"/>
      <c r="R209" s="16"/>
      <c r="S209" s="15"/>
      <c r="T209" s="15"/>
      <c r="U209" s="16"/>
      <c r="V209" s="15"/>
      <c r="W209" s="15"/>
      <c r="X209" s="16"/>
      <c r="Y209" s="15"/>
      <c r="Z209" s="15"/>
      <c r="AA209" s="16"/>
      <c r="AB209" s="15"/>
      <c r="AC209" s="15"/>
      <c r="AD209" s="16"/>
      <c r="AE209" s="15"/>
      <c r="AF209" s="15"/>
      <c r="AG209" s="16"/>
      <c r="AH209" s="15"/>
      <c r="AI209" s="15"/>
      <c r="AJ209" s="16"/>
      <c r="AK209" s="15"/>
      <c r="AP209" s="536"/>
      <c r="AR209" s="537"/>
      <c r="AS209" s="529"/>
    </row>
    <row r="210" spans="1:84" ht="15" customHeight="1" x14ac:dyDescent="0.3">
      <c r="A210" s="765"/>
      <c r="C210" s="27" t="str">
        <f>" "&amp;VLOOKUP(AQ211,schedule,18,FALSE)&amp;"  ("&amp;VLOOKUP(AQ211,schedule,3,FALSE)&amp;" CSOPORT)"</f>
        <v xml:space="preserve"> JÚNIUS 15. – KEDD 21:00  (F CSOPORT)</v>
      </c>
      <c r="D210" s="27"/>
      <c r="E210" s="26"/>
      <c r="F210" s="26"/>
      <c r="G210" s="26"/>
      <c r="H210" s="26"/>
      <c r="I210" s="26"/>
      <c r="J210" s="26"/>
      <c r="AP210" s="536"/>
      <c r="AR210" s="537"/>
      <c r="AS210" s="529"/>
    </row>
    <row r="211" spans="1:84" ht="15" customHeight="1" x14ac:dyDescent="0.3">
      <c r="A211" s="765"/>
      <c r="C211" s="661"/>
      <c r="D211" s="662" t="str">
        <f>IF(INDEX(n.er,$AR211,8)="","",INDEX(n.er,$AR211,8))</f>
        <v>Franciaország</v>
      </c>
      <c r="E211" s="663" t="str">
        <f>IF(NOT($AS211),"",INDEX(n.er,$AR211,9))</f>
        <v/>
      </c>
      <c r="F211" s="662"/>
      <c r="G211" s="259"/>
      <c r="H211" s="664">
        <v>1</v>
      </c>
      <c r="I211" s="665">
        <v>3</v>
      </c>
      <c r="J211" s="665">
        <v>2</v>
      </c>
      <c r="K211" s="665">
        <v>1</v>
      </c>
      <c r="L211" s="665">
        <v>2</v>
      </c>
      <c r="M211" s="665">
        <v>2</v>
      </c>
      <c r="N211" s="665">
        <v>2</v>
      </c>
      <c r="O211" s="665">
        <v>1</v>
      </c>
      <c r="P211" s="665">
        <v>2</v>
      </c>
      <c r="Q211" s="665">
        <v>2</v>
      </c>
      <c r="R211" s="665">
        <v>2</v>
      </c>
      <c r="S211" s="665">
        <v>2</v>
      </c>
      <c r="T211" s="665">
        <v>1</v>
      </c>
      <c r="U211" s="665">
        <v>2</v>
      </c>
      <c r="V211" s="665">
        <v>2</v>
      </c>
      <c r="W211" s="665">
        <v>2</v>
      </c>
      <c r="X211" s="665">
        <v>2</v>
      </c>
      <c r="Y211" s="665">
        <v>0</v>
      </c>
      <c r="Z211" s="665">
        <v>0</v>
      </c>
      <c r="AA211" s="665">
        <v>2</v>
      </c>
      <c r="AB211" s="665">
        <v>1</v>
      </c>
      <c r="AC211" s="665">
        <v>3</v>
      </c>
      <c r="AD211" s="665">
        <v>1</v>
      </c>
      <c r="AE211" s="665"/>
      <c r="AF211" s="665"/>
      <c r="AG211" s="665"/>
      <c r="AH211" s="665"/>
      <c r="AI211" s="665"/>
      <c r="AJ211" s="665"/>
      <c r="AK211" s="666"/>
      <c r="AP211" s="52">
        <f>AP200+1</f>
        <v>12</v>
      </c>
      <c r="AQ211" s="311">
        <f>INDEX(schedule,AP211,1)</f>
        <v>12</v>
      </c>
      <c r="AR211" s="311">
        <f>MATCH(AQ211,n.er.index,0)</f>
        <v>28</v>
      </c>
      <c r="AS211" s="532" t="b">
        <f>INDEX(n.er,$AR211,3)</f>
        <v>0</v>
      </c>
      <c r="AT211" s="531"/>
      <c r="AU211" s="531"/>
      <c r="AV211" s="531"/>
      <c r="AW211" s="531"/>
      <c r="AX211" s="531"/>
      <c r="BC211" s="525" t="b">
        <f t="shared" ref="BC211:CF211" si="129">IF(AND(ISNUMBER(H211),ISNUMBER(H212),H211&lt;&gt;"",H212&lt;&gt;""),AND(H211&gt;=0,H212&gt;=0,MOD(H211+H212,1)=0),FALSE)</f>
        <v>1</v>
      </c>
      <c r="BD211" s="525" t="b">
        <f t="shared" si="129"/>
        <v>1</v>
      </c>
      <c r="BE211" s="525" t="b">
        <f t="shared" si="129"/>
        <v>1</v>
      </c>
      <c r="BF211" s="525" t="b">
        <f t="shared" si="129"/>
        <v>1</v>
      </c>
      <c r="BG211" s="525" t="b">
        <f t="shared" si="129"/>
        <v>1</v>
      </c>
      <c r="BH211" s="525" t="b">
        <f t="shared" si="129"/>
        <v>1</v>
      </c>
      <c r="BI211" s="525" t="b">
        <f t="shared" si="129"/>
        <v>1</v>
      </c>
      <c r="BJ211" s="525" t="b">
        <f t="shared" si="129"/>
        <v>1</v>
      </c>
      <c r="BK211" s="525" t="b">
        <f t="shared" si="129"/>
        <v>1</v>
      </c>
      <c r="BL211" s="525" t="b">
        <f t="shared" si="129"/>
        <v>1</v>
      </c>
      <c r="BM211" s="525" t="b">
        <f t="shared" si="129"/>
        <v>1</v>
      </c>
      <c r="BN211" s="525" t="b">
        <f t="shared" si="129"/>
        <v>1</v>
      </c>
      <c r="BO211" s="525" t="b">
        <f t="shared" si="129"/>
        <v>1</v>
      </c>
      <c r="BP211" s="525" t="b">
        <f t="shared" si="129"/>
        <v>1</v>
      </c>
      <c r="BQ211" s="525" t="b">
        <f t="shared" si="129"/>
        <v>1</v>
      </c>
      <c r="BR211" s="525" t="b">
        <f t="shared" si="129"/>
        <v>1</v>
      </c>
      <c r="BS211" s="525" t="b">
        <f t="shared" si="129"/>
        <v>1</v>
      </c>
      <c r="BT211" s="525" t="b">
        <f t="shared" si="129"/>
        <v>1</v>
      </c>
      <c r="BU211" s="525" t="b">
        <f t="shared" si="129"/>
        <v>1</v>
      </c>
      <c r="BV211" s="525" t="b">
        <f t="shared" si="129"/>
        <v>1</v>
      </c>
      <c r="BW211" s="525" t="b">
        <f t="shared" si="129"/>
        <v>1</v>
      </c>
      <c r="BX211" s="525" t="b">
        <f t="shared" si="129"/>
        <v>1</v>
      </c>
      <c r="BY211" s="525" t="b">
        <f t="shared" si="129"/>
        <v>1</v>
      </c>
      <c r="BZ211" s="525" t="b">
        <f t="shared" si="129"/>
        <v>0</v>
      </c>
      <c r="CA211" s="525" t="b">
        <f t="shared" si="129"/>
        <v>0</v>
      </c>
      <c r="CB211" s="525" t="b">
        <f t="shared" si="129"/>
        <v>0</v>
      </c>
      <c r="CC211" s="525" t="b">
        <f t="shared" si="129"/>
        <v>0</v>
      </c>
      <c r="CD211" s="525" t="b">
        <f t="shared" si="129"/>
        <v>0</v>
      </c>
      <c r="CE211" s="525" t="b">
        <f t="shared" si="129"/>
        <v>0</v>
      </c>
      <c r="CF211" s="525" t="b">
        <f t="shared" si="129"/>
        <v>0</v>
      </c>
    </row>
    <row r="212" spans="1:84" ht="15" customHeight="1" x14ac:dyDescent="0.3">
      <c r="A212" s="765"/>
      <c r="C212" s="695"/>
      <c r="D212" s="696" t="str">
        <f>IF(INDEX(n.er,$AR211,11)="","",INDEX(n.er,$AR211,11))</f>
        <v>Németország</v>
      </c>
      <c r="E212" s="697" t="str">
        <f>IF(NOT($AS211),"",INDEX(n.er,$AR211,10))</f>
        <v/>
      </c>
      <c r="F212" s="696"/>
      <c r="G212" s="259"/>
      <c r="H212" s="667">
        <v>1</v>
      </c>
      <c r="I212" s="668">
        <v>3</v>
      </c>
      <c r="J212" s="668">
        <v>2</v>
      </c>
      <c r="K212" s="668">
        <v>2</v>
      </c>
      <c r="L212" s="668">
        <v>0</v>
      </c>
      <c r="M212" s="668">
        <v>4</v>
      </c>
      <c r="N212" s="668">
        <v>0</v>
      </c>
      <c r="O212" s="668">
        <v>1</v>
      </c>
      <c r="P212" s="668">
        <v>1</v>
      </c>
      <c r="Q212" s="668">
        <v>1</v>
      </c>
      <c r="R212" s="668">
        <v>1</v>
      </c>
      <c r="S212" s="668">
        <v>1</v>
      </c>
      <c r="T212" s="668">
        <v>1</v>
      </c>
      <c r="U212" s="668">
        <v>0</v>
      </c>
      <c r="V212" s="668">
        <v>2</v>
      </c>
      <c r="W212" s="668">
        <v>2</v>
      </c>
      <c r="X212" s="668">
        <v>1</v>
      </c>
      <c r="Y212" s="668">
        <v>0</v>
      </c>
      <c r="Z212" s="668">
        <v>0</v>
      </c>
      <c r="AA212" s="668">
        <v>2</v>
      </c>
      <c r="AB212" s="668">
        <v>0</v>
      </c>
      <c r="AC212" s="668">
        <v>0</v>
      </c>
      <c r="AD212" s="668">
        <v>1</v>
      </c>
      <c r="AE212" s="668"/>
      <c r="AF212" s="668"/>
      <c r="AG212" s="668"/>
      <c r="AH212" s="668"/>
      <c r="AI212" s="668"/>
      <c r="AJ212" s="668"/>
      <c r="AK212" s="669"/>
      <c r="AP212" s="533"/>
      <c r="AQ212" s="577"/>
      <c r="AR212" s="534"/>
      <c r="AS212" s="535"/>
      <c r="AX212" s="531"/>
      <c r="BC212" s="34" t="b">
        <f t="shared" ref="BC212:CF212" si="130">OR(NOT(H$13),NOT($AS211),NOT(BC211))</f>
        <v>1</v>
      </c>
      <c r="BD212" s="34" t="b">
        <f t="shared" si="130"/>
        <v>1</v>
      </c>
      <c r="BE212" s="34" t="b">
        <f t="shared" si="130"/>
        <v>1</v>
      </c>
      <c r="BF212" s="34" t="b">
        <f t="shared" si="130"/>
        <v>1</v>
      </c>
      <c r="BG212" s="34" t="b">
        <f t="shared" si="130"/>
        <v>1</v>
      </c>
      <c r="BH212" s="34" t="b">
        <f t="shared" si="130"/>
        <v>1</v>
      </c>
      <c r="BI212" s="34" t="b">
        <f t="shared" si="130"/>
        <v>1</v>
      </c>
      <c r="BJ212" s="34" t="b">
        <f t="shared" si="130"/>
        <v>1</v>
      </c>
      <c r="BK212" s="34" t="b">
        <f t="shared" si="130"/>
        <v>1</v>
      </c>
      <c r="BL212" s="34" t="b">
        <f t="shared" si="130"/>
        <v>1</v>
      </c>
      <c r="BM212" s="34" t="b">
        <f t="shared" si="130"/>
        <v>1</v>
      </c>
      <c r="BN212" s="34" t="b">
        <f t="shared" si="130"/>
        <v>1</v>
      </c>
      <c r="BO212" s="34" t="b">
        <f t="shared" si="130"/>
        <v>1</v>
      </c>
      <c r="BP212" s="34" t="b">
        <f t="shared" si="130"/>
        <v>1</v>
      </c>
      <c r="BQ212" s="34" t="b">
        <f t="shared" si="130"/>
        <v>1</v>
      </c>
      <c r="BR212" s="34" t="b">
        <f t="shared" si="130"/>
        <v>1</v>
      </c>
      <c r="BS212" s="34" t="b">
        <f t="shared" si="130"/>
        <v>1</v>
      </c>
      <c r="BT212" s="34" t="b">
        <f t="shared" si="130"/>
        <v>1</v>
      </c>
      <c r="BU212" s="34" t="b">
        <f t="shared" si="130"/>
        <v>1</v>
      </c>
      <c r="BV212" s="34" t="b">
        <f t="shared" si="130"/>
        <v>1</v>
      </c>
      <c r="BW212" s="34" t="b">
        <f t="shared" si="130"/>
        <v>1</v>
      </c>
      <c r="BX212" s="34" t="b">
        <f t="shared" si="130"/>
        <v>1</v>
      </c>
      <c r="BY212" s="34" t="b">
        <f t="shared" si="130"/>
        <v>1</v>
      </c>
      <c r="BZ212" s="34" t="b">
        <f t="shared" si="130"/>
        <v>1</v>
      </c>
      <c r="CA212" s="34" t="b">
        <f t="shared" si="130"/>
        <v>1</v>
      </c>
      <c r="CB212" s="34" t="b">
        <f t="shared" si="130"/>
        <v>1</v>
      </c>
      <c r="CC212" s="34" t="b">
        <f t="shared" si="130"/>
        <v>1</v>
      </c>
      <c r="CD212" s="34" t="b">
        <f t="shared" si="130"/>
        <v>1</v>
      </c>
      <c r="CE212" s="34" t="b">
        <f t="shared" si="130"/>
        <v>1</v>
      </c>
      <c r="CF212" s="34" t="b">
        <f t="shared" si="130"/>
        <v>1</v>
      </c>
    </row>
    <row r="213" spans="1:84" ht="12" customHeight="1" x14ac:dyDescent="0.3">
      <c r="A213" s="765"/>
      <c r="E213" s="258" t="str">
        <f>$AX$92</f>
        <v>Telitalálat: 10 p</v>
      </c>
      <c r="H213" s="670" t="str">
        <f t="shared" ref="H213:AK213" si="131">IF(OR(BC212,NOT($AS$20)),"",IF(AND(H211=$E211,H212=$E212),"ü",""))</f>
        <v/>
      </c>
      <c r="I213" s="671" t="str">
        <f t="shared" si="131"/>
        <v/>
      </c>
      <c r="J213" s="671" t="str">
        <f t="shared" si="131"/>
        <v/>
      </c>
      <c r="K213" s="671" t="str">
        <f t="shared" si="131"/>
        <v/>
      </c>
      <c r="L213" s="671" t="str">
        <f t="shared" si="131"/>
        <v/>
      </c>
      <c r="M213" s="671" t="str">
        <f t="shared" si="131"/>
        <v/>
      </c>
      <c r="N213" s="671" t="str">
        <f t="shared" si="131"/>
        <v/>
      </c>
      <c r="O213" s="671" t="str">
        <f t="shared" si="131"/>
        <v/>
      </c>
      <c r="P213" s="671" t="str">
        <f t="shared" si="131"/>
        <v/>
      </c>
      <c r="Q213" s="671" t="str">
        <f t="shared" si="131"/>
        <v/>
      </c>
      <c r="R213" s="671" t="str">
        <f t="shared" si="131"/>
        <v/>
      </c>
      <c r="S213" s="671" t="str">
        <f t="shared" si="131"/>
        <v/>
      </c>
      <c r="T213" s="671" t="str">
        <f t="shared" si="131"/>
        <v/>
      </c>
      <c r="U213" s="671" t="str">
        <f t="shared" si="131"/>
        <v/>
      </c>
      <c r="V213" s="671" t="str">
        <f t="shared" si="131"/>
        <v/>
      </c>
      <c r="W213" s="671" t="str">
        <f t="shared" si="131"/>
        <v/>
      </c>
      <c r="X213" s="671" t="str">
        <f t="shared" si="131"/>
        <v/>
      </c>
      <c r="Y213" s="671" t="str">
        <f t="shared" si="131"/>
        <v/>
      </c>
      <c r="Z213" s="671" t="str">
        <f t="shared" si="131"/>
        <v/>
      </c>
      <c r="AA213" s="671" t="str">
        <f t="shared" si="131"/>
        <v/>
      </c>
      <c r="AB213" s="671" t="str">
        <f t="shared" si="131"/>
        <v/>
      </c>
      <c r="AC213" s="671" t="str">
        <f t="shared" si="131"/>
        <v/>
      </c>
      <c r="AD213" s="671" t="str">
        <f t="shared" si="131"/>
        <v/>
      </c>
      <c r="AE213" s="671" t="str">
        <f t="shared" si="131"/>
        <v/>
      </c>
      <c r="AF213" s="671" t="str">
        <f t="shared" si="131"/>
        <v/>
      </c>
      <c r="AG213" s="671" t="str">
        <f t="shared" si="131"/>
        <v/>
      </c>
      <c r="AH213" s="671" t="str">
        <f t="shared" si="131"/>
        <v/>
      </c>
      <c r="AI213" s="671" t="str">
        <f t="shared" si="131"/>
        <v/>
      </c>
      <c r="AJ213" s="671" t="str">
        <f t="shared" si="131"/>
        <v/>
      </c>
      <c r="AK213" s="672" t="str">
        <f t="shared" si="131"/>
        <v/>
      </c>
      <c r="AL213" s="15"/>
      <c r="AM213" s="15"/>
      <c r="AP213" s="536"/>
      <c r="AR213" s="537"/>
      <c r="AS213" s="529"/>
      <c r="AW213" s="390" t="str">
        <f>""</f>
        <v/>
      </c>
      <c r="AX213" s="531"/>
      <c r="AY213" s="390" t="str">
        <f>""</f>
        <v/>
      </c>
      <c r="BD213" s="520"/>
      <c r="BE213" s="520"/>
      <c r="BF213" s="520"/>
      <c r="BG213" s="520"/>
      <c r="BH213" s="520"/>
      <c r="BI213" s="520"/>
      <c r="BJ213" s="520"/>
      <c r="BK213" s="520"/>
      <c r="BL213" s="520"/>
      <c r="BM213" s="520"/>
      <c r="BN213" s="520"/>
      <c r="BO213" s="520"/>
      <c r="BP213" s="520"/>
      <c r="BQ213" s="520"/>
      <c r="BR213" s="520"/>
      <c r="BS213" s="520"/>
      <c r="BT213" s="520"/>
      <c r="BU213" s="520"/>
      <c r="BV213" s="520"/>
      <c r="BW213" s="520"/>
      <c r="BX213" s="520"/>
      <c r="BY213" s="520"/>
    </row>
    <row r="214" spans="1:84" ht="12" customHeight="1" x14ac:dyDescent="0.3">
      <c r="A214" s="765"/>
      <c r="E214" s="258" t="str">
        <f>$AX$93</f>
        <v>Gólkülönbség: 6 p</v>
      </c>
      <c r="H214" s="673" t="str">
        <f t="shared" ref="H214:AK214" si="132">IF(OR(BC212,NOT($AS$22)),"",IF(AND(NOT($AS$32),H213="ü"),"",IF(H211-H212=$E211-$E212,"ü"," ")))</f>
        <v/>
      </c>
      <c r="I214" s="674" t="str">
        <f t="shared" si="132"/>
        <v/>
      </c>
      <c r="J214" s="674" t="str">
        <f t="shared" si="132"/>
        <v/>
      </c>
      <c r="K214" s="674" t="str">
        <f t="shared" si="132"/>
        <v/>
      </c>
      <c r="L214" s="674" t="str">
        <f t="shared" si="132"/>
        <v/>
      </c>
      <c r="M214" s="674" t="str">
        <f t="shared" si="132"/>
        <v/>
      </c>
      <c r="N214" s="674" t="str">
        <f t="shared" si="132"/>
        <v/>
      </c>
      <c r="O214" s="674" t="str">
        <f t="shared" si="132"/>
        <v/>
      </c>
      <c r="P214" s="674" t="str">
        <f t="shared" si="132"/>
        <v/>
      </c>
      <c r="Q214" s="674" t="str">
        <f t="shared" si="132"/>
        <v/>
      </c>
      <c r="R214" s="674" t="str">
        <f t="shared" si="132"/>
        <v/>
      </c>
      <c r="S214" s="674" t="str">
        <f t="shared" si="132"/>
        <v/>
      </c>
      <c r="T214" s="674" t="str">
        <f t="shared" si="132"/>
        <v/>
      </c>
      <c r="U214" s="674" t="str">
        <f t="shared" si="132"/>
        <v/>
      </c>
      <c r="V214" s="674" t="str">
        <f t="shared" si="132"/>
        <v/>
      </c>
      <c r="W214" s="674" t="str">
        <f t="shared" si="132"/>
        <v/>
      </c>
      <c r="X214" s="674" t="str">
        <f t="shared" si="132"/>
        <v/>
      </c>
      <c r="Y214" s="674" t="str">
        <f t="shared" si="132"/>
        <v/>
      </c>
      <c r="Z214" s="674" t="str">
        <f t="shared" si="132"/>
        <v/>
      </c>
      <c r="AA214" s="674" t="str">
        <f t="shared" si="132"/>
        <v/>
      </c>
      <c r="AB214" s="674" t="str">
        <f t="shared" si="132"/>
        <v/>
      </c>
      <c r="AC214" s="674" t="str">
        <f t="shared" si="132"/>
        <v/>
      </c>
      <c r="AD214" s="674" t="str">
        <f t="shared" si="132"/>
        <v/>
      </c>
      <c r="AE214" s="674" t="str">
        <f t="shared" si="132"/>
        <v/>
      </c>
      <c r="AF214" s="674" t="str">
        <f t="shared" si="132"/>
        <v/>
      </c>
      <c r="AG214" s="674" t="str">
        <f t="shared" si="132"/>
        <v/>
      </c>
      <c r="AH214" s="674" t="str">
        <f t="shared" si="132"/>
        <v/>
      </c>
      <c r="AI214" s="674" t="str">
        <f t="shared" si="132"/>
        <v/>
      </c>
      <c r="AJ214" s="674" t="str">
        <f t="shared" si="132"/>
        <v/>
      </c>
      <c r="AK214" s="675" t="str">
        <f t="shared" si="132"/>
        <v/>
      </c>
      <c r="AL214" s="15"/>
      <c r="AM214" s="15"/>
      <c r="AP214" s="536"/>
      <c r="AR214" s="537"/>
      <c r="AS214" s="529"/>
      <c r="AW214" s="390" t="str">
        <f>""</f>
        <v/>
      </c>
      <c r="AX214" s="531"/>
      <c r="AY214" s="390" t="str">
        <f>""</f>
        <v/>
      </c>
      <c r="BD214" s="520"/>
      <c r="BE214" s="520"/>
      <c r="BF214" s="520"/>
      <c r="BG214" s="520"/>
      <c r="BH214" s="520"/>
      <c r="BI214" s="520"/>
      <c r="BJ214" s="520"/>
      <c r="BK214" s="520"/>
      <c r="BL214" s="520"/>
      <c r="BM214" s="520"/>
      <c r="BN214" s="520"/>
      <c r="BO214" s="520"/>
      <c r="BP214" s="520"/>
      <c r="BQ214" s="520"/>
      <c r="BR214" s="520"/>
      <c r="BS214" s="520"/>
      <c r="BT214" s="520"/>
      <c r="BU214" s="520"/>
      <c r="BV214" s="520"/>
      <c r="BW214" s="520"/>
      <c r="BX214" s="520"/>
      <c r="BY214" s="520"/>
    </row>
    <row r="215" spans="1:84" ht="12" customHeight="1" x14ac:dyDescent="0.3">
      <c r="A215" s="765"/>
      <c r="E215" s="258" t="str">
        <f>$AX$94</f>
        <v>Mérkőzés kimenetele: 4 p</v>
      </c>
      <c r="H215" s="673" t="str">
        <f t="shared" ref="H215:AK215" si="133">IF(OR(BC212,NOT($AS$24)),"",IF(AND(NOT($AS$32),COUNTIF(H213:H214,"ü")&gt;0),"",IF(SIGN(H211-H212)=SIGN($E211-$E212),"ü"," ")))</f>
        <v/>
      </c>
      <c r="I215" s="674" t="str">
        <f t="shared" si="133"/>
        <v/>
      </c>
      <c r="J215" s="674" t="str">
        <f t="shared" si="133"/>
        <v/>
      </c>
      <c r="K215" s="674" t="str">
        <f t="shared" si="133"/>
        <v/>
      </c>
      <c r="L215" s="674" t="str">
        <f t="shared" si="133"/>
        <v/>
      </c>
      <c r="M215" s="674" t="str">
        <f t="shared" si="133"/>
        <v/>
      </c>
      <c r="N215" s="674" t="str">
        <f t="shared" si="133"/>
        <v/>
      </c>
      <c r="O215" s="674" t="str">
        <f t="shared" si="133"/>
        <v/>
      </c>
      <c r="P215" s="674" t="str">
        <f t="shared" si="133"/>
        <v/>
      </c>
      <c r="Q215" s="674" t="str">
        <f t="shared" si="133"/>
        <v/>
      </c>
      <c r="R215" s="674" t="str">
        <f t="shared" si="133"/>
        <v/>
      </c>
      <c r="S215" s="674" t="str">
        <f t="shared" si="133"/>
        <v/>
      </c>
      <c r="T215" s="674" t="str">
        <f t="shared" si="133"/>
        <v/>
      </c>
      <c r="U215" s="674" t="str">
        <f t="shared" si="133"/>
        <v/>
      </c>
      <c r="V215" s="674" t="str">
        <f t="shared" si="133"/>
        <v/>
      </c>
      <c r="W215" s="674" t="str">
        <f t="shared" si="133"/>
        <v/>
      </c>
      <c r="X215" s="674" t="str">
        <f t="shared" si="133"/>
        <v/>
      </c>
      <c r="Y215" s="674" t="str">
        <f t="shared" si="133"/>
        <v/>
      </c>
      <c r="Z215" s="674" t="str">
        <f t="shared" si="133"/>
        <v/>
      </c>
      <c r="AA215" s="674" t="str">
        <f t="shared" si="133"/>
        <v/>
      </c>
      <c r="AB215" s="674" t="str">
        <f t="shared" si="133"/>
        <v/>
      </c>
      <c r="AC215" s="674" t="str">
        <f t="shared" si="133"/>
        <v/>
      </c>
      <c r="AD215" s="674" t="str">
        <f t="shared" si="133"/>
        <v/>
      </c>
      <c r="AE215" s="674" t="str">
        <f t="shared" si="133"/>
        <v/>
      </c>
      <c r="AF215" s="674" t="str">
        <f t="shared" si="133"/>
        <v/>
      </c>
      <c r="AG215" s="674" t="str">
        <f t="shared" si="133"/>
        <v/>
      </c>
      <c r="AH215" s="674" t="str">
        <f t="shared" si="133"/>
        <v/>
      </c>
      <c r="AI215" s="674" t="str">
        <f t="shared" si="133"/>
        <v/>
      </c>
      <c r="AJ215" s="674" t="str">
        <f t="shared" si="133"/>
        <v/>
      </c>
      <c r="AK215" s="675" t="str">
        <f t="shared" si="133"/>
        <v/>
      </c>
      <c r="AL215" s="15"/>
      <c r="AM215" s="15"/>
      <c r="AP215" s="536"/>
      <c r="AR215" s="537"/>
      <c r="AS215" s="529"/>
      <c r="AW215" s="390" t="str">
        <f>""</f>
        <v/>
      </c>
      <c r="AX215" s="531"/>
      <c r="AY215" s="390" t="str">
        <f>""</f>
        <v/>
      </c>
      <c r="BD215" s="520"/>
      <c r="BE215" s="520"/>
      <c r="BF215" s="520"/>
      <c r="BG215" s="520"/>
      <c r="BH215" s="520"/>
      <c r="BI215" s="520"/>
      <c r="BJ215" s="520"/>
      <c r="BK215" s="520"/>
      <c r="BL215" s="520"/>
      <c r="BM215" s="520"/>
      <c r="BN215" s="520"/>
      <c r="BO215" s="520"/>
      <c r="BP215" s="520"/>
      <c r="BQ215" s="520"/>
      <c r="BR215" s="520"/>
      <c r="BS215" s="520"/>
      <c r="BT215" s="520"/>
      <c r="BU215" s="520"/>
      <c r="BV215" s="520"/>
      <c r="BW215" s="520"/>
      <c r="BX215" s="520"/>
      <c r="BY215" s="520"/>
    </row>
    <row r="216" spans="1:84" ht="12" customHeight="1" x14ac:dyDescent="0.3">
      <c r="A216" s="765"/>
      <c r="E216" s="258" t="str">
        <f>$AX$95</f>
        <v>Egyik csapat góljainak száma: 3 p</v>
      </c>
      <c r="H216" s="673" t="str">
        <f t="shared" ref="H216:AK216" si="134">IF(OR(BC212,NOT($AS$26)),"",IF(AND(NOT($AS$32),COUNTIF(H213:H215,"ü")&gt;0),"",IF(OR(H211=$E211,H212=$E212),"ü"," ")))</f>
        <v/>
      </c>
      <c r="I216" s="674" t="str">
        <f t="shared" si="134"/>
        <v/>
      </c>
      <c r="J216" s="674" t="str">
        <f t="shared" si="134"/>
        <v/>
      </c>
      <c r="K216" s="674" t="str">
        <f t="shared" si="134"/>
        <v/>
      </c>
      <c r="L216" s="674" t="str">
        <f t="shared" si="134"/>
        <v/>
      </c>
      <c r="M216" s="674" t="str">
        <f t="shared" si="134"/>
        <v/>
      </c>
      <c r="N216" s="674" t="str">
        <f t="shared" si="134"/>
        <v/>
      </c>
      <c r="O216" s="674" t="str">
        <f t="shared" si="134"/>
        <v/>
      </c>
      <c r="P216" s="674" t="str">
        <f t="shared" si="134"/>
        <v/>
      </c>
      <c r="Q216" s="674" t="str">
        <f t="shared" si="134"/>
        <v/>
      </c>
      <c r="R216" s="674" t="str">
        <f t="shared" si="134"/>
        <v/>
      </c>
      <c r="S216" s="674" t="str">
        <f t="shared" si="134"/>
        <v/>
      </c>
      <c r="T216" s="674" t="str">
        <f t="shared" si="134"/>
        <v/>
      </c>
      <c r="U216" s="674" t="str">
        <f t="shared" si="134"/>
        <v/>
      </c>
      <c r="V216" s="674" t="str">
        <f t="shared" si="134"/>
        <v/>
      </c>
      <c r="W216" s="674" t="str">
        <f t="shared" si="134"/>
        <v/>
      </c>
      <c r="X216" s="674" t="str">
        <f t="shared" si="134"/>
        <v/>
      </c>
      <c r="Y216" s="674" t="str">
        <f t="shared" si="134"/>
        <v/>
      </c>
      <c r="Z216" s="674" t="str">
        <f t="shared" si="134"/>
        <v/>
      </c>
      <c r="AA216" s="674" t="str">
        <f t="shared" si="134"/>
        <v/>
      </c>
      <c r="AB216" s="674" t="str">
        <f t="shared" si="134"/>
        <v/>
      </c>
      <c r="AC216" s="674" t="str">
        <f t="shared" si="134"/>
        <v/>
      </c>
      <c r="AD216" s="674" t="str">
        <f t="shared" si="134"/>
        <v/>
      </c>
      <c r="AE216" s="674" t="str">
        <f t="shared" si="134"/>
        <v/>
      </c>
      <c r="AF216" s="674" t="str">
        <f t="shared" si="134"/>
        <v/>
      </c>
      <c r="AG216" s="674" t="str">
        <f t="shared" si="134"/>
        <v/>
      </c>
      <c r="AH216" s="674" t="str">
        <f t="shared" si="134"/>
        <v/>
      </c>
      <c r="AI216" s="674" t="str">
        <f t="shared" si="134"/>
        <v/>
      </c>
      <c r="AJ216" s="674" t="str">
        <f t="shared" si="134"/>
        <v/>
      </c>
      <c r="AK216" s="675" t="str">
        <f t="shared" si="134"/>
        <v/>
      </c>
      <c r="AL216" s="15"/>
      <c r="AM216" s="15"/>
      <c r="AP216" s="536"/>
      <c r="AR216" s="537"/>
      <c r="AS216" s="529"/>
      <c r="AW216" s="390" t="str">
        <f>""</f>
        <v/>
      </c>
      <c r="AX216" s="531"/>
      <c r="AY216" s="390" t="str">
        <f>""</f>
        <v/>
      </c>
      <c r="BD216" s="520"/>
      <c r="BE216" s="520"/>
      <c r="BF216" s="520"/>
      <c r="BG216" s="520"/>
      <c r="BH216" s="520"/>
      <c r="BI216" s="520"/>
      <c r="BJ216" s="520"/>
      <c r="BK216" s="520"/>
      <c r="BL216" s="520"/>
      <c r="BM216" s="520"/>
      <c r="BN216" s="520"/>
      <c r="BO216" s="520"/>
      <c r="BP216" s="520"/>
      <c r="BQ216" s="520"/>
      <c r="BR216" s="520"/>
      <c r="BS216" s="520"/>
      <c r="BT216" s="520"/>
      <c r="BU216" s="520"/>
      <c r="BV216" s="520"/>
      <c r="BW216" s="520"/>
      <c r="BX216" s="520"/>
      <c r="BY216" s="520"/>
    </row>
    <row r="217" spans="1:84" ht="12" customHeight="1" x14ac:dyDescent="0.3">
      <c r="A217" s="765"/>
      <c r="E217" s="258" t="str">
        <f>$AX$96</f>
        <v>Összes gól: 2 p</v>
      </c>
      <c r="H217" s="673" t="str">
        <f t="shared" ref="H217:AK217" si="135">IF(OR(BC212,NOT($AS$28)),"",IF(AND(NOT($AS$32),COUNTIF(H213:H216,"ü")&gt;0),"",IF(H211+H212=$E211+$E212,"ü"," ")))</f>
        <v/>
      </c>
      <c r="I217" s="674" t="str">
        <f t="shared" si="135"/>
        <v/>
      </c>
      <c r="J217" s="674" t="str">
        <f t="shared" si="135"/>
        <v/>
      </c>
      <c r="K217" s="674" t="str">
        <f t="shared" si="135"/>
        <v/>
      </c>
      <c r="L217" s="674" t="str">
        <f t="shared" si="135"/>
        <v/>
      </c>
      <c r="M217" s="674" t="str">
        <f t="shared" si="135"/>
        <v/>
      </c>
      <c r="N217" s="674" t="str">
        <f t="shared" si="135"/>
        <v/>
      </c>
      <c r="O217" s="674" t="str">
        <f t="shared" si="135"/>
        <v/>
      </c>
      <c r="P217" s="674" t="str">
        <f t="shared" si="135"/>
        <v/>
      </c>
      <c r="Q217" s="674" t="str">
        <f t="shared" si="135"/>
        <v/>
      </c>
      <c r="R217" s="674" t="str">
        <f t="shared" si="135"/>
        <v/>
      </c>
      <c r="S217" s="674" t="str">
        <f t="shared" si="135"/>
        <v/>
      </c>
      <c r="T217" s="674" t="str">
        <f t="shared" si="135"/>
        <v/>
      </c>
      <c r="U217" s="674" t="str">
        <f t="shared" si="135"/>
        <v/>
      </c>
      <c r="V217" s="674" t="str">
        <f t="shared" si="135"/>
        <v/>
      </c>
      <c r="W217" s="674" t="str">
        <f t="shared" si="135"/>
        <v/>
      </c>
      <c r="X217" s="674" t="str">
        <f t="shared" si="135"/>
        <v/>
      </c>
      <c r="Y217" s="674" t="str">
        <f t="shared" si="135"/>
        <v/>
      </c>
      <c r="Z217" s="674" t="str">
        <f t="shared" si="135"/>
        <v/>
      </c>
      <c r="AA217" s="674" t="str">
        <f t="shared" si="135"/>
        <v/>
      </c>
      <c r="AB217" s="674" t="str">
        <f t="shared" si="135"/>
        <v/>
      </c>
      <c r="AC217" s="674" t="str">
        <f t="shared" si="135"/>
        <v/>
      </c>
      <c r="AD217" s="674" t="str">
        <f t="shared" si="135"/>
        <v/>
      </c>
      <c r="AE217" s="674" t="str">
        <f t="shared" si="135"/>
        <v/>
      </c>
      <c r="AF217" s="674" t="str">
        <f t="shared" si="135"/>
        <v/>
      </c>
      <c r="AG217" s="674" t="str">
        <f t="shared" si="135"/>
        <v/>
      </c>
      <c r="AH217" s="674" t="str">
        <f t="shared" si="135"/>
        <v/>
      </c>
      <c r="AI217" s="674" t="str">
        <f t="shared" si="135"/>
        <v/>
      </c>
      <c r="AJ217" s="674" t="str">
        <f t="shared" si="135"/>
        <v/>
      </c>
      <c r="AK217" s="675" t="str">
        <f t="shared" si="135"/>
        <v/>
      </c>
      <c r="AL217" s="15"/>
      <c r="AM217" s="15"/>
      <c r="AP217" s="536"/>
      <c r="AR217" s="537"/>
      <c r="AS217" s="529"/>
      <c r="AW217" s="390" t="str">
        <f>""</f>
        <v/>
      </c>
      <c r="AX217" s="531"/>
      <c r="AY217" s="390" t="str">
        <f>""</f>
        <v/>
      </c>
      <c r="BD217" s="520"/>
      <c r="BE217" s="520"/>
      <c r="BF217" s="520"/>
      <c r="BG217" s="520"/>
      <c r="BH217" s="520"/>
      <c r="BI217" s="520"/>
      <c r="BJ217" s="520"/>
      <c r="BK217" s="520"/>
      <c r="BL217" s="520"/>
      <c r="BM217" s="520"/>
      <c r="BN217" s="520"/>
      <c r="BO217" s="520"/>
      <c r="BP217" s="520"/>
      <c r="BQ217" s="520"/>
      <c r="BR217" s="520"/>
      <c r="BS217" s="520"/>
      <c r="BT217" s="520"/>
      <c r="BU217" s="520"/>
      <c r="BV217" s="520"/>
      <c r="BW217" s="520"/>
      <c r="BX217" s="520"/>
      <c r="BY217" s="520"/>
    </row>
    <row r="218" spans="1:84" ht="12" customHeight="1" x14ac:dyDescent="0.3">
      <c r="A218" s="765"/>
      <c r="E218" s="258" t="str">
        <f>$AX$97</f>
        <v>Fordított gólkülönbség: 1 p</v>
      </c>
      <c r="H218" s="676" t="str">
        <f t="shared" ref="H218:AK218" si="136">IF(OR(BC212,NOT($AS$30)),"",IF(AND(NOT($AS$32),COUNTIF(H213:H217,"ü")&gt;0),"",IF(AND(H211-H212=$E212-$E211,H211&lt;&gt;H212),"ü"," ")))</f>
        <v/>
      </c>
      <c r="I218" s="677" t="str">
        <f t="shared" si="136"/>
        <v/>
      </c>
      <c r="J218" s="677" t="str">
        <f t="shared" si="136"/>
        <v/>
      </c>
      <c r="K218" s="677" t="str">
        <f t="shared" si="136"/>
        <v/>
      </c>
      <c r="L218" s="677" t="str">
        <f t="shared" si="136"/>
        <v/>
      </c>
      <c r="M218" s="677" t="str">
        <f t="shared" si="136"/>
        <v/>
      </c>
      <c r="N218" s="677" t="str">
        <f t="shared" si="136"/>
        <v/>
      </c>
      <c r="O218" s="677" t="str">
        <f t="shared" si="136"/>
        <v/>
      </c>
      <c r="P218" s="677" t="str">
        <f t="shared" si="136"/>
        <v/>
      </c>
      <c r="Q218" s="677" t="str">
        <f t="shared" si="136"/>
        <v/>
      </c>
      <c r="R218" s="677" t="str">
        <f t="shared" si="136"/>
        <v/>
      </c>
      <c r="S218" s="677" t="str">
        <f t="shared" si="136"/>
        <v/>
      </c>
      <c r="T218" s="677" t="str">
        <f t="shared" si="136"/>
        <v/>
      </c>
      <c r="U218" s="677" t="str">
        <f t="shared" si="136"/>
        <v/>
      </c>
      <c r="V218" s="677" t="str">
        <f t="shared" si="136"/>
        <v/>
      </c>
      <c r="W218" s="677" t="str">
        <f t="shared" si="136"/>
        <v/>
      </c>
      <c r="X218" s="677" t="str">
        <f t="shared" si="136"/>
        <v/>
      </c>
      <c r="Y218" s="677" t="str">
        <f t="shared" si="136"/>
        <v/>
      </c>
      <c r="Z218" s="677" t="str">
        <f t="shared" si="136"/>
        <v/>
      </c>
      <c r="AA218" s="677" t="str">
        <f t="shared" si="136"/>
        <v/>
      </c>
      <c r="AB218" s="677" t="str">
        <f t="shared" si="136"/>
        <v/>
      </c>
      <c r="AC218" s="677" t="str">
        <f t="shared" si="136"/>
        <v/>
      </c>
      <c r="AD218" s="677" t="str">
        <f t="shared" si="136"/>
        <v/>
      </c>
      <c r="AE218" s="677" t="str">
        <f t="shared" si="136"/>
        <v/>
      </c>
      <c r="AF218" s="677" t="str">
        <f t="shared" si="136"/>
        <v/>
      </c>
      <c r="AG218" s="677" t="str">
        <f t="shared" si="136"/>
        <v/>
      </c>
      <c r="AH218" s="677" t="str">
        <f t="shared" si="136"/>
        <v/>
      </c>
      <c r="AI218" s="677" t="str">
        <f t="shared" si="136"/>
        <v/>
      </c>
      <c r="AJ218" s="677" t="str">
        <f t="shared" si="136"/>
        <v/>
      </c>
      <c r="AK218" s="678" t="str">
        <f t="shared" si="136"/>
        <v/>
      </c>
      <c r="AL218" s="15"/>
      <c r="AM218" s="15"/>
      <c r="AP218" s="536"/>
      <c r="AR218" s="537"/>
      <c r="AS218" s="529"/>
      <c r="AW218" s="390" t="str">
        <f>""</f>
        <v/>
      </c>
      <c r="AX218" s="531"/>
      <c r="AY218" s="390" t="str">
        <f>""</f>
        <v/>
      </c>
      <c r="BD218" s="520"/>
      <c r="BE218" s="520"/>
      <c r="BF218" s="520"/>
      <c r="BG218" s="520"/>
      <c r="BH218" s="520"/>
      <c r="BI218" s="520"/>
      <c r="BJ218" s="520"/>
      <c r="BK218" s="520"/>
      <c r="BL218" s="520"/>
      <c r="BM218" s="520"/>
      <c r="BN218" s="520"/>
      <c r="BO218" s="520"/>
      <c r="BP218" s="520"/>
      <c r="BQ218" s="520"/>
      <c r="BR218" s="520"/>
      <c r="BS218" s="520"/>
      <c r="BT218" s="520"/>
      <c r="BU218" s="520"/>
      <c r="BV218" s="520"/>
      <c r="BW218" s="520"/>
      <c r="BX218" s="520"/>
      <c r="BY218" s="520"/>
    </row>
    <row r="219" spans="1:84" ht="15" customHeight="1" x14ac:dyDescent="0.3">
      <c r="A219" s="765"/>
      <c r="E219" s="79" t="s">
        <v>799</v>
      </c>
      <c r="H219" s="679">
        <f t="shared" ref="H219:AK219" si="137">IF(NOT(H$13),"",SUMPRODUCT((H213:H218="ü")*($AW$92:$AW$97)))</f>
        <v>0</v>
      </c>
      <c r="I219" s="680">
        <f t="shared" si="137"/>
        <v>0</v>
      </c>
      <c r="J219" s="680">
        <f t="shared" si="137"/>
        <v>0</v>
      </c>
      <c r="K219" s="680">
        <f t="shared" si="137"/>
        <v>0</v>
      </c>
      <c r="L219" s="680">
        <f t="shared" si="137"/>
        <v>0</v>
      </c>
      <c r="M219" s="680">
        <f t="shared" si="137"/>
        <v>0</v>
      </c>
      <c r="N219" s="680">
        <f t="shared" si="137"/>
        <v>0</v>
      </c>
      <c r="O219" s="680">
        <f t="shared" si="137"/>
        <v>0</v>
      </c>
      <c r="P219" s="680">
        <f t="shared" si="137"/>
        <v>0</v>
      </c>
      <c r="Q219" s="680">
        <f t="shared" si="137"/>
        <v>0</v>
      </c>
      <c r="R219" s="680">
        <f t="shared" si="137"/>
        <v>0</v>
      </c>
      <c r="S219" s="680">
        <f t="shared" si="137"/>
        <v>0</v>
      </c>
      <c r="T219" s="680">
        <f t="shared" si="137"/>
        <v>0</v>
      </c>
      <c r="U219" s="680">
        <f t="shared" si="137"/>
        <v>0</v>
      </c>
      <c r="V219" s="680">
        <f t="shared" si="137"/>
        <v>0</v>
      </c>
      <c r="W219" s="680">
        <f t="shared" si="137"/>
        <v>0</v>
      </c>
      <c r="X219" s="680">
        <f t="shared" si="137"/>
        <v>0</v>
      </c>
      <c r="Y219" s="680">
        <f t="shared" si="137"/>
        <v>0</v>
      </c>
      <c r="Z219" s="680">
        <f t="shared" si="137"/>
        <v>0</v>
      </c>
      <c r="AA219" s="680">
        <f t="shared" si="137"/>
        <v>0</v>
      </c>
      <c r="AB219" s="680">
        <f t="shared" si="137"/>
        <v>0</v>
      </c>
      <c r="AC219" s="680">
        <f t="shared" si="137"/>
        <v>0</v>
      </c>
      <c r="AD219" s="680">
        <f t="shared" si="137"/>
        <v>0</v>
      </c>
      <c r="AE219" s="680" t="str">
        <f t="shared" si="137"/>
        <v/>
      </c>
      <c r="AF219" s="680" t="str">
        <f t="shared" si="137"/>
        <v/>
      </c>
      <c r="AG219" s="680" t="str">
        <f t="shared" si="137"/>
        <v/>
      </c>
      <c r="AH219" s="680" t="str">
        <f t="shared" si="137"/>
        <v/>
      </c>
      <c r="AI219" s="680" t="str">
        <f t="shared" si="137"/>
        <v/>
      </c>
      <c r="AJ219" s="680" t="str">
        <f t="shared" si="137"/>
        <v/>
      </c>
      <c r="AK219" s="681" t="str">
        <f t="shared" si="137"/>
        <v/>
      </c>
      <c r="AP219" s="538"/>
      <c r="AQ219" s="699"/>
      <c r="AR219" s="539"/>
      <c r="AS219" s="540"/>
    </row>
    <row r="220" spans="1:84" x14ac:dyDescent="0.3">
      <c r="A220" s="765"/>
    </row>
    <row r="221" spans="1:84" x14ac:dyDescent="0.3">
      <c r="A221" s="765"/>
    </row>
    <row r="222" spans="1:84" x14ac:dyDescent="0.3">
      <c r="A222" s="765"/>
    </row>
    <row r="223" spans="1:84" x14ac:dyDescent="0.3">
      <c r="A223" s="765"/>
    </row>
    <row r="224" spans="1:84" x14ac:dyDescent="0.3">
      <c r="A224" s="765"/>
    </row>
    <row r="225" spans="1:86" x14ac:dyDescent="0.3">
      <c r="A225" s="765"/>
    </row>
    <row r="226" spans="1:86" x14ac:dyDescent="0.3">
      <c r="A226" s="765"/>
    </row>
    <row r="227" spans="1:86" x14ac:dyDescent="0.3">
      <c r="A227" s="765"/>
    </row>
    <row r="228" spans="1:86" ht="15" customHeight="1" x14ac:dyDescent="0.3">
      <c r="A228" s="765"/>
    </row>
    <row r="229" spans="1:86" ht="12" customHeight="1" x14ac:dyDescent="0.3">
      <c r="A229" s="765"/>
      <c r="D229" s="15"/>
      <c r="E229" s="15"/>
      <c r="F229" s="15"/>
      <c r="G229" s="15"/>
      <c r="H229" s="15"/>
      <c r="I229" s="16"/>
      <c r="J229" s="15"/>
      <c r="K229" s="15"/>
      <c r="L229" s="16"/>
      <c r="M229" s="15"/>
      <c r="N229" s="15"/>
      <c r="O229" s="16"/>
      <c r="P229" s="15"/>
      <c r="Q229" s="15"/>
      <c r="R229" s="16"/>
      <c r="S229" s="15"/>
      <c r="T229" s="15"/>
      <c r="U229" s="16"/>
      <c r="V229" s="15"/>
      <c r="W229" s="15"/>
      <c r="X229" s="16"/>
      <c r="Y229" s="15"/>
      <c r="Z229" s="15"/>
      <c r="AA229" s="16"/>
      <c r="AB229" s="15"/>
      <c r="AC229" s="15"/>
      <c r="AD229" s="16"/>
      <c r="AE229" s="15"/>
      <c r="AF229" s="15"/>
      <c r="AG229" s="16"/>
      <c r="AH229" s="15"/>
      <c r="AI229" s="15"/>
      <c r="AJ229" s="16"/>
      <c r="AK229" s="15"/>
    </row>
    <row r="230" spans="1:86" ht="15" customHeight="1" x14ac:dyDescent="0.3">
      <c r="A230" s="765"/>
      <c r="C230" s="657"/>
      <c r="D230" s="652" t="s">
        <v>804</v>
      </c>
      <c r="E230" s="658"/>
      <c r="F230" s="659"/>
      <c r="G230" s="659"/>
      <c r="H230" s="659"/>
      <c r="I230" s="660"/>
      <c r="J230" s="659"/>
      <c r="K230" s="659"/>
      <c r="L230" s="660"/>
      <c r="M230" s="659"/>
      <c r="N230" s="659"/>
      <c r="O230" s="660"/>
      <c r="P230" s="659"/>
      <c r="Q230" s="659"/>
      <c r="R230" s="660"/>
      <c r="S230" s="659"/>
      <c r="T230" s="659"/>
      <c r="U230" s="660"/>
      <c r="V230" s="659"/>
      <c r="W230" s="659"/>
      <c r="X230" s="660"/>
      <c r="Y230" s="659"/>
      <c r="Z230" s="659"/>
      <c r="AA230" s="660"/>
      <c r="AB230" s="659"/>
      <c r="AC230" s="659"/>
      <c r="AD230" s="660"/>
      <c r="AE230" s="659"/>
      <c r="AF230" s="659"/>
      <c r="AG230" s="660"/>
      <c r="AH230" s="659"/>
      <c r="AI230" s="659"/>
      <c r="AJ230" s="660"/>
      <c r="AK230" s="659"/>
    </row>
    <row r="231" spans="1:86" s="31" customFormat="1" ht="15" customHeight="1" x14ac:dyDescent="0.3">
      <c r="A231" s="765"/>
      <c r="B231" s="29"/>
      <c r="C231" s="654"/>
      <c r="D231" s="653"/>
      <c r="E231" s="84" t="s">
        <v>801</v>
      </c>
      <c r="F231" s="41"/>
      <c r="G231" s="655"/>
      <c r="H231" s="656">
        <f t="shared" ref="H231:AK231" si="138">IF(NOT(H$13),"",SUMIF($E242:$E363,$E$98,H242:H363))</f>
        <v>0</v>
      </c>
      <c r="I231" s="656">
        <f t="shared" si="138"/>
        <v>0</v>
      </c>
      <c r="J231" s="656">
        <f t="shared" si="138"/>
        <v>0</v>
      </c>
      <c r="K231" s="656">
        <f t="shared" si="138"/>
        <v>0</v>
      </c>
      <c r="L231" s="656">
        <f t="shared" si="138"/>
        <v>0</v>
      </c>
      <c r="M231" s="656">
        <f t="shared" si="138"/>
        <v>0</v>
      </c>
      <c r="N231" s="656">
        <f t="shared" si="138"/>
        <v>0</v>
      </c>
      <c r="O231" s="656">
        <f t="shared" si="138"/>
        <v>0</v>
      </c>
      <c r="P231" s="656">
        <f t="shared" si="138"/>
        <v>0</v>
      </c>
      <c r="Q231" s="656">
        <f t="shared" si="138"/>
        <v>0</v>
      </c>
      <c r="R231" s="656">
        <f t="shared" si="138"/>
        <v>0</v>
      </c>
      <c r="S231" s="656">
        <f t="shared" si="138"/>
        <v>0</v>
      </c>
      <c r="T231" s="656">
        <f t="shared" si="138"/>
        <v>0</v>
      </c>
      <c r="U231" s="656">
        <f t="shared" si="138"/>
        <v>0</v>
      </c>
      <c r="V231" s="656">
        <f t="shared" si="138"/>
        <v>0</v>
      </c>
      <c r="W231" s="656">
        <f t="shared" si="138"/>
        <v>0</v>
      </c>
      <c r="X231" s="656">
        <f t="shared" si="138"/>
        <v>0</v>
      </c>
      <c r="Y231" s="656">
        <f t="shared" si="138"/>
        <v>0</v>
      </c>
      <c r="Z231" s="656">
        <f t="shared" si="138"/>
        <v>0</v>
      </c>
      <c r="AA231" s="656">
        <f t="shared" si="138"/>
        <v>0</v>
      </c>
      <c r="AB231" s="656">
        <f t="shared" si="138"/>
        <v>0</v>
      </c>
      <c r="AC231" s="656">
        <f t="shared" si="138"/>
        <v>0</v>
      </c>
      <c r="AD231" s="656">
        <f t="shared" si="138"/>
        <v>0</v>
      </c>
      <c r="AE231" s="656" t="str">
        <f t="shared" si="138"/>
        <v/>
      </c>
      <c r="AF231" s="656" t="str">
        <f t="shared" si="138"/>
        <v/>
      </c>
      <c r="AG231" s="656" t="str">
        <f t="shared" si="138"/>
        <v/>
      </c>
      <c r="AH231" s="656" t="str">
        <f t="shared" si="138"/>
        <v/>
      </c>
      <c r="AI231" s="656" t="str">
        <f t="shared" si="138"/>
        <v/>
      </c>
      <c r="AJ231" s="656" t="str">
        <f t="shared" si="138"/>
        <v/>
      </c>
      <c r="AK231" s="656" t="str">
        <f t="shared" si="138"/>
        <v/>
      </c>
      <c r="AL231" s="30"/>
      <c r="AM231" s="30"/>
      <c r="AN231" s="14"/>
      <c r="AO231" s="390"/>
      <c r="AP231" s="390"/>
      <c r="AQ231" s="390"/>
      <c r="AR231" s="390"/>
      <c r="AS231" s="543" t="s">
        <v>800</v>
      </c>
      <c r="AT231" s="390"/>
      <c r="AU231" s="390"/>
      <c r="AV231" s="390"/>
      <c r="AW231" s="390"/>
      <c r="AX231" s="390"/>
      <c r="AY231" s="390"/>
      <c r="AZ231" s="14"/>
      <c r="BA231" s="520"/>
      <c r="BB231" s="520"/>
      <c r="BC231" s="520"/>
      <c r="BD231" s="390"/>
      <c r="BE231" s="390"/>
      <c r="BF231" s="390"/>
      <c r="BG231" s="390"/>
      <c r="BH231" s="390"/>
      <c r="BI231" s="390"/>
      <c r="BJ231" s="390"/>
      <c r="BK231" s="390"/>
      <c r="BL231" s="390"/>
      <c r="BM231" s="390"/>
      <c r="BN231" s="390"/>
      <c r="BO231" s="390"/>
      <c r="BP231" s="390"/>
      <c r="BQ231" s="390"/>
      <c r="BR231" s="390"/>
      <c r="BS231" s="390"/>
      <c r="BT231" s="390"/>
      <c r="BU231" s="390"/>
      <c r="BV231" s="390"/>
      <c r="BW231" s="390"/>
      <c r="BX231" s="390"/>
      <c r="BY231" s="390"/>
      <c r="BZ231" s="520"/>
      <c r="CA231" s="520"/>
      <c r="CB231" s="520"/>
      <c r="CC231" s="520"/>
      <c r="CD231" s="520"/>
      <c r="CE231" s="520"/>
      <c r="CF231" s="520"/>
      <c r="CG231" s="520"/>
      <c r="CH231" s="14"/>
    </row>
    <row r="232" spans="1:86" s="281" customFormat="1" ht="12" customHeight="1" x14ac:dyDescent="0.2">
      <c r="A232" s="765"/>
      <c r="C232" s="284"/>
      <c r="D232" s="284"/>
      <c r="E232" s="79"/>
      <c r="F232" s="27"/>
      <c r="G232" s="284"/>
      <c r="H232" s="283"/>
      <c r="I232" s="283"/>
      <c r="J232" s="283"/>
      <c r="K232" s="283"/>
      <c r="L232" s="283"/>
      <c r="M232" s="283"/>
      <c r="N232" s="283"/>
      <c r="O232" s="283"/>
      <c r="P232" s="283"/>
      <c r="Q232" s="283"/>
      <c r="R232" s="283"/>
      <c r="S232" s="283"/>
      <c r="T232" s="283"/>
      <c r="U232" s="283"/>
      <c r="V232" s="283"/>
      <c r="W232" s="283"/>
      <c r="X232" s="283"/>
      <c r="Y232" s="283"/>
      <c r="Z232" s="283"/>
      <c r="AA232" s="283"/>
      <c r="AB232" s="283"/>
      <c r="AC232" s="283"/>
      <c r="AD232" s="283"/>
      <c r="AE232" s="283"/>
      <c r="AF232" s="283"/>
      <c r="AG232" s="283"/>
      <c r="AH232" s="283"/>
      <c r="AI232" s="283"/>
      <c r="AJ232" s="283"/>
      <c r="AK232" s="283"/>
      <c r="AN232" s="282"/>
      <c r="AO232" s="524"/>
      <c r="AP232" s="524"/>
      <c r="AQ232" s="524"/>
      <c r="AR232" s="524"/>
      <c r="AS232" s="524"/>
      <c r="AT232" s="524"/>
      <c r="AU232" s="524"/>
      <c r="AV232" s="524"/>
      <c r="AW232" s="524"/>
      <c r="AX232" s="524"/>
      <c r="AY232" s="524"/>
      <c r="AZ232" s="282"/>
      <c r="BA232" s="523"/>
      <c r="BB232" s="523"/>
      <c r="BC232" s="523"/>
      <c r="BD232" s="524"/>
      <c r="BE232" s="524"/>
      <c r="BF232" s="524"/>
      <c r="BG232" s="524"/>
      <c r="BH232" s="524"/>
      <c r="BI232" s="524"/>
      <c r="BJ232" s="524"/>
      <c r="BK232" s="524"/>
      <c r="BL232" s="524"/>
      <c r="BM232" s="524"/>
      <c r="BN232" s="524"/>
      <c r="BO232" s="524"/>
      <c r="BP232" s="524"/>
      <c r="BQ232" s="524"/>
      <c r="BR232" s="524"/>
      <c r="BS232" s="524"/>
      <c r="BT232" s="524"/>
      <c r="BU232" s="524"/>
      <c r="BV232" s="524"/>
      <c r="BW232" s="524"/>
      <c r="BX232" s="524"/>
      <c r="BY232" s="524"/>
      <c r="BZ232" s="523"/>
      <c r="CA232" s="523"/>
      <c r="CB232" s="523"/>
      <c r="CC232" s="523"/>
      <c r="CD232" s="523"/>
      <c r="CE232" s="523"/>
      <c r="CF232" s="523"/>
      <c r="CG232" s="523"/>
      <c r="CH232" s="282"/>
    </row>
    <row r="233" spans="1:86" ht="15" customHeight="1" x14ac:dyDescent="0.3">
      <c r="A233" s="765"/>
      <c r="C233" s="27" t="str">
        <f>" "&amp;VLOOKUP(AQ234,schedule,18,FALSE)&amp;"  ("&amp;VLOOKUP(AQ234,schedule,3,FALSE)&amp;" CSOPORT)"</f>
        <v xml:space="preserve"> JÚNIUS 16. – SZERDA 15:00  (B CSOPORT)</v>
      </c>
      <c r="D233" s="27"/>
      <c r="E233" s="26"/>
      <c r="F233" s="26"/>
      <c r="G233" s="26"/>
      <c r="H233" s="26"/>
      <c r="I233" s="26"/>
      <c r="J233" s="26"/>
    </row>
    <row r="234" spans="1:86" ht="15" customHeight="1" x14ac:dyDescent="0.3">
      <c r="A234" s="765"/>
      <c r="C234" s="661"/>
      <c r="D234" s="662" t="str">
        <f>IF(INDEX(n.er,$AR234,8)="","",INDEX(n.er,$AR234,8))</f>
        <v>Finnország</v>
      </c>
      <c r="E234" s="663" t="str">
        <f>IF(NOT($AS234),"",INDEX(n.er,$AR234,9))</f>
        <v/>
      </c>
      <c r="F234" s="662"/>
      <c r="G234" s="259"/>
      <c r="H234" s="664">
        <v>0</v>
      </c>
      <c r="I234" s="665">
        <v>4</v>
      </c>
      <c r="J234" s="665">
        <v>2</v>
      </c>
      <c r="K234" s="665">
        <v>2</v>
      </c>
      <c r="L234" s="665">
        <v>1</v>
      </c>
      <c r="M234" s="665">
        <v>1</v>
      </c>
      <c r="N234" s="665">
        <v>0</v>
      </c>
      <c r="O234" s="665">
        <v>0</v>
      </c>
      <c r="P234" s="665">
        <v>1</v>
      </c>
      <c r="Q234" s="665">
        <v>2</v>
      </c>
      <c r="R234" s="665">
        <v>1</v>
      </c>
      <c r="S234" s="665">
        <v>1</v>
      </c>
      <c r="T234" s="665">
        <v>1</v>
      </c>
      <c r="U234" s="665">
        <v>1</v>
      </c>
      <c r="V234" s="665">
        <v>1</v>
      </c>
      <c r="W234" s="665">
        <v>1</v>
      </c>
      <c r="X234" s="665">
        <v>1</v>
      </c>
      <c r="Y234" s="665">
        <v>1</v>
      </c>
      <c r="Z234" s="665">
        <v>1</v>
      </c>
      <c r="AA234" s="665">
        <v>0</v>
      </c>
      <c r="AB234" s="665">
        <v>0</v>
      </c>
      <c r="AC234" s="665">
        <v>1</v>
      </c>
      <c r="AD234" s="665">
        <v>0</v>
      </c>
      <c r="AE234" s="665"/>
      <c r="AF234" s="665"/>
      <c r="AG234" s="665"/>
      <c r="AH234" s="665"/>
      <c r="AI234" s="665"/>
      <c r="AJ234" s="665"/>
      <c r="AK234" s="666"/>
      <c r="AP234" s="52">
        <f>AP211+1</f>
        <v>13</v>
      </c>
      <c r="AQ234" s="311">
        <f>INDEX(schedule,AP234,1)</f>
        <v>13</v>
      </c>
      <c r="AR234" s="311">
        <f>MATCH(AQ234,n.er.index,0)</f>
        <v>33</v>
      </c>
      <c r="AS234" s="532" t="b">
        <f>INDEX(n.er,$AR234,3)</f>
        <v>0</v>
      </c>
      <c r="AT234" s="531"/>
      <c r="AU234" s="531"/>
      <c r="AV234" s="531"/>
      <c r="AW234" s="531"/>
      <c r="AX234" s="531"/>
      <c r="BC234" s="525" t="b">
        <f t="shared" ref="BC234:CF234" si="139">IF(AND(ISNUMBER(H234),ISNUMBER(H235),H234&lt;&gt;"",H235&lt;&gt;""),AND(H234&gt;=0,H235&gt;=0,MOD(H234+H235,1)=0),FALSE)</f>
        <v>1</v>
      </c>
      <c r="BD234" s="525" t="b">
        <f t="shared" si="139"/>
        <v>1</v>
      </c>
      <c r="BE234" s="525" t="b">
        <f t="shared" si="139"/>
        <v>1</v>
      </c>
      <c r="BF234" s="525" t="b">
        <f t="shared" si="139"/>
        <v>1</v>
      </c>
      <c r="BG234" s="525" t="b">
        <f t="shared" si="139"/>
        <v>1</v>
      </c>
      <c r="BH234" s="525" t="b">
        <f t="shared" si="139"/>
        <v>1</v>
      </c>
      <c r="BI234" s="525" t="b">
        <f t="shared" si="139"/>
        <v>1</v>
      </c>
      <c r="BJ234" s="525" t="b">
        <f t="shared" si="139"/>
        <v>1</v>
      </c>
      <c r="BK234" s="525" t="b">
        <f t="shared" si="139"/>
        <v>1</v>
      </c>
      <c r="BL234" s="525" t="b">
        <f t="shared" si="139"/>
        <v>1</v>
      </c>
      <c r="BM234" s="525" t="b">
        <f t="shared" si="139"/>
        <v>1</v>
      </c>
      <c r="BN234" s="525" t="b">
        <f t="shared" si="139"/>
        <v>1</v>
      </c>
      <c r="BO234" s="525" t="b">
        <f t="shared" si="139"/>
        <v>1</v>
      </c>
      <c r="BP234" s="525" t="b">
        <f t="shared" si="139"/>
        <v>1</v>
      </c>
      <c r="BQ234" s="525" t="b">
        <f t="shared" si="139"/>
        <v>1</v>
      </c>
      <c r="BR234" s="525" t="b">
        <f t="shared" si="139"/>
        <v>1</v>
      </c>
      <c r="BS234" s="525" t="b">
        <f t="shared" si="139"/>
        <v>1</v>
      </c>
      <c r="BT234" s="525" t="b">
        <f t="shared" si="139"/>
        <v>1</v>
      </c>
      <c r="BU234" s="525" t="b">
        <f t="shared" si="139"/>
        <v>1</v>
      </c>
      <c r="BV234" s="525" t="b">
        <f t="shared" si="139"/>
        <v>1</v>
      </c>
      <c r="BW234" s="525" t="b">
        <f t="shared" si="139"/>
        <v>1</v>
      </c>
      <c r="BX234" s="525" t="b">
        <f t="shared" si="139"/>
        <v>1</v>
      </c>
      <c r="BY234" s="525" t="b">
        <f t="shared" si="139"/>
        <v>1</v>
      </c>
      <c r="BZ234" s="525" t="b">
        <f t="shared" si="139"/>
        <v>0</v>
      </c>
      <c r="CA234" s="525" t="b">
        <f t="shared" si="139"/>
        <v>0</v>
      </c>
      <c r="CB234" s="525" t="b">
        <f t="shared" si="139"/>
        <v>0</v>
      </c>
      <c r="CC234" s="525" t="b">
        <f t="shared" si="139"/>
        <v>0</v>
      </c>
      <c r="CD234" s="525" t="b">
        <f t="shared" si="139"/>
        <v>0</v>
      </c>
      <c r="CE234" s="525" t="b">
        <f t="shared" si="139"/>
        <v>0</v>
      </c>
      <c r="CF234" s="525" t="b">
        <f t="shared" si="139"/>
        <v>0</v>
      </c>
    </row>
    <row r="235" spans="1:86" ht="15" customHeight="1" x14ac:dyDescent="0.3">
      <c r="A235" s="765"/>
      <c r="C235" s="695"/>
      <c r="D235" s="696" t="str">
        <f>IF(INDEX(n.er,$AR234,11)="","",INDEX(n.er,$AR234,11))</f>
        <v>Oroszország</v>
      </c>
      <c r="E235" s="697" t="str">
        <f>IF(NOT($AS234),"",INDEX(n.er,$AR234,10))</f>
        <v/>
      </c>
      <c r="F235" s="696"/>
      <c r="G235" s="259"/>
      <c r="H235" s="667">
        <v>2</v>
      </c>
      <c r="I235" s="668">
        <v>2</v>
      </c>
      <c r="J235" s="668">
        <v>1</v>
      </c>
      <c r="K235" s="668">
        <v>2</v>
      </c>
      <c r="L235" s="668">
        <v>2</v>
      </c>
      <c r="M235" s="668">
        <v>2</v>
      </c>
      <c r="N235" s="668">
        <v>1</v>
      </c>
      <c r="O235" s="668">
        <v>2</v>
      </c>
      <c r="P235" s="668">
        <v>2</v>
      </c>
      <c r="Q235" s="668">
        <v>1</v>
      </c>
      <c r="R235" s="668">
        <v>3</v>
      </c>
      <c r="S235" s="668">
        <v>1</v>
      </c>
      <c r="T235" s="668">
        <v>2</v>
      </c>
      <c r="U235" s="668">
        <v>1</v>
      </c>
      <c r="V235" s="668">
        <v>1</v>
      </c>
      <c r="W235" s="668">
        <v>1</v>
      </c>
      <c r="X235" s="668">
        <v>2</v>
      </c>
      <c r="Y235" s="668">
        <v>2</v>
      </c>
      <c r="Z235" s="668">
        <v>2</v>
      </c>
      <c r="AA235" s="668">
        <v>2</v>
      </c>
      <c r="AB235" s="668">
        <v>2</v>
      </c>
      <c r="AC235" s="668">
        <v>2</v>
      </c>
      <c r="AD235" s="668">
        <v>2</v>
      </c>
      <c r="AE235" s="668"/>
      <c r="AF235" s="668"/>
      <c r="AG235" s="668"/>
      <c r="AH235" s="668"/>
      <c r="AI235" s="668"/>
      <c r="AJ235" s="668"/>
      <c r="AK235" s="669"/>
      <c r="AP235" s="533"/>
      <c r="AQ235" s="577"/>
      <c r="AR235" s="534"/>
      <c r="AS235" s="535"/>
      <c r="AX235" s="531"/>
      <c r="BC235" s="34" t="b">
        <f t="shared" ref="BC235:CF235" si="140">OR(NOT(H$13),NOT($AS234),NOT(BC234))</f>
        <v>1</v>
      </c>
      <c r="BD235" s="34" t="b">
        <f t="shared" si="140"/>
        <v>1</v>
      </c>
      <c r="BE235" s="34" t="b">
        <f t="shared" si="140"/>
        <v>1</v>
      </c>
      <c r="BF235" s="34" t="b">
        <f t="shared" si="140"/>
        <v>1</v>
      </c>
      <c r="BG235" s="34" t="b">
        <f t="shared" si="140"/>
        <v>1</v>
      </c>
      <c r="BH235" s="34" t="b">
        <f t="shared" si="140"/>
        <v>1</v>
      </c>
      <c r="BI235" s="34" t="b">
        <f t="shared" si="140"/>
        <v>1</v>
      </c>
      <c r="BJ235" s="34" t="b">
        <f t="shared" si="140"/>
        <v>1</v>
      </c>
      <c r="BK235" s="34" t="b">
        <f t="shared" si="140"/>
        <v>1</v>
      </c>
      <c r="BL235" s="34" t="b">
        <f t="shared" si="140"/>
        <v>1</v>
      </c>
      <c r="BM235" s="34" t="b">
        <f t="shared" si="140"/>
        <v>1</v>
      </c>
      <c r="BN235" s="34" t="b">
        <f t="shared" si="140"/>
        <v>1</v>
      </c>
      <c r="BO235" s="34" t="b">
        <f t="shared" si="140"/>
        <v>1</v>
      </c>
      <c r="BP235" s="34" t="b">
        <f t="shared" si="140"/>
        <v>1</v>
      </c>
      <c r="BQ235" s="34" t="b">
        <f t="shared" si="140"/>
        <v>1</v>
      </c>
      <c r="BR235" s="34" t="b">
        <f t="shared" si="140"/>
        <v>1</v>
      </c>
      <c r="BS235" s="34" t="b">
        <f t="shared" si="140"/>
        <v>1</v>
      </c>
      <c r="BT235" s="34" t="b">
        <f t="shared" si="140"/>
        <v>1</v>
      </c>
      <c r="BU235" s="34" t="b">
        <f t="shared" si="140"/>
        <v>1</v>
      </c>
      <c r="BV235" s="34" t="b">
        <f t="shared" si="140"/>
        <v>1</v>
      </c>
      <c r="BW235" s="34" t="b">
        <f t="shared" si="140"/>
        <v>1</v>
      </c>
      <c r="BX235" s="34" t="b">
        <f t="shared" si="140"/>
        <v>1</v>
      </c>
      <c r="BY235" s="34" t="b">
        <f t="shared" si="140"/>
        <v>1</v>
      </c>
      <c r="BZ235" s="34" t="b">
        <f t="shared" si="140"/>
        <v>1</v>
      </c>
      <c r="CA235" s="34" t="b">
        <f t="shared" si="140"/>
        <v>1</v>
      </c>
      <c r="CB235" s="34" t="b">
        <f t="shared" si="140"/>
        <v>1</v>
      </c>
      <c r="CC235" s="34" t="b">
        <f t="shared" si="140"/>
        <v>1</v>
      </c>
      <c r="CD235" s="34" t="b">
        <f t="shared" si="140"/>
        <v>1</v>
      </c>
      <c r="CE235" s="34" t="b">
        <f t="shared" si="140"/>
        <v>1</v>
      </c>
      <c r="CF235" s="34" t="b">
        <f t="shared" si="140"/>
        <v>1</v>
      </c>
    </row>
    <row r="236" spans="1:86" ht="12" customHeight="1" x14ac:dyDescent="0.3">
      <c r="A236" s="765"/>
      <c r="E236" s="258" t="str">
        <f>$AX$92</f>
        <v>Telitalálat: 10 p</v>
      </c>
      <c r="H236" s="670" t="str">
        <f t="shared" ref="H236:AK236" si="141">IF(OR(BC235,NOT($AS$20)),"",IF(AND(H234=$E234,H235=$E235),"ü",""))</f>
        <v/>
      </c>
      <c r="I236" s="671" t="str">
        <f t="shared" si="141"/>
        <v/>
      </c>
      <c r="J236" s="671" t="str">
        <f t="shared" si="141"/>
        <v/>
      </c>
      <c r="K236" s="671" t="str">
        <f t="shared" si="141"/>
        <v/>
      </c>
      <c r="L236" s="671" t="str">
        <f t="shared" si="141"/>
        <v/>
      </c>
      <c r="M236" s="671" t="str">
        <f t="shared" si="141"/>
        <v/>
      </c>
      <c r="N236" s="671" t="str">
        <f t="shared" si="141"/>
        <v/>
      </c>
      <c r="O236" s="671" t="str">
        <f t="shared" si="141"/>
        <v/>
      </c>
      <c r="P236" s="671" t="str">
        <f t="shared" si="141"/>
        <v/>
      </c>
      <c r="Q236" s="671" t="str">
        <f t="shared" si="141"/>
        <v/>
      </c>
      <c r="R236" s="671" t="str">
        <f t="shared" si="141"/>
        <v/>
      </c>
      <c r="S236" s="671" t="str">
        <f t="shared" si="141"/>
        <v/>
      </c>
      <c r="T236" s="671" t="str">
        <f t="shared" si="141"/>
        <v/>
      </c>
      <c r="U236" s="671" t="str">
        <f t="shared" si="141"/>
        <v/>
      </c>
      <c r="V236" s="671" t="str">
        <f t="shared" si="141"/>
        <v/>
      </c>
      <c r="W236" s="671" t="str">
        <f t="shared" si="141"/>
        <v/>
      </c>
      <c r="X236" s="671" t="str">
        <f t="shared" si="141"/>
        <v/>
      </c>
      <c r="Y236" s="671" t="str">
        <f t="shared" si="141"/>
        <v/>
      </c>
      <c r="Z236" s="671" t="str">
        <f t="shared" si="141"/>
        <v/>
      </c>
      <c r="AA236" s="671" t="str">
        <f t="shared" si="141"/>
        <v/>
      </c>
      <c r="AB236" s="671" t="str">
        <f t="shared" si="141"/>
        <v/>
      </c>
      <c r="AC236" s="671" t="str">
        <f t="shared" si="141"/>
        <v/>
      </c>
      <c r="AD236" s="671" t="str">
        <f t="shared" si="141"/>
        <v/>
      </c>
      <c r="AE236" s="671" t="str">
        <f t="shared" si="141"/>
        <v/>
      </c>
      <c r="AF236" s="671" t="str">
        <f t="shared" si="141"/>
        <v/>
      </c>
      <c r="AG236" s="671" t="str">
        <f t="shared" si="141"/>
        <v/>
      </c>
      <c r="AH236" s="671" t="str">
        <f t="shared" si="141"/>
        <v/>
      </c>
      <c r="AI236" s="671" t="str">
        <f t="shared" si="141"/>
        <v/>
      </c>
      <c r="AJ236" s="671" t="str">
        <f t="shared" si="141"/>
        <v/>
      </c>
      <c r="AK236" s="672" t="str">
        <f t="shared" si="141"/>
        <v/>
      </c>
      <c r="AL236" s="15"/>
      <c r="AM236" s="15"/>
      <c r="AP236" s="536"/>
      <c r="AR236" s="537"/>
      <c r="AS236" s="529"/>
      <c r="AW236" s="390" t="str">
        <f>""</f>
        <v/>
      </c>
      <c r="AX236" s="531"/>
      <c r="AY236" s="390" t="str">
        <f>""</f>
        <v/>
      </c>
      <c r="BD236" s="520"/>
      <c r="BE236" s="520"/>
      <c r="BF236" s="520"/>
      <c r="BG236" s="520"/>
      <c r="BH236" s="520"/>
      <c r="BI236" s="520"/>
      <c r="BJ236" s="520"/>
      <c r="BK236" s="520"/>
      <c r="BL236" s="520"/>
      <c r="BM236" s="520"/>
      <c r="BN236" s="520"/>
      <c r="BO236" s="520"/>
      <c r="BP236" s="520"/>
      <c r="BQ236" s="520"/>
      <c r="BR236" s="520"/>
      <c r="BS236" s="520"/>
      <c r="BT236" s="520"/>
      <c r="BU236" s="520"/>
      <c r="BV236" s="520"/>
      <c r="BW236" s="520"/>
      <c r="BX236" s="520"/>
      <c r="BY236" s="520"/>
    </row>
    <row r="237" spans="1:86" ht="12" customHeight="1" x14ac:dyDescent="0.3">
      <c r="A237" s="765"/>
      <c r="E237" s="258" t="str">
        <f>$AX$93</f>
        <v>Gólkülönbség: 6 p</v>
      </c>
      <c r="H237" s="673" t="str">
        <f t="shared" ref="H237:AK237" si="142">IF(OR(BC235,NOT($AS$22)),"",IF(AND(NOT($AS$32),H236="ü"),"",IF(H234-H235=$E234-$E235,"ü"," ")))</f>
        <v/>
      </c>
      <c r="I237" s="674" t="str">
        <f t="shared" si="142"/>
        <v/>
      </c>
      <c r="J237" s="674" t="str">
        <f t="shared" si="142"/>
        <v/>
      </c>
      <c r="K237" s="674" t="str">
        <f t="shared" si="142"/>
        <v/>
      </c>
      <c r="L237" s="674" t="str">
        <f t="shared" si="142"/>
        <v/>
      </c>
      <c r="M237" s="674" t="str">
        <f t="shared" si="142"/>
        <v/>
      </c>
      <c r="N237" s="674" t="str">
        <f t="shared" si="142"/>
        <v/>
      </c>
      <c r="O237" s="674" t="str">
        <f t="shared" si="142"/>
        <v/>
      </c>
      <c r="P237" s="674" t="str">
        <f t="shared" si="142"/>
        <v/>
      </c>
      <c r="Q237" s="674" t="str">
        <f t="shared" si="142"/>
        <v/>
      </c>
      <c r="R237" s="674" t="str">
        <f t="shared" si="142"/>
        <v/>
      </c>
      <c r="S237" s="674" t="str">
        <f t="shared" si="142"/>
        <v/>
      </c>
      <c r="T237" s="674" t="str">
        <f t="shared" si="142"/>
        <v/>
      </c>
      <c r="U237" s="674" t="str">
        <f t="shared" si="142"/>
        <v/>
      </c>
      <c r="V237" s="674" t="str">
        <f t="shared" si="142"/>
        <v/>
      </c>
      <c r="W237" s="674" t="str">
        <f t="shared" si="142"/>
        <v/>
      </c>
      <c r="X237" s="674" t="str">
        <f t="shared" si="142"/>
        <v/>
      </c>
      <c r="Y237" s="674" t="str">
        <f t="shared" si="142"/>
        <v/>
      </c>
      <c r="Z237" s="674" t="str">
        <f t="shared" si="142"/>
        <v/>
      </c>
      <c r="AA237" s="674" t="str">
        <f t="shared" si="142"/>
        <v/>
      </c>
      <c r="AB237" s="674" t="str">
        <f t="shared" si="142"/>
        <v/>
      </c>
      <c r="AC237" s="674" t="str">
        <f t="shared" si="142"/>
        <v/>
      </c>
      <c r="AD237" s="674" t="str">
        <f t="shared" si="142"/>
        <v/>
      </c>
      <c r="AE237" s="674" t="str">
        <f t="shared" si="142"/>
        <v/>
      </c>
      <c r="AF237" s="674" t="str">
        <f t="shared" si="142"/>
        <v/>
      </c>
      <c r="AG237" s="674" t="str">
        <f t="shared" si="142"/>
        <v/>
      </c>
      <c r="AH237" s="674" t="str">
        <f t="shared" si="142"/>
        <v/>
      </c>
      <c r="AI237" s="674" t="str">
        <f t="shared" si="142"/>
        <v/>
      </c>
      <c r="AJ237" s="674" t="str">
        <f t="shared" si="142"/>
        <v/>
      </c>
      <c r="AK237" s="675" t="str">
        <f t="shared" si="142"/>
        <v/>
      </c>
      <c r="AL237" s="15"/>
      <c r="AM237" s="15"/>
      <c r="AP237" s="536"/>
      <c r="AR237" s="537"/>
      <c r="AS237" s="529"/>
      <c r="AW237" s="390" t="str">
        <f>""</f>
        <v/>
      </c>
      <c r="AX237" s="531"/>
      <c r="AY237" s="390" t="str">
        <f>""</f>
        <v/>
      </c>
      <c r="BD237" s="520"/>
      <c r="BE237" s="520"/>
      <c r="BF237" s="520"/>
      <c r="BG237" s="520"/>
      <c r="BH237" s="520"/>
      <c r="BI237" s="520"/>
      <c r="BJ237" s="520"/>
      <c r="BK237" s="520"/>
      <c r="BL237" s="520"/>
      <c r="BM237" s="520"/>
      <c r="BN237" s="520"/>
      <c r="BO237" s="520"/>
      <c r="BP237" s="520"/>
      <c r="BQ237" s="520"/>
      <c r="BR237" s="520"/>
      <c r="BS237" s="520"/>
      <c r="BT237" s="520"/>
      <c r="BU237" s="520"/>
      <c r="BV237" s="520"/>
      <c r="BW237" s="520"/>
      <c r="BX237" s="520"/>
      <c r="BY237" s="520"/>
    </row>
    <row r="238" spans="1:86" ht="12" customHeight="1" x14ac:dyDescent="0.3">
      <c r="A238" s="765"/>
      <c r="E238" s="258" t="str">
        <f>$AX$94</f>
        <v>Mérkőzés kimenetele: 4 p</v>
      </c>
      <c r="H238" s="673" t="str">
        <f t="shared" ref="H238:AK238" si="143">IF(OR(BC235,NOT($AS$24)),"",IF(AND(NOT($AS$32),COUNTIF(H236:H237,"ü")&gt;0),"",IF(SIGN(H234-H235)=SIGN($E234-$E235),"ü"," ")))</f>
        <v/>
      </c>
      <c r="I238" s="674" t="str">
        <f t="shared" si="143"/>
        <v/>
      </c>
      <c r="J238" s="674" t="str">
        <f t="shared" si="143"/>
        <v/>
      </c>
      <c r="K238" s="674" t="str">
        <f t="shared" si="143"/>
        <v/>
      </c>
      <c r="L238" s="674" t="str">
        <f t="shared" si="143"/>
        <v/>
      </c>
      <c r="M238" s="674" t="str">
        <f t="shared" si="143"/>
        <v/>
      </c>
      <c r="N238" s="674" t="str">
        <f t="shared" si="143"/>
        <v/>
      </c>
      <c r="O238" s="674" t="str">
        <f t="shared" si="143"/>
        <v/>
      </c>
      <c r="P238" s="674" t="str">
        <f t="shared" si="143"/>
        <v/>
      </c>
      <c r="Q238" s="674" t="str">
        <f t="shared" si="143"/>
        <v/>
      </c>
      <c r="R238" s="674" t="str">
        <f t="shared" si="143"/>
        <v/>
      </c>
      <c r="S238" s="674" t="str">
        <f t="shared" si="143"/>
        <v/>
      </c>
      <c r="T238" s="674" t="str">
        <f t="shared" si="143"/>
        <v/>
      </c>
      <c r="U238" s="674" t="str">
        <f t="shared" si="143"/>
        <v/>
      </c>
      <c r="V238" s="674" t="str">
        <f t="shared" si="143"/>
        <v/>
      </c>
      <c r="W238" s="674" t="str">
        <f t="shared" si="143"/>
        <v/>
      </c>
      <c r="X238" s="674" t="str">
        <f t="shared" si="143"/>
        <v/>
      </c>
      <c r="Y238" s="674" t="str">
        <f t="shared" si="143"/>
        <v/>
      </c>
      <c r="Z238" s="674" t="str">
        <f t="shared" si="143"/>
        <v/>
      </c>
      <c r="AA238" s="674" t="str">
        <f t="shared" si="143"/>
        <v/>
      </c>
      <c r="AB238" s="674" t="str">
        <f t="shared" si="143"/>
        <v/>
      </c>
      <c r="AC238" s="674" t="str">
        <f t="shared" si="143"/>
        <v/>
      </c>
      <c r="AD238" s="674" t="str">
        <f t="shared" si="143"/>
        <v/>
      </c>
      <c r="AE238" s="674" t="str">
        <f t="shared" si="143"/>
        <v/>
      </c>
      <c r="AF238" s="674" t="str">
        <f t="shared" si="143"/>
        <v/>
      </c>
      <c r="AG238" s="674" t="str">
        <f t="shared" si="143"/>
        <v/>
      </c>
      <c r="AH238" s="674" t="str">
        <f t="shared" si="143"/>
        <v/>
      </c>
      <c r="AI238" s="674" t="str">
        <f t="shared" si="143"/>
        <v/>
      </c>
      <c r="AJ238" s="674" t="str">
        <f t="shared" si="143"/>
        <v/>
      </c>
      <c r="AK238" s="675" t="str">
        <f t="shared" si="143"/>
        <v/>
      </c>
      <c r="AL238" s="15"/>
      <c r="AM238" s="15"/>
      <c r="AP238" s="536"/>
      <c r="AR238" s="537"/>
      <c r="AS238" s="529"/>
      <c r="AW238" s="390" t="str">
        <f>""</f>
        <v/>
      </c>
      <c r="AX238" s="531"/>
      <c r="AY238" s="390" t="str">
        <f>""</f>
        <v/>
      </c>
      <c r="BD238" s="520"/>
      <c r="BE238" s="520"/>
      <c r="BF238" s="520"/>
      <c r="BG238" s="520"/>
      <c r="BH238" s="520"/>
      <c r="BI238" s="520"/>
      <c r="BJ238" s="520"/>
      <c r="BK238" s="520"/>
      <c r="BL238" s="520"/>
      <c r="BM238" s="520"/>
      <c r="BN238" s="520"/>
      <c r="BO238" s="520"/>
      <c r="BP238" s="520"/>
      <c r="BQ238" s="520"/>
      <c r="BR238" s="520"/>
      <c r="BS238" s="520"/>
      <c r="BT238" s="520"/>
      <c r="BU238" s="520"/>
      <c r="BV238" s="520"/>
      <c r="BW238" s="520"/>
      <c r="BX238" s="520"/>
      <c r="BY238" s="520"/>
    </row>
    <row r="239" spans="1:86" ht="12" customHeight="1" x14ac:dyDescent="0.3">
      <c r="A239" s="765"/>
      <c r="E239" s="258" t="str">
        <f>$AX$95</f>
        <v>Egyik csapat góljainak száma: 3 p</v>
      </c>
      <c r="H239" s="673" t="str">
        <f t="shared" ref="H239:AK239" si="144">IF(OR(BC235,NOT($AS$26)),"",IF(AND(NOT($AS$32),COUNTIF(H236:H238,"ü")&gt;0),"",IF(OR(H234=$E234,H235=$E235),"ü"," ")))</f>
        <v/>
      </c>
      <c r="I239" s="674" t="str">
        <f t="shared" si="144"/>
        <v/>
      </c>
      <c r="J239" s="674" t="str">
        <f t="shared" si="144"/>
        <v/>
      </c>
      <c r="K239" s="674" t="str">
        <f t="shared" si="144"/>
        <v/>
      </c>
      <c r="L239" s="674" t="str">
        <f t="shared" si="144"/>
        <v/>
      </c>
      <c r="M239" s="674" t="str">
        <f t="shared" si="144"/>
        <v/>
      </c>
      <c r="N239" s="674" t="str">
        <f t="shared" si="144"/>
        <v/>
      </c>
      <c r="O239" s="674" t="str">
        <f t="shared" si="144"/>
        <v/>
      </c>
      <c r="P239" s="674" t="str">
        <f t="shared" si="144"/>
        <v/>
      </c>
      <c r="Q239" s="674" t="str">
        <f t="shared" si="144"/>
        <v/>
      </c>
      <c r="R239" s="674" t="str">
        <f t="shared" si="144"/>
        <v/>
      </c>
      <c r="S239" s="674" t="str">
        <f t="shared" si="144"/>
        <v/>
      </c>
      <c r="T239" s="674" t="str">
        <f t="shared" si="144"/>
        <v/>
      </c>
      <c r="U239" s="674" t="str">
        <f t="shared" si="144"/>
        <v/>
      </c>
      <c r="V239" s="674" t="str">
        <f t="shared" si="144"/>
        <v/>
      </c>
      <c r="W239" s="674" t="str">
        <f t="shared" si="144"/>
        <v/>
      </c>
      <c r="X239" s="674" t="str">
        <f t="shared" si="144"/>
        <v/>
      </c>
      <c r="Y239" s="674" t="str">
        <f t="shared" si="144"/>
        <v/>
      </c>
      <c r="Z239" s="674" t="str">
        <f t="shared" si="144"/>
        <v/>
      </c>
      <c r="AA239" s="674" t="str">
        <f t="shared" si="144"/>
        <v/>
      </c>
      <c r="AB239" s="674" t="str">
        <f t="shared" si="144"/>
        <v/>
      </c>
      <c r="AC239" s="674" t="str">
        <f t="shared" si="144"/>
        <v/>
      </c>
      <c r="AD239" s="674" t="str">
        <f t="shared" si="144"/>
        <v/>
      </c>
      <c r="AE239" s="674" t="str">
        <f t="shared" si="144"/>
        <v/>
      </c>
      <c r="AF239" s="674" t="str">
        <f t="shared" si="144"/>
        <v/>
      </c>
      <c r="AG239" s="674" t="str">
        <f t="shared" si="144"/>
        <v/>
      </c>
      <c r="AH239" s="674" t="str">
        <f t="shared" si="144"/>
        <v/>
      </c>
      <c r="AI239" s="674" t="str">
        <f t="shared" si="144"/>
        <v/>
      </c>
      <c r="AJ239" s="674" t="str">
        <f t="shared" si="144"/>
        <v/>
      </c>
      <c r="AK239" s="675" t="str">
        <f t="shared" si="144"/>
        <v/>
      </c>
      <c r="AL239" s="15"/>
      <c r="AM239" s="15"/>
      <c r="AP239" s="536"/>
      <c r="AR239" s="537"/>
      <c r="AS239" s="529"/>
      <c r="AW239" s="390" t="str">
        <f>""</f>
        <v/>
      </c>
      <c r="AX239" s="531"/>
      <c r="AY239" s="390" t="str">
        <f>""</f>
        <v/>
      </c>
      <c r="BD239" s="520"/>
      <c r="BE239" s="520"/>
      <c r="BF239" s="520"/>
      <c r="BG239" s="520"/>
      <c r="BH239" s="520"/>
      <c r="BI239" s="520"/>
      <c r="BJ239" s="520"/>
      <c r="BK239" s="520"/>
      <c r="BL239" s="520"/>
      <c r="BM239" s="520"/>
      <c r="BN239" s="520"/>
      <c r="BO239" s="520"/>
      <c r="BP239" s="520"/>
      <c r="BQ239" s="520"/>
      <c r="BR239" s="520"/>
      <c r="BS239" s="520"/>
      <c r="BT239" s="520"/>
      <c r="BU239" s="520"/>
      <c r="BV239" s="520"/>
      <c r="BW239" s="520"/>
      <c r="BX239" s="520"/>
      <c r="BY239" s="520"/>
    </row>
    <row r="240" spans="1:86" ht="12" customHeight="1" x14ac:dyDescent="0.3">
      <c r="A240" s="765"/>
      <c r="E240" s="258" t="str">
        <f>$AX$96</f>
        <v>Összes gól: 2 p</v>
      </c>
      <c r="H240" s="673" t="str">
        <f t="shared" ref="H240:AK240" si="145">IF(OR(BC235,NOT($AS$28)),"",IF(AND(NOT($AS$32),COUNTIF(H236:H239,"ü")&gt;0),"",IF(H234+H235=$E234+$E235,"ü"," ")))</f>
        <v/>
      </c>
      <c r="I240" s="674" t="str">
        <f t="shared" si="145"/>
        <v/>
      </c>
      <c r="J240" s="674" t="str">
        <f t="shared" si="145"/>
        <v/>
      </c>
      <c r="K240" s="674" t="str">
        <f t="shared" si="145"/>
        <v/>
      </c>
      <c r="L240" s="674" t="str">
        <f t="shared" si="145"/>
        <v/>
      </c>
      <c r="M240" s="674" t="str">
        <f t="shared" si="145"/>
        <v/>
      </c>
      <c r="N240" s="674" t="str">
        <f t="shared" si="145"/>
        <v/>
      </c>
      <c r="O240" s="674" t="str">
        <f t="shared" si="145"/>
        <v/>
      </c>
      <c r="P240" s="674" t="str">
        <f t="shared" si="145"/>
        <v/>
      </c>
      <c r="Q240" s="674" t="str">
        <f t="shared" si="145"/>
        <v/>
      </c>
      <c r="R240" s="674" t="str">
        <f t="shared" si="145"/>
        <v/>
      </c>
      <c r="S240" s="674" t="str">
        <f t="shared" si="145"/>
        <v/>
      </c>
      <c r="T240" s="674" t="str">
        <f t="shared" si="145"/>
        <v/>
      </c>
      <c r="U240" s="674" t="str">
        <f t="shared" si="145"/>
        <v/>
      </c>
      <c r="V240" s="674" t="str">
        <f t="shared" si="145"/>
        <v/>
      </c>
      <c r="W240" s="674" t="str">
        <f t="shared" si="145"/>
        <v/>
      </c>
      <c r="X240" s="674" t="str">
        <f t="shared" si="145"/>
        <v/>
      </c>
      <c r="Y240" s="674" t="str">
        <f t="shared" si="145"/>
        <v/>
      </c>
      <c r="Z240" s="674" t="str">
        <f t="shared" si="145"/>
        <v/>
      </c>
      <c r="AA240" s="674" t="str">
        <f t="shared" si="145"/>
        <v/>
      </c>
      <c r="AB240" s="674" t="str">
        <f t="shared" si="145"/>
        <v/>
      </c>
      <c r="AC240" s="674" t="str">
        <f t="shared" si="145"/>
        <v/>
      </c>
      <c r="AD240" s="674" t="str">
        <f t="shared" si="145"/>
        <v/>
      </c>
      <c r="AE240" s="674" t="str">
        <f t="shared" si="145"/>
        <v/>
      </c>
      <c r="AF240" s="674" t="str">
        <f t="shared" si="145"/>
        <v/>
      </c>
      <c r="AG240" s="674" t="str">
        <f t="shared" si="145"/>
        <v/>
      </c>
      <c r="AH240" s="674" t="str">
        <f t="shared" si="145"/>
        <v/>
      </c>
      <c r="AI240" s="674" t="str">
        <f t="shared" si="145"/>
        <v/>
      </c>
      <c r="AJ240" s="674" t="str">
        <f t="shared" si="145"/>
        <v/>
      </c>
      <c r="AK240" s="675" t="str">
        <f t="shared" si="145"/>
        <v/>
      </c>
      <c r="AL240" s="15"/>
      <c r="AM240" s="15"/>
      <c r="AP240" s="536"/>
      <c r="AR240" s="537"/>
      <c r="AS240" s="529"/>
      <c r="AW240" s="390" t="str">
        <f>""</f>
        <v/>
      </c>
      <c r="AX240" s="531"/>
      <c r="AY240" s="390" t="str">
        <f>""</f>
        <v/>
      </c>
      <c r="BD240" s="520"/>
      <c r="BE240" s="520"/>
      <c r="BF240" s="520"/>
      <c r="BG240" s="520"/>
      <c r="BH240" s="520"/>
      <c r="BI240" s="520"/>
      <c r="BJ240" s="520"/>
      <c r="BK240" s="520"/>
      <c r="BL240" s="520"/>
      <c r="BM240" s="520"/>
      <c r="BN240" s="520"/>
      <c r="BO240" s="520"/>
      <c r="BP240" s="520"/>
      <c r="BQ240" s="520"/>
      <c r="BR240" s="520"/>
      <c r="BS240" s="520"/>
      <c r="BT240" s="520"/>
      <c r="BU240" s="520"/>
      <c r="BV240" s="520"/>
      <c r="BW240" s="520"/>
      <c r="BX240" s="520"/>
      <c r="BY240" s="520"/>
    </row>
    <row r="241" spans="1:84" ht="12" customHeight="1" x14ac:dyDescent="0.3">
      <c r="A241" s="765"/>
      <c r="E241" s="258" t="str">
        <f>$AX$97</f>
        <v>Fordított gólkülönbség: 1 p</v>
      </c>
      <c r="H241" s="676" t="str">
        <f t="shared" ref="H241:AK241" si="146">IF(OR(BC235,NOT($AS$30)),"",IF(AND(NOT($AS$32),COUNTIF(H236:H240,"ü")&gt;0),"",IF(AND(H234-H235=$E235-$E234,H234&lt;&gt;H235),"ü"," ")))</f>
        <v/>
      </c>
      <c r="I241" s="677" t="str">
        <f t="shared" si="146"/>
        <v/>
      </c>
      <c r="J241" s="677" t="str">
        <f t="shared" si="146"/>
        <v/>
      </c>
      <c r="K241" s="677" t="str">
        <f t="shared" si="146"/>
        <v/>
      </c>
      <c r="L241" s="677" t="str">
        <f t="shared" si="146"/>
        <v/>
      </c>
      <c r="M241" s="677" t="str">
        <f t="shared" si="146"/>
        <v/>
      </c>
      <c r="N241" s="677" t="str">
        <f t="shared" si="146"/>
        <v/>
      </c>
      <c r="O241" s="677" t="str">
        <f t="shared" si="146"/>
        <v/>
      </c>
      <c r="P241" s="677" t="str">
        <f t="shared" si="146"/>
        <v/>
      </c>
      <c r="Q241" s="677" t="str">
        <f t="shared" si="146"/>
        <v/>
      </c>
      <c r="R241" s="677" t="str">
        <f t="shared" si="146"/>
        <v/>
      </c>
      <c r="S241" s="677" t="str">
        <f t="shared" si="146"/>
        <v/>
      </c>
      <c r="T241" s="677" t="str">
        <f t="shared" si="146"/>
        <v/>
      </c>
      <c r="U241" s="677" t="str">
        <f t="shared" si="146"/>
        <v/>
      </c>
      <c r="V241" s="677" t="str">
        <f t="shared" si="146"/>
        <v/>
      </c>
      <c r="W241" s="677" t="str">
        <f t="shared" si="146"/>
        <v/>
      </c>
      <c r="X241" s="677" t="str">
        <f t="shared" si="146"/>
        <v/>
      </c>
      <c r="Y241" s="677" t="str">
        <f t="shared" si="146"/>
        <v/>
      </c>
      <c r="Z241" s="677" t="str">
        <f t="shared" si="146"/>
        <v/>
      </c>
      <c r="AA241" s="677" t="str">
        <f t="shared" si="146"/>
        <v/>
      </c>
      <c r="AB241" s="677" t="str">
        <f t="shared" si="146"/>
        <v/>
      </c>
      <c r="AC241" s="677" t="str">
        <f t="shared" si="146"/>
        <v/>
      </c>
      <c r="AD241" s="677" t="str">
        <f t="shared" si="146"/>
        <v/>
      </c>
      <c r="AE241" s="677" t="str">
        <f t="shared" si="146"/>
        <v/>
      </c>
      <c r="AF241" s="677" t="str">
        <f t="shared" si="146"/>
        <v/>
      </c>
      <c r="AG241" s="677" t="str">
        <f t="shared" si="146"/>
        <v/>
      </c>
      <c r="AH241" s="677" t="str">
        <f t="shared" si="146"/>
        <v/>
      </c>
      <c r="AI241" s="677" t="str">
        <f t="shared" si="146"/>
        <v/>
      </c>
      <c r="AJ241" s="677" t="str">
        <f t="shared" si="146"/>
        <v/>
      </c>
      <c r="AK241" s="678" t="str">
        <f t="shared" si="146"/>
        <v/>
      </c>
      <c r="AL241" s="15"/>
      <c r="AM241" s="15"/>
      <c r="AP241" s="536"/>
      <c r="AR241" s="537"/>
      <c r="AS241" s="529"/>
      <c r="AW241" s="390" t="str">
        <f>""</f>
        <v/>
      </c>
      <c r="AX241" s="531"/>
      <c r="AY241" s="390" t="str">
        <f>""</f>
        <v/>
      </c>
      <c r="BD241" s="520"/>
      <c r="BE241" s="520"/>
      <c r="BF241" s="520"/>
      <c r="BG241" s="520"/>
      <c r="BH241" s="520"/>
      <c r="BI241" s="520"/>
      <c r="BJ241" s="520"/>
      <c r="BK241" s="520"/>
      <c r="BL241" s="520"/>
      <c r="BM241" s="520"/>
      <c r="BN241" s="520"/>
      <c r="BO241" s="520"/>
      <c r="BP241" s="520"/>
      <c r="BQ241" s="520"/>
      <c r="BR241" s="520"/>
      <c r="BS241" s="520"/>
      <c r="BT241" s="520"/>
      <c r="BU241" s="520"/>
      <c r="BV241" s="520"/>
      <c r="BW241" s="520"/>
      <c r="BX241" s="520"/>
      <c r="BY241" s="520"/>
    </row>
    <row r="242" spans="1:84" ht="15" customHeight="1" x14ac:dyDescent="0.3">
      <c r="A242" s="765"/>
      <c r="E242" s="79" t="s">
        <v>799</v>
      </c>
      <c r="H242" s="679">
        <f t="shared" ref="H242:AK242" si="147">IF(NOT(H$13),"",SUMPRODUCT((H236:H241="ü")*($AW$92:$AW$97)))</f>
        <v>0</v>
      </c>
      <c r="I242" s="680">
        <f t="shared" si="147"/>
        <v>0</v>
      </c>
      <c r="J242" s="680">
        <f t="shared" si="147"/>
        <v>0</v>
      </c>
      <c r="K242" s="680">
        <f t="shared" si="147"/>
        <v>0</v>
      </c>
      <c r="L242" s="680">
        <f t="shared" si="147"/>
        <v>0</v>
      </c>
      <c r="M242" s="680">
        <f t="shared" si="147"/>
        <v>0</v>
      </c>
      <c r="N242" s="680">
        <f t="shared" si="147"/>
        <v>0</v>
      </c>
      <c r="O242" s="680">
        <f t="shared" si="147"/>
        <v>0</v>
      </c>
      <c r="P242" s="680">
        <f t="shared" si="147"/>
        <v>0</v>
      </c>
      <c r="Q242" s="680">
        <f t="shared" si="147"/>
        <v>0</v>
      </c>
      <c r="R242" s="680">
        <f t="shared" si="147"/>
        <v>0</v>
      </c>
      <c r="S242" s="680">
        <f t="shared" si="147"/>
        <v>0</v>
      </c>
      <c r="T242" s="680">
        <f t="shared" si="147"/>
        <v>0</v>
      </c>
      <c r="U242" s="680">
        <f t="shared" si="147"/>
        <v>0</v>
      </c>
      <c r="V242" s="680">
        <f t="shared" si="147"/>
        <v>0</v>
      </c>
      <c r="W242" s="680">
        <f t="shared" si="147"/>
        <v>0</v>
      </c>
      <c r="X242" s="680">
        <f t="shared" si="147"/>
        <v>0</v>
      </c>
      <c r="Y242" s="680">
        <f t="shared" si="147"/>
        <v>0</v>
      </c>
      <c r="Z242" s="680">
        <f t="shared" si="147"/>
        <v>0</v>
      </c>
      <c r="AA242" s="680">
        <f t="shared" si="147"/>
        <v>0</v>
      </c>
      <c r="AB242" s="680">
        <f t="shared" si="147"/>
        <v>0</v>
      </c>
      <c r="AC242" s="680">
        <f t="shared" si="147"/>
        <v>0</v>
      </c>
      <c r="AD242" s="680">
        <f t="shared" si="147"/>
        <v>0</v>
      </c>
      <c r="AE242" s="680" t="str">
        <f t="shared" si="147"/>
        <v/>
      </c>
      <c r="AF242" s="680" t="str">
        <f t="shared" si="147"/>
        <v/>
      </c>
      <c r="AG242" s="680" t="str">
        <f t="shared" si="147"/>
        <v/>
      </c>
      <c r="AH242" s="680" t="str">
        <f t="shared" si="147"/>
        <v/>
      </c>
      <c r="AI242" s="680" t="str">
        <f t="shared" si="147"/>
        <v/>
      </c>
      <c r="AJ242" s="680" t="str">
        <f t="shared" si="147"/>
        <v/>
      </c>
      <c r="AK242" s="681" t="str">
        <f t="shared" si="147"/>
        <v/>
      </c>
      <c r="AP242" s="536"/>
      <c r="AR242" s="537"/>
      <c r="AS242" s="529"/>
      <c r="AX242" s="531"/>
    </row>
    <row r="243" spans="1:84" ht="9" customHeight="1" x14ac:dyDescent="0.3">
      <c r="A243" s="765"/>
      <c r="D243" s="15"/>
      <c r="E243" s="15"/>
      <c r="F243" s="15"/>
      <c r="G243" s="15"/>
      <c r="H243" s="15"/>
      <c r="I243" s="16"/>
      <c r="J243" s="15"/>
      <c r="K243" s="15"/>
      <c r="L243" s="16"/>
      <c r="M243" s="15"/>
      <c r="N243" s="15"/>
      <c r="O243" s="16"/>
      <c r="P243" s="15"/>
      <c r="Q243" s="15"/>
      <c r="R243" s="16"/>
      <c r="S243" s="15"/>
      <c r="T243" s="15"/>
      <c r="U243" s="16"/>
      <c r="V243" s="15"/>
      <c r="W243" s="15"/>
      <c r="X243" s="16"/>
      <c r="Y243" s="15"/>
      <c r="Z243" s="15"/>
      <c r="AA243" s="16"/>
      <c r="AB243" s="15"/>
      <c r="AC243" s="15"/>
      <c r="AD243" s="16"/>
      <c r="AE243" s="15"/>
      <c r="AF243" s="15"/>
      <c r="AG243" s="16"/>
      <c r="AH243" s="15"/>
      <c r="AI243" s="15"/>
      <c r="AJ243" s="16"/>
      <c r="AK243" s="15"/>
      <c r="AP243" s="536"/>
      <c r="AR243" s="537"/>
      <c r="AS243" s="529"/>
    </row>
    <row r="244" spans="1:84" ht="15" customHeight="1" x14ac:dyDescent="0.3">
      <c r="A244" s="765"/>
      <c r="C244" s="27" t="str">
        <f>" "&amp;VLOOKUP(AQ245,schedule,18,FALSE)&amp;"  ("&amp;VLOOKUP(AQ245,schedule,3,FALSE)&amp;" CSOPORT)"</f>
        <v xml:space="preserve"> JÚNIUS 16. – SZERDA 18:00  (A CSOPORT)</v>
      </c>
      <c r="D244" s="27"/>
      <c r="E244" s="26"/>
      <c r="F244" s="26"/>
      <c r="G244" s="26"/>
      <c r="H244" s="26"/>
      <c r="I244" s="26"/>
      <c r="J244" s="26"/>
      <c r="AP244" s="536"/>
      <c r="AR244" s="537"/>
      <c r="AS244" s="529"/>
    </row>
    <row r="245" spans="1:84" ht="15" customHeight="1" x14ac:dyDescent="0.3">
      <c r="A245" s="765"/>
      <c r="C245" s="661"/>
      <c r="D245" s="662" t="str">
        <f>IF(INDEX(n.er,$AR245,8)="","",INDEX(n.er,$AR245,8))</f>
        <v>Törökország</v>
      </c>
      <c r="E245" s="663" t="str">
        <f>IF(NOT($AS245),"",INDEX(n.er,$AR245,9))</f>
        <v/>
      </c>
      <c r="F245" s="662"/>
      <c r="G245" s="259"/>
      <c r="H245" s="664">
        <v>2</v>
      </c>
      <c r="I245" s="665">
        <v>2</v>
      </c>
      <c r="J245" s="665">
        <v>0</v>
      </c>
      <c r="K245" s="665">
        <v>1</v>
      </c>
      <c r="L245" s="665">
        <v>1</v>
      </c>
      <c r="M245" s="665">
        <v>2</v>
      </c>
      <c r="N245" s="665">
        <v>2</v>
      </c>
      <c r="O245" s="665">
        <v>0</v>
      </c>
      <c r="P245" s="665">
        <v>2</v>
      </c>
      <c r="Q245" s="665">
        <v>1</v>
      </c>
      <c r="R245" s="665">
        <v>1</v>
      </c>
      <c r="S245" s="665">
        <v>2</v>
      </c>
      <c r="T245" s="665">
        <v>2</v>
      </c>
      <c r="U245" s="665">
        <v>1</v>
      </c>
      <c r="V245" s="665">
        <v>2</v>
      </c>
      <c r="W245" s="665">
        <v>1</v>
      </c>
      <c r="X245" s="665">
        <v>2</v>
      </c>
      <c r="Y245" s="665">
        <v>0</v>
      </c>
      <c r="Z245" s="665">
        <v>2</v>
      </c>
      <c r="AA245" s="665">
        <v>1</v>
      </c>
      <c r="AB245" s="665">
        <v>1</v>
      </c>
      <c r="AC245" s="665">
        <v>0</v>
      </c>
      <c r="AD245" s="665">
        <v>1</v>
      </c>
      <c r="AE245" s="665"/>
      <c r="AF245" s="665"/>
      <c r="AG245" s="665"/>
      <c r="AH245" s="665"/>
      <c r="AI245" s="665"/>
      <c r="AJ245" s="665"/>
      <c r="AK245" s="666"/>
      <c r="AP245" s="52">
        <f>AP234+1</f>
        <v>14</v>
      </c>
      <c r="AQ245" s="311">
        <f>INDEX(schedule,AP245,1)</f>
        <v>14</v>
      </c>
      <c r="AR245" s="311">
        <f>MATCH(AQ245,n.er.index,0)</f>
        <v>34</v>
      </c>
      <c r="AS245" s="532" t="b">
        <f>INDEX(n.er,$AR245,3)</f>
        <v>0</v>
      </c>
      <c r="AT245" s="531"/>
      <c r="AU245" s="531"/>
      <c r="AV245" s="531"/>
      <c r="AW245" s="531"/>
      <c r="AX245" s="531"/>
      <c r="BC245" s="525" t="b">
        <f t="shared" ref="BC245:CF245" si="148">IF(AND(ISNUMBER(H245),ISNUMBER(H246),H245&lt;&gt;"",H246&lt;&gt;""),AND(H245&gt;=0,H246&gt;=0,MOD(H245+H246,1)=0),FALSE)</f>
        <v>1</v>
      </c>
      <c r="BD245" s="525" t="b">
        <f t="shared" si="148"/>
        <v>1</v>
      </c>
      <c r="BE245" s="525" t="b">
        <f t="shared" si="148"/>
        <v>1</v>
      </c>
      <c r="BF245" s="525" t="b">
        <f t="shared" si="148"/>
        <v>1</v>
      </c>
      <c r="BG245" s="525" t="b">
        <f t="shared" si="148"/>
        <v>1</v>
      </c>
      <c r="BH245" s="525" t="b">
        <f t="shared" si="148"/>
        <v>1</v>
      </c>
      <c r="BI245" s="525" t="b">
        <f t="shared" si="148"/>
        <v>1</v>
      </c>
      <c r="BJ245" s="525" t="b">
        <f t="shared" si="148"/>
        <v>1</v>
      </c>
      <c r="BK245" s="525" t="b">
        <f t="shared" si="148"/>
        <v>1</v>
      </c>
      <c r="BL245" s="525" t="b">
        <f t="shared" si="148"/>
        <v>1</v>
      </c>
      <c r="BM245" s="525" t="b">
        <f t="shared" si="148"/>
        <v>1</v>
      </c>
      <c r="BN245" s="525" t="b">
        <f t="shared" si="148"/>
        <v>1</v>
      </c>
      <c r="BO245" s="525" t="b">
        <f t="shared" si="148"/>
        <v>1</v>
      </c>
      <c r="BP245" s="525" t="b">
        <f t="shared" si="148"/>
        <v>1</v>
      </c>
      <c r="BQ245" s="525" t="b">
        <f t="shared" si="148"/>
        <v>1</v>
      </c>
      <c r="BR245" s="525" t="b">
        <f t="shared" si="148"/>
        <v>1</v>
      </c>
      <c r="BS245" s="525" t="b">
        <f t="shared" si="148"/>
        <v>1</v>
      </c>
      <c r="BT245" s="525" t="b">
        <f t="shared" si="148"/>
        <v>1</v>
      </c>
      <c r="BU245" s="525" t="b">
        <f t="shared" si="148"/>
        <v>1</v>
      </c>
      <c r="BV245" s="525" t="b">
        <f t="shared" si="148"/>
        <v>1</v>
      </c>
      <c r="BW245" s="525" t="b">
        <f t="shared" si="148"/>
        <v>1</v>
      </c>
      <c r="BX245" s="525" t="b">
        <f t="shared" si="148"/>
        <v>1</v>
      </c>
      <c r="BY245" s="525" t="b">
        <f t="shared" si="148"/>
        <v>1</v>
      </c>
      <c r="BZ245" s="525" t="b">
        <f t="shared" si="148"/>
        <v>0</v>
      </c>
      <c r="CA245" s="525" t="b">
        <f t="shared" si="148"/>
        <v>0</v>
      </c>
      <c r="CB245" s="525" t="b">
        <f t="shared" si="148"/>
        <v>0</v>
      </c>
      <c r="CC245" s="525" t="b">
        <f t="shared" si="148"/>
        <v>0</v>
      </c>
      <c r="CD245" s="525" t="b">
        <f t="shared" si="148"/>
        <v>0</v>
      </c>
      <c r="CE245" s="525" t="b">
        <f t="shared" si="148"/>
        <v>0</v>
      </c>
      <c r="CF245" s="525" t="b">
        <f t="shared" si="148"/>
        <v>0</v>
      </c>
    </row>
    <row r="246" spans="1:84" ht="15" customHeight="1" x14ac:dyDescent="0.3">
      <c r="A246" s="765"/>
      <c r="C246" s="695"/>
      <c r="D246" s="696" t="str">
        <f>IF(INDEX(n.er,$AR245,11)="","",INDEX(n.er,$AR245,11))</f>
        <v>Wales</v>
      </c>
      <c r="E246" s="697" t="str">
        <f>IF(NOT($AS245),"",INDEX(n.er,$AR245,10))</f>
        <v/>
      </c>
      <c r="F246" s="696"/>
      <c r="G246" s="259"/>
      <c r="H246" s="667">
        <v>1</v>
      </c>
      <c r="I246" s="668">
        <v>3</v>
      </c>
      <c r="J246" s="668">
        <v>1</v>
      </c>
      <c r="K246" s="668">
        <v>1</v>
      </c>
      <c r="L246" s="668">
        <v>1</v>
      </c>
      <c r="M246" s="668">
        <v>0</v>
      </c>
      <c r="N246" s="668">
        <v>0</v>
      </c>
      <c r="O246" s="668">
        <v>2</v>
      </c>
      <c r="P246" s="668">
        <v>1</v>
      </c>
      <c r="Q246" s="668">
        <v>2</v>
      </c>
      <c r="R246" s="668">
        <v>0</v>
      </c>
      <c r="S246" s="668">
        <v>1</v>
      </c>
      <c r="T246" s="668">
        <v>1</v>
      </c>
      <c r="U246" s="668">
        <v>2</v>
      </c>
      <c r="V246" s="668">
        <v>1</v>
      </c>
      <c r="W246" s="668">
        <v>0</v>
      </c>
      <c r="X246" s="668">
        <v>2</v>
      </c>
      <c r="Y246" s="668">
        <v>2</v>
      </c>
      <c r="Z246" s="668">
        <v>2</v>
      </c>
      <c r="AA246" s="668">
        <v>0</v>
      </c>
      <c r="AB246" s="668">
        <v>1</v>
      </c>
      <c r="AC246" s="668">
        <v>1</v>
      </c>
      <c r="AD246" s="668">
        <v>0</v>
      </c>
      <c r="AE246" s="668"/>
      <c r="AF246" s="668"/>
      <c r="AG246" s="668"/>
      <c r="AH246" s="668"/>
      <c r="AI246" s="668"/>
      <c r="AJ246" s="668"/>
      <c r="AK246" s="669"/>
      <c r="AP246" s="533"/>
      <c r="AQ246" s="577"/>
      <c r="AR246" s="534"/>
      <c r="AS246" s="535"/>
      <c r="AX246" s="531"/>
      <c r="BC246" s="34" t="b">
        <f t="shared" ref="BC246:CF246" si="149">OR(NOT(H$13),NOT($AS245),NOT(BC245))</f>
        <v>1</v>
      </c>
      <c r="BD246" s="34" t="b">
        <f t="shared" si="149"/>
        <v>1</v>
      </c>
      <c r="BE246" s="34" t="b">
        <f t="shared" si="149"/>
        <v>1</v>
      </c>
      <c r="BF246" s="34" t="b">
        <f t="shared" si="149"/>
        <v>1</v>
      </c>
      <c r="BG246" s="34" t="b">
        <f t="shared" si="149"/>
        <v>1</v>
      </c>
      <c r="BH246" s="34" t="b">
        <f t="shared" si="149"/>
        <v>1</v>
      </c>
      <c r="BI246" s="34" t="b">
        <f t="shared" si="149"/>
        <v>1</v>
      </c>
      <c r="BJ246" s="34" t="b">
        <f t="shared" si="149"/>
        <v>1</v>
      </c>
      <c r="BK246" s="34" t="b">
        <f t="shared" si="149"/>
        <v>1</v>
      </c>
      <c r="BL246" s="34" t="b">
        <f t="shared" si="149"/>
        <v>1</v>
      </c>
      <c r="BM246" s="34" t="b">
        <f t="shared" si="149"/>
        <v>1</v>
      </c>
      <c r="BN246" s="34" t="b">
        <f t="shared" si="149"/>
        <v>1</v>
      </c>
      <c r="BO246" s="34" t="b">
        <f t="shared" si="149"/>
        <v>1</v>
      </c>
      <c r="BP246" s="34" t="b">
        <f t="shared" si="149"/>
        <v>1</v>
      </c>
      <c r="BQ246" s="34" t="b">
        <f t="shared" si="149"/>
        <v>1</v>
      </c>
      <c r="BR246" s="34" t="b">
        <f t="shared" si="149"/>
        <v>1</v>
      </c>
      <c r="BS246" s="34" t="b">
        <f t="shared" si="149"/>
        <v>1</v>
      </c>
      <c r="BT246" s="34" t="b">
        <f t="shared" si="149"/>
        <v>1</v>
      </c>
      <c r="BU246" s="34" t="b">
        <f t="shared" si="149"/>
        <v>1</v>
      </c>
      <c r="BV246" s="34" t="b">
        <f t="shared" si="149"/>
        <v>1</v>
      </c>
      <c r="BW246" s="34" t="b">
        <f t="shared" si="149"/>
        <v>1</v>
      </c>
      <c r="BX246" s="34" t="b">
        <f t="shared" si="149"/>
        <v>1</v>
      </c>
      <c r="BY246" s="34" t="b">
        <f t="shared" si="149"/>
        <v>1</v>
      </c>
      <c r="BZ246" s="34" t="b">
        <f t="shared" si="149"/>
        <v>1</v>
      </c>
      <c r="CA246" s="34" t="b">
        <f t="shared" si="149"/>
        <v>1</v>
      </c>
      <c r="CB246" s="34" t="b">
        <f t="shared" si="149"/>
        <v>1</v>
      </c>
      <c r="CC246" s="34" t="b">
        <f t="shared" si="149"/>
        <v>1</v>
      </c>
      <c r="CD246" s="34" t="b">
        <f t="shared" si="149"/>
        <v>1</v>
      </c>
      <c r="CE246" s="34" t="b">
        <f t="shared" si="149"/>
        <v>1</v>
      </c>
      <c r="CF246" s="34" t="b">
        <f t="shared" si="149"/>
        <v>1</v>
      </c>
    </row>
    <row r="247" spans="1:84" ht="12" customHeight="1" x14ac:dyDescent="0.3">
      <c r="A247" s="765"/>
      <c r="E247" s="258" t="str">
        <f>$AX$92</f>
        <v>Telitalálat: 10 p</v>
      </c>
      <c r="H247" s="670" t="str">
        <f t="shared" ref="H247:AK247" si="150">IF(OR(BC246,NOT($AS$20)),"",IF(AND(H245=$E245,H246=$E246),"ü",""))</f>
        <v/>
      </c>
      <c r="I247" s="671" t="str">
        <f t="shared" si="150"/>
        <v/>
      </c>
      <c r="J247" s="671" t="str">
        <f t="shared" si="150"/>
        <v/>
      </c>
      <c r="K247" s="671" t="str">
        <f t="shared" si="150"/>
        <v/>
      </c>
      <c r="L247" s="671" t="str">
        <f t="shared" si="150"/>
        <v/>
      </c>
      <c r="M247" s="671" t="str">
        <f t="shared" si="150"/>
        <v/>
      </c>
      <c r="N247" s="671" t="str">
        <f t="shared" si="150"/>
        <v/>
      </c>
      <c r="O247" s="671" t="str">
        <f t="shared" si="150"/>
        <v/>
      </c>
      <c r="P247" s="671" t="str">
        <f t="shared" si="150"/>
        <v/>
      </c>
      <c r="Q247" s="671" t="str">
        <f t="shared" si="150"/>
        <v/>
      </c>
      <c r="R247" s="671" t="str">
        <f t="shared" si="150"/>
        <v/>
      </c>
      <c r="S247" s="671" t="str">
        <f t="shared" si="150"/>
        <v/>
      </c>
      <c r="T247" s="671" t="str">
        <f t="shared" si="150"/>
        <v/>
      </c>
      <c r="U247" s="671" t="str">
        <f t="shared" si="150"/>
        <v/>
      </c>
      <c r="V247" s="671" t="str">
        <f t="shared" si="150"/>
        <v/>
      </c>
      <c r="W247" s="671" t="str">
        <f t="shared" si="150"/>
        <v/>
      </c>
      <c r="X247" s="671" t="str">
        <f t="shared" si="150"/>
        <v/>
      </c>
      <c r="Y247" s="671" t="str">
        <f t="shared" si="150"/>
        <v/>
      </c>
      <c r="Z247" s="671" t="str">
        <f t="shared" si="150"/>
        <v/>
      </c>
      <c r="AA247" s="671" t="str">
        <f t="shared" si="150"/>
        <v/>
      </c>
      <c r="AB247" s="671" t="str">
        <f t="shared" si="150"/>
        <v/>
      </c>
      <c r="AC247" s="671" t="str">
        <f t="shared" si="150"/>
        <v/>
      </c>
      <c r="AD247" s="671" t="str">
        <f t="shared" si="150"/>
        <v/>
      </c>
      <c r="AE247" s="671" t="str">
        <f t="shared" si="150"/>
        <v/>
      </c>
      <c r="AF247" s="671" t="str">
        <f t="shared" si="150"/>
        <v/>
      </c>
      <c r="AG247" s="671" t="str">
        <f t="shared" si="150"/>
        <v/>
      </c>
      <c r="AH247" s="671" t="str">
        <f t="shared" si="150"/>
        <v/>
      </c>
      <c r="AI247" s="671" t="str">
        <f t="shared" si="150"/>
        <v/>
      </c>
      <c r="AJ247" s="671" t="str">
        <f t="shared" si="150"/>
        <v/>
      </c>
      <c r="AK247" s="672" t="str">
        <f t="shared" si="150"/>
        <v/>
      </c>
      <c r="AL247" s="15"/>
      <c r="AM247" s="15"/>
      <c r="AP247" s="536"/>
      <c r="AR247" s="537"/>
      <c r="AS247" s="529"/>
      <c r="AW247" s="390" t="str">
        <f>""</f>
        <v/>
      </c>
      <c r="AX247" s="531"/>
      <c r="AY247" s="390" t="str">
        <f>""</f>
        <v/>
      </c>
      <c r="BD247" s="520"/>
      <c r="BE247" s="520"/>
      <c r="BF247" s="520"/>
      <c r="BG247" s="520"/>
      <c r="BH247" s="520"/>
      <c r="BI247" s="520"/>
      <c r="BJ247" s="520"/>
      <c r="BK247" s="520"/>
      <c r="BL247" s="520"/>
      <c r="BM247" s="520"/>
      <c r="BN247" s="520"/>
      <c r="BO247" s="520"/>
      <c r="BP247" s="520"/>
      <c r="BQ247" s="520"/>
      <c r="BR247" s="520"/>
      <c r="BS247" s="520"/>
      <c r="BT247" s="520"/>
      <c r="BU247" s="520"/>
      <c r="BV247" s="520"/>
      <c r="BW247" s="520"/>
      <c r="BX247" s="520"/>
      <c r="BY247" s="520"/>
    </row>
    <row r="248" spans="1:84" ht="12" customHeight="1" x14ac:dyDescent="0.3">
      <c r="A248" s="765"/>
      <c r="E248" s="258" t="str">
        <f>$AX$93</f>
        <v>Gólkülönbség: 6 p</v>
      </c>
      <c r="H248" s="673" t="str">
        <f t="shared" ref="H248:AK248" si="151">IF(OR(BC246,NOT($AS$22)),"",IF(AND(NOT($AS$32),H247="ü"),"",IF(H245-H246=$E245-$E246,"ü"," ")))</f>
        <v/>
      </c>
      <c r="I248" s="674" t="str">
        <f t="shared" si="151"/>
        <v/>
      </c>
      <c r="J248" s="674" t="str">
        <f t="shared" si="151"/>
        <v/>
      </c>
      <c r="K248" s="674" t="str">
        <f t="shared" si="151"/>
        <v/>
      </c>
      <c r="L248" s="674" t="str">
        <f t="shared" si="151"/>
        <v/>
      </c>
      <c r="M248" s="674" t="str">
        <f t="shared" si="151"/>
        <v/>
      </c>
      <c r="N248" s="674" t="str">
        <f t="shared" si="151"/>
        <v/>
      </c>
      <c r="O248" s="674" t="str">
        <f t="shared" si="151"/>
        <v/>
      </c>
      <c r="P248" s="674" t="str">
        <f t="shared" si="151"/>
        <v/>
      </c>
      <c r="Q248" s="674" t="str">
        <f t="shared" si="151"/>
        <v/>
      </c>
      <c r="R248" s="674" t="str">
        <f t="shared" si="151"/>
        <v/>
      </c>
      <c r="S248" s="674" t="str">
        <f t="shared" si="151"/>
        <v/>
      </c>
      <c r="T248" s="674" t="str">
        <f t="shared" si="151"/>
        <v/>
      </c>
      <c r="U248" s="674" t="str">
        <f t="shared" si="151"/>
        <v/>
      </c>
      <c r="V248" s="674" t="str">
        <f t="shared" si="151"/>
        <v/>
      </c>
      <c r="W248" s="674" t="str">
        <f t="shared" si="151"/>
        <v/>
      </c>
      <c r="X248" s="674" t="str">
        <f t="shared" si="151"/>
        <v/>
      </c>
      <c r="Y248" s="674" t="str">
        <f t="shared" si="151"/>
        <v/>
      </c>
      <c r="Z248" s="674" t="str">
        <f t="shared" si="151"/>
        <v/>
      </c>
      <c r="AA248" s="674" t="str">
        <f t="shared" si="151"/>
        <v/>
      </c>
      <c r="AB248" s="674" t="str">
        <f t="shared" si="151"/>
        <v/>
      </c>
      <c r="AC248" s="674" t="str">
        <f t="shared" si="151"/>
        <v/>
      </c>
      <c r="AD248" s="674" t="str">
        <f t="shared" si="151"/>
        <v/>
      </c>
      <c r="AE248" s="674" t="str">
        <f t="shared" si="151"/>
        <v/>
      </c>
      <c r="AF248" s="674" t="str">
        <f t="shared" si="151"/>
        <v/>
      </c>
      <c r="AG248" s="674" t="str">
        <f t="shared" si="151"/>
        <v/>
      </c>
      <c r="AH248" s="674" t="str">
        <f t="shared" si="151"/>
        <v/>
      </c>
      <c r="AI248" s="674" t="str">
        <f t="shared" si="151"/>
        <v/>
      </c>
      <c r="AJ248" s="674" t="str">
        <f t="shared" si="151"/>
        <v/>
      </c>
      <c r="AK248" s="675" t="str">
        <f t="shared" si="151"/>
        <v/>
      </c>
      <c r="AL248" s="15"/>
      <c r="AM248" s="15"/>
      <c r="AP248" s="536"/>
      <c r="AR248" s="537"/>
      <c r="AS248" s="529"/>
      <c r="AW248" s="390" t="str">
        <f>""</f>
        <v/>
      </c>
      <c r="AX248" s="531"/>
      <c r="AY248" s="390" t="str">
        <f>""</f>
        <v/>
      </c>
      <c r="BD248" s="520"/>
      <c r="BE248" s="520"/>
      <c r="BF248" s="520"/>
      <c r="BG248" s="520"/>
      <c r="BH248" s="520"/>
      <c r="BI248" s="520"/>
      <c r="BJ248" s="520"/>
      <c r="BK248" s="520"/>
      <c r="BL248" s="520"/>
      <c r="BM248" s="520"/>
      <c r="BN248" s="520"/>
      <c r="BO248" s="520"/>
      <c r="BP248" s="520"/>
      <c r="BQ248" s="520"/>
      <c r="BR248" s="520"/>
      <c r="BS248" s="520"/>
      <c r="BT248" s="520"/>
      <c r="BU248" s="520"/>
      <c r="BV248" s="520"/>
      <c r="BW248" s="520"/>
      <c r="BX248" s="520"/>
      <c r="BY248" s="520"/>
    </row>
    <row r="249" spans="1:84" ht="12" customHeight="1" x14ac:dyDescent="0.3">
      <c r="A249" s="765"/>
      <c r="E249" s="258" t="str">
        <f>$AX$94</f>
        <v>Mérkőzés kimenetele: 4 p</v>
      </c>
      <c r="H249" s="673" t="str">
        <f t="shared" ref="H249:AK249" si="152">IF(OR(BC246,NOT($AS$24)),"",IF(AND(NOT($AS$32),COUNTIF(H247:H248,"ü")&gt;0),"",IF(SIGN(H245-H246)=SIGN($E245-$E246),"ü"," ")))</f>
        <v/>
      </c>
      <c r="I249" s="674" t="str">
        <f t="shared" si="152"/>
        <v/>
      </c>
      <c r="J249" s="674" t="str">
        <f t="shared" si="152"/>
        <v/>
      </c>
      <c r="K249" s="674" t="str">
        <f t="shared" si="152"/>
        <v/>
      </c>
      <c r="L249" s="674" t="str">
        <f t="shared" si="152"/>
        <v/>
      </c>
      <c r="M249" s="674" t="str">
        <f t="shared" si="152"/>
        <v/>
      </c>
      <c r="N249" s="674" t="str">
        <f t="shared" si="152"/>
        <v/>
      </c>
      <c r="O249" s="674" t="str">
        <f t="shared" si="152"/>
        <v/>
      </c>
      <c r="P249" s="674" t="str">
        <f t="shared" si="152"/>
        <v/>
      </c>
      <c r="Q249" s="674" t="str">
        <f t="shared" si="152"/>
        <v/>
      </c>
      <c r="R249" s="674" t="str">
        <f t="shared" si="152"/>
        <v/>
      </c>
      <c r="S249" s="674" t="str">
        <f t="shared" si="152"/>
        <v/>
      </c>
      <c r="T249" s="674" t="str">
        <f t="shared" si="152"/>
        <v/>
      </c>
      <c r="U249" s="674" t="str">
        <f t="shared" si="152"/>
        <v/>
      </c>
      <c r="V249" s="674" t="str">
        <f t="shared" si="152"/>
        <v/>
      </c>
      <c r="W249" s="674" t="str">
        <f t="shared" si="152"/>
        <v/>
      </c>
      <c r="X249" s="674" t="str">
        <f t="shared" si="152"/>
        <v/>
      </c>
      <c r="Y249" s="674" t="str">
        <f t="shared" si="152"/>
        <v/>
      </c>
      <c r="Z249" s="674" t="str">
        <f t="shared" si="152"/>
        <v/>
      </c>
      <c r="AA249" s="674" t="str">
        <f t="shared" si="152"/>
        <v/>
      </c>
      <c r="AB249" s="674" t="str">
        <f t="shared" si="152"/>
        <v/>
      </c>
      <c r="AC249" s="674" t="str">
        <f t="shared" si="152"/>
        <v/>
      </c>
      <c r="AD249" s="674" t="str">
        <f t="shared" si="152"/>
        <v/>
      </c>
      <c r="AE249" s="674" t="str">
        <f t="shared" si="152"/>
        <v/>
      </c>
      <c r="AF249" s="674" t="str">
        <f t="shared" si="152"/>
        <v/>
      </c>
      <c r="AG249" s="674" t="str">
        <f t="shared" si="152"/>
        <v/>
      </c>
      <c r="AH249" s="674" t="str">
        <f t="shared" si="152"/>
        <v/>
      </c>
      <c r="AI249" s="674" t="str">
        <f t="shared" si="152"/>
        <v/>
      </c>
      <c r="AJ249" s="674" t="str">
        <f t="shared" si="152"/>
        <v/>
      </c>
      <c r="AK249" s="675" t="str">
        <f t="shared" si="152"/>
        <v/>
      </c>
      <c r="AL249" s="15"/>
      <c r="AM249" s="15"/>
      <c r="AP249" s="536"/>
      <c r="AR249" s="537"/>
      <c r="AS249" s="529"/>
      <c r="AW249" s="390" t="str">
        <f>""</f>
        <v/>
      </c>
      <c r="AX249" s="531"/>
      <c r="AY249" s="390" t="str">
        <f>""</f>
        <v/>
      </c>
      <c r="BD249" s="520"/>
      <c r="BE249" s="520"/>
      <c r="BF249" s="520"/>
      <c r="BG249" s="520"/>
      <c r="BH249" s="520"/>
      <c r="BI249" s="520"/>
      <c r="BJ249" s="520"/>
      <c r="BK249" s="520"/>
      <c r="BL249" s="520"/>
      <c r="BM249" s="520"/>
      <c r="BN249" s="520"/>
      <c r="BO249" s="520"/>
      <c r="BP249" s="520"/>
      <c r="BQ249" s="520"/>
      <c r="BR249" s="520"/>
      <c r="BS249" s="520"/>
      <c r="BT249" s="520"/>
      <c r="BU249" s="520"/>
      <c r="BV249" s="520"/>
      <c r="BW249" s="520"/>
      <c r="BX249" s="520"/>
      <c r="BY249" s="520"/>
    </row>
    <row r="250" spans="1:84" ht="12" customHeight="1" x14ac:dyDescent="0.3">
      <c r="A250" s="765"/>
      <c r="E250" s="258" t="str">
        <f>$AX$95</f>
        <v>Egyik csapat góljainak száma: 3 p</v>
      </c>
      <c r="H250" s="673" t="str">
        <f t="shared" ref="H250:AK250" si="153">IF(OR(BC246,NOT($AS$26)),"",IF(AND(NOT($AS$32),COUNTIF(H247:H249,"ü")&gt;0),"",IF(OR(H245=$E245,H246=$E246),"ü"," ")))</f>
        <v/>
      </c>
      <c r="I250" s="674" t="str">
        <f t="shared" si="153"/>
        <v/>
      </c>
      <c r="J250" s="674" t="str">
        <f t="shared" si="153"/>
        <v/>
      </c>
      <c r="K250" s="674" t="str">
        <f t="shared" si="153"/>
        <v/>
      </c>
      <c r="L250" s="674" t="str">
        <f t="shared" si="153"/>
        <v/>
      </c>
      <c r="M250" s="674" t="str">
        <f t="shared" si="153"/>
        <v/>
      </c>
      <c r="N250" s="674" t="str">
        <f t="shared" si="153"/>
        <v/>
      </c>
      <c r="O250" s="674" t="str">
        <f t="shared" si="153"/>
        <v/>
      </c>
      <c r="P250" s="674" t="str">
        <f t="shared" si="153"/>
        <v/>
      </c>
      <c r="Q250" s="674" t="str">
        <f t="shared" si="153"/>
        <v/>
      </c>
      <c r="R250" s="674" t="str">
        <f t="shared" si="153"/>
        <v/>
      </c>
      <c r="S250" s="674" t="str">
        <f t="shared" si="153"/>
        <v/>
      </c>
      <c r="T250" s="674" t="str">
        <f t="shared" si="153"/>
        <v/>
      </c>
      <c r="U250" s="674" t="str">
        <f t="shared" si="153"/>
        <v/>
      </c>
      <c r="V250" s="674" t="str">
        <f t="shared" si="153"/>
        <v/>
      </c>
      <c r="W250" s="674" t="str">
        <f t="shared" si="153"/>
        <v/>
      </c>
      <c r="X250" s="674" t="str">
        <f t="shared" si="153"/>
        <v/>
      </c>
      <c r="Y250" s="674" t="str">
        <f t="shared" si="153"/>
        <v/>
      </c>
      <c r="Z250" s="674" t="str">
        <f t="shared" si="153"/>
        <v/>
      </c>
      <c r="AA250" s="674" t="str">
        <f t="shared" si="153"/>
        <v/>
      </c>
      <c r="AB250" s="674" t="str">
        <f t="shared" si="153"/>
        <v/>
      </c>
      <c r="AC250" s="674" t="str">
        <f t="shared" si="153"/>
        <v/>
      </c>
      <c r="AD250" s="674" t="str">
        <f t="shared" si="153"/>
        <v/>
      </c>
      <c r="AE250" s="674" t="str">
        <f t="shared" si="153"/>
        <v/>
      </c>
      <c r="AF250" s="674" t="str">
        <f t="shared" si="153"/>
        <v/>
      </c>
      <c r="AG250" s="674" t="str">
        <f t="shared" si="153"/>
        <v/>
      </c>
      <c r="AH250" s="674" t="str">
        <f t="shared" si="153"/>
        <v/>
      </c>
      <c r="AI250" s="674" t="str">
        <f t="shared" si="153"/>
        <v/>
      </c>
      <c r="AJ250" s="674" t="str">
        <f t="shared" si="153"/>
        <v/>
      </c>
      <c r="AK250" s="675" t="str">
        <f t="shared" si="153"/>
        <v/>
      </c>
      <c r="AL250" s="15"/>
      <c r="AM250" s="15"/>
      <c r="AP250" s="536"/>
      <c r="AR250" s="537"/>
      <c r="AS250" s="529"/>
      <c r="AW250" s="390" t="str">
        <f>""</f>
        <v/>
      </c>
      <c r="AX250" s="531"/>
      <c r="AY250" s="390" t="str">
        <f>""</f>
        <v/>
      </c>
      <c r="BD250" s="520"/>
      <c r="BE250" s="520"/>
      <c r="BF250" s="520"/>
      <c r="BG250" s="520"/>
      <c r="BH250" s="520"/>
      <c r="BI250" s="520"/>
      <c r="BJ250" s="520"/>
      <c r="BK250" s="520"/>
      <c r="BL250" s="520"/>
      <c r="BM250" s="520"/>
      <c r="BN250" s="520"/>
      <c r="BO250" s="520"/>
      <c r="BP250" s="520"/>
      <c r="BQ250" s="520"/>
      <c r="BR250" s="520"/>
      <c r="BS250" s="520"/>
      <c r="BT250" s="520"/>
      <c r="BU250" s="520"/>
      <c r="BV250" s="520"/>
      <c r="BW250" s="520"/>
      <c r="BX250" s="520"/>
      <c r="BY250" s="520"/>
    </row>
    <row r="251" spans="1:84" ht="12" customHeight="1" x14ac:dyDescent="0.3">
      <c r="A251" s="765"/>
      <c r="E251" s="258" t="str">
        <f>$AX$96</f>
        <v>Összes gól: 2 p</v>
      </c>
      <c r="H251" s="673" t="str">
        <f t="shared" ref="H251:AK251" si="154">IF(OR(BC246,NOT($AS$28)),"",IF(AND(NOT($AS$32),COUNTIF(H247:H250,"ü")&gt;0),"",IF(H245+H246=$E245+$E246,"ü"," ")))</f>
        <v/>
      </c>
      <c r="I251" s="674" t="str">
        <f t="shared" si="154"/>
        <v/>
      </c>
      <c r="J251" s="674" t="str">
        <f t="shared" si="154"/>
        <v/>
      </c>
      <c r="K251" s="674" t="str">
        <f t="shared" si="154"/>
        <v/>
      </c>
      <c r="L251" s="674" t="str">
        <f t="shared" si="154"/>
        <v/>
      </c>
      <c r="M251" s="674" t="str">
        <f t="shared" si="154"/>
        <v/>
      </c>
      <c r="N251" s="674" t="str">
        <f t="shared" si="154"/>
        <v/>
      </c>
      <c r="O251" s="674" t="str">
        <f t="shared" si="154"/>
        <v/>
      </c>
      <c r="P251" s="674" t="str">
        <f t="shared" si="154"/>
        <v/>
      </c>
      <c r="Q251" s="674" t="str">
        <f t="shared" si="154"/>
        <v/>
      </c>
      <c r="R251" s="674" t="str">
        <f t="shared" si="154"/>
        <v/>
      </c>
      <c r="S251" s="674" t="str">
        <f t="shared" si="154"/>
        <v/>
      </c>
      <c r="T251" s="674" t="str">
        <f t="shared" si="154"/>
        <v/>
      </c>
      <c r="U251" s="674" t="str">
        <f t="shared" si="154"/>
        <v/>
      </c>
      <c r="V251" s="674" t="str">
        <f t="shared" si="154"/>
        <v/>
      </c>
      <c r="W251" s="674" t="str">
        <f t="shared" si="154"/>
        <v/>
      </c>
      <c r="X251" s="674" t="str">
        <f t="shared" si="154"/>
        <v/>
      </c>
      <c r="Y251" s="674" t="str">
        <f t="shared" si="154"/>
        <v/>
      </c>
      <c r="Z251" s="674" t="str">
        <f t="shared" si="154"/>
        <v/>
      </c>
      <c r="AA251" s="674" t="str">
        <f t="shared" si="154"/>
        <v/>
      </c>
      <c r="AB251" s="674" t="str">
        <f t="shared" si="154"/>
        <v/>
      </c>
      <c r="AC251" s="674" t="str">
        <f t="shared" si="154"/>
        <v/>
      </c>
      <c r="AD251" s="674" t="str">
        <f t="shared" si="154"/>
        <v/>
      </c>
      <c r="AE251" s="674" t="str">
        <f t="shared" si="154"/>
        <v/>
      </c>
      <c r="AF251" s="674" t="str">
        <f t="shared" si="154"/>
        <v/>
      </c>
      <c r="AG251" s="674" t="str">
        <f t="shared" si="154"/>
        <v/>
      </c>
      <c r="AH251" s="674" t="str">
        <f t="shared" si="154"/>
        <v/>
      </c>
      <c r="AI251" s="674" t="str">
        <f t="shared" si="154"/>
        <v/>
      </c>
      <c r="AJ251" s="674" t="str">
        <f t="shared" si="154"/>
        <v/>
      </c>
      <c r="AK251" s="675" t="str">
        <f t="shared" si="154"/>
        <v/>
      </c>
      <c r="AL251" s="15"/>
      <c r="AM251" s="15"/>
      <c r="AP251" s="536"/>
      <c r="AR251" s="537"/>
      <c r="AS251" s="529"/>
      <c r="AW251" s="390" t="str">
        <f>""</f>
        <v/>
      </c>
      <c r="AX251" s="531"/>
      <c r="AY251" s="390" t="str">
        <f>""</f>
        <v/>
      </c>
      <c r="BD251" s="520"/>
      <c r="BE251" s="520"/>
      <c r="BF251" s="520"/>
      <c r="BG251" s="520"/>
      <c r="BH251" s="520"/>
      <c r="BI251" s="520"/>
      <c r="BJ251" s="520"/>
      <c r="BK251" s="520"/>
      <c r="BL251" s="520"/>
      <c r="BM251" s="520"/>
      <c r="BN251" s="520"/>
      <c r="BO251" s="520"/>
      <c r="BP251" s="520"/>
      <c r="BQ251" s="520"/>
      <c r="BR251" s="520"/>
      <c r="BS251" s="520"/>
      <c r="BT251" s="520"/>
      <c r="BU251" s="520"/>
      <c r="BV251" s="520"/>
      <c r="BW251" s="520"/>
      <c r="BX251" s="520"/>
      <c r="BY251" s="520"/>
    </row>
    <row r="252" spans="1:84" ht="12" customHeight="1" x14ac:dyDescent="0.3">
      <c r="A252" s="765"/>
      <c r="E252" s="258" t="str">
        <f>$AX$97</f>
        <v>Fordított gólkülönbség: 1 p</v>
      </c>
      <c r="H252" s="676" t="str">
        <f t="shared" ref="H252:AK252" si="155">IF(OR(BC246,NOT($AS$30)),"",IF(AND(NOT($AS$32),COUNTIF(H247:H251,"ü")&gt;0),"",IF(AND(H245-H246=$E246-$E245,H245&lt;&gt;H246),"ü"," ")))</f>
        <v/>
      </c>
      <c r="I252" s="677" t="str">
        <f t="shared" si="155"/>
        <v/>
      </c>
      <c r="J252" s="677" t="str">
        <f t="shared" si="155"/>
        <v/>
      </c>
      <c r="K252" s="677" t="str">
        <f t="shared" si="155"/>
        <v/>
      </c>
      <c r="L252" s="677" t="str">
        <f t="shared" si="155"/>
        <v/>
      </c>
      <c r="M252" s="677" t="str">
        <f t="shared" si="155"/>
        <v/>
      </c>
      <c r="N252" s="677" t="str">
        <f t="shared" si="155"/>
        <v/>
      </c>
      <c r="O252" s="677" t="str">
        <f t="shared" si="155"/>
        <v/>
      </c>
      <c r="P252" s="677" t="str">
        <f t="shared" si="155"/>
        <v/>
      </c>
      <c r="Q252" s="677" t="str">
        <f t="shared" si="155"/>
        <v/>
      </c>
      <c r="R252" s="677" t="str">
        <f t="shared" si="155"/>
        <v/>
      </c>
      <c r="S252" s="677" t="str">
        <f t="shared" si="155"/>
        <v/>
      </c>
      <c r="T252" s="677" t="str">
        <f t="shared" si="155"/>
        <v/>
      </c>
      <c r="U252" s="677" t="str">
        <f t="shared" si="155"/>
        <v/>
      </c>
      <c r="V252" s="677" t="str">
        <f t="shared" si="155"/>
        <v/>
      </c>
      <c r="W252" s="677" t="str">
        <f t="shared" si="155"/>
        <v/>
      </c>
      <c r="X252" s="677" t="str">
        <f t="shared" si="155"/>
        <v/>
      </c>
      <c r="Y252" s="677" t="str">
        <f t="shared" si="155"/>
        <v/>
      </c>
      <c r="Z252" s="677" t="str">
        <f t="shared" si="155"/>
        <v/>
      </c>
      <c r="AA252" s="677" t="str">
        <f t="shared" si="155"/>
        <v/>
      </c>
      <c r="AB252" s="677" t="str">
        <f t="shared" si="155"/>
        <v/>
      </c>
      <c r="AC252" s="677" t="str">
        <f t="shared" si="155"/>
        <v/>
      </c>
      <c r="AD252" s="677" t="str">
        <f t="shared" si="155"/>
        <v/>
      </c>
      <c r="AE252" s="677" t="str">
        <f t="shared" si="155"/>
        <v/>
      </c>
      <c r="AF252" s="677" t="str">
        <f t="shared" si="155"/>
        <v/>
      </c>
      <c r="AG252" s="677" t="str">
        <f t="shared" si="155"/>
        <v/>
      </c>
      <c r="AH252" s="677" t="str">
        <f t="shared" si="155"/>
        <v/>
      </c>
      <c r="AI252" s="677" t="str">
        <f t="shared" si="155"/>
        <v/>
      </c>
      <c r="AJ252" s="677" t="str">
        <f t="shared" si="155"/>
        <v/>
      </c>
      <c r="AK252" s="678" t="str">
        <f t="shared" si="155"/>
        <v/>
      </c>
      <c r="AL252" s="15"/>
      <c r="AM252" s="15"/>
      <c r="AP252" s="536"/>
      <c r="AR252" s="537"/>
      <c r="AS252" s="529"/>
      <c r="AW252" s="390" t="str">
        <f>""</f>
        <v/>
      </c>
      <c r="AX252" s="531"/>
      <c r="AY252" s="390" t="str">
        <f>""</f>
        <v/>
      </c>
      <c r="BD252" s="520"/>
      <c r="BE252" s="520"/>
      <c r="BF252" s="520"/>
      <c r="BG252" s="520"/>
      <c r="BH252" s="520"/>
      <c r="BI252" s="520"/>
      <c r="BJ252" s="520"/>
      <c r="BK252" s="520"/>
      <c r="BL252" s="520"/>
      <c r="BM252" s="520"/>
      <c r="BN252" s="520"/>
      <c r="BO252" s="520"/>
      <c r="BP252" s="520"/>
      <c r="BQ252" s="520"/>
      <c r="BR252" s="520"/>
      <c r="BS252" s="520"/>
      <c r="BT252" s="520"/>
      <c r="BU252" s="520"/>
      <c r="BV252" s="520"/>
      <c r="BW252" s="520"/>
      <c r="BX252" s="520"/>
      <c r="BY252" s="520"/>
    </row>
    <row r="253" spans="1:84" ht="15" customHeight="1" x14ac:dyDescent="0.3">
      <c r="A253" s="765"/>
      <c r="E253" s="79" t="s">
        <v>799</v>
      </c>
      <c r="H253" s="679">
        <f t="shared" ref="H253:AK253" si="156">IF(NOT(H$13),"",SUMPRODUCT((H247:H252="ü")*($AW$92:$AW$97)))</f>
        <v>0</v>
      </c>
      <c r="I253" s="680">
        <f t="shared" si="156"/>
        <v>0</v>
      </c>
      <c r="J253" s="680">
        <f t="shared" si="156"/>
        <v>0</v>
      </c>
      <c r="K253" s="680">
        <f t="shared" si="156"/>
        <v>0</v>
      </c>
      <c r="L253" s="680">
        <f t="shared" si="156"/>
        <v>0</v>
      </c>
      <c r="M253" s="680">
        <f t="shared" si="156"/>
        <v>0</v>
      </c>
      <c r="N253" s="680">
        <f t="shared" si="156"/>
        <v>0</v>
      </c>
      <c r="O253" s="680">
        <f t="shared" si="156"/>
        <v>0</v>
      </c>
      <c r="P253" s="680">
        <f t="shared" si="156"/>
        <v>0</v>
      </c>
      <c r="Q253" s="680">
        <f t="shared" si="156"/>
        <v>0</v>
      </c>
      <c r="R253" s="680">
        <f t="shared" si="156"/>
        <v>0</v>
      </c>
      <c r="S253" s="680">
        <f t="shared" si="156"/>
        <v>0</v>
      </c>
      <c r="T253" s="680">
        <f t="shared" si="156"/>
        <v>0</v>
      </c>
      <c r="U253" s="680">
        <f t="shared" si="156"/>
        <v>0</v>
      </c>
      <c r="V253" s="680">
        <f t="shared" si="156"/>
        <v>0</v>
      </c>
      <c r="W253" s="680">
        <f t="shared" si="156"/>
        <v>0</v>
      </c>
      <c r="X253" s="680">
        <f t="shared" si="156"/>
        <v>0</v>
      </c>
      <c r="Y253" s="680">
        <f t="shared" si="156"/>
        <v>0</v>
      </c>
      <c r="Z253" s="680">
        <f t="shared" si="156"/>
        <v>0</v>
      </c>
      <c r="AA253" s="680">
        <f t="shared" si="156"/>
        <v>0</v>
      </c>
      <c r="AB253" s="680">
        <f t="shared" si="156"/>
        <v>0</v>
      </c>
      <c r="AC253" s="680">
        <f t="shared" si="156"/>
        <v>0</v>
      </c>
      <c r="AD253" s="680">
        <f t="shared" si="156"/>
        <v>0</v>
      </c>
      <c r="AE253" s="680" t="str">
        <f t="shared" si="156"/>
        <v/>
      </c>
      <c r="AF253" s="680" t="str">
        <f t="shared" si="156"/>
        <v/>
      </c>
      <c r="AG253" s="680" t="str">
        <f t="shared" si="156"/>
        <v/>
      </c>
      <c r="AH253" s="680" t="str">
        <f t="shared" si="156"/>
        <v/>
      </c>
      <c r="AI253" s="680" t="str">
        <f t="shared" si="156"/>
        <v/>
      </c>
      <c r="AJ253" s="680" t="str">
        <f t="shared" si="156"/>
        <v/>
      </c>
      <c r="AK253" s="681" t="str">
        <f t="shared" si="156"/>
        <v/>
      </c>
      <c r="AP253" s="536"/>
      <c r="AR253" s="537"/>
      <c r="AS253" s="529"/>
    </row>
    <row r="254" spans="1:84" ht="9" customHeight="1" x14ac:dyDescent="0.3">
      <c r="A254" s="765"/>
      <c r="D254" s="15"/>
      <c r="E254" s="15"/>
      <c r="F254" s="15"/>
      <c r="G254" s="15"/>
      <c r="H254" s="15"/>
      <c r="I254" s="16"/>
      <c r="J254" s="15"/>
      <c r="K254" s="15"/>
      <c r="L254" s="16"/>
      <c r="M254" s="15"/>
      <c r="N254" s="15"/>
      <c r="O254" s="16"/>
      <c r="P254" s="15"/>
      <c r="Q254" s="15"/>
      <c r="R254" s="16"/>
      <c r="S254" s="15"/>
      <c r="T254" s="15"/>
      <c r="U254" s="16"/>
      <c r="V254" s="15"/>
      <c r="W254" s="15"/>
      <c r="X254" s="16"/>
      <c r="Y254" s="15"/>
      <c r="Z254" s="15"/>
      <c r="AA254" s="16"/>
      <c r="AB254" s="15"/>
      <c r="AC254" s="15"/>
      <c r="AD254" s="16"/>
      <c r="AE254" s="15"/>
      <c r="AF254" s="15"/>
      <c r="AG254" s="16"/>
      <c r="AH254" s="15"/>
      <c r="AI254" s="15"/>
      <c r="AJ254" s="16"/>
      <c r="AK254" s="15"/>
      <c r="AP254" s="536"/>
      <c r="AR254" s="537"/>
      <c r="AS254" s="529"/>
    </row>
    <row r="255" spans="1:84" ht="15" customHeight="1" x14ac:dyDescent="0.3">
      <c r="A255" s="765"/>
      <c r="C255" s="27" t="str">
        <f>" "&amp;VLOOKUP(AQ256,schedule,18,FALSE)&amp;"  ("&amp;VLOOKUP(AQ256,schedule,3,FALSE)&amp;" CSOPORT)"</f>
        <v xml:space="preserve"> JÚNIUS 16. – SZERDA 21:00  (A CSOPORT)</v>
      </c>
      <c r="D255" s="27"/>
      <c r="E255" s="26"/>
      <c r="F255" s="26"/>
      <c r="G255" s="26"/>
      <c r="H255" s="26"/>
      <c r="I255" s="26"/>
      <c r="J255" s="26"/>
      <c r="AP255" s="536"/>
      <c r="AR255" s="537"/>
      <c r="AS255" s="529"/>
    </row>
    <row r="256" spans="1:84" ht="15" customHeight="1" x14ac:dyDescent="0.3">
      <c r="A256" s="765"/>
      <c r="C256" s="661"/>
      <c r="D256" s="662" t="str">
        <f>IF(INDEX(n.er,$AR256,8)="","",INDEX(n.er,$AR256,8))</f>
        <v>Olaszország</v>
      </c>
      <c r="E256" s="663" t="str">
        <f>IF(NOT($AS256),"",INDEX(n.er,$AR256,9))</f>
        <v/>
      </c>
      <c r="F256" s="662"/>
      <c r="G256" s="259"/>
      <c r="H256" s="664">
        <v>2</v>
      </c>
      <c r="I256" s="665">
        <v>2</v>
      </c>
      <c r="J256" s="665">
        <v>3</v>
      </c>
      <c r="K256" s="665">
        <v>3</v>
      </c>
      <c r="L256" s="665">
        <v>1</v>
      </c>
      <c r="M256" s="665">
        <v>2</v>
      </c>
      <c r="N256" s="665">
        <v>2</v>
      </c>
      <c r="O256" s="665">
        <v>3</v>
      </c>
      <c r="P256" s="665">
        <v>3</v>
      </c>
      <c r="Q256" s="665">
        <v>2</v>
      </c>
      <c r="R256" s="665">
        <v>1</v>
      </c>
      <c r="S256" s="665">
        <v>1</v>
      </c>
      <c r="T256" s="665">
        <v>3</v>
      </c>
      <c r="U256" s="665">
        <v>3</v>
      </c>
      <c r="V256" s="665">
        <v>2</v>
      </c>
      <c r="W256" s="665">
        <v>2</v>
      </c>
      <c r="X256" s="665">
        <v>1</v>
      </c>
      <c r="Y256" s="665">
        <v>2</v>
      </c>
      <c r="Z256" s="665">
        <v>2</v>
      </c>
      <c r="AA256" s="665">
        <v>2</v>
      </c>
      <c r="AB256" s="665">
        <v>2</v>
      </c>
      <c r="AC256" s="665">
        <v>2</v>
      </c>
      <c r="AD256" s="665">
        <v>0</v>
      </c>
      <c r="AE256" s="665"/>
      <c r="AF256" s="665"/>
      <c r="AG256" s="665"/>
      <c r="AH256" s="665"/>
      <c r="AI256" s="665"/>
      <c r="AJ256" s="665"/>
      <c r="AK256" s="666"/>
      <c r="AP256" s="52">
        <f>AP245+1</f>
        <v>15</v>
      </c>
      <c r="AQ256" s="311">
        <f>INDEX(schedule,AP256,1)</f>
        <v>15</v>
      </c>
      <c r="AR256" s="311">
        <f>MATCH(AQ256,n.er.index,0)</f>
        <v>35</v>
      </c>
      <c r="AS256" s="532" t="b">
        <f>INDEX(n.er,$AR256,3)</f>
        <v>0</v>
      </c>
      <c r="AT256" s="531"/>
      <c r="AU256" s="531"/>
      <c r="AV256" s="531"/>
      <c r="AW256" s="531"/>
      <c r="AX256" s="531"/>
      <c r="BC256" s="525" t="b">
        <f t="shared" ref="BC256:CF256" si="157">IF(AND(ISNUMBER(H256),ISNUMBER(H257),H256&lt;&gt;"",H257&lt;&gt;""),AND(H256&gt;=0,H257&gt;=0,MOD(H256+H257,1)=0),FALSE)</f>
        <v>1</v>
      </c>
      <c r="BD256" s="525" t="b">
        <f t="shared" si="157"/>
        <v>1</v>
      </c>
      <c r="BE256" s="525" t="b">
        <f t="shared" si="157"/>
        <v>1</v>
      </c>
      <c r="BF256" s="525" t="b">
        <f t="shared" si="157"/>
        <v>1</v>
      </c>
      <c r="BG256" s="525" t="b">
        <f t="shared" si="157"/>
        <v>1</v>
      </c>
      <c r="BH256" s="525" t="b">
        <f t="shared" si="157"/>
        <v>1</v>
      </c>
      <c r="BI256" s="525" t="b">
        <f t="shared" si="157"/>
        <v>1</v>
      </c>
      <c r="BJ256" s="525" t="b">
        <f t="shared" si="157"/>
        <v>1</v>
      </c>
      <c r="BK256" s="525" t="b">
        <f t="shared" si="157"/>
        <v>1</v>
      </c>
      <c r="BL256" s="525" t="b">
        <f t="shared" si="157"/>
        <v>1</v>
      </c>
      <c r="BM256" s="525" t="b">
        <f t="shared" si="157"/>
        <v>1</v>
      </c>
      <c r="BN256" s="525" t="b">
        <f t="shared" si="157"/>
        <v>1</v>
      </c>
      <c r="BO256" s="525" t="b">
        <f t="shared" si="157"/>
        <v>1</v>
      </c>
      <c r="BP256" s="525" t="b">
        <f t="shared" si="157"/>
        <v>1</v>
      </c>
      <c r="BQ256" s="525" t="b">
        <f t="shared" si="157"/>
        <v>1</v>
      </c>
      <c r="BR256" s="525" t="b">
        <f t="shared" si="157"/>
        <v>1</v>
      </c>
      <c r="BS256" s="525" t="b">
        <f t="shared" si="157"/>
        <v>1</v>
      </c>
      <c r="BT256" s="525" t="b">
        <f t="shared" si="157"/>
        <v>1</v>
      </c>
      <c r="BU256" s="525" t="b">
        <f t="shared" si="157"/>
        <v>1</v>
      </c>
      <c r="BV256" s="525" t="b">
        <f t="shared" si="157"/>
        <v>1</v>
      </c>
      <c r="BW256" s="525" t="b">
        <f t="shared" si="157"/>
        <v>1</v>
      </c>
      <c r="BX256" s="525" t="b">
        <f t="shared" si="157"/>
        <v>1</v>
      </c>
      <c r="BY256" s="525" t="b">
        <f t="shared" si="157"/>
        <v>1</v>
      </c>
      <c r="BZ256" s="525" t="b">
        <f t="shared" si="157"/>
        <v>0</v>
      </c>
      <c r="CA256" s="525" t="b">
        <f t="shared" si="157"/>
        <v>0</v>
      </c>
      <c r="CB256" s="525" t="b">
        <f t="shared" si="157"/>
        <v>0</v>
      </c>
      <c r="CC256" s="525" t="b">
        <f t="shared" si="157"/>
        <v>0</v>
      </c>
      <c r="CD256" s="525" t="b">
        <f t="shared" si="157"/>
        <v>0</v>
      </c>
      <c r="CE256" s="525" t="b">
        <f t="shared" si="157"/>
        <v>0</v>
      </c>
      <c r="CF256" s="525" t="b">
        <f t="shared" si="157"/>
        <v>0</v>
      </c>
    </row>
    <row r="257" spans="1:84" ht="15" customHeight="1" x14ac:dyDescent="0.3">
      <c r="A257" s="765"/>
      <c r="C257" s="695"/>
      <c r="D257" s="696" t="str">
        <f>IF(INDEX(n.er,$AR256,11)="","",INDEX(n.er,$AR256,11))</f>
        <v>Svájc</v>
      </c>
      <c r="E257" s="697" t="str">
        <f>IF(NOT($AS256),"",INDEX(n.er,$AR256,10))</f>
        <v/>
      </c>
      <c r="F257" s="696"/>
      <c r="G257" s="259"/>
      <c r="H257" s="667">
        <v>1</v>
      </c>
      <c r="I257" s="668">
        <v>4</v>
      </c>
      <c r="J257" s="668">
        <v>2</v>
      </c>
      <c r="K257" s="668">
        <v>2</v>
      </c>
      <c r="L257" s="668">
        <v>1</v>
      </c>
      <c r="M257" s="668">
        <v>0</v>
      </c>
      <c r="N257" s="668">
        <v>0</v>
      </c>
      <c r="O257" s="668">
        <v>1</v>
      </c>
      <c r="P257" s="668">
        <v>1</v>
      </c>
      <c r="Q257" s="668">
        <v>1</v>
      </c>
      <c r="R257" s="668">
        <v>1</v>
      </c>
      <c r="S257" s="668">
        <v>1</v>
      </c>
      <c r="T257" s="668">
        <v>1</v>
      </c>
      <c r="U257" s="668">
        <v>1</v>
      </c>
      <c r="V257" s="668">
        <v>1</v>
      </c>
      <c r="W257" s="668">
        <v>1</v>
      </c>
      <c r="X257" s="668">
        <v>0</v>
      </c>
      <c r="Y257" s="668">
        <v>0</v>
      </c>
      <c r="Z257" s="668">
        <v>0</v>
      </c>
      <c r="AA257" s="668">
        <v>1</v>
      </c>
      <c r="AB257" s="668">
        <v>0</v>
      </c>
      <c r="AC257" s="668">
        <v>0</v>
      </c>
      <c r="AD257" s="668">
        <v>1</v>
      </c>
      <c r="AE257" s="668"/>
      <c r="AF257" s="668"/>
      <c r="AG257" s="668"/>
      <c r="AH257" s="668"/>
      <c r="AI257" s="668"/>
      <c r="AJ257" s="668"/>
      <c r="AK257" s="669"/>
      <c r="AP257" s="533"/>
      <c r="AQ257" s="577"/>
      <c r="AR257" s="534"/>
      <c r="AS257" s="535"/>
      <c r="AX257" s="531"/>
      <c r="BC257" s="34" t="b">
        <f t="shared" ref="BC257:CF257" si="158">OR(NOT(H$13),NOT($AS256),NOT(BC256))</f>
        <v>1</v>
      </c>
      <c r="BD257" s="34" t="b">
        <f t="shared" si="158"/>
        <v>1</v>
      </c>
      <c r="BE257" s="34" t="b">
        <f t="shared" si="158"/>
        <v>1</v>
      </c>
      <c r="BF257" s="34" t="b">
        <f t="shared" si="158"/>
        <v>1</v>
      </c>
      <c r="BG257" s="34" t="b">
        <f t="shared" si="158"/>
        <v>1</v>
      </c>
      <c r="BH257" s="34" t="b">
        <f t="shared" si="158"/>
        <v>1</v>
      </c>
      <c r="BI257" s="34" t="b">
        <f t="shared" si="158"/>
        <v>1</v>
      </c>
      <c r="BJ257" s="34" t="b">
        <f t="shared" si="158"/>
        <v>1</v>
      </c>
      <c r="BK257" s="34" t="b">
        <f t="shared" si="158"/>
        <v>1</v>
      </c>
      <c r="BL257" s="34" t="b">
        <f t="shared" si="158"/>
        <v>1</v>
      </c>
      <c r="BM257" s="34" t="b">
        <f t="shared" si="158"/>
        <v>1</v>
      </c>
      <c r="BN257" s="34" t="b">
        <f t="shared" si="158"/>
        <v>1</v>
      </c>
      <c r="BO257" s="34" t="b">
        <f t="shared" si="158"/>
        <v>1</v>
      </c>
      <c r="BP257" s="34" t="b">
        <f t="shared" si="158"/>
        <v>1</v>
      </c>
      <c r="BQ257" s="34" t="b">
        <f t="shared" si="158"/>
        <v>1</v>
      </c>
      <c r="BR257" s="34" t="b">
        <f t="shared" si="158"/>
        <v>1</v>
      </c>
      <c r="BS257" s="34" t="b">
        <f t="shared" si="158"/>
        <v>1</v>
      </c>
      <c r="BT257" s="34" t="b">
        <f t="shared" si="158"/>
        <v>1</v>
      </c>
      <c r="BU257" s="34" t="b">
        <f t="shared" si="158"/>
        <v>1</v>
      </c>
      <c r="BV257" s="34" t="b">
        <f t="shared" si="158"/>
        <v>1</v>
      </c>
      <c r="BW257" s="34" t="b">
        <f t="shared" si="158"/>
        <v>1</v>
      </c>
      <c r="BX257" s="34" t="b">
        <f t="shared" si="158"/>
        <v>1</v>
      </c>
      <c r="BY257" s="34" t="b">
        <f t="shared" si="158"/>
        <v>1</v>
      </c>
      <c r="BZ257" s="34" t="b">
        <f t="shared" si="158"/>
        <v>1</v>
      </c>
      <c r="CA257" s="34" t="b">
        <f t="shared" si="158"/>
        <v>1</v>
      </c>
      <c r="CB257" s="34" t="b">
        <f t="shared" si="158"/>
        <v>1</v>
      </c>
      <c r="CC257" s="34" t="b">
        <f t="shared" si="158"/>
        <v>1</v>
      </c>
      <c r="CD257" s="34" t="b">
        <f t="shared" si="158"/>
        <v>1</v>
      </c>
      <c r="CE257" s="34" t="b">
        <f t="shared" si="158"/>
        <v>1</v>
      </c>
      <c r="CF257" s="34" t="b">
        <f t="shared" si="158"/>
        <v>1</v>
      </c>
    </row>
    <row r="258" spans="1:84" ht="12" customHeight="1" x14ac:dyDescent="0.3">
      <c r="A258" s="765"/>
      <c r="E258" s="258" t="str">
        <f>$AX$92</f>
        <v>Telitalálat: 10 p</v>
      </c>
      <c r="H258" s="670" t="str">
        <f t="shared" ref="H258:AK258" si="159">IF(OR(BC257,NOT($AS$20)),"",IF(AND(H256=$E256,H257=$E257),"ü",""))</f>
        <v/>
      </c>
      <c r="I258" s="671" t="str">
        <f t="shared" si="159"/>
        <v/>
      </c>
      <c r="J258" s="671" t="str">
        <f t="shared" si="159"/>
        <v/>
      </c>
      <c r="K258" s="671" t="str">
        <f t="shared" si="159"/>
        <v/>
      </c>
      <c r="L258" s="671" t="str">
        <f t="shared" si="159"/>
        <v/>
      </c>
      <c r="M258" s="671" t="str">
        <f t="shared" si="159"/>
        <v/>
      </c>
      <c r="N258" s="671" t="str">
        <f t="shared" si="159"/>
        <v/>
      </c>
      <c r="O258" s="671" t="str">
        <f t="shared" si="159"/>
        <v/>
      </c>
      <c r="P258" s="671" t="str">
        <f t="shared" si="159"/>
        <v/>
      </c>
      <c r="Q258" s="671" t="str">
        <f t="shared" si="159"/>
        <v/>
      </c>
      <c r="R258" s="671" t="str">
        <f t="shared" si="159"/>
        <v/>
      </c>
      <c r="S258" s="671" t="str">
        <f t="shared" si="159"/>
        <v/>
      </c>
      <c r="T258" s="671" t="str">
        <f t="shared" si="159"/>
        <v/>
      </c>
      <c r="U258" s="671" t="str">
        <f t="shared" si="159"/>
        <v/>
      </c>
      <c r="V258" s="671" t="str">
        <f t="shared" si="159"/>
        <v/>
      </c>
      <c r="W258" s="671" t="str">
        <f t="shared" si="159"/>
        <v/>
      </c>
      <c r="X258" s="671" t="str">
        <f t="shared" si="159"/>
        <v/>
      </c>
      <c r="Y258" s="671" t="str">
        <f t="shared" si="159"/>
        <v/>
      </c>
      <c r="Z258" s="671" t="str">
        <f t="shared" si="159"/>
        <v/>
      </c>
      <c r="AA258" s="671" t="str">
        <f t="shared" si="159"/>
        <v/>
      </c>
      <c r="AB258" s="671" t="str">
        <f t="shared" si="159"/>
        <v/>
      </c>
      <c r="AC258" s="671" t="str">
        <f t="shared" si="159"/>
        <v/>
      </c>
      <c r="AD258" s="671" t="str">
        <f t="shared" si="159"/>
        <v/>
      </c>
      <c r="AE258" s="671" t="str">
        <f t="shared" si="159"/>
        <v/>
      </c>
      <c r="AF258" s="671" t="str">
        <f t="shared" si="159"/>
        <v/>
      </c>
      <c r="AG258" s="671" t="str">
        <f t="shared" si="159"/>
        <v/>
      </c>
      <c r="AH258" s="671" t="str">
        <f t="shared" si="159"/>
        <v/>
      </c>
      <c r="AI258" s="671" t="str">
        <f t="shared" si="159"/>
        <v/>
      </c>
      <c r="AJ258" s="671" t="str">
        <f t="shared" si="159"/>
        <v/>
      </c>
      <c r="AK258" s="672" t="str">
        <f t="shared" si="159"/>
        <v/>
      </c>
      <c r="AL258" s="15"/>
      <c r="AM258" s="15"/>
      <c r="AP258" s="536"/>
      <c r="AR258" s="537"/>
      <c r="AS258" s="529"/>
      <c r="AW258" s="390" t="str">
        <f>""</f>
        <v/>
      </c>
      <c r="AX258" s="531"/>
      <c r="AY258" s="390" t="str">
        <f>""</f>
        <v/>
      </c>
      <c r="BD258" s="520"/>
      <c r="BE258" s="520"/>
      <c r="BF258" s="520"/>
      <c r="BG258" s="520"/>
      <c r="BH258" s="520"/>
      <c r="BI258" s="520"/>
      <c r="BJ258" s="520"/>
      <c r="BK258" s="520"/>
      <c r="BL258" s="520"/>
      <c r="BM258" s="520"/>
      <c r="BN258" s="520"/>
      <c r="BO258" s="520"/>
      <c r="BP258" s="520"/>
      <c r="BQ258" s="520"/>
      <c r="BR258" s="520"/>
      <c r="BS258" s="520"/>
      <c r="BT258" s="520"/>
      <c r="BU258" s="520"/>
      <c r="BV258" s="520"/>
      <c r="BW258" s="520"/>
      <c r="BX258" s="520"/>
      <c r="BY258" s="520"/>
    </row>
    <row r="259" spans="1:84" ht="12" customHeight="1" x14ac:dyDescent="0.3">
      <c r="A259" s="765"/>
      <c r="E259" s="258" t="str">
        <f>$AX$93</f>
        <v>Gólkülönbség: 6 p</v>
      </c>
      <c r="H259" s="673" t="str">
        <f t="shared" ref="H259:AK259" si="160">IF(OR(BC257,NOT($AS$22)),"",IF(AND(NOT($AS$32),H258="ü"),"",IF(H256-H257=$E256-$E257,"ü"," ")))</f>
        <v/>
      </c>
      <c r="I259" s="674" t="str">
        <f t="shared" si="160"/>
        <v/>
      </c>
      <c r="J259" s="674" t="str">
        <f t="shared" si="160"/>
        <v/>
      </c>
      <c r="K259" s="674" t="str">
        <f t="shared" si="160"/>
        <v/>
      </c>
      <c r="L259" s="674" t="str">
        <f t="shared" si="160"/>
        <v/>
      </c>
      <c r="M259" s="674" t="str">
        <f t="shared" si="160"/>
        <v/>
      </c>
      <c r="N259" s="674" t="str">
        <f t="shared" si="160"/>
        <v/>
      </c>
      <c r="O259" s="674" t="str">
        <f t="shared" si="160"/>
        <v/>
      </c>
      <c r="P259" s="674" t="str">
        <f t="shared" si="160"/>
        <v/>
      </c>
      <c r="Q259" s="674" t="str">
        <f t="shared" si="160"/>
        <v/>
      </c>
      <c r="R259" s="674" t="str">
        <f t="shared" si="160"/>
        <v/>
      </c>
      <c r="S259" s="674" t="str">
        <f t="shared" si="160"/>
        <v/>
      </c>
      <c r="T259" s="674" t="str">
        <f t="shared" si="160"/>
        <v/>
      </c>
      <c r="U259" s="674" t="str">
        <f t="shared" si="160"/>
        <v/>
      </c>
      <c r="V259" s="674" t="str">
        <f t="shared" si="160"/>
        <v/>
      </c>
      <c r="W259" s="674" t="str">
        <f t="shared" si="160"/>
        <v/>
      </c>
      <c r="X259" s="674" t="str">
        <f t="shared" si="160"/>
        <v/>
      </c>
      <c r="Y259" s="674" t="str">
        <f t="shared" si="160"/>
        <v/>
      </c>
      <c r="Z259" s="674" t="str">
        <f t="shared" si="160"/>
        <v/>
      </c>
      <c r="AA259" s="674" t="str">
        <f t="shared" si="160"/>
        <v/>
      </c>
      <c r="AB259" s="674" t="str">
        <f t="shared" si="160"/>
        <v/>
      </c>
      <c r="AC259" s="674" t="str">
        <f t="shared" si="160"/>
        <v/>
      </c>
      <c r="AD259" s="674" t="str">
        <f t="shared" si="160"/>
        <v/>
      </c>
      <c r="AE259" s="674" t="str">
        <f t="shared" si="160"/>
        <v/>
      </c>
      <c r="AF259" s="674" t="str">
        <f t="shared" si="160"/>
        <v/>
      </c>
      <c r="AG259" s="674" t="str">
        <f t="shared" si="160"/>
        <v/>
      </c>
      <c r="AH259" s="674" t="str">
        <f t="shared" si="160"/>
        <v/>
      </c>
      <c r="AI259" s="674" t="str">
        <f t="shared" si="160"/>
        <v/>
      </c>
      <c r="AJ259" s="674" t="str">
        <f t="shared" si="160"/>
        <v/>
      </c>
      <c r="AK259" s="675" t="str">
        <f t="shared" si="160"/>
        <v/>
      </c>
      <c r="AL259" s="15"/>
      <c r="AM259" s="15"/>
      <c r="AP259" s="536"/>
      <c r="AR259" s="537"/>
      <c r="AS259" s="529"/>
      <c r="AW259" s="390" t="str">
        <f>""</f>
        <v/>
      </c>
      <c r="AX259" s="531"/>
      <c r="AY259" s="390" t="str">
        <f>""</f>
        <v/>
      </c>
      <c r="BD259" s="520"/>
      <c r="BE259" s="520"/>
      <c r="BF259" s="520"/>
      <c r="BG259" s="520"/>
      <c r="BH259" s="520"/>
      <c r="BI259" s="520"/>
      <c r="BJ259" s="520"/>
      <c r="BK259" s="520"/>
      <c r="BL259" s="520"/>
      <c r="BM259" s="520"/>
      <c r="BN259" s="520"/>
      <c r="BO259" s="520"/>
      <c r="BP259" s="520"/>
      <c r="BQ259" s="520"/>
      <c r="BR259" s="520"/>
      <c r="BS259" s="520"/>
      <c r="BT259" s="520"/>
      <c r="BU259" s="520"/>
      <c r="BV259" s="520"/>
      <c r="BW259" s="520"/>
      <c r="BX259" s="520"/>
      <c r="BY259" s="520"/>
    </row>
    <row r="260" spans="1:84" ht="12" customHeight="1" x14ac:dyDescent="0.3">
      <c r="A260" s="765"/>
      <c r="E260" s="258" t="str">
        <f>$AX$94</f>
        <v>Mérkőzés kimenetele: 4 p</v>
      </c>
      <c r="H260" s="673" t="str">
        <f t="shared" ref="H260:AK260" si="161">IF(OR(BC257,NOT($AS$24)),"",IF(AND(NOT($AS$32),COUNTIF(H258:H259,"ü")&gt;0),"",IF(SIGN(H256-H257)=SIGN($E256-$E257),"ü"," ")))</f>
        <v/>
      </c>
      <c r="I260" s="674" t="str">
        <f t="shared" si="161"/>
        <v/>
      </c>
      <c r="J260" s="674" t="str">
        <f t="shared" si="161"/>
        <v/>
      </c>
      <c r="K260" s="674" t="str">
        <f t="shared" si="161"/>
        <v/>
      </c>
      <c r="L260" s="674" t="str">
        <f t="shared" si="161"/>
        <v/>
      </c>
      <c r="M260" s="674" t="str">
        <f t="shared" si="161"/>
        <v/>
      </c>
      <c r="N260" s="674" t="str">
        <f t="shared" si="161"/>
        <v/>
      </c>
      <c r="O260" s="674" t="str">
        <f t="shared" si="161"/>
        <v/>
      </c>
      <c r="P260" s="674" t="str">
        <f t="shared" si="161"/>
        <v/>
      </c>
      <c r="Q260" s="674" t="str">
        <f t="shared" si="161"/>
        <v/>
      </c>
      <c r="R260" s="674" t="str">
        <f t="shared" si="161"/>
        <v/>
      </c>
      <c r="S260" s="674" t="str">
        <f t="shared" si="161"/>
        <v/>
      </c>
      <c r="T260" s="674" t="str">
        <f t="shared" si="161"/>
        <v/>
      </c>
      <c r="U260" s="674" t="str">
        <f t="shared" si="161"/>
        <v/>
      </c>
      <c r="V260" s="674" t="str">
        <f t="shared" si="161"/>
        <v/>
      </c>
      <c r="W260" s="674" t="str">
        <f t="shared" si="161"/>
        <v/>
      </c>
      <c r="X260" s="674" t="str">
        <f t="shared" si="161"/>
        <v/>
      </c>
      <c r="Y260" s="674" t="str">
        <f t="shared" si="161"/>
        <v/>
      </c>
      <c r="Z260" s="674" t="str">
        <f t="shared" si="161"/>
        <v/>
      </c>
      <c r="AA260" s="674" t="str">
        <f t="shared" si="161"/>
        <v/>
      </c>
      <c r="AB260" s="674" t="str">
        <f t="shared" si="161"/>
        <v/>
      </c>
      <c r="AC260" s="674" t="str">
        <f t="shared" si="161"/>
        <v/>
      </c>
      <c r="AD260" s="674" t="str">
        <f t="shared" si="161"/>
        <v/>
      </c>
      <c r="AE260" s="674" t="str">
        <f t="shared" si="161"/>
        <v/>
      </c>
      <c r="AF260" s="674" t="str">
        <f t="shared" si="161"/>
        <v/>
      </c>
      <c r="AG260" s="674" t="str">
        <f t="shared" si="161"/>
        <v/>
      </c>
      <c r="AH260" s="674" t="str">
        <f t="shared" si="161"/>
        <v/>
      </c>
      <c r="AI260" s="674" t="str">
        <f t="shared" si="161"/>
        <v/>
      </c>
      <c r="AJ260" s="674" t="str">
        <f t="shared" si="161"/>
        <v/>
      </c>
      <c r="AK260" s="675" t="str">
        <f t="shared" si="161"/>
        <v/>
      </c>
      <c r="AL260" s="15"/>
      <c r="AM260" s="15"/>
      <c r="AP260" s="536"/>
      <c r="AR260" s="537"/>
      <c r="AS260" s="529"/>
      <c r="AW260" s="390" t="str">
        <f>""</f>
        <v/>
      </c>
      <c r="AX260" s="531"/>
      <c r="AY260" s="390" t="str">
        <f>""</f>
        <v/>
      </c>
      <c r="BD260" s="520"/>
      <c r="BE260" s="520"/>
      <c r="BF260" s="520"/>
      <c r="BG260" s="520"/>
      <c r="BH260" s="520"/>
      <c r="BI260" s="520"/>
      <c r="BJ260" s="520"/>
      <c r="BK260" s="520"/>
      <c r="BL260" s="520"/>
      <c r="BM260" s="520"/>
      <c r="BN260" s="520"/>
      <c r="BO260" s="520"/>
      <c r="BP260" s="520"/>
      <c r="BQ260" s="520"/>
      <c r="BR260" s="520"/>
      <c r="BS260" s="520"/>
      <c r="BT260" s="520"/>
      <c r="BU260" s="520"/>
      <c r="BV260" s="520"/>
      <c r="BW260" s="520"/>
      <c r="BX260" s="520"/>
      <c r="BY260" s="520"/>
    </row>
    <row r="261" spans="1:84" ht="12" customHeight="1" x14ac:dyDescent="0.3">
      <c r="A261" s="765"/>
      <c r="E261" s="258" t="str">
        <f>$AX$95</f>
        <v>Egyik csapat góljainak száma: 3 p</v>
      </c>
      <c r="H261" s="673" t="str">
        <f t="shared" ref="H261:AK261" si="162">IF(OR(BC257,NOT($AS$26)),"",IF(AND(NOT($AS$32),COUNTIF(H258:H260,"ü")&gt;0),"",IF(OR(H256=$E256,H257=$E257),"ü"," ")))</f>
        <v/>
      </c>
      <c r="I261" s="674" t="str">
        <f t="shared" si="162"/>
        <v/>
      </c>
      <c r="J261" s="674" t="str">
        <f t="shared" si="162"/>
        <v/>
      </c>
      <c r="K261" s="674" t="str">
        <f t="shared" si="162"/>
        <v/>
      </c>
      <c r="L261" s="674" t="str">
        <f t="shared" si="162"/>
        <v/>
      </c>
      <c r="M261" s="674" t="str">
        <f t="shared" si="162"/>
        <v/>
      </c>
      <c r="N261" s="674" t="str">
        <f t="shared" si="162"/>
        <v/>
      </c>
      <c r="O261" s="674" t="str">
        <f t="shared" si="162"/>
        <v/>
      </c>
      <c r="P261" s="674" t="str">
        <f t="shared" si="162"/>
        <v/>
      </c>
      <c r="Q261" s="674" t="str">
        <f t="shared" si="162"/>
        <v/>
      </c>
      <c r="R261" s="674" t="str">
        <f t="shared" si="162"/>
        <v/>
      </c>
      <c r="S261" s="674" t="str">
        <f t="shared" si="162"/>
        <v/>
      </c>
      <c r="T261" s="674" t="str">
        <f t="shared" si="162"/>
        <v/>
      </c>
      <c r="U261" s="674" t="str">
        <f t="shared" si="162"/>
        <v/>
      </c>
      <c r="V261" s="674" t="str">
        <f t="shared" si="162"/>
        <v/>
      </c>
      <c r="W261" s="674" t="str">
        <f t="shared" si="162"/>
        <v/>
      </c>
      <c r="X261" s="674" t="str">
        <f t="shared" si="162"/>
        <v/>
      </c>
      <c r="Y261" s="674" t="str">
        <f t="shared" si="162"/>
        <v/>
      </c>
      <c r="Z261" s="674" t="str">
        <f t="shared" si="162"/>
        <v/>
      </c>
      <c r="AA261" s="674" t="str">
        <f t="shared" si="162"/>
        <v/>
      </c>
      <c r="AB261" s="674" t="str">
        <f t="shared" si="162"/>
        <v/>
      </c>
      <c r="AC261" s="674" t="str">
        <f t="shared" si="162"/>
        <v/>
      </c>
      <c r="AD261" s="674" t="str">
        <f t="shared" si="162"/>
        <v/>
      </c>
      <c r="AE261" s="674" t="str">
        <f t="shared" si="162"/>
        <v/>
      </c>
      <c r="AF261" s="674" t="str">
        <f t="shared" si="162"/>
        <v/>
      </c>
      <c r="AG261" s="674" t="str">
        <f t="shared" si="162"/>
        <v/>
      </c>
      <c r="AH261" s="674" t="str">
        <f t="shared" si="162"/>
        <v/>
      </c>
      <c r="AI261" s="674" t="str">
        <f t="shared" si="162"/>
        <v/>
      </c>
      <c r="AJ261" s="674" t="str">
        <f t="shared" si="162"/>
        <v/>
      </c>
      <c r="AK261" s="675" t="str">
        <f t="shared" si="162"/>
        <v/>
      </c>
      <c r="AL261" s="15"/>
      <c r="AM261" s="15"/>
      <c r="AP261" s="536"/>
      <c r="AR261" s="537"/>
      <c r="AS261" s="529"/>
      <c r="AW261" s="390" t="str">
        <f>""</f>
        <v/>
      </c>
      <c r="AX261" s="531"/>
      <c r="AY261" s="390" t="str">
        <f>""</f>
        <v/>
      </c>
      <c r="BD261" s="520"/>
      <c r="BE261" s="520"/>
      <c r="BF261" s="520"/>
      <c r="BG261" s="520"/>
      <c r="BH261" s="520"/>
      <c r="BI261" s="520"/>
      <c r="BJ261" s="520"/>
      <c r="BK261" s="520"/>
      <c r="BL261" s="520"/>
      <c r="BM261" s="520"/>
      <c r="BN261" s="520"/>
      <c r="BO261" s="520"/>
      <c r="BP261" s="520"/>
      <c r="BQ261" s="520"/>
      <c r="BR261" s="520"/>
      <c r="BS261" s="520"/>
      <c r="BT261" s="520"/>
      <c r="BU261" s="520"/>
      <c r="BV261" s="520"/>
      <c r="BW261" s="520"/>
      <c r="BX261" s="520"/>
      <c r="BY261" s="520"/>
    </row>
    <row r="262" spans="1:84" ht="12" customHeight="1" x14ac:dyDescent="0.3">
      <c r="A262" s="765"/>
      <c r="E262" s="258" t="str">
        <f>$AX$96</f>
        <v>Összes gól: 2 p</v>
      </c>
      <c r="H262" s="673" t="str">
        <f t="shared" ref="H262:AK262" si="163">IF(OR(BC257,NOT($AS$28)),"",IF(AND(NOT($AS$32),COUNTIF(H258:H261,"ü")&gt;0),"",IF(H256+H257=$E256+$E257,"ü"," ")))</f>
        <v/>
      </c>
      <c r="I262" s="674" t="str">
        <f t="shared" si="163"/>
        <v/>
      </c>
      <c r="J262" s="674" t="str">
        <f t="shared" si="163"/>
        <v/>
      </c>
      <c r="K262" s="674" t="str">
        <f t="shared" si="163"/>
        <v/>
      </c>
      <c r="L262" s="674" t="str">
        <f t="shared" si="163"/>
        <v/>
      </c>
      <c r="M262" s="674" t="str">
        <f t="shared" si="163"/>
        <v/>
      </c>
      <c r="N262" s="674" t="str">
        <f t="shared" si="163"/>
        <v/>
      </c>
      <c r="O262" s="674" t="str">
        <f t="shared" si="163"/>
        <v/>
      </c>
      <c r="P262" s="674" t="str">
        <f t="shared" si="163"/>
        <v/>
      </c>
      <c r="Q262" s="674" t="str">
        <f t="shared" si="163"/>
        <v/>
      </c>
      <c r="R262" s="674" t="str">
        <f t="shared" si="163"/>
        <v/>
      </c>
      <c r="S262" s="674" t="str">
        <f t="shared" si="163"/>
        <v/>
      </c>
      <c r="T262" s="674" t="str">
        <f t="shared" si="163"/>
        <v/>
      </c>
      <c r="U262" s="674" t="str">
        <f t="shared" si="163"/>
        <v/>
      </c>
      <c r="V262" s="674" t="str">
        <f t="shared" si="163"/>
        <v/>
      </c>
      <c r="W262" s="674" t="str">
        <f t="shared" si="163"/>
        <v/>
      </c>
      <c r="X262" s="674" t="str">
        <f t="shared" si="163"/>
        <v/>
      </c>
      <c r="Y262" s="674" t="str">
        <f t="shared" si="163"/>
        <v/>
      </c>
      <c r="Z262" s="674" t="str">
        <f t="shared" si="163"/>
        <v/>
      </c>
      <c r="AA262" s="674" t="str">
        <f t="shared" si="163"/>
        <v/>
      </c>
      <c r="AB262" s="674" t="str">
        <f t="shared" si="163"/>
        <v/>
      </c>
      <c r="AC262" s="674" t="str">
        <f t="shared" si="163"/>
        <v/>
      </c>
      <c r="AD262" s="674" t="str">
        <f t="shared" si="163"/>
        <v/>
      </c>
      <c r="AE262" s="674" t="str">
        <f t="shared" si="163"/>
        <v/>
      </c>
      <c r="AF262" s="674" t="str">
        <f t="shared" si="163"/>
        <v/>
      </c>
      <c r="AG262" s="674" t="str">
        <f t="shared" si="163"/>
        <v/>
      </c>
      <c r="AH262" s="674" t="str">
        <f t="shared" si="163"/>
        <v/>
      </c>
      <c r="AI262" s="674" t="str">
        <f t="shared" si="163"/>
        <v/>
      </c>
      <c r="AJ262" s="674" t="str">
        <f t="shared" si="163"/>
        <v/>
      </c>
      <c r="AK262" s="675" t="str">
        <f t="shared" si="163"/>
        <v/>
      </c>
      <c r="AL262" s="15"/>
      <c r="AM262" s="15"/>
      <c r="AP262" s="536"/>
      <c r="AR262" s="537"/>
      <c r="AS262" s="529"/>
      <c r="AW262" s="390" t="str">
        <f>""</f>
        <v/>
      </c>
      <c r="AX262" s="531"/>
      <c r="AY262" s="390" t="str">
        <f>""</f>
        <v/>
      </c>
      <c r="BD262" s="520"/>
      <c r="BE262" s="520"/>
      <c r="BF262" s="520"/>
      <c r="BG262" s="520"/>
      <c r="BH262" s="520"/>
      <c r="BI262" s="520"/>
      <c r="BJ262" s="520"/>
      <c r="BK262" s="520"/>
      <c r="BL262" s="520"/>
      <c r="BM262" s="520"/>
      <c r="BN262" s="520"/>
      <c r="BO262" s="520"/>
      <c r="BP262" s="520"/>
      <c r="BQ262" s="520"/>
      <c r="BR262" s="520"/>
      <c r="BS262" s="520"/>
      <c r="BT262" s="520"/>
      <c r="BU262" s="520"/>
      <c r="BV262" s="520"/>
      <c r="BW262" s="520"/>
      <c r="BX262" s="520"/>
      <c r="BY262" s="520"/>
    </row>
    <row r="263" spans="1:84" ht="12" customHeight="1" x14ac:dyDescent="0.3">
      <c r="A263" s="765"/>
      <c r="E263" s="258" t="str">
        <f>$AX$97</f>
        <v>Fordított gólkülönbség: 1 p</v>
      </c>
      <c r="H263" s="676" t="str">
        <f t="shared" ref="H263:AK263" si="164">IF(OR(BC257,NOT($AS$30)),"",IF(AND(NOT($AS$32),COUNTIF(H258:H262,"ü")&gt;0),"",IF(AND(H256-H257=$E257-$E256,H256&lt;&gt;H257),"ü"," ")))</f>
        <v/>
      </c>
      <c r="I263" s="677" t="str">
        <f t="shared" si="164"/>
        <v/>
      </c>
      <c r="J263" s="677" t="str">
        <f t="shared" si="164"/>
        <v/>
      </c>
      <c r="K263" s="677" t="str">
        <f t="shared" si="164"/>
        <v/>
      </c>
      <c r="L263" s="677" t="str">
        <f t="shared" si="164"/>
        <v/>
      </c>
      <c r="M263" s="677" t="str">
        <f t="shared" si="164"/>
        <v/>
      </c>
      <c r="N263" s="677" t="str">
        <f t="shared" si="164"/>
        <v/>
      </c>
      <c r="O263" s="677" t="str">
        <f t="shared" si="164"/>
        <v/>
      </c>
      <c r="P263" s="677" t="str">
        <f t="shared" si="164"/>
        <v/>
      </c>
      <c r="Q263" s="677" t="str">
        <f t="shared" si="164"/>
        <v/>
      </c>
      <c r="R263" s="677" t="str">
        <f t="shared" si="164"/>
        <v/>
      </c>
      <c r="S263" s="677" t="str">
        <f t="shared" si="164"/>
        <v/>
      </c>
      <c r="T263" s="677" t="str">
        <f t="shared" si="164"/>
        <v/>
      </c>
      <c r="U263" s="677" t="str">
        <f t="shared" si="164"/>
        <v/>
      </c>
      <c r="V263" s="677" t="str">
        <f t="shared" si="164"/>
        <v/>
      </c>
      <c r="W263" s="677" t="str">
        <f t="shared" si="164"/>
        <v/>
      </c>
      <c r="X263" s="677" t="str">
        <f t="shared" si="164"/>
        <v/>
      </c>
      <c r="Y263" s="677" t="str">
        <f t="shared" si="164"/>
        <v/>
      </c>
      <c r="Z263" s="677" t="str">
        <f t="shared" si="164"/>
        <v/>
      </c>
      <c r="AA263" s="677" t="str">
        <f t="shared" si="164"/>
        <v/>
      </c>
      <c r="AB263" s="677" t="str">
        <f t="shared" si="164"/>
        <v/>
      </c>
      <c r="AC263" s="677" t="str">
        <f t="shared" si="164"/>
        <v/>
      </c>
      <c r="AD263" s="677" t="str">
        <f t="shared" si="164"/>
        <v/>
      </c>
      <c r="AE263" s="677" t="str">
        <f t="shared" si="164"/>
        <v/>
      </c>
      <c r="AF263" s="677" t="str">
        <f t="shared" si="164"/>
        <v/>
      </c>
      <c r="AG263" s="677" t="str">
        <f t="shared" si="164"/>
        <v/>
      </c>
      <c r="AH263" s="677" t="str">
        <f t="shared" si="164"/>
        <v/>
      </c>
      <c r="AI263" s="677" t="str">
        <f t="shared" si="164"/>
        <v/>
      </c>
      <c r="AJ263" s="677" t="str">
        <f t="shared" si="164"/>
        <v/>
      </c>
      <c r="AK263" s="678" t="str">
        <f t="shared" si="164"/>
        <v/>
      </c>
      <c r="AL263" s="15"/>
      <c r="AM263" s="15"/>
      <c r="AP263" s="536"/>
      <c r="AR263" s="537"/>
      <c r="AS263" s="529"/>
      <c r="AW263" s="390" t="str">
        <f>""</f>
        <v/>
      </c>
      <c r="AX263" s="531"/>
      <c r="AY263" s="390" t="str">
        <f>""</f>
        <v/>
      </c>
      <c r="BD263" s="520"/>
      <c r="BE263" s="520"/>
      <c r="BF263" s="520"/>
      <c r="BG263" s="520"/>
      <c r="BH263" s="520"/>
      <c r="BI263" s="520"/>
      <c r="BJ263" s="520"/>
      <c r="BK263" s="520"/>
      <c r="BL263" s="520"/>
      <c r="BM263" s="520"/>
      <c r="BN263" s="520"/>
      <c r="BO263" s="520"/>
      <c r="BP263" s="520"/>
      <c r="BQ263" s="520"/>
      <c r="BR263" s="520"/>
      <c r="BS263" s="520"/>
      <c r="BT263" s="520"/>
      <c r="BU263" s="520"/>
      <c r="BV263" s="520"/>
      <c r="BW263" s="520"/>
      <c r="BX263" s="520"/>
      <c r="BY263" s="520"/>
    </row>
    <row r="264" spans="1:84" ht="15" customHeight="1" x14ac:dyDescent="0.3">
      <c r="A264" s="765"/>
      <c r="E264" s="79" t="s">
        <v>799</v>
      </c>
      <c r="H264" s="679">
        <f t="shared" ref="H264:AK264" si="165">IF(NOT(H$13),"",SUMPRODUCT((H258:H263="ü")*($AW$92:$AW$97)))</f>
        <v>0</v>
      </c>
      <c r="I264" s="680">
        <f t="shared" si="165"/>
        <v>0</v>
      </c>
      <c r="J264" s="680">
        <f t="shared" si="165"/>
        <v>0</v>
      </c>
      <c r="K264" s="680">
        <f t="shared" si="165"/>
        <v>0</v>
      </c>
      <c r="L264" s="680">
        <f t="shared" si="165"/>
        <v>0</v>
      </c>
      <c r="M264" s="680">
        <f t="shared" si="165"/>
        <v>0</v>
      </c>
      <c r="N264" s="680">
        <f t="shared" si="165"/>
        <v>0</v>
      </c>
      <c r="O264" s="680">
        <f t="shared" si="165"/>
        <v>0</v>
      </c>
      <c r="P264" s="680">
        <f t="shared" si="165"/>
        <v>0</v>
      </c>
      <c r="Q264" s="680">
        <f t="shared" si="165"/>
        <v>0</v>
      </c>
      <c r="R264" s="680">
        <f t="shared" si="165"/>
        <v>0</v>
      </c>
      <c r="S264" s="680">
        <f t="shared" si="165"/>
        <v>0</v>
      </c>
      <c r="T264" s="680">
        <f t="shared" si="165"/>
        <v>0</v>
      </c>
      <c r="U264" s="680">
        <f t="shared" si="165"/>
        <v>0</v>
      </c>
      <c r="V264" s="680">
        <f t="shared" si="165"/>
        <v>0</v>
      </c>
      <c r="W264" s="680">
        <f t="shared" si="165"/>
        <v>0</v>
      </c>
      <c r="X264" s="680">
        <f t="shared" si="165"/>
        <v>0</v>
      </c>
      <c r="Y264" s="680">
        <f t="shared" si="165"/>
        <v>0</v>
      </c>
      <c r="Z264" s="680">
        <f t="shared" si="165"/>
        <v>0</v>
      </c>
      <c r="AA264" s="680">
        <f t="shared" si="165"/>
        <v>0</v>
      </c>
      <c r="AB264" s="680">
        <f t="shared" si="165"/>
        <v>0</v>
      </c>
      <c r="AC264" s="680">
        <f t="shared" si="165"/>
        <v>0</v>
      </c>
      <c r="AD264" s="680">
        <f t="shared" si="165"/>
        <v>0</v>
      </c>
      <c r="AE264" s="680" t="str">
        <f t="shared" si="165"/>
        <v/>
      </c>
      <c r="AF264" s="680" t="str">
        <f t="shared" si="165"/>
        <v/>
      </c>
      <c r="AG264" s="680" t="str">
        <f t="shared" si="165"/>
        <v/>
      </c>
      <c r="AH264" s="680" t="str">
        <f t="shared" si="165"/>
        <v/>
      </c>
      <c r="AI264" s="680" t="str">
        <f t="shared" si="165"/>
        <v/>
      </c>
      <c r="AJ264" s="680" t="str">
        <f t="shared" si="165"/>
        <v/>
      </c>
      <c r="AK264" s="681" t="str">
        <f t="shared" si="165"/>
        <v/>
      </c>
      <c r="AP264" s="536"/>
      <c r="AR264" s="537"/>
      <c r="AS264" s="529"/>
    </row>
    <row r="265" spans="1:84" ht="9" customHeight="1" x14ac:dyDescent="0.3">
      <c r="A265" s="765"/>
      <c r="D265" s="15"/>
      <c r="E265" s="15"/>
      <c r="F265" s="15"/>
      <c r="G265" s="15"/>
      <c r="H265" s="15"/>
      <c r="I265" s="16"/>
      <c r="J265" s="15"/>
      <c r="K265" s="15"/>
      <c r="L265" s="16"/>
      <c r="M265" s="15"/>
      <c r="N265" s="15"/>
      <c r="O265" s="16"/>
      <c r="P265" s="15"/>
      <c r="Q265" s="15"/>
      <c r="R265" s="16"/>
      <c r="S265" s="15"/>
      <c r="T265" s="15"/>
      <c r="U265" s="16"/>
      <c r="V265" s="15"/>
      <c r="W265" s="15"/>
      <c r="X265" s="16"/>
      <c r="Y265" s="15"/>
      <c r="Z265" s="15"/>
      <c r="AA265" s="16"/>
      <c r="AB265" s="15"/>
      <c r="AC265" s="15"/>
      <c r="AD265" s="16"/>
      <c r="AE265" s="15"/>
      <c r="AF265" s="15"/>
      <c r="AG265" s="16"/>
      <c r="AH265" s="15"/>
      <c r="AI265" s="15"/>
      <c r="AJ265" s="16"/>
      <c r="AK265" s="15"/>
      <c r="AP265" s="536"/>
      <c r="AR265" s="537"/>
      <c r="AS265" s="529"/>
    </row>
    <row r="266" spans="1:84" ht="15" customHeight="1" x14ac:dyDescent="0.3">
      <c r="A266" s="765"/>
      <c r="C266" s="27" t="str">
        <f>" "&amp;VLOOKUP(AQ267,schedule,18,FALSE)&amp;"  ("&amp;VLOOKUP(AQ267,schedule,3,FALSE)&amp;" CSOPORT)"</f>
        <v xml:space="preserve"> JÚNIUS 17. – CSÜTÖRTÖK 15:00  (C CSOPORT)</v>
      </c>
      <c r="D266" s="27"/>
      <c r="E266" s="26"/>
      <c r="F266" s="26"/>
      <c r="G266" s="26"/>
      <c r="H266" s="26"/>
      <c r="I266" s="26"/>
      <c r="J266" s="26"/>
      <c r="AP266" s="536"/>
      <c r="AR266" s="537"/>
      <c r="AS266" s="529"/>
    </row>
    <row r="267" spans="1:84" ht="15" customHeight="1" x14ac:dyDescent="0.3">
      <c r="A267" s="765"/>
      <c r="C267" s="661"/>
      <c r="D267" s="662" t="str">
        <f>IF(INDEX(n.er,$AR267,8)="","",INDEX(n.er,$AR267,8))</f>
        <v>Ukrajna</v>
      </c>
      <c r="E267" s="663" t="str">
        <f>IF(NOT($AS267),"",INDEX(n.er,$AR267,9))</f>
        <v/>
      </c>
      <c r="F267" s="662"/>
      <c r="G267" s="259"/>
      <c r="H267" s="664">
        <v>2</v>
      </c>
      <c r="I267" s="665">
        <v>2</v>
      </c>
      <c r="J267" s="665">
        <v>2</v>
      </c>
      <c r="K267" s="665">
        <v>2</v>
      </c>
      <c r="L267" s="665">
        <v>2</v>
      </c>
      <c r="M267" s="665">
        <v>2</v>
      </c>
      <c r="N267" s="665">
        <v>0</v>
      </c>
      <c r="O267" s="665">
        <v>1</v>
      </c>
      <c r="P267" s="665">
        <v>1</v>
      </c>
      <c r="Q267" s="665">
        <v>2</v>
      </c>
      <c r="R267" s="665">
        <v>3</v>
      </c>
      <c r="S267" s="665">
        <v>2</v>
      </c>
      <c r="T267" s="665">
        <v>1</v>
      </c>
      <c r="U267" s="665">
        <v>0</v>
      </c>
      <c r="V267" s="665">
        <v>1</v>
      </c>
      <c r="W267" s="665">
        <v>2</v>
      </c>
      <c r="X267" s="665">
        <v>0</v>
      </c>
      <c r="Y267" s="665">
        <v>2</v>
      </c>
      <c r="Z267" s="665">
        <v>1</v>
      </c>
      <c r="AA267" s="665">
        <v>1</v>
      </c>
      <c r="AB267" s="665">
        <v>3</v>
      </c>
      <c r="AC267" s="665">
        <v>0</v>
      </c>
      <c r="AD267" s="665">
        <v>2</v>
      </c>
      <c r="AE267" s="665"/>
      <c r="AF267" s="665"/>
      <c r="AG267" s="665"/>
      <c r="AH267" s="665"/>
      <c r="AI267" s="665"/>
      <c r="AJ267" s="665"/>
      <c r="AK267" s="666"/>
      <c r="AP267" s="52">
        <f>AP256+1</f>
        <v>16</v>
      </c>
      <c r="AQ267" s="311">
        <f>INDEX(schedule,AP267,1)</f>
        <v>16</v>
      </c>
      <c r="AR267" s="311">
        <f>MATCH(AQ267,n.er.index,0)</f>
        <v>40</v>
      </c>
      <c r="AS267" s="532" t="b">
        <f>INDEX(n.er,$AR267,3)</f>
        <v>0</v>
      </c>
      <c r="AT267" s="531"/>
      <c r="AU267" s="531"/>
      <c r="AV267" s="531"/>
      <c r="AW267" s="531"/>
      <c r="AX267" s="531"/>
      <c r="BC267" s="525" t="b">
        <f t="shared" ref="BC267:CF267" si="166">IF(AND(ISNUMBER(H267),ISNUMBER(H268),H267&lt;&gt;"",H268&lt;&gt;""),AND(H267&gt;=0,H268&gt;=0,MOD(H267+H268,1)=0),FALSE)</f>
        <v>1</v>
      </c>
      <c r="BD267" s="525" t="b">
        <f t="shared" si="166"/>
        <v>1</v>
      </c>
      <c r="BE267" s="525" t="b">
        <f t="shared" si="166"/>
        <v>1</v>
      </c>
      <c r="BF267" s="525" t="b">
        <f t="shared" si="166"/>
        <v>1</v>
      </c>
      <c r="BG267" s="525" t="b">
        <f t="shared" si="166"/>
        <v>1</v>
      </c>
      <c r="BH267" s="525" t="b">
        <f t="shared" si="166"/>
        <v>1</v>
      </c>
      <c r="BI267" s="525" t="b">
        <f t="shared" si="166"/>
        <v>1</v>
      </c>
      <c r="BJ267" s="525" t="b">
        <f t="shared" si="166"/>
        <v>1</v>
      </c>
      <c r="BK267" s="525" t="b">
        <f t="shared" si="166"/>
        <v>1</v>
      </c>
      <c r="BL267" s="525" t="b">
        <f t="shared" si="166"/>
        <v>1</v>
      </c>
      <c r="BM267" s="525" t="b">
        <f t="shared" si="166"/>
        <v>1</v>
      </c>
      <c r="BN267" s="525" t="b">
        <f t="shared" si="166"/>
        <v>1</v>
      </c>
      <c r="BO267" s="525" t="b">
        <f t="shared" si="166"/>
        <v>1</v>
      </c>
      <c r="BP267" s="525" t="b">
        <f t="shared" si="166"/>
        <v>1</v>
      </c>
      <c r="BQ267" s="525" t="b">
        <f t="shared" si="166"/>
        <v>1</v>
      </c>
      <c r="BR267" s="525" t="b">
        <f t="shared" si="166"/>
        <v>1</v>
      </c>
      <c r="BS267" s="525" t="b">
        <f t="shared" si="166"/>
        <v>1</v>
      </c>
      <c r="BT267" s="525" t="b">
        <f t="shared" si="166"/>
        <v>1</v>
      </c>
      <c r="BU267" s="525" t="b">
        <f t="shared" si="166"/>
        <v>1</v>
      </c>
      <c r="BV267" s="525" t="b">
        <f t="shared" si="166"/>
        <v>1</v>
      </c>
      <c r="BW267" s="525" t="b">
        <f t="shared" si="166"/>
        <v>1</v>
      </c>
      <c r="BX267" s="525" t="b">
        <f t="shared" si="166"/>
        <v>1</v>
      </c>
      <c r="BY267" s="525" t="b">
        <f t="shared" si="166"/>
        <v>1</v>
      </c>
      <c r="BZ267" s="525" t="b">
        <f t="shared" si="166"/>
        <v>0</v>
      </c>
      <c r="CA267" s="525" t="b">
        <f t="shared" si="166"/>
        <v>0</v>
      </c>
      <c r="CB267" s="525" t="b">
        <f t="shared" si="166"/>
        <v>0</v>
      </c>
      <c r="CC267" s="525" t="b">
        <f t="shared" si="166"/>
        <v>0</v>
      </c>
      <c r="CD267" s="525" t="b">
        <f t="shared" si="166"/>
        <v>0</v>
      </c>
      <c r="CE267" s="525" t="b">
        <f t="shared" si="166"/>
        <v>0</v>
      </c>
      <c r="CF267" s="525" t="b">
        <f t="shared" si="166"/>
        <v>0</v>
      </c>
    </row>
    <row r="268" spans="1:84" ht="15" customHeight="1" x14ac:dyDescent="0.3">
      <c r="A268" s="765"/>
      <c r="C268" s="695"/>
      <c r="D268" s="696" t="str">
        <f>IF(INDEX(n.er,$AR267,11)="","",INDEX(n.er,$AR267,11))</f>
        <v>Észak-Macedónia</v>
      </c>
      <c r="E268" s="697" t="str">
        <f>IF(NOT($AS267),"",INDEX(n.er,$AR267,10))</f>
        <v/>
      </c>
      <c r="F268" s="696"/>
      <c r="G268" s="259"/>
      <c r="H268" s="667">
        <v>0</v>
      </c>
      <c r="I268" s="668">
        <v>1</v>
      </c>
      <c r="J268" s="668">
        <v>2</v>
      </c>
      <c r="K268" s="668">
        <v>2</v>
      </c>
      <c r="L268" s="668">
        <v>2</v>
      </c>
      <c r="M268" s="668">
        <v>0</v>
      </c>
      <c r="N268" s="668">
        <v>1</v>
      </c>
      <c r="O268" s="668">
        <v>1</v>
      </c>
      <c r="P268" s="668">
        <v>0</v>
      </c>
      <c r="Q268" s="668">
        <v>1</v>
      </c>
      <c r="R268" s="668">
        <v>1</v>
      </c>
      <c r="S268" s="668">
        <v>0</v>
      </c>
      <c r="T268" s="668">
        <v>0</v>
      </c>
      <c r="U268" s="668">
        <v>0</v>
      </c>
      <c r="V268" s="668">
        <v>2</v>
      </c>
      <c r="W268" s="668">
        <v>0</v>
      </c>
      <c r="X268" s="668">
        <v>1</v>
      </c>
      <c r="Y268" s="668">
        <v>1</v>
      </c>
      <c r="Z268" s="668">
        <v>1</v>
      </c>
      <c r="AA268" s="668">
        <v>0</v>
      </c>
      <c r="AB268" s="668">
        <v>1</v>
      </c>
      <c r="AC268" s="668">
        <v>3</v>
      </c>
      <c r="AD268" s="668">
        <v>0</v>
      </c>
      <c r="AE268" s="668"/>
      <c r="AF268" s="668"/>
      <c r="AG268" s="668"/>
      <c r="AH268" s="668"/>
      <c r="AI268" s="668"/>
      <c r="AJ268" s="668"/>
      <c r="AK268" s="669"/>
      <c r="AP268" s="533"/>
      <c r="AQ268" s="577"/>
      <c r="AR268" s="534"/>
      <c r="AS268" s="535"/>
      <c r="AX268" s="531"/>
      <c r="BC268" s="34" t="b">
        <f t="shared" ref="BC268:CF268" si="167">OR(NOT(H$13),NOT($AS267),NOT(BC267))</f>
        <v>1</v>
      </c>
      <c r="BD268" s="34" t="b">
        <f t="shared" si="167"/>
        <v>1</v>
      </c>
      <c r="BE268" s="34" t="b">
        <f t="shared" si="167"/>
        <v>1</v>
      </c>
      <c r="BF268" s="34" t="b">
        <f t="shared" si="167"/>
        <v>1</v>
      </c>
      <c r="BG268" s="34" t="b">
        <f t="shared" si="167"/>
        <v>1</v>
      </c>
      <c r="BH268" s="34" t="b">
        <f t="shared" si="167"/>
        <v>1</v>
      </c>
      <c r="BI268" s="34" t="b">
        <f t="shared" si="167"/>
        <v>1</v>
      </c>
      <c r="BJ268" s="34" t="b">
        <f t="shared" si="167"/>
        <v>1</v>
      </c>
      <c r="BK268" s="34" t="b">
        <f t="shared" si="167"/>
        <v>1</v>
      </c>
      <c r="BL268" s="34" t="b">
        <f t="shared" si="167"/>
        <v>1</v>
      </c>
      <c r="BM268" s="34" t="b">
        <f t="shared" si="167"/>
        <v>1</v>
      </c>
      <c r="BN268" s="34" t="b">
        <f t="shared" si="167"/>
        <v>1</v>
      </c>
      <c r="BO268" s="34" t="b">
        <f t="shared" si="167"/>
        <v>1</v>
      </c>
      <c r="BP268" s="34" t="b">
        <f t="shared" si="167"/>
        <v>1</v>
      </c>
      <c r="BQ268" s="34" t="b">
        <f t="shared" si="167"/>
        <v>1</v>
      </c>
      <c r="BR268" s="34" t="b">
        <f t="shared" si="167"/>
        <v>1</v>
      </c>
      <c r="BS268" s="34" t="b">
        <f t="shared" si="167"/>
        <v>1</v>
      </c>
      <c r="BT268" s="34" t="b">
        <f t="shared" si="167"/>
        <v>1</v>
      </c>
      <c r="BU268" s="34" t="b">
        <f t="shared" si="167"/>
        <v>1</v>
      </c>
      <c r="BV268" s="34" t="b">
        <f t="shared" si="167"/>
        <v>1</v>
      </c>
      <c r="BW268" s="34" t="b">
        <f t="shared" si="167"/>
        <v>1</v>
      </c>
      <c r="BX268" s="34" t="b">
        <f t="shared" si="167"/>
        <v>1</v>
      </c>
      <c r="BY268" s="34" t="b">
        <f t="shared" si="167"/>
        <v>1</v>
      </c>
      <c r="BZ268" s="34" t="b">
        <f t="shared" si="167"/>
        <v>1</v>
      </c>
      <c r="CA268" s="34" t="b">
        <f t="shared" si="167"/>
        <v>1</v>
      </c>
      <c r="CB268" s="34" t="b">
        <f t="shared" si="167"/>
        <v>1</v>
      </c>
      <c r="CC268" s="34" t="b">
        <f t="shared" si="167"/>
        <v>1</v>
      </c>
      <c r="CD268" s="34" t="b">
        <f t="shared" si="167"/>
        <v>1</v>
      </c>
      <c r="CE268" s="34" t="b">
        <f t="shared" si="167"/>
        <v>1</v>
      </c>
      <c r="CF268" s="34" t="b">
        <f t="shared" si="167"/>
        <v>1</v>
      </c>
    </row>
    <row r="269" spans="1:84" ht="12" customHeight="1" x14ac:dyDescent="0.3">
      <c r="A269" s="765"/>
      <c r="E269" s="258" t="str">
        <f>$AX$92</f>
        <v>Telitalálat: 10 p</v>
      </c>
      <c r="H269" s="670" t="str">
        <f t="shared" ref="H269:AK269" si="168">IF(OR(BC268,NOT($AS$20)),"",IF(AND(H267=$E267,H268=$E268),"ü",""))</f>
        <v/>
      </c>
      <c r="I269" s="671" t="str">
        <f t="shared" si="168"/>
        <v/>
      </c>
      <c r="J269" s="671" t="str">
        <f t="shared" si="168"/>
        <v/>
      </c>
      <c r="K269" s="671" t="str">
        <f t="shared" si="168"/>
        <v/>
      </c>
      <c r="L269" s="671" t="str">
        <f t="shared" si="168"/>
        <v/>
      </c>
      <c r="M269" s="671" t="str">
        <f t="shared" si="168"/>
        <v/>
      </c>
      <c r="N269" s="671" t="str">
        <f t="shared" si="168"/>
        <v/>
      </c>
      <c r="O269" s="671" t="str">
        <f t="shared" si="168"/>
        <v/>
      </c>
      <c r="P269" s="671" t="str">
        <f t="shared" si="168"/>
        <v/>
      </c>
      <c r="Q269" s="671" t="str">
        <f t="shared" si="168"/>
        <v/>
      </c>
      <c r="R269" s="671" t="str">
        <f t="shared" si="168"/>
        <v/>
      </c>
      <c r="S269" s="671" t="str">
        <f t="shared" si="168"/>
        <v/>
      </c>
      <c r="T269" s="671" t="str">
        <f t="shared" si="168"/>
        <v/>
      </c>
      <c r="U269" s="671" t="str">
        <f t="shared" si="168"/>
        <v/>
      </c>
      <c r="V269" s="671" t="str">
        <f t="shared" si="168"/>
        <v/>
      </c>
      <c r="W269" s="671" t="str">
        <f t="shared" si="168"/>
        <v/>
      </c>
      <c r="X269" s="671" t="str">
        <f t="shared" si="168"/>
        <v/>
      </c>
      <c r="Y269" s="671" t="str">
        <f t="shared" si="168"/>
        <v/>
      </c>
      <c r="Z269" s="671" t="str">
        <f t="shared" si="168"/>
        <v/>
      </c>
      <c r="AA269" s="671" t="str">
        <f t="shared" si="168"/>
        <v/>
      </c>
      <c r="AB269" s="671" t="str">
        <f t="shared" si="168"/>
        <v/>
      </c>
      <c r="AC269" s="671" t="str">
        <f t="shared" si="168"/>
        <v/>
      </c>
      <c r="AD269" s="671" t="str">
        <f t="shared" si="168"/>
        <v/>
      </c>
      <c r="AE269" s="671" t="str">
        <f t="shared" si="168"/>
        <v/>
      </c>
      <c r="AF269" s="671" t="str">
        <f t="shared" si="168"/>
        <v/>
      </c>
      <c r="AG269" s="671" t="str">
        <f t="shared" si="168"/>
        <v/>
      </c>
      <c r="AH269" s="671" t="str">
        <f t="shared" si="168"/>
        <v/>
      </c>
      <c r="AI269" s="671" t="str">
        <f t="shared" si="168"/>
        <v/>
      </c>
      <c r="AJ269" s="671" t="str">
        <f t="shared" si="168"/>
        <v/>
      </c>
      <c r="AK269" s="672" t="str">
        <f t="shared" si="168"/>
        <v/>
      </c>
      <c r="AL269" s="15"/>
      <c r="AM269" s="15"/>
      <c r="AP269" s="536"/>
      <c r="AR269" s="537"/>
      <c r="AS269" s="529"/>
      <c r="AW269" s="390" t="str">
        <f>""</f>
        <v/>
      </c>
      <c r="AX269" s="531"/>
      <c r="AY269" s="390" t="str">
        <f>""</f>
        <v/>
      </c>
      <c r="BD269" s="520"/>
      <c r="BE269" s="520"/>
      <c r="BF269" s="520"/>
      <c r="BG269" s="520"/>
      <c r="BH269" s="520"/>
      <c r="BI269" s="520"/>
      <c r="BJ269" s="520"/>
      <c r="BK269" s="520"/>
      <c r="BL269" s="520"/>
      <c r="BM269" s="520"/>
      <c r="BN269" s="520"/>
      <c r="BO269" s="520"/>
      <c r="BP269" s="520"/>
      <c r="BQ269" s="520"/>
      <c r="BR269" s="520"/>
      <c r="BS269" s="520"/>
      <c r="BT269" s="520"/>
      <c r="BU269" s="520"/>
      <c r="BV269" s="520"/>
      <c r="BW269" s="520"/>
      <c r="BX269" s="520"/>
      <c r="BY269" s="520"/>
    </row>
    <row r="270" spans="1:84" ht="12" customHeight="1" x14ac:dyDescent="0.3">
      <c r="A270" s="765"/>
      <c r="E270" s="258" t="str">
        <f>$AX$93</f>
        <v>Gólkülönbség: 6 p</v>
      </c>
      <c r="H270" s="673" t="str">
        <f t="shared" ref="H270:AK270" si="169">IF(OR(BC268,NOT($AS$22)),"",IF(AND(NOT($AS$32),H269="ü"),"",IF(H267-H268=$E267-$E268,"ü"," ")))</f>
        <v/>
      </c>
      <c r="I270" s="674" t="str">
        <f t="shared" si="169"/>
        <v/>
      </c>
      <c r="J270" s="674" t="str">
        <f t="shared" si="169"/>
        <v/>
      </c>
      <c r="K270" s="674" t="str">
        <f t="shared" si="169"/>
        <v/>
      </c>
      <c r="L270" s="674" t="str">
        <f t="shared" si="169"/>
        <v/>
      </c>
      <c r="M270" s="674" t="str">
        <f t="shared" si="169"/>
        <v/>
      </c>
      <c r="N270" s="674" t="str">
        <f t="shared" si="169"/>
        <v/>
      </c>
      <c r="O270" s="674" t="str">
        <f t="shared" si="169"/>
        <v/>
      </c>
      <c r="P270" s="674" t="str">
        <f t="shared" si="169"/>
        <v/>
      </c>
      <c r="Q270" s="674" t="str">
        <f t="shared" si="169"/>
        <v/>
      </c>
      <c r="R270" s="674" t="str">
        <f t="shared" si="169"/>
        <v/>
      </c>
      <c r="S270" s="674" t="str">
        <f t="shared" si="169"/>
        <v/>
      </c>
      <c r="T270" s="674" t="str">
        <f t="shared" si="169"/>
        <v/>
      </c>
      <c r="U270" s="674" t="str">
        <f t="shared" si="169"/>
        <v/>
      </c>
      <c r="V270" s="674" t="str">
        <f t="shared" si="169"/>
        <v/>
      </c>
      <c r="W270" s="674" t="str">
        <f t="shared" si="169"/>
        <v/>
      </c>
      <c r="X270" s="674" t="str">
        <f t="shared" si="169"/>
        <v/>
      </c>
      <c r="Y270" s="674" t="str">
        <f t="shared" si="169"/>
        <v/>
      </c>
      <c r="Z270" s="674" t="str">
        <f t="shared" si="169"/>
        <v/>
      </c>
      <c r="AA270" s="674" t="str">
        <f t="shared" si="169"/>
        <v/>
      </c>
      <c r="AB270" s="674" t="str">
        <f t="shared" si="169"/>
        <v/>
      </c>
      <c r="AC270" s="674" t="str">
        <f t="shared" si="169"/>
        <v/>
      </c>
      <c r="AD270" s="674" t="str">
        <f t="shared" si="169"/>
        <v/>
      </c>
      <c r="AE270" s="674" t="str">
        <f t="shared" si="169"/>
        <v/>
      </c>
      <c r="AF270" s="674" t="str">
        <f t="shared" si="169"/>
        <v/>
      </c>
      <c r="AG270" s="674" t="str">
        <f t="shared" si="169"/>
        <v/>
      </c>
      <c r="AH270" s="674" t="str">
        <f t="shared" si="169"/>
        <v/>
      </c>
      <c r="AI270" s="674" t="str">
        <f t="shared" si="169"/>
        <v/>
      </c>
      <c r="AJ270" s="674" t="str">
        <f t="shared" si="169"/>
        <v/>
      </c>
      <c r="AK270" s="675" t="str">
        <f t="shared" si="169"/>
        <v/>
      </c>
      <c r="AL270" s="15"/>
      <c r="AM270" s="15"/>
      <c r="AP270" s="536"/>
      <c r="AR270" s="537"/>
      <c r="AS270" s="529"/>
      <c r="AW270" s="390" t="str">
        <f>""</f>
        <v/>
      </c>
      <c r="AX270" s="531"/>
      <c r="AY270" s="390" t="str">
        <f>""</f>
        <v/>
      </c>
      <c r="BD270" s="520"/>
      <c r="BE270" s="520"/>
      <c r="BF270" s="520"/>
      <c r="BG270" s="520"/>
      <c r="BH270" s="520"/>
      <c r="BI270" s="520"/>
      <c r="BJ270" s="520"/>
      <c r="BK270" s="520"/>
      <c r="BL270" s="520"/>
      <c r="BM270" s="520"/>
      <c r="BN270" s="520"/>
      <c r="BO270" s="520"/>
      <c r="BP270" s="520"/>
      <c r="BQ270" s="520"/>
      <c r="BR270" s="520"/>
      <c r="BS270" s="520"/>
      <c r="BT270" s="520"/>
      <c r="BU270" s="520"/>
      <c r="BV270" s="520"/>
      <c r="BW270" s="520"/>
      <c r="BX270" s="520"/>
      <c r="BY270" s="520"/>
    </row>
    <row r="271" spans="1:84" ht="12" customHeight="1" x14ac:dyDescent="0.3">
      <c r="A271" s="765"/>
      <c r="E271" s="258" t="str">
        <f>$AX$94</f>
        <v>Mérkőzés kimenetele: 4 p</v>
      </c>
      <c r="H271" s="673" t="str">
        <f t="shared" ref="H271:AK271" si="170">IF(OR(BC268,NOT($AS$24)),"",IF(AND(NOT($AS$32),COUNTIF(H269:H270,"ü")&gt;0),"",IF(SIGN(H267-H268)=SIGN($E267-$E268),"ü"," ")))</f>
        <v/>
      </c>
      <c r="I271" s="674" t="str">
        <f t="shared" si="170"/>
        <v/>
      </c>
      <c r="J271" s="674" t="str">
        <f t="shared" si="170"/>
        <v/>
      </c>
      <c r="K271" s="674" t="str">
        <f t="shared" si="170"/>
        <v/>
      </c>
      <c r="L271" s="674" t="str">
        <f t="shared" si="170"/>
        <v/>
      </c>
      <c r="M271" s="674" t="str">
        <f t="shared" si="170"/>
        <v/>
      </c>
      <c r="N271" s="674" t="str">
        <f t="shared" si="170"/>
        <v/>
      </c>
      <c r="O271" s="674" t="str">
        <f t="shared" si="170"/>
        <v/>
      </c>
      <c r="P271" s="674" t="str">
        <f t="shared" si="170"/>
        <v/>
      </c>
      <c r="Q271" s="674" t="str">
        <f t="shared" si="170"/>
        <v/>
      </c>
      <c r="R271" s="674" t="str">
        <f t="shared" si="170"/>
        <v/>
      </c>
      <c r="S271" s="674" t="str">
        <f t="shared" si="170"/>
        <v/>
      </c>
      <c r="T271" s="674" t="str">
        <f t="shared" si="170"/>
        <v/>
      </c>
      <c r="U271" s="674" t="str">
        <f t="shared" si="170"/>
        <v/>
      </c>
      <c r="V271" s="674" t="str">
        <f t="shared" si="170"/>
        <v/>
      </c>
      <c r="W271" s="674" t="str">
        <f t="shared" si="170"/>
        <v/>
      </c>
      <c r="X271" s="674" t="str">
        <f t="shared" si="170"/>
        <v/>
      </c>
      <c r="Y271" s="674" t="str">
        <f t="shared" si="170"/>
        <v/>
      </c>
      <c r="Z271" s="674" t="str">
        <f t="shared" si="170"/>
        <v/>
      </c>
      <c r="AA271" s="674" t="str">
        <f t="shared" si="170"/>
        <v/>
      </c>
      <c r="AB271" s="674" t="str">
        <f t="shared" si="170"/>
        <v/>
      </c>
      <c r="AC271" s="674" t="str">
        <f t="shared" si="170"/>
        <v/>
      </c>
      <c r="AD271" s="674" t="str">
        <f t="shared" si="170"/>
        <v/>
      </c>
      <c r="AE271" s="674" t="str">
        <f t="shared" si="170"/>
        <v/>
      </c>
      <c r="AF271" s="674" t="str">
        <f t="shared" si="170"/>
        <v/>
      </c>
      <c r="AG271" s="674" t="str">
        <f t="shared" si="170"/>
        <v/>
      </c>
      <c r="AH271" s="674" t="str">
        <f t="shared" si="170"/>
        <v/>
      </c>
      <c r="AI271" s="674" t="str">
        <f t="shared" si="170"/>
        <v/>
      </c>
      <c r="AJ271" s="674" t="str">
        <f t="shared" si="170"/>
        <v/>
      </c>
      <c r="AK271" s="675" t="str">
        <f t="shared" si="170"/>
        <v/>
      </c>
      <c r="AL271" s="15"/>
      <c r="AM271" s="15"/>
      <c r="AP271" s="536"/>
      <c r="AR271" s="537"/>
      <c r="AS271" s="529"/>
      <c r="AW271" s="390" t="str">
        <f>""</f>
        <v/>
      </c>
      <c r="AX271" s="531"/>
      <c r="AY271" s="390" t="str">
        <f>""</f>
        <v/>
      </c>
      <c r="BD271" s="520"/>
      <c r="BE271" s="520"/>
      <c r="BF271" s="520"/>
      <c r="BG271" s="520"/>
      <c r="BH271" s="520"/>
      <c r="BI271" s="520"/>
      <c r="BJ271" s="520"/>
      <c r="BK271" s="520"/>
      <c r="BL271" s="520"/>
      <c r="BM271" s="520"/>
      <c r="BN271" s="520"/>
      <c r="BO271" s="520"/>
      <c r="BP271" s="520"/>
      <c r="BQ271" s="520"/>
      <c r="BR271" s="520"/>
      <c r="BS271" s="520"/>
      <c r="BT271" s="520"/>
      <c r="BU271" s="520"/>
      <c r="BV271" s="520"/>
      <c r="BW271" s="520"/>
      <c r="BX271" s="520"/>
      <c r="BY271" s="520"/>
    </row>
    <row r="272" spans="1:84" ht="12" customHeight="1" x14ac:dyDescent="0.3">
      <c r="A272" s="765"/>
      <c r="E272" s="258" t="str">
        <f>$AX$95</f>
        <v>Egyik csapat góljainak száma: 3 p</v>
      </c>
      <c r="H272" s="673" t="str">
        <f t="shared" ref="H272:AK272" si="171">IF(OR(BC268,NOT($AS$26)),"",IF(AND(NOT($AS$32),COUNTIF(H269:H271,"ü")&gt;0),"",IF(OR(H267=$E267,H268=$E268),"ü"," ")))</f>
        <v/>
      </c>
      <c r="I272" s="674" t="str">
        <f t="shared" si="171"/>
        <v/>
      </c>
      <c r="J272" s="674" t="str">
        <f t="shared" si="171"/>
        <v/>
      </c>
      <c r="K272" s="674" t="str">
        <f t="shared" si="171"/>
        <v/>
      </c>
      <c r="L272" s="674" t="str">
        <f t="shared" si="171"/>
        <v/>
      </c>
      <c r="M272" s="674" t="str">
        <f t="shared" si="171"/>
        <v/>
      </c>
      <c r="N272" s="674" t="str">
        <f t="shared" si="171"/>
        <v/>
      </c>
      <c r="O272" s="674" t="str">
        <f t="shared" si="171"/>
        <v/>
      </c>
      <c r="P272" s="674" t="str">
        <f t="shared" si="171"/>
        <v/>
      </c>
      <c r="Q272" s="674" t="str">
        <f t="shared" si="171"/>
        <v/>
      </c>
      <c r="R272" s="674" t="str">
        <f t="shared" si="171"/>
        <v/>
      </c>
      <c r="S272" s="674" t="str">
        <f t="shared" si="171"/>
        <v/>
      </c>
      <c r="T272" s="674" t="str">
        <f t="shared" si="171"/>
        <v/>
      </c>
      <c r="U272" s="674" t="str">
        <f t="shared" si="171"/>
        <v/>
      </c>
      <c r="V272" s="674" t="str">
        <f t="shared" si="171"/>
        <v/>
      </c>
      <c r="W272" s="674" t="str">
        <f t="shared" si="171"/>
        <v/>
      </c>
      <c r="X272" s="674" t="str">
        <f t="shared" si="171"/>
        <v/>
      </c>
      <c r="Y272" s="674" t="str">
        <f t="shared" si="171"/>
        <v/>
      </c>
      <c r="Z272" s="674" t="str">
        <f t="shared" si="171"/>
        <v/>
      </c>
      <c r="AA272" s="674" t="str">
        <f t="shared" si="171"/>
        <v/>
      </c>
      <c r="AB272" s="674" t="str">
        <f t="shared" si="171"/>
        <v/>
      </c>
      <c r="AC272" s="674" t="str">
        <f t="shared" si="171"/>
        <v/>
      </c>
      <c r="AD272" s="674" t="str">
        <f t="shared" si="171"/>
        <v/>
      </c>
      <c r="AE272" s="674" t="str">
        <f t="shared" si="171"/>
        <v/>
      </c>
      <c r="AF272" s="674" t="str">
        <f t="shared" si="171"/>
        <v/>
      </c>
      <c r="AG272" s="674" t="str">
        <f t="shared" si="171"/>
        <v/>
      </c>
      <c r="AH272" s="674" t="str">
        <f t="shared" si="171"/>
        <v/>
      </c>
      <c r="AI272" s="674" t="str">
        <f t="shared" si="171"/>
        <v/>
      </c>
      <c r="AJ272" s="674" t="str">
        <f t="shared" si="171"/>
        <v/>
      </c>
      <c r="AK272" s="675" t="str">
        <f t="shared" si="171"/>
        <v/>
      </c>
      <c r="AL272" s="15"/>
      <c r="AM272" s="15"/>
      <c r="AP272" s="536"/>
      <c r="AR272" s="537"/>
      <c r="AS272" s="529"/>
      <c r="AW272" s="390" t="str">
        <f>""</f>
        <v/>
      </c>
      <c r="AX272" s="531"/>
      <c r="AY272" s="390" t="str">
        <f>""</f>
        <v/>
      </c>
      <c r="BD272" s="520"/>
      <c r="BE272" s="520"/>
      <c r="BF272" s="520"/>
      <c r="BG272" s="520"/>
      <c r="BH272" s="520"/>
      <c r="BI272" s="520"/>
      <c r="BJ272" s="520"/>
      <c r="BK272" s="520"/>
      <c r="BL272" s="520"/>
      <c r="BM272" s="520"/>
      <c r="BN272" s="520"/>
      <c r="BO272" s="520"/>
      <c r="BP272" s="520"/>
      <c r="BQ272" s="520"/>
      <c r="BR272" s="520"/>
      <c r="BS272" s="520"/>
      <c r="BT272" s="520"/>
      <c r="BU272" s="520"/>
      <c r="BV272" s="520"/>
      <c r="BW272" s="520"/>
      <c r="BX272" s="520"/>
      <c r="BY272" s="520"/>
    </row>
    <row r="273" spans="1:84" ht="12" customHeight="1" x14ac:dyDescent="0.3">
      <c r="A273" s="765"/>
      <c r="E273" s="258" t="str">
        <f>$AX$96</f>
        <v>Összes gól: 2 p</v>
      </c>
      <c r="H273" s="673" t="str">
        <f t="shared" ref="H273:AK273" si="172">IF(OR(BC268,NOT($AS$28)),"",IF(AND(NOT($AS$32),COUNTIF(H269:H272,"ü")&gt;0),"",IF(H267+H268=$E267+$E268,"ü"," ")))</f>
        <v/>
      </c>
      <c r="I273" s="674" t="str">
        <f t="shared" si="172"/>
        <v/>
      </c>
      <c r="J273" s="674" t="str">
        <f t="shared" si="172"/>
        <v/>
      </c>
      <c r="K273" s="674" t="str">
        <f t="shared" si="172"/>
        <v/>
      </c>
      <c r="L273" s="674" t="str">
        <f t="shared" si="172"/>
        <v/>
      </c>
      <c r="M273" s="674" t="str">
        <f t="shared" si="172"/>
        <v/>
      </c>
      <c r="N273" s="674" t="str">
        <f t="shared" si="172"/>
        <v/>
      </c>
      <c r="O273" s="674" t="str">
        <f t="shared" si="172"/>
        <v/>
      </c>
      <c r="P273" s="674" t="str">
        <f t="shared" si="172"/>
        <v/>
      </c>
      <c r="Q273" s="674" t="str">
        <f t="shared" si="172"/>
        <v/>
      </c>
      <c r="R273" s="674" t="str">
        <f t="shared" si="172"/>
        <v/>
      </c>
      <c r="S273" s="674" t="str">
        <f t="shared" si="172"/>
        <v/>
      </c>
      <c r="T273" s="674" t="str">
        <f t="shared" si="172"/>
        <v/>
      </c>
      <c r="U273" s="674" t="str">
        <f t="shared" si="172"/>
        <v/>
      </c>
      <c r="V273" s="674" t="str">
        <f t="shared" si="172"/>
        <v/>
      </c>
      <c r="W273" s="674" t="str">
        <f t="shared" si="172"/>
        <v/>
      </c>
      <c r="X273" s="674" t="str">
        <f t="shared" si="172"/>
        <v/>
      </c>
      <c r="Y273" s="674" t="str">
        <f t="shared" si="172"/>
        <v/>
      </c>
      <c r="Z273" s="674" t="str">
        <f t="shared" si="172"/>
        <v/>
      </c>
      <c r="AA273" s="674" t="str">
        <f t="shared" si="172"/>
        <v/>
      </c>
      <c r="AB273" s="674" t="str">
        <f t="shared" si="172"/>
        <v/>
      </c>
      <c r="AC273" s="674" t="str">
        <f t="shared" si="172"/>
        <v/>
      </c>
      <c r="AD273" s="674" t="str">
        <f t="shared" si="172"/>
        <v/>
      </c>
      <c r="AE273" s="674" t="str">
        <f t="shared" si="172"/>
        <v/>
      </c>
      <c r="AF273" s="674" t="str">
        <f t="shared" si="172"/>
        <v/>
      </c>
      <c r="AG273" s="674" t="str">
        <f t="shared" si="172"/>
        <v/>
      </c>
      <c r="AH273" s="674" t="str">
        <f t="shared" si="172"/>
        <v/>
      </c>
      <c r="AI273" s="674" t="str">
        <f t="shared" si="172"/>
        <v/>
      </c>
      <c r="AJ273" s="674" t="str">
        <f t="shared" si="172"/>
        <v/>
      </c>
      <c r="AK273" s="675" t="str">
        <f t="shared" si="172"/>
        <v/>
      </c>
      <c r="AL273" s="15"/>
      <c r="AM273" s="15"/>
      <c r="AP273" s="536"/>
      <c r="AR273" s="537"/>
      <c r="AS273" s="529"/>
      <c r="AW273" s="390" t="str">
        <f>""</f>
        <v/>
      </c>
      <c r="AX273" s="531"/>
      <c r="AY273" s="390" t="str">
        <f>""</f>
        <v/>
      </c>
      <c r="BD273" s="520"/>
      <c r="BE273" s="520"/>
      <c r="BF273" s="520"/>
      <c r="BG273" s="520"/>
      <c r="BH273" s="520"/>
      <c r="BI273" s="520"/>
      <c r="BJ273" s="520"/>
      <c r="BK273" s="520"/>
      <c r="BL273" s="520"/>
      <c r="BM273" s="520"/>
      <c r="BN273" s="520"/>
      <c r="BO273" s="520"/>
      <c r="BP273" s="520"/>
      <c r="BQ273" s="520"/>
      <c r="BR273" s="520"/>
      <c r="BS273" s="520"/>
      <c r="BT273" s="520"/>
      <c r="BU273" s="520"/>
      <c r="BV273" s="520"/>
      <c r="BW273" s="520"/>
      <c r="BX273" s="520"/>
      <c r="BY273" s="520"/>
    </row>
    <row r="274" spans="1:84" ht="12" customHeight="1" x14ac:dyDescent="0.3">
      <c r="A274" s="765"/>
      <c r="E274" s="258" t="str">
        <f>$AX$97</f>
        <v>Fordított gólkülönbség: 1 p</v>
      </c>
      <c r="H274" s="676" t="str">
        <f t="shared" ref="H274:AK274" si="173">IF(OR(BC268,NOT($AS$30)),"",IF(AND(NOT($AS$32),COUNTIF(H269:H273,"ü")&gt;0),"",IF(AND(H267-H268=$E268-$E267,H267&lt;&gt;H268),"ü"," ")))</f>
        <v/>
      </c>
      <c r="I274" s="677" t="str">
        <f t="shared" si="173"/>
        <v/>
      </c>
      <c r="J274" s="677" t="str">
        <f t="shared" si="173"/>
        <v/>
      </c>
      <c r="K274" s="677" t="str">
        <f t="shared" si="173"/>
        <v/>
      </c>
      <c r="L274" s="677" t="str">
        <f t="shared" si="173"/>
        <v/>
      </c>
      <c r="M274" s="677" t="str">
        <f t="shared" si="173"/>
        <v/>
      </c>
      <c r="N274" s="677" t="str">
        <f t="shared" si="173"/>
        <v/>
      </c>
      <c r="O274" s="677" t="str">
        <f t="shared" si="173"/>
        <v/>
      </c>
      <c r="P274" s="677" t="str">
        <f t="shared" si="173"/>
        <v/>
      </c>
      <c r="Q274" s="677" t="str">
        <f t="shared" si="173"/>
        <v/>
      </c>
      <c r="R274" s="677" t="str">
        <f t="shared" si="173"/>
        <v/>
      </c>
      <c r="S274" s="677" t="str">
        <f t="shared" si="173"/>
        <v/>
      </c>
      <c r="T274" s="677" t="str">
        <f t="shared" si="173"/>
        <v/>
      </c>
      <c r="U274" s="677" t="str">
        <f t="shared" si="173"/>
        <v/>
      </c>
      <c r="V274" s="677" t="str">
        <f t="shared" si="173"/>
        <v/>
      </c>
      <c r="W274" s="677" t="str">
        <f t="shared" si="173"/>
        <v/>
      </c>
      <c r="X274" s="677" t="str">
        <f t="shared" si="173"/>
        <v/>
      </c>
      <c r="Y274" s="677" t="str">
        <f t="shared" si="173"/>
        <v/>
      </c>
      <c r="Z274" s="677" t="str">
        <f t="shared" si="173"/>
        <v/>
      </c>
      <c r="AA274" s="677" t="str">
        <f t="shared" si="173"/>
        <v/>
      </c>
      <c r="AB274" s="677" t="str">
        <f t="shared" si="173"/>
        <v/>
      </c>
      <c r="AC274" s="677" t="str">
        <f t="shared" si="173"/>
        <v/>
      </c>
      <c r="AD274" s="677" t="str">
        <f t="shared" si="173"/>
        <v/>
      </c>
      <c r="AE274" s="677" t="str">
        <f t="shared" si="173"/>
        <v/>
      </c>
      <c r="AF274" s="677" t="str">
        <f t="shared" si="173"/>
        <v/>
      </c>
      <c r="AG274" s="677" t="str">
        <f t="shared" si="173"/>
        <v/>
      </c>
      <c r="AH274" s="677" t="str">
        <f t="shared" si="173"/>
        <v/>
      </c>
      <c r="AI274" s="677" t="str">
        <f t="shared" si="173"/>
        <v/>
      </c>
      <c r="AJ274" s="677" t="str">
        <f t="shared" si="173"/>
        <v/>
      </c>
      <c r="AK274" s="678" t="str">
        <f t="shared" si="173"/>
        <v/>
      </c>
      <c r="AL274" s="15"/>
      <c r="AM274" s="15"/>
      <c r="AP274" s="536"/>
      <c r="AR274" s="537"/>
      <c r="AS274" s="529"/>
      <c r="AW274" s="390" t="str">
        <f>""</f>
        <v/>
      </c>
      <c r="AX274" s="531"/>
      <c r="AY274" s="390" t="str">
        <f>""</f>
        <v/>
      </c>
      <c r="BD274" s="520"/>
      <c r="BE274" s="520"/>
      <c r="BF274" s="520"/>
      <c r="BG274" s="520"/>
      <c r="BH274" s="520"/>
      <c r="BI274" s="520"/>
      <c r="BJ274" s="520"/>
      <c r="BK274" s="520"/>
      <c r="BL274" s="520"/>
      <c r="BM274" s="520"/>
      <c r="BN274" s="520"/>
      <c r="BO274" s="520"/>
      <c r="BP274" s="520"/>
      <c r="BQ274" s="520"/>
      <c r="BR274" s="520"/>
      <c r="BS274" s="520"/>
      <c r="BT274" s="520"/>
      <c r="BU274" s="520"/>
      <c r="BV274" s="520"/>
      <c r="BW274" s="520"/>
      <c r="BX274" s="520"/>
      <c r="BY274" s="520"/>
    </row>
    <row r="275" spans="1:84" ht="15" customHeight="1" x14ac:dyDescent="0.3">
      <c r="A275" s="765"/>
      <c r="E275" s="79" t="s">
        <v>799</v>
      </c>
      <c r="H275" s="679">
        <f t="shared" ref="H275:AK275" si="174">IF(NOT(H$13),"",SUMPRODUCT((H269:H274="ü")*($AW$92:$AW$97)))</f>
        <v>0</v>
      </c>
      <c r="I275" s="680">
        <f t="shared" si="174"/>
        <v>0</v>
      </c>
      <c r="J275" s="680">
        <f t="shared" si="174"/>
        <v>0</v>
      </c>
      <c r="K275" s="680">
        <f t="shared" si="174"/>
        <v>0</v>
      </c>
      <c r="L275" s="680">
        <f t="shared" si="174"/>
        <v>0</v>
      </c>
      <c r="M275" s="680">
        <f t="shared" si="174"/>
        <v>0</v>
      </c>
      <c r="N275" s="680">
        <f t="shared" si="174"/>
        <v>0</v>
      </c>
      <c r="O275" s="680">
        <f t="shared" si="174"/>
        <v>0</v>
      </c>
      <c r="P275" s="680">
        <f t="shared" si="174"/>
        <v>0</v>
      </c>
      <c r="Q275" s="680">
        <f t="shared" si="174"/>
        <v>0</v>
      </c>
      <c r="R275" s="680">
        <f t="shared" si="174"/>
        <v>0</v>
      </c>
      <c r="S275" s="680">
        <f t="shared" si="174"/>
        <v>0</v>
      </c>
      <c r="T275" s="680">
        <f t="shared" si="174"/>
        <v>0</v>
      </c>
      <c r="U275" s="680">
        <f t="shared" si="174"/>
        <v>0</v>
      </c>
      <c r="V275" s="680">
        <f t="shared" si="174"/>
        <v>0</v>
      </c>
      <c r="W275" s="680">
        <f t="shared" si="174"/>
        <v>0</v>
      </c>
      <c r="X275" s="680">
        <f t="shared" si="174"/>
        <v>0</v>
      </c>
      <c r="Y275" s="680">
        <f t="shared" si="174"/>
        <v>0</v>
      </c>
      <c r="Z275" s="680">
        <f t="shared" si="174"/>
        <v>0</v>
      </c>
      <c r="AA275" s="680">
        <f t="shared" si="174"/>
        <v>0</v>
      </c>
      <c r="AB275" s="680">
        <f t="shared" si="174"/>
        <v>0</v>
      </c>
      <c r="AC275" s="680">
        <f t="shared" si="174"/>
        <v>0</v>
      </c>
      <c r="AD275" s="680">
        <f t="shared" si="174"/>
        <v>0</v>
      </c>
      <c r="AE275" s="680" t="str">
        <f t="shared" si="174"/>
        <v/>
      </c>
      <c r="AF275" s="680" t="str">
        <f t="shared" si="174"/>
        <v/>
      </c>
      <c r="AG275" s="680" t="str">
        <f t="shared" si="174"/>
        <v/>
      </c>
      <c r="AH275" s="680" t="str">
        <f t="shared" si="174"/>
        <v/>
      </c>
      <c r="AI275" s="680" t="str">
        <f t="shared" si="174"/>
        <v/>
      </c>
      <c r="AJ275" s="680" t="str">
        <f t="shared" si="174"/>
        <v/>
      </c>
      <c r="AK275" s="681" t="str">
        <f t="shared" si="174"/>
        <v/>
      </c>
      <c r="AP275" s="536"/>
      <c r="AR275" s="537"/>
      <c r="AS275" s="529"/>
    </row>
    <row r="276" spans="1:84" ht="9" customHeight="1" x14ac:dyDescent="0.3">
      <c r="A276" s="765"/>
      <c r="D276" s="15"/>
      <c r="E276" s="15"/>
      <c r="F276" s="15"/>
      <c r="G276" s="15"/>
      <c r="H276" s="15"/>
      <c r="I276" s="16"/>
      <c r="J276" s="15"/>
      <c r="K276" s="15"/>
      <c r="L276" s="16"/>
      <c r="M276" s="15"/>
      <c r="N276" s="15"/>
      <c r="O276" s="16"/>
      <c r="P276" s="15"/>
      <c r="Q276" s="15"/>
      <c r="R276" s="16"/>
      <c r="S276" s="15"/>
      <c r="T276" s="15"/>
      <c r="U276" s="16"/>
      <c r="V276" s="15"/>
      <c r="W276" s="15"/>
      <c r="X276" s="16"/>
      <c r="Y276" s="15"/>
      <c r="Z276" s="15"/>
      <c r="AA276" s="16"/>
      <c r="AB276" s="15"/>
      <c r="AC276" s="15"/>
      <c r="AD276" s="16"/>
      <c r="AE276" s="15"/>
      <c r="AF276" s="15"/>
      <c r="AG276" s="16"/>
      <c r="AH276" s="15"/>
      <c r="AI276" s="15"/>
      <c r="AJ276" s="16"/>
      <c r="AK276" s="15"/>
      <c r="AP276" s="536"/>
      <c r="AR276" s="537"/>
      <c r="AS276" s="529"/>
    </row>
    <row r="277" spans="1:84" ht="15" customHeight="1" x14ac:dyDescent="0.3">
      <c r="A277" s="765"/>
      <c r="C277" s="27" t="str">
        <f>" "&amp;VLOOKUP(AQ278,schedule,18,FALSE)&amp;"  ("&amp;VLOOKUP(AQ278,schedule,3,FALSE)&amp;" CSOPORT)"</f>
        <v xml:space="preserve"> JÚNIUS 17. – CSÜTÖRTÖK 18:00  (B CSOPORT)</v>
      </c>
      <c r="D277" s="27"/>
      <c r="E277" s="26"/>
      <c r="F277" s="26"/>
      <c r="G277" s="26"/>
      <c r="H277" s="26"/>
      <c r="I277" s="26"/>
      <c r="J277" s="26"/>
      <c r="AP277" s="536"/>
      <c r="AR277" s="537"/>
      <c r="AS277" s="529"/>
    </row>
    <row r="278" spans="1:84" ht="15" customHeight="1" x14ac:dyDescent="0.3">
      <c r="A278" s="765"/>
      <c r="C278" s="661"/>
      <c r="D278" s="662" t="str">
        <f>IF(INDEX(n.er,$AR278,8)="","",INDEX(n.er,$AR278,8))</f>
        <v>Dánia</v>
      </c>
      <c r="E278" s="663" t="str">
        <f>IF(NOT($AS278),"",INDEX(n.er,$AR278,9))</f>
        <v/>
      </c>
      <c r="F278" s="662"/>
      <c r="G278" s="259"/>
      <c r="H278" s="664">
        <v>1</v>
      </c>
      <c r="I278" s="665">
        <v>0</v>
      </c>
      <c r="J278" s="665">
        <v>1</v>
      </c>
      <c r="K278" s="665">
        <v>2</v>
      </c>
      <c r="L278" s="665">
        <v>0</v>
      </c>
      <c r="M278" s="665">
        <v>2</v>
      </c>
      <c r="N278" s="665">
        <v>1</v>
      </c>
      <c r="O278" s="665">
        <v>1</v>
      </c>
      <c r="P278" s="665">
        <v>1</v>
      </c>
      <c r="Q278" s="665">
        <v>1</v>
      </c>
      <c r="R278" s="665">
        <v>1</v>
      </c>
      <c r="S278" s="665">
        <v>1</v>
      </c>
      <c r="T278" s="665">
        <v>1</v>
      </c>
      <c r="U278" s="665">
        <v>1</v>
      </c>
      <c r="V278" s="665">
        <v>3</v>
      </c>
      <c r="W278" s="665">
        <v>1</v>
      </c>
      <c r="X278" s="665">
        <v>2</v>
      </c>
      <c r="Y278" s="665">
        <v>2</v>
      </c>
      <c r="Z278" s="665">
        <v>1</v>
      </c>
      <c r="AA278" s="665">
        <v>1</v>
      </c>
      <c r="AB278" s="665">
        <v>0</v>
      </c>
      <c r="AC278" s="665">
        <v>4</v>
      </c>
      <c r="AD278" s="665">
        <v>1</v>
      </c>
      <c r="AE278" s="665"/>
      <c r="AF278" s="665"/>
      <c r="AG278" s="665"/>
      <c r="AH278" s="665"/>
      <c r="AI278" s="665"/>
      <c r="AJ278" s="665"/>
      <c r="AK278" s="666"/>
      <c r="AP278" s="52">
        <f>AP267+1</f>
        <v>17</v>
      </c>
      <c r="AQ278" s="311">
        <f>INDEX(schedule,AP278,1)</f>
        <v>17</v>
      </c>
      <c r="AR278" s="311">
        <f>MATCH(AQ278,n.er.index,0)</f>
        <v>41</v>
      </c>
      <c r="AS278" s="532" t="b">
        <f>INDEX(n.er,$AR278,3)</f>
        <v>0</v>
      </c>
      <c r="AT278" s="531"/>
      <c r="AU278" s="531"/>
      <c r="AV278" s="531"/>
      <c r="AW278" s="531"/>
      <c r="AX278" s="531"/>
      <c r="BC278" s="525" t="b">
        <f t="shared" ref="BC278:CF278" si="175">IF(AND(ISNUMBER(H278),ISNUMBER(H279),H278&lt;&gt;"",H279&lt;&gt;""),AND(H278&gt;=0,H279&gt;=0,MOD(H278+H279,1)=0),FALSE)</f>
        <v>1</v>
      </c>
      <c r="BD278" s="525" t="b">
        <f t="shared" si="175"/>
        <v>1</v>
      </c>
      <c r="BE278" s="525" t="b">
        <f t="shared" si="175"/>
        <v>1</v>
      </c>
      <c r="BF278" s="525" t="b">
        <f t="shared" si="175"/>
        <v>1</v>
      </c>
      <c r="BG278" s="525" t="b">
        <f t="shared" si="175"/>
        <v>1</v>
      </c>
      <c r="BH278" s="525" t="b">
        <f t="shared" si="175"/>
        <v>1</v>
      </c>
      <c r="BI278" s="525" t="b">
        <f t="shared" si="175"/>
        <v>1</v>
      </c>
      <c r="BJ278" s="525" t="b">
        <f t="shared" si="175"/>
        <v>1</v>
      </c>
      <c r="BK278" s="525" t="b">
        <f t="shared" si="175"/>
        <v>1</v>
      </c>
      <c r="BL278" s="525" t="b">
        <f t="shared" si="175"/>
        <v>1</v>
      </c>
      <c r="BM278" s="525" t="b">
        <f t="shared" si="175"/>
        <v>1</v>
      </c>
      <c r="BN278" s="525" t="b">
        <f t="shared" si="175"/>
        <v>1</v>
      </c>
      <c r="BO278" s="525" t="b">
        <f t="shared" si="175"/>
        <v>1</v>
      </c>
      <c r="BP278" s="525" t="b">
        <f t="shared" si="175"/>
        <v>1</v>
      </c>
      <c r="BQ278" s="525" t="b">
        <f t="shared" si="175"/>
        <v>1</v>
      </c>
      <c r="BR278" s="525" t="b">
        <f t="shared" si="175"/>
        <v>1</v>
      </c>
      <c r="BS278" s="525" t="b">
        <f t="shared" si="175"/>
        <v>1</v>
      </c>
      <c r="BT278" s="525" t="b">
        <f t="shared" si="175"/>
        <v>1</v>
      </c>
      <c r="BU278" s="525" t="b">
        <f t="shared" si="175"/>
        <v>1</v>
      </c>
      <c r="BV278" s="525" t="b">
        <f t="shared" si="175"/>
        <v>1</v>
      </c>
      <c r="BW278" s="525" t="b">
        <f t="shared" si="175"/>
        <v>1</v>
      </c>
      <c r="BX278" s="525" t="b">
        <f t="shared" si="175"/>
        <v>1</v>
      </c>
      <c r="BY278" s="525" t="b">
        <f t="shared" si="175"/>
        <v>1</v>
      </c>
      <c r="BZ278" s="525" t="b">
        <f t="shared" si="175"/>
        <v>0</v>
      </c>
      <c r="CA278" s="525" t="b">
        <f t="shared" si="175"/>
        <v>0</v>
      </c>
      <c r="CB278" s="525" t="b">
        <f t="shared" si="175"/>
        <v>0</v>
      </c>
      <c r="CC278" s="525" t="b">
        <f t="shared" si="175"/>
        <v>0</v>
      </c>
      <c r="CD278" s="525" t="b">
        <f t="shared" si="175"/>
        <v>0</v>
      </c>
      <c r="CE278" s="525" t="b">
        <f t="shared" si="175"/>
        <v>0</v>
      </c>
      <c r="CF278" s="525" t="b">
        <f t="shared" si="175"/>
        <v>0</v>
      </c>
    </row>
    <row r="279" spans="1:84" ht="15" customHeight="1" x14ac:dyDescent="0.3">
      <c r="A279" s="765"/>
      <c r="C279" s="695"/>
      <c r="D279" s="696" t="str">
        <f>IF(INDEX(n.er,$AR278,11)="","",INDEX(n.er,$AR278,11))</f>
        <v>Belgium</v>
      </c>
      <c r="E279" s="697" t="str">
        <f>IF(NOT($AS278),"",INDEX(n.er,$AR278,10))</f>
        <v/>
      </c>
      <c r="F279" s="696"/>
      <c r="G279" s="259"/>
      <c r="H279" s="667">
        <v>1</v>
      </c>
      <c r="I279" s="668">
        <v>1</v>
      </c>
      <c r="J279" s="668">
        <v>3</v>
      </c>
      <c r="K279" s="668">
        <v>3</v>
      </c>
      <c r="L279" s="668">
        <v>1</v>
      </c>
      <c r="M279" s="668">
        <v>2</v>
      </c>
      <c r="N279" s="668">
        <v>2</v>
      </c>
      <c r="O279" s="668">
        <v>3</v>
      </c>
      <c r="P279" s="668">
        <v>3</v>
      </c>
      <c r="Q279" s="668">
        <v>3</v>
      </c>
      <c r="R279" s="668">
        <v>2</v>
      </c>
      <c r="S279" s="668">
        <v>2</v>
      </c>
      <c r="T279" s="668">
        <v>3</v>
      </c>
      <c r="U279" s="668">
        <v>2</v>
      </c>
      <c r="V279" s="668">
        <v>2</v>
      </c>
      <c r="W279" s="668">
        <v>2</v>
      </c>
      <c r="X279" s="668">
        <v>3</v>
      </c>
      <c r="Y279" s="668">
        <v>3</v>
      </c>
      <c r="Z279" s="668">
        <v>3</v>
      </c>
      <c r="AA279" s="668">
        <v>2</v>
      </c>
      <c r="AB279" s="668">
        <v>2</v>
      </c>
      <c r="AC279" s="668">
        <v>1</v>
      </c>
      <c r="AD279" s="668">
        <v>3</v>
      </c>
      <c r="AE279" s="668"/>
      <c r="AF279" s="668"/>
      <c r="AG279" s="668"/>
      <c r="AH279" s="668"/>
      <c r="AI279" s="668"/>
      <c r="AJ279" s="668"/>
      <c r="AK279" s="669"/>
      <c r="AP279" s="533"/>
      <c r="AQ279" s="577"/>
      <c r="AR279" s="534"/>
      <c r="AS279" s="535"/>
      <c r="AX279" s="531"/>
      <c r="BC279" s="34" t="b">
        <f t="shared" ref="BC279:CF279" si="176">OR(NOT(H$13),NOT($AS278),NOT(BC278))</f>
        <v>1</v>
      </c>
      <c r="BD279" s="34" t="b">
        <f t="shared" si="176"/>
        <v>1</v>
      </c>
      <c r="BE279" s="34" t="b">
        <f t="shared" si="176"/>
        <v>1</v>
      </c>
      <c r="BF279" s="34" t="b">
        <f t="shared" si="176"/>
        <v>1</v>
      </c>
      <c r="BG279" s="34" t="b">
        <f t="shared" si="176"/>
        <v>1</v>
      </c>
      <c r="BH279" s="34" t="b">
        <f t="shared" si="176"/>
        <v>1</v>
      </c>
      <c r="BI279" s="34" t="b">
        <f t="shared" si="176"/>
        <v>1</v>
      </c>
      <c r="BJ279" s="34" t="b">
        <f t="shared" si="176"/>
        <v>1</v>
      </c>
      <c r="BK279" s="34" t="b">
        <f t="shared" si="176"/>
        <v>1</v>
      </c>
      <c r="BL279" s="34" t="b">
        <f t="shared" si="176"/>
        <v>1</v>
      </c>
      <c r="BM279" s="34" t="b">
        <f t="shared" si="176"/>
        <v>1</v>
      </c>
      <c r="BN279" s="34" t="b">
        <f t="shared" si="176"/>
        <v>1</v>
      </c>
      <c r="BO279" s="34" t="b">
        <f t="shared" si="176"/>
        <v>1</v>
      </c>
      <c r="BP279" s="34" t="b">
        <f t="shared" si="176"/>
        <v>1</v>
      </c>
      <c r="BQ279" s="34" t="b">
        <f t="shared" si="176"/>
        <v>1</v>
      </c>
      <c r="BR279" s="34" t="b">
        <f t="shared" si="176"/>
        <v>1</v>
      </c>
      <c r="BS279" s="34" t="b">
        <f t="shared" si="176"/>
        <v>1</v>
      </c>
      <c r="BT279" s="34" t="b">
        <f t="shared" si="176"/>
        <v>1</v>
      </c>
      <c r="BU279" s="34" t="b">
        <f t="shared" si="176"/>
        <v>1</v>
      </c>
      <c r="BV279" s="34" t="b">
        <f t="shared" si="176"/>
        <v>1</v>
      </c>
      <c r="BW279" s="34" t="b">
        <f t="shared" si="176"/>
        <v>1</v>
      </c>
      <c r="BX279" s="34" t="b">
        <f t="shared" si="176"/>
        <v>1</v>
      </c>
      <c r="BY279" s="34" t="b">
        <f t="shared" si="176"/>
        <v>1</v>
      </c>
      <c r="BZ279" s="34" t="b">
        <f t="shared" si="176"/>
        <v>1</v>
      </c>
      <c r="CA279" s="34" t="b">
        <f t="shared" si="176"/>
        <v>1</v>
      </c>
      <c r="CB279" s="34" t="b">
        <f t="shared" si="176"/>
        <v>1</v>
      </c>
      <c r="CC279" s="34" t="b">
        <f t="shared" si="176"/>
        <v>1</v>
      </c>
      <c r="CD279" s="34" t="b">
        <f t="shared" si="176"/>
        <v>1</v>
      </c>
      <c r="CE279" s="34" t="b">
        <f t="shared" si="176"/>
        <v>1</v>
      </c>
      <c r="CF279" s="34" t="b">
        <f t="shared" si="176"/>
        <v>1</v>
      </c>
    </row>
    <row r="280" spans="1:84" ht="12" customHeight="1" x14ac:dyDescent="0.3">
      <c r="A280" s="765"/>
      <c r="E280" s="258" t="str">
        <f>$AX$92</f>
        <v>Telitalálat: 10 p</v>
      </c>
      <c r="H280" s="670" t="str">
        <f t="shared" ref="H280:AK280" si="177">IF(OR(BC279,NOT($AS$20)),"",IF(AND(H278=$E278,H279=$E279),"ü",""))</f>
        <v/>
      </c>
      <c r="I280" s="671" t="str">
        <f t="shared" si="177"/>
        <v/>
      </c>
      <c r="J280" s="671" t="str">
        <f t="shared" si="177"/>
        <v/>
      </c>
      <c r="K280" s="671" t="str">
        <f t="shared" si="177"/>
        <v/>
      </c>
      <c r="L280" s="671" t="str">
        <f t="shared" si="177"/>
        <v/>
      </c>
      <c r="M280" s="671" t="str">
        <f t="shared" si="177"/>
        <v/>
      </c>
      <c r="N280" s="671" t="str">
        <f t="shared" si="177"/>
        <v/>
      </c>
      <c r="O280" s="671" t="str">
        <f t="shared" si="177"/>
        <v/>
      </c>
      <c r="P280" s="671" t="str">
        <f t="shared" si="177"/>
        <v/>
      </c>
      <c r="Q280" s="671" t="str">
        <f t="shared" si="177"/>
        <v/>
      </c>
      <c r="R280" s="671" t="str">
        <f t="shared" si="177"/>
        <v/>
      </c>
      <c r="S280" s="671" t="str">
        <f t="shared" si="177"/>
        <v/>
      </c>
      <c r="T280" s="671" t="str">
        <f t="shared" si="177"/>
        <v/>
      </c>
      <c r="U280" s="671" t="str">
        <f t="shared" si="177"/>
        <v/>
      </c>
      <c r="V280" s="671" t="str">
        <f t="shared" si="177"/>
        <v/>
      </c>
      <c r="W280" s="671" t="str">
        <f t="shared" si="177"/>
        <v/>
      </c>
      <c r="X280" s="671" t="str">
        <f t="shared" si="177"/>
        <v/>
      </c>
      <c r="Y280" s="671" t="str">
        <f t="shared" si="177"/>
        <v/>
      </c>
      <c r="Z280" s="671" t="str">
        <f t="shared" si="177"/>
        <v/>
      </c>
      <c r="AA280" s="671" t="str">
        <f t="shared" si="177"/>
        <v/>
      </c>
      <c r="AB280" s="671" t="str">
        <f t="shared" si="177"/>
        <v/>
      </c>
      <c r="AC280" s="671" t="str">
        <f t="shared" si="177"/>
        <v/>
      </c>
      <c r="AD280" s="671" t="str">
        <f t="shared" si="177"/>
        <v/>
      </c>
      <c r="AE280" s="671" t="str">
        <f t="shared" si="177"/>
        <v/>
      </c>
      <c r="AF280" s="671" t="str">
        <f t="shared" si="177"/>
        <v/>
      </c>
      <c r="AG280" s="671" t="str">
        <f t="shared" si="177"/>
        <v/>
      </c>
      <c r="AH280" s="671" t="str">
        <f t="shared" si="177"/>
        <v/>
      </c>
      <c r="AI280" s="671" t="str">
        <f t="shared" si="177"/>
        <v/>
      </c>
      <c r="AJ280" s="671" t="str">
        <f t="shared" si="177"/>
        <v/>
      </c>
      <c r="AK280" s="672" t="str">
        <f t="shared" si="177"/>
        <v/>
      </c>
      <c r="AL280" s="15"/>
      <c r="AM280" s="15"/>
      <c r="AP280" s="536"/>
      <c r="AR280" s="537"/>
      <c r="AS280" s="529"/>
      <c r="AW280" s="390" t="str">
        <f>""</f>
        <v/>
      </c>
      <c r="AX280" s="531"/>
      <c r="AY280" s="390" t="str">
        <f>""</f>
        <v/>
      </c>
      <c r="BD280" s="520"/>
      <c r="BE280" s="520"/>
      <c r="BF280" s="520"/>
      <c r="BG280" s="520"/>
      <c r="BH280" s="520"/>
      <c r="BI280" s="520"/>
      <c r="BJ280" s="520"/>
      <c r="BK280" s="520"/>
      <c r="BL280" s="520"/>
      <c r="BM280" s="520"/>
      <c r="BN280" s="520"/>
      <c r="BO280" s="520"/>
      <c r="BP280" s="520"/>
      <c r="BQ280" s="520"/>
      <c r="BR280" s="520"/>
      <c r="BS280" s="520"/>
      <c r="BT280" s="520"/>
      <c r="BU280" s="520"/>
      <c r="BV280" s="520"/>
      <c r="BW280" s="520"/>
      <c r="BX280" s="520"/>
      <c r="BY280" s="520"/>
    </row>
    <row r="281" spans="1:84" ht="12" customHeight="1" x14ac:dyDescent="0.3">
      <c r="A281" s="765"/>
      <c r="E281" s="258" t="str">
        <f>$AX$93</f>
        <v>Gólkülönbség: 6 p</v>
      </c>
      <c r="H281" s="673" t="str">
        <f t="shared" ref="H281:AK281" si="178">IF(OR(BC279,NOT($AS$22)),"",IF(AND(NOT($AS$32),H280="ü"),"",IF(H278-H279=$E278-$E279,"ü"," ")))</f>
        <v/>
      </c>
      <c r="I281" s="674" t="str">
        <f t="shared" si="178"/>
        <v/>
      </c>
      <c r="J281" s="674" t="str">
        <f t="shared" si="178"/>
        <v/>
      </c>
      <c r="K281" s="674" t="str">
        <f t="shared" si="178"/>
        <v/>
      </c>
      <c r="L281" s="674" t="str">
        <f t="shared" si="178"/>
        <v/>
      </c>
      <c r="M281" s="674" t="str">
        <f t="shared" si="178"/>
        <v/>
      </c>
      <c r="N281" s="674" t="str">
        <f t="shared" si="178"/>
        <v/>
      </c>
      <c r="O281" s="674" t="str">
        <f t="shared" si="178"/>
        <v/>
      </c>
      <c r="P281" s="674" t="str">
        <f t="shared" si="178"/>
        <v/>
      </c>
      <c r="Q281" s="674" t="str">
        <f t="shared" si="178"/>
        <v/>
      </c>
      <c r="R281" s="674" t="str">
        <f t="shared" si="178"/>
        <v/>
      </c>
      <c r="S281" s="674" t="str">
        <f t="shared" si="178"/>
        <v/>
      </c>
      <c r="T281" s="674" t="str">
        <f t="shared" si="178"/>
        <v/>
      </c>
      <c r="U281" s="674" t="str">
        <f t="shared" si="178"/>
        <v/>
      </c>
      <c r="V281" s="674" t="str">
        <f t="shared" si="178"/>
        <v/>
      </c>
      <c r="W281" s="674" t="str">
        <f t="shared" si="178"/>
        <v/>
      </c>
      <c r="X281" s="674" t="str">
        <f t="shared" si="178"/>
        <v/>
      </c>
      <c r="Y281" s="674" t="str">
        <f t="shared" si="178"/>
        <v/>
      </c>
      <c r="Z281" s="674" t="str">
        <f t="shared" si="178"/>
        <v/>
      </c>
      <c r="AA281" s="674" t="str">
        <f t="shared" si="178"/>
        <v/>
      </c>
      <c r="AB281" s="674" t="str">
        <f t="shared" si="178"/>
        <v/>
      </c>
      <c r="AC281" s="674" t="str">
        <f t="shared" si="178"/>
        <v/>
      </c>
      <c r="AD281" s="674" t="str">
        <f t="shared" si="178"/>
        <v/>
      </c>
      <c r="AE281" s="674" t="str">
        <f t="shared" si="178"/>
        <v/>
      </c>
      <c r="AF281" s="674" t="str">
        <f t="shared" si="178"/>
        <v/>
      </c>
      <c r="AG281" s="674" t="str">
        <f t="shared" si="178"/>
        <v/>
      </c>
      <c r="AH281" s="674" t="str">
        <f t="shared" si="178"/>
        <v/>
      </c>
      <c r="AI281" s="674" t="str">
        <f t="shared" si="178"/>
        <v/>
      </c>
      <c r="AJ281" s="674" t="str">
        <f t="shared" si="178"/>
        <v/>
      </c>
      <c r="AK281" s="675" t="str">
        <f t="shared" si="178"/>
        <v/>
      </c>
      <c r="AL281" s="15"/>
      <c r="AM281" s="15"/>
      <c r="AP281" s="536"/>
      <c r="AR281" s="537"/>
      <c r="AS281" s="529"/>
      <c r="AW281" s="390" t="str">
        <f>""</f>
        <v/>
      </c>
      <c r="AX281" s="531"/>
      <c r="AY281" s="390" t="str">
        <f>""</f>
        <v/>
      </c>
      <c r="BD281" s="520"/>
      <c r="BE281" s="520"/>
      <c r="BF281" s="520"/>
      <c r="BG281" s="520"/>
      <c r="BH281" s="520"/>
      <c r="BI281" s="520"/>
      <c r="BJ281" s="520"/>
      <c r="BK281" s="520"/>
      <c r="BL281" s="520"/>
      <c r="BM281" s="520"/>
      <c r="BN281" s="520"/>
      <c r="BO281" s="520"/>
      <c r="BP281" s="520"/>
      <c r="BQ281" s="520"/>
      <c r="BR281" s="520"/>
      <c r="BS281" s="520"/>
      <c r="BT281" s="520"/>
      <c r="BU281" s="520"/>
      <c r="BV281" s="520"/>
      <c r="BW281" s="520"/>
      <c r="BX281" s="520"/>
      <c r="BY281" s="520"/>
    </row>
    <row r="282" spans="1:84" ht="12" customHeight="1" x14ac:dyDescent="0.3">
      <c r="A282" s="765"/>
      <c r="E282" s="258" t="str">
        <f>$AX$94</f>
        <v>Mérkőzés kimenetele: 4 p</v>
      </c>
      <c r="H282" s="673" t="str">
        <f t="shared" ref="H282:AK282" si="179">IF(OR(BC279,NOT($AS$24)),"",IF(AND(NOT($AS$32),COUNTIF(H280:H281,"ü")&gt;0),"",IF(SIGN(H278-H279)=SIGN($E278-$E279),"ü"," ")))</f>
        <v/>
      </c>
      <c r="I282" s="674" t="str">
        <f t="shared" si="179"/>
        <v/>
      </c>
      <c r="J282" s="674" t="str">
        <f t="shared" si="179"/>
        <v/>
      </c>
      <c r="K282" s="674" t="str">
        <f t="shared" si="179"/>
        <v/>
      </c>
      <c r="L282" s="674" t="str">
        <f t="shared" si="179"/>
        <v/>
      </c>
      <c r="M282" s="674" t="str">
        <f t="shared" si="179"/>
        <v/>
      </c>
      <c r="N282" s="674" t="str">
        <f t="shared" si="179"/>
        <v/>
      </c>
      <c r="O282" s="674" t="str">
        <f t="shared" si="179"/>
        <v/>
      </c>
      <c r="P282" s="674" t="str">
        <f t="shared" si="179"/>
        <v/>
      </c>
      <c r="Q282" s="674" t="str">
        <f t="shared" si="179"/>
        <v/>
      </c>
      <c r="R282" s="674" t="str">
        <f t="shared" si="179"/>
        <v/>
      </c>
      <c r="S282" s="674" t="str">
        <f t="shared" si="179"/>
        <v/>
      </c>
      <c r="T282" s="674" t="str">
        <f t="shared" si="179"/>
        <v/>
      </c>
      <c r="U282" s="674" t="str">
        <f t="shared" si="179"/>
        <v/>
      </c>
      <c r="V282" s="674" t="str">
        <f t="shared" si="179"/>
        <v/>
      </c>
      <c r="W282" s="674" t="str">
        <f t="shared" si="179"/>
        <v/>
      </c>
      <c r="X282" s="674" t="str">
        <f t="shared" si="179"/>
        <v/>
      </c>
      <c r="Y282" s="674" t="str">
        <f t="shared" si="179"/>
        <v/>
      </c>
      <c r="Z282" s="674" t="str">
        <f t="shared" si="179"/>
        <v/>
      </c>
      <c r="AA282" s="674" t="str">
        <f t="shared" si="179"/>
        <v/>
      </c>
      <c r="AB282" s="674" t="str">
        <f t="shared" si="179"/>
        <v/>
      </c>
      <c r="AC282" s="674" t="str">
        <f t="shared" si="179"/>
        <v/>
      </c>
      <c r="AD282" s="674" t="str">
        <f t="shared" si="179"/>
        <v/>
      </c>
      <c r="AE282" s="674" t="str">
        <f t="shared" si="179"/>
        <v/>
      </c>
      <c r="AF282" s="674" t="str">
        <f t="shared" si="179"/>
        <v/>
      </c>
      <c r="AG282" s="674" t="str">
        <f t="shared" si="179"/>
        <v/>
      </c>
      <c r="AH282" s="674" t="str">
        <f t="shared" si="179"/>
        <v/>
      </c>
      <c r="AI282" s="674" t="str">
        <f t="shared" si="179"/>
        <v/>
      </c>
      <c r="AJ282" s="674" t="str">
        <f t="shared" si="179"/>
        <v/>
      </c>
      <c r="AK282" s="675" t="str">
        <f t="shared" si="179"/>
        <v/>
      </c>
      <c r="AL282" s="15"/>
      <c r="AM282" s="15"/>
      <c r="AP282" s="536"/>
      <c r="AR282" s="537"/>
      <c r="AS282" s="529"/>
      <c r="AW282" s="390" t="str">
        <f>""</f>
        <v/>
      </c>
      <c r="AX282" s="531"/>
      <c r="AY282" s="390" t="str">
        <f>""</f>
        <v/>
      </c>
      <c r="BD282" s="520"/>
      <c r="BE282" s="520"/>
      <c r="BF282" s="520"/>
      <c r="BG282" s="520"/>
      <c r="BH282" s="520"/>
      <c r="BI282" s="520"/>
      <c r="BJ282" s="520"/>
      <c r="BK282" s="520"/>
      <c r="BL282" s="520"/>
      <c r="BM282" s="520"/>
      <c r="BN282" s="520"/>
      <c r="BO282" s="520"/>
      <c r="BP282" s="520"/>
      <c r="BQ282" s="520"/>
      <c r="BR282" s="520"/>
      <c r="BS282" s="520"/>
      <c r="BT282" s="520"/>
      <c r="BU282" s="520"/>
      <c r="BV282" s="520"/>
      <c r="BW282" s="520"/>
      <c r="BX282" s="520"/>
      <c r="BY282" s="520"/>
    </row>
    <row r="283" spans="1:84" ht="12" customHeight="1" x14ac:dyDescent="0.3">
      <c r="A283" s="765"/>
      <c r="E283" s="258" t="str">
        <f>$AX$95</f>
        <v>Egyik csapat góljainak száma: 3 p</v>
      </c>
      <c r="H283" s="673" t="str">
        <f t="shared" ref="H283:AK283" si="180">IF(OR(BC279,NOT($AS$26)),"",IF(AND(NOT($AS$32),COUNTIF(H280:H282,"ü")&gt;0),"",IF(OR(H278=$E278,H279=$E279),"ü"," ")))</f>
        <v/>
      </c>
      <c r="I283" s="674" t="str">
        <f t="shared" si="180"/>
        <v/>
      </c>
      <c r="J283" s="674" t="str">
        <f t="shared" si="180"/>
        <v/>
      </c>
      <c r="K283" s="674" t="str">
        <f t="shared" si="180"/>
        <v/>
      </c>
      <c r="L283" s="674" t="str">
        <f t="shared" si="180"/>
        <v/>
      </c>
      <c r="M283" s="674" t="str">
        <f t="shared" si="180"/>
        <v/>
      </c>
      <c r="N283" s="674" t="str">
        <f t="shared" si="180"/>
        <v/>
      </c>
      <c r="O283" s="674" t="str">
        <f t="shared" si="180"/>
        <v/>
      </c>
      <c r="P283" s="674" t="str">
        <f t="shared" si="180"/>
        <v/>
      </c>
      <c r="Q283" s="674" t="str">
        <f t="shared" si="180"/>
        <v/>
      </c>
      <c r="R283" s="674" t="str">
        <f t="shared" si="180"/>
        <v/>
      </c>
      <c r="S283" s="674" t="str">
        <f t="shared" si="180"/>
        <v/>
      </c>
      <c r="T283" s="674" t="str">
        <f t="shared" si="180"/>
        <v/>
      </c>
      <c r="U283" s="674" t="str">
        <f t="shared" si="180"/>
        <v/>
      </c>
      <c r="V283" s="674" t="str">
        <f t="shared" si="180"/>
        <v/>
      </c>
      <c r="W283" s="674" t="str">
        <f t="shared" si="180"/>
        <v/>
      </c>
      <c r="X283" s="674" t="str">
        <f t="shared" si="180"/>
        <v/>
      </c>
      <c r="Y283" s="674" t="str">
        <f t="shared" si="180"/>
        <v/>
      </c>
      <c r="Z283" s="674" t="str">
        <f t="shared" si="180"/>
        <v/>
      </c>
      <c r="AA283" s="674" t="str">
        <f t="shared" si="180"/>
        <v/>
      </c>
      <c r="AB283" s="674" t="str">
        <f t="shared" si="180"/>
        <v/>
      </c>
      <c r="AC283" s="674" t="str">
        <f t="shared" si="180"/>
        <v/>
      </c>
      <c r="AD283" s="674" t="str">
        <f t="shared" si="180"/>
        <v/>
      </c>
      <c r="AE283" s="674" t="str">
        <f t="shared" si="180"/>
        <v/>
      </c>
      <c r="AF283" s="674" t="str">
        <f t="shared" si="180"/>
        <v/>
      </c>
      <c r="AG283" s="674" t="str">
        <f t="shared" si="180"/>
        <v/>
      </c>
      <c r="AH283" s="674" t="str">
        <f t="shared" si="180"/>
        <v/>
      </c>
      <c r="AI283" s="674" t="str">
        <f t="shared" si="180"/>
        <v/>
      </c>
      <c r="AJ283" s="674" t="str">
        <f t="shared" si="180"/>
        <v/>
      </c>
      <c r="AK283" s="675" t="str">
        <f t="shared" si="180"/>
        <v/>
      </c>
      <c r="AL283" s="15"/>
      <c r="AM283" s="15"/>
      <c r="AP283" s="536"/>
      <c r="AR283" s="537"/>
      <c r="AS283" s="529"/>
      <c r="AW283" s="390" t="str">
        <f>""</f>
        <v/>
      </c>
      <c r="AX283" s="531"/>
      <c r="AY283" s="390" t="str">
        <f>""</f>
        <v/>
      </c>
      <c r="BD283" s="520"/>
      <c r="BE283" s="520"/>
      <c r="BF283" s="520"/>
      <c r="BG283" s="520"/>
      <c r="BH283" s="520"/>
      <c r="BI283" s="520"/>
      <c r="BJ283" s="520"/>
      <c r="BK283" s="520"/>
      <c r="BL283" s="520"/>
      <c r="BM283" s="520"/>
      <c r="BN283" s="520"/>
      <c r="BO283" s="520"/>
      <c r="BP283" s="520"/>
      <c r="BQ283" s="520"/>
      <c r="BR283" s="520"/>
      <c r="BS283" s="520"/>
      <c r="BT283" s="520"/>
      <c r="BU283" s="520"/>
      <c r="BV283" s="520"/>
      <c r="BW283" s="520"/>
      <c r="BX283" s="520"/>
      <c r="BY283" s="520"/>
    </row>
    <row r="284" spans="1:84" ht="12" customHeight="1" x14ac:dyDescent="0.3">
      <c r="A284" s="765"/>
      <c r="E284" s="258" t="str">
        <f>$AX$96</f>
        <v>Összes gól: 2 p</v>
      </c>
      <c r="H284" s="673" t="str">
        <f t="shared" ref="H284:AK284" si="181">IF(OR(BC279,NOT($AS$28)),"",IF(AND(NOT($AS$32),COUNTIF(H280:H283,"ü")&gt;0),"",IF(H278+H279=$E278+$E279,"ü"," ")))</f>
        <v/>
      </c>
      <c r="I284" s="674" t="str">
        <f t="shared" si="181"/>
        <v/>
      </c>
      <c r="J284" s="674" t="str">
        <f t="shared" si="181"/>
        <v/>
      </c>
      <c r="K284" s="674" t="str">
        <f t="shared" si="181"/>
        <v/>
      </c>
      <c r="L284" s="674" t="str">
        <f t="shared" si="181"/>
        <v/>
      </c>
      <c r="M284" s="674" t="str">
        <f t="shared" si="181"/>
        <v/>
      </c>
      <c r="N284" s="674" t="str">
        <f t="shared" si="181"/>
        <v/>
      </c>
      <c r="O284" s="674" t="str">
        <f t="shared" si="181"/>
        <v/>
      </c>
      <c r="P284" s="674" t="str">
        <f t="shared" si="181"/>
        <v/>
      </c>
      <c r="Q284" s="674" t="str">
        <f t="shared" si="181"/>
        <v/>
      </c>
      <c r="R284" s="674" t="str">
        <f t="shared" si="181"/>
        <v/>
      </c>
      <c r="S284" s="674" t="str">
        <f t="shared" si="181"/>
        <v/>
      </c>
      <c r="T284" s="674" t="str">
        <f t="shared" si="181"/>
        <v/>
      </c>
      <c r="U284" s="674" t="str">
        <f t="shared" si="181"/>
        <v/>
      </c>
      <c r="V284" s="674" t="str">
        <f t="shared" si="181"/>
        <v/>
      </c>
      <c r="W284" s="674" t="str">
        <f t="shared" si="181"/>
        <v/>
      </c>
      <c r="X284" s="674" t="str">
        <f t="shared" si="181"/>
        <v/>
      </c>
      <c r="Y284" s="674" t="str">
        <f t="shared" si="181"/>
        <v/>
      </c>
      <c r="Z284" s="674" t="str">
        <f t="shared" si="181"/>
        <v/>
      </c>
      <c r="AA284" s="674" t="str">
        <f t="shared" si="181"/>
        <v/>
      </c>
      <c r="AB284" s="674" t="str">
        <f t="shared" si="181"/>
        <v/>
      </c>
      <c r="AC284" s="674" t="str">
        <f t="shared" si="181"/>
        <v/>
      </c>
      <c r="AD284" s="674" t="str">
        <f t="shared" si="181"/>
        <v/>
      </c>
      <c r="AE284" s="674" t="str">
        <f t="shared" si="181"/>
        <v/>
      </c>
      <c r="AF284" s="674" t="str">
        <f t="shared" si="181"/>
        <v/>
      </c>
      <c r="AG284" s="674" t="str">
        <f t="shared" si="181"/>
        <v/>
      </c>
      <c r="AH284" s="674" t="str">
        <f t="shared" si="181"/>
        <v/>
      </c>
      <c r="AI284" s="674" t="str">
        <f t="shared" si="181"/>
        <v/>
      </c>
      <c r="AJ284" s="674" t="str">
        <f t="shared" si="181"/>
        <v/>
      </c>
      <c r="AK284" s="675" t="str">
        <f t="shared" si="181"/>
        <v/>
      </c>
      <c r="AL284" s="15"/>
      <c r="AM284" s="15"/>
      <c r="AP284" s="536"/>
      <c r="AR284" s="537"/>
      <c r="AS284" s="529"/>
      <c r="AW284" s="390" t="str">
        <f>""</f>
        <v/>
      </c>
      <c r="AX284" s="531"/>
      <c r="AY284" s="390" t="str">
        <f>""</f>
        <v/>
      </c>
      <c r="BD284" s="520"/>
      <c r="BE284" s="520"/>
      <c r="BF284" s="520"/>
      <c r="BG284" s="520"/>
      <c r="BH284" s="520"/>
      <c r="BI284" s="520"/>
      <c r="BJ284" s="520"/>
      <c r="BK284" s="520"/>
      <c r="BL284" s="520"/>
      <c r="BM284" s="520"/>
      <c r="BN284" s="520"/>
      <c r="BO284" s="520"/>
      <c r="BP284" s="520"/>
      <c r="BQ284" s="520"/>
      <c r="BR284" s="520"/>
      <c r="BS284" s="520"/>
      <c r="BT284" s="520"/>
      <c r="BU284" s="520"/>
      <c r="BV284" s="520"/>
      <c r="BW284" s="520"/>
      <c r="BX284" s="520"/>
      <c r="BY284" s="520"/>
    </row>
    <row r="285" spans="1:84" ht="12" customHeight="1" x14ac:dyDescent="0.3">
      <c r="A285" s="765"/>
      <c r="E285" s="258" t="str">
        <f>$AX$97</f>
        <v>Fordított gólkülönbség: 1 p</v>
      </c>
      <c r="H285" s="676" t="str">
        <f t="shared" ref="H285:AK285" si="182">IF(OR(BC279,NOT($AS$30)),"",IF(AND(NOT($AS$32),COUNTIF(H280:H284,"ü")&gt;0),"",IF(AND(H278-H279=$E279-$E278,H278&lt;&gt;H279),"ü"," ")))</f>
        <v/>
      </c>
      <c r="I285" s="677" t="str">
        <f t="shared" si="182"/>
        <v/>
      </c>
      <c r="J285" s="677" t="str">
        <f t="shared" si="182"/>
        <v/>
      </c>
      <c r="K285" s="677" t="str">
        <f t="shared" si="182"/>
        <v/>
      </c>
      <c r="L285" s="677" t="str">
        <f t="shared" si="182"/>
        <v/>
      </c>
      <c r="M285" s="677" t="str">
        <f t="shared" si="182"/>
        <v/>
      </c>
      <c r="N285" s="677" t="str">
        <f t="shared" si="182"/>
        <v/>
      </c>
      <c r="O285" s="677" t="str">
        <f t="shared" si="182"/>
        <v/>
      </c>
      <c r="P285" s="677" t="str">
        <f t="shared" si="182"/>
        <v/>
      </c>
      <c r="Q285" s="677" t="str">
        <f t="shared" si="182"/>
        <v/>
      </c>
      <c r="R285" s="677" t="str">
        <f t="shared" si="182"/>
        <v/>
      </c>
      <c r="S285" s="677" t="str">
        <f t="shared" si="182"/>
        <v/>
      </c>
      <c r="T285" s="677" t="str">
        <f t="shared" si="182"/>
        <v/>
      </c>
      <c r="U285" s="677" t="str">
        <f t="shared" si="182"/>
        <v/>
      </c>
      <c r="V285" s="677" t="str">
        <f t="shared" si="182"/>
        <v/>
      </c>
      <c r="W285" s="677" t="str">
        <f t="shared" si="182"/>
        <v/>
      </c>
      <c r="X285" s="677" t="str">
        <f t="shared" si="182"/>
        <v/>
      </c>
      <c r="Y285" s="677" t="str">
        <f t="shared" si="182"/>
        <v/>
      </c>
      <c r="Z285" s="677" t="str">
        <f t="shared" si="182"/>
        <v/>
      </c>
      <c r="AA285" s="677" t="str">
        <f t="shared" si="182"/>
        <v/>
      </c>
      <c r="AB285" s="677" t="str">
        <f t="shared" si="182"/>
        <v/>
      </c>
      <c r="AC285" s="677" t="str">
        <f t="shared" si="182"/>
        <v/>
      </c>
      <c r="AD285" s="677" t="str">
        <f t="shared" si="182"/>
        <v/>
      </c>
      <c r="AE285" s="677" t="str">
        <f t="shared" si="182"/>
        <v/>
      </c>
      <c r="AF285" s="677" t="str">
        <f t="shared" si="182"/>
        <v/>
      </c>
      <c r="AG285" s="677" t="str">
        <f t="shared" si="182"/>
        <v/>
      </c>
      <c r="AH285" s="677" t="str">
        <f t="shared" si="182"/>
        <v/>
      </c>
      <c r="AI285" s="677" t="str">
        <f t="shared" si="182"/>
        <v/>
      </c>
      <c r="AJ285" s="677" t="str">
        <f t="shared" si="182"/>
        <v/>
      </c>
      <c r="AK285" s="678" t="str">
        <f t="shared" si="182"/>
        <v/>
      </c>
      <c r="AL285" s="15"/>
      <c r="AM285" s="15"/>
      <c r="AP285" s="536"/>
      <c r="AR285" s="537"/>
      <c r="AS285" s="529"/>
      <c r="AW285" s="390" t="str">
        <f>""</f>
        <v/>
      </c>
      <c r="AX285" s="531"/>
      <c r="AY285" s="390" t="str">
        <f>""</f>
        <v/>
      </c>
      <c r="BD285" s="520"/>
      <c r="BE285" s="520"/>
      <c r="BF285" s="520"/>
      <c r="BG285" s="520"/>
      <c r="BH285" s="520"/>
      <c r="BI285" s="520"/>
      <c r="BJ285" s="520"/>
      <c r="BK285" s="520"/>
      <c r="BL285" s="520"/>
      <c r="BM285" s="520"/>
      <c r="BN285" s="520"/>
      <c r="BO285" s="520"/>
      <c r="BP285" s="520"/>
      <c r="BQ285" s="520"/>
      <c r="BR285" s="520"/>
      <c r="BS285" s="520"/>
      <c r="BT285" s="520"/>
      <c r="BU285" s="520"/>
      <c r="BV285" s="520"/>
      <c r="BW285" s="520"/>
      <c r="BX285" s="520"/>
      <c r="BY285" s="520"/>
    </row>
    <row r="286" spans="1:84" ht="15" customHeight="1" x14ac:dyDescent="0.3">
      <c r="A286" s="765"/>
      <c r="E286" s="79" t="s">
        <v>799</v>
      </c>
      <c r="H286" s="679">
        <f t="shared" ref="H286:AK286" si="183">IF(NOT(H$13),"",SUMPRODUCT((H280:H285="ü")*($AW$92:$AW$97)))</f>
        <v>0</v>
      </c>
      <c r="I286" s="680">
        <f t="shared" si="183"/>
        <v>0</v>
      </c>
      <c r="J286" s="680">
        <f t="shared" si="183"/>
        <v>0</v>
      </c>
      <c r="K286" s="680">
        <f t="shared" si="183"/>
        <v>0</v>
      </c>
      <c r="L286" s="680">
        <f t="shared" si="183"/>
        <v>0</v>
      </c>
      <c r="M286" s="680">
        <f t="shared" si="183"/>
        <v>0</v>
      </c>
      <c r="N286" s="680">
        <f t="shared" si="183"/>
        <v>0</v>
      </c>
      <c r="O286" s="680">
        <f t="shared" si="183"/>
        <v>0</v>
      </c>
      <c r="P286" s="680">
        <f t="shared" si="183"/>
        <v>0</v>
      </c>
      <c r="Q286" s="680">
        <f t="shared" si="183"/>
        <v>0</v>
      </c>
      <c r="R286" s="680">
        <f t="shared" si="183"/>
        <v>0</v>
      </c>
      <c r="S286" s="680">
        <f t="shared" si="183"/>
        <v>0</v>
      </c>
      <c r="T286" s="680">
        <f t="shared" si="183"/>
        <v>0</v>
      </c>
      <c r="U286" s="680">
        <f t="shared" si="183"/>
        <v>0</v>
      </c>
      <c r="V286" s="680">
        <f t="shared" si="183"/>
        <v>0</v>
      </c>
      <c r="W286" s="680">
        <f t="shared" si="183"/>
        <v>0</v>
      </c>
      <c r="X286" s="680">
        <f t="shared" si="183"/>
        <v>0</v>
      </c>
      <c r="Y286" s="680">
        <f t="shared" si="183"/>
        <v>0</v>
      </c>
      <c r="Z286" s="680">
        <f t="shared" si="183"/>
        <v>0</v>
      </c>
      <c r="AA286" s="680">
        <f t="shared" si="183"/>
        <v>0</v>
      </c>
      <c r="AB286" s="680">
        <f t="shared" si="183"/>
        <v>0</v>
      </c>
      <c r="AC286" s="680">
        <f t="shared" si="183"/>
        <v>0</v>
      </c>
      <c r="AD286" s="680">
        <f t="shared" si="183"/>
        <v>0</v>
      </c>
      <c r="AE286" s="680" t="str">
        <f t="shared" si="183"/>
        <v/>
      </c>
      <c r="AF286" s="680" t="str">
        <f t="shared" si="183"/>
        <v/>
      </c>
      <c r="AG286" s="680" t="str">
        <f t="shared" si="183"/>
        <v/>
      </c>
      <c r="AH286" s="680" t="str">
        <f t="shared" si="183"/>
        <v/>
      </c>
      <c r="AI286" s="680" t="str">
        <f t="shared" si="183"/>
        <v/>
      </c>
      <c r="AJ286" s="680" t="str">
        <f t="shared" si="183"/>
        <v/>
      </c>
      <c r="AK286" s="681" t="str">
        <f t="shared" si="183"/>
        <v/>
      </c>
      <c r="AP286" s="536"/>
      <c r="AR286" s="537"/>
      <c r="AS286" s="529"/>
    </row>
    <row r="287" spans="1:84" ht="9" customHeight="1" x14ac:dyDescent="0.3">
      <c r="A287" s="765"/>
      <c r="D287" s="15"/>
      <c r="E287" s="15"/>
      <c r="F287" s="15"/>
      <c r="G287" s="15"/>
      <c r="H287" s="15"/>
      <c r="I287" s="16"/>
      <c r="J287" s="15"/>
      <c r="K287" s="15"/>
      <c r="L287" s="16"/>
      <c r="M287" s="15"/>
      <c r="N287" s="15"/>
      <c r="O287" s="16"/>
      <c r="P287" s="15"/>
      <c r="Q287" s="15"/>
      <c r="R287" s="16"/>
      <c r="S287" s="15"/>
      <c r="T287" s="15"/>
      <c r="U287" s="16"/>
      <c r="V287" s="15"/>
      <c r="W287" s="15"/>
      <c r="X287" s="16"/>
      <c r="Y287" s="15"/>
      <c r="Z287" s="15"/>
      <c r="AA287" s="16"/>
      <c r="AB287" s="15"/>
      <c r="AC287" s="15"/>
      <c r="AD287" s="16"/>
      <c r="AE287" s="15"/>
      <c r="AF287" s="15"/>
      <c r="AG287" s="16"/>
      <c r="AH287" s="15"/>
      <c r="AI287" s="15"/>
      <c r="AJ287" s="16"/>
      <c r="AK287" s="15"/>
      <c r="AP287" s="536"/>
      <c r="AR287" s="537"/>
      <c r="AS287" s="529"/>
    </row>
    <row r="288" spans="1:84" ht="15" customHeight="1" x14ac:dyDescent="0.3">
      <c r="A288" s="765"/>
      <c r="C288" s="27" t="str">
        <f>" "&amp;VLOOKUP(AQ289,schedule,18,FALSE)&amp;"  ("&amp;VLOOKUP(AQ289,schedule,3,FALSE)&amp;" CSOPORT)"</f>
        <v xml:space="preserve"> JÚNIUS 17. – CSÜTÖRTÖK 21:00  (C CSOPORT)</v>
      </c>
      <c r="D288" s="27"/>
      <c r="E288" s="26"/>
      <c r="F288" s="26"/>
      <c r="G288" s="26"/>
      <c r="H288" s="26"/>
      <c r="I288" s="26"/>
      <c r="J288" s="26"/>
      <c r="AP288" s="536"/>
      <c r="AR288" s="537"/>
      <c r="AS288" s="529"/>
    </row>
    <row r="289" spans="1:84" ht="15" customHeight="1" x14ac:dyDescent="0.3">
      <c r="A289" s="765"/>
      <c r="C289" s="661"/>
      <c r="D289" s="662" t="str">
        <f>IF(INDEX(n.er,$AR289,8)="","",INDEX(n.er,$AR289,8))</f>
        <v>Hollandia</v>
      </c>
      <c r="E289" s="663" t="str">
        <f>IF(NOT($AS289),"",INDEX(n.er,$AR289,9))</f>
        <v/>
      </c>
      <c r="F289" s="662"/>
      <c r="G289" s="259"/>
      <c r="H289" s="664">
        <v>2</v>
      </c>
      <c r="I289" s="665">
        <v>1</v>
      </c>
      <c r="J289" s="665">
        <v>2</v>
      </c>
      <c r="K289" s="665">
        <v>4</v>
      </c>
      <c r="L289" s="665">
        <v>2</v>
      </c>
      <c r="M289" s="665">
        <v>3</v>
      </c>
      <c r="N289" s="665">
        <v>3</v>
      </c>
      <c r="O289" s="665">
        <v>3</v>
      </c>
      <c r="P289" s="665">
        <v>2</v>
      </c>
      <c r="Q289" s="665">
        <v>3</v>
      </c>
      <c r="R289" s="665">
        <v>2</v>
      </c>
      <c r="S289" s="665">
        <v>2</v>
      </c>
      <c r="T289" s="665">
        <v>3</v>
      </c>
      <c r="U289" s="665">
        <v>3</v>
      </c>
      <c r="V289" s="665">
        <v>2</v>
      </c>
      <c r="W289" s="665">
        <v>3</v>
      </c>
      <c r="X289" s="665">
        <v>2</v>
      </c>
      <c r="Y289" s="665">
        <v>2</v>
      </c>
      <c r="Z289" s="665">
        <v>2</v>
      </c>
      <c r="AA289" s="665">
        <v>2</v>
      </c>
      <c r="AB289" s="665">
        <v>2</v>
      </c>
      <c r="AC289" s="665">
        <v>2</v>
      </c>
      <c r="AD289" s="665">
        <v>2</v>
      </c>
      <c r="AE289" s="665"/>
      <c r="AF289" s="665"/>
      <c r="AG289" s="665"/>
      <c r="AH289" s="665"/>
      <c r="AI289" s="665"/>
      <c r="AJ289" s="665"/>
      <c r="AK289" s="666"/>
      <c r="AP289" s="52">
        <f>AP278+1</f>
        <v>18</v>
      </c>
      <c r="AQ289" s="311">
        <f>INDEX(schedule,AP289,1)</f>
        <v>18</v>
      </c>
      <c r="AR289" s="311">
        <f>MATCH(AQ289,n.er.index,0)</f>
        <v>42</v>
      </c>
      <c r="AS289" s="532" t="b">
        <f>INDEX(n.er,$AR289,3)</f>
        <v>0</v>
      </c>
      <c r="AT289" s="531"/>
      <c r="AU289" s="531"/>
      <c r="AV289" s="531"/>
      <c r="AW289" s="531"/>
      <c r="AX289" s="531"/>
      <c r="BC289" s="525" t="b">
        <f t="shared" ref="BC289:CF289" si="184">IF(AND(ISNUMBER(H289),ISNUMBER(H290),H289&lt;&gt;"",H290&lt;&gt;""),AND(H289&gt;=0,H290&gt;=0,MOD(H289+H290,1)=0),FALSE)</f>
        <v>1</v>
      </c>
      <c r="BD289" s="525" t="b">
        <f t="shared" si="184"/>
        <v>1</v>
      </c>
      <c r="BE289" s="525" t="b">
        <f t="shared" si="184"/>
        <v>1</v>
      </c>
      <c r="BF289" s="525" t="b">
        <f t="shared" si="184"/>
        <v>1</v>
      </c>
      <c r="BG289" s="525" t="b">
        <f t="shared" si="184"/>
        <v>1</v>
      </c>
      <c r="BH289" s="525" t="b">
        <f t="shared" si="184"/>
        <v>1</v>
      </c>
      <c r="BI289" s="525" t="b">
        <f t="shared" si="184"/>
        <v>1</v>
      </c>
      <c r="BJ289" s="525" t="b">
        <f t="shared" si="184"/>
        <v>1</v>
      </c>
      <c r="BK289" s="525" t="b">
        <f t="shared" si="184"/>
        <v>1</v>
      </c>
      <c r="BL289" s="525" t="b">
        <f t="shared" si="184"/>
        <v>1</v>
      </c>
      <c r="BM289" s="525" t="b">
        <f t="shared" si="184"/>
        <v>1</v>
      </c>
      <c r="BN289" s="525" t="b">
        <f t="shared" si="184"/>
        <v>1</v>
      </c>
      <c r="BO289" s="525" t="b">
        <f t="shared" si="184"/>
        <v>1</v>
      </c>
      <c r="BP289" s="525" t="b">
        <f t="shared" si="184"/>
        <v>1</v>
      </c>
      <c r="BQ289" s="525" t="b">
        <f t="shared" si="184"/>
        <v>1</v>
      </c>
      <c r="BR289" s="525" t="b">
        <f t="shared" si="184"/>
        <v>1</v>
      </c>
      <c r="BS289" s="525" t="b">
        <f t="shared" si="184"/>
        <v>1</v>
      </c>
      <c r="BT289" s="525" t="b">
        <f t="shared" si="184"/>
        <v>1</v>
      </c>
      <c r="BU289" s="525" t="b">
        <f t="shared" si="184"/>
        <v>1</v>
      </c>
      <c r="BV289" s="525" t="b">
        <f t="shared" si="184"/>
        <v>1</v>
      </c>
      <c r="BW289" s="525" t="b">
        <f t="shared" si="184"/>
        <v>1</v>
      </c>
      <c r="BX289" s="525" t="b">
        <f t="shared" si="184"/>
        <v>1</v>
      </c>
      <c r="BY289" s="525" t="b">
        <f t="shared" si="184"/>
        <v>1</v>
      </c>
      <c r="BZ289" s="525" t="b">
        <f t="shared" si="184"/>
        <v>0</v>
      </c>
      <c r="CA289" s="525" t="b">
        <f t="shared" si="184"/>
        <v>0</v>
      </c>
      <c r="CB289" s="525" t="b">
        <f t="shared" si="184"/>
        <v>0</v>
      </c>
      <c r="CC289" s="525" t="b">
        <f t="shared" si="184"/>
        <v>0</v>
      </c>
      <c r="CD289" s="525" t="b">
        <f t="shared" si="184"/>
        <v>0</v>
      </c>
      <c r="CE289" s="525" t="b">
        <f t="shared" si="184"/>
        <v>0</v>
      </c>
      <c r="CF289" s="525" t="b">
        <f t="shared" si="184"/>
        <v>0</v>
      </c>
    </row>
    <row r="290" spans="1:84" ht="15" customHeight="1" x14ac:dyDescent="0.3">
      <c r="A290" s="765"/>
      <c r="C290" s="695"/>
      <c r="D290" s="696" t="str">
        <f>IF(INDEX(n.er,$AR289,11)="","",INDEX(n.er,$AR289,11))</f>
        <v>Ausztria</v>
      </c>
      <c r="E290" s="697" t="str">
        <f>IF(NOT($AS289),"",INDEX(n.er,$AR289,10))</f>
        <v/>
      </c>
      <c r="F290" s="696"/>
      <c r="G290" s="259"/>
      <c r="H290" s="667">
        <v>2</v>
      </c>
      <c r="I290" s="668">
        <v>1</v>
      </c>
      <c r="J290" s="668">
        <v>1</v>
      </c>
      <c r="K290" s="668">
        <v>1</v>
      </c>
      <c r="L290" s="668">
        <v>0</v>
      </c>
      <c r="M290" s="668">
        <v>0</v>
      </c>
      <c r="N290" s="668">
        <v>0</v>
      </c>
      <c r="O290" s="668">
        <v>1</v>
      </c>
      <c r="P290" s="668">
        <v>1</v>
      </c>
      <c r="Q290" s="668">
        <v>1</v>
      </c>
      <c r="R290" s="668">
        <v>0</v>
      </c>
      <c r="S290" s="668">
        <v>0</v>
      </c>
      <c r="T290" s="668">
        <v>0</v>
      </c>
      <c r="U290" s="668">
        <v>1</v>
      </c>
      <c r="V290" s="668">
        <v>1</v>
      </c>
      <c r="W290" s="668">
        <v>1</v>
      </c>
      <c r="X290" s="668">
        <v>1</v>
      </c>
      <c r="Y290" s="668">
        <v>0</v>
      </c>
      <c r="Z290" s="668">
        <v>0</v>
      </c>
      <c r="AA290" s="668">
        <v>0</v>
      </c>
      <c r="AB290" s="668">
        <v>1</v>
      </c>
      <c r="AC290" s="668">
        <v>0</v>
      </c>
      <c r="AD290" s="668">
        <v>0</v>
      </c>
      <c r="AE290" s="668"/>
      <c r="AF290" s="668"/>
      <c r="AG290" s="668"/>
      <c r="AH290" s="668"/>
      <c r="AI290" s="668"/>
      <c r="AJ290" s="668"/>
      <c r="AK290" s="669"/>
      <c r="AP290" s="533"/>
      <c r="AQ290" s="577"/>
      <c r="AR290" s="534"/>
      <c r="AS290" s="535"/>
      <c r="AX290" s="531"/>
      <c r="BC290" s="34" t="b">
        <f t="shared" ref="BC290:CF290" si="185">OR(NOT(H$13),NOT($AS289),NOT(BC289))</f>
        <v>1</v>
      </c>
      <c r="BD290" s="34" t="b">
        <f t="shared" si="185"/>
        <v>1</v>
      </c>
      <c r="BE290" s="34" t="b">
        <f t="shared" si="185"/>
        <v>1</v>
      </c>
      <c r="BF290" s="34" t="b">
        <f t="shared" si="185"/>
        <v>1</v>
      </c>
      <c r="BG290" s="34" t="b">
        <f t="shared" si="185"/>
        <v>1</v>
      </c>
      <c r="BH290" s="34" t="b">
        <f t="shared" si="185"/>
        <v>1</v>
      </c>
      <c r="BI290" s="34" t="b">
        <f t="shared" si="185"/>
        <v>1</v>
      </c>
      <c r="BJ290" s="34" t="b">
        <f t="shared" si="185"/>
        <v>1</v>
      </c>
      <c r="BK290" s="34" t="b">
        <f t="shared" si="185"/>
        <v>1</v>
      </c>
      <c r="BL290" s="34" t="b">
        <f t="shared" si="185"/>
        <v>1</v>
      </c>
      <c r="BM290" s="34" t="b">
        <f t="shared" si="185"/>
        <v>1</v>
      </c>
      <c r="BN290" s="34" t="b">
        <f t="shared" si="185"/>
        <v>1</v>
      </c>
      <c r="BO290" s="34" t="b">
        <f t="shared" si="185"/>
        <v>1</v>
      </c>
      <c r="BP290" s="34" t="b">
        <f t="shared" si="185"/>
        <v>1</v>
      </c>
      <c r="BQ290" s="34" t="b">
        <f t="shared" si="185"/>
        <v>1</v>
      </c>
      <c r="BR290" s="34" t="b">
        <f t="shared" si="185"/>
        <v>1</v>
      </c>
      <c r="BS290" s="34" t="b">
        <f t="shared" si="185"/>
        <v>1</v>
      </c>
      <c r="BT290" s="34" t="b">
        <f t="shared" si="185"/>
        <v>1</v>
      </c>
      <c r="BU290" s="34" t="b">
        <f t="shared" si="185"/>
        <v>1</v>
      </c>
      <c r="BV290" s="34" t="b">
        <f t="shared" si="185"/>
        <v>1</v>
      </c>
      <c r="BW290" s="34" t="b">
        <f t="shared" si="185"/>
        <v>1</v>
      </c>
      <c r="BX290" s="34" t="b">
        <f t="shared" si="185"/>
        <v>1</v>
      </c>
      <c r="BY290" s="34" t="b">
        <f t="shared" si="185"/>
        <v>1</v>
      </c>
      <c r="BZ290" s="34" t="b">
        <f t="shared" si="185"/>
        <v>1</v>
      </c>
      <c r="CA290" s="34" t="b">
        <f t="shared" si="185"/>
        <v>1</v>
      </c>
      <c r="CB290" s="34" t="b">
        <f t="shared" si="185"/>
        <v>1</v>
      </c>
      <c r="CC290" s="34" t="b">
        <f t="shared" si="185"/>
        <v>1</v>
      </c>
      <c r="CD290" s="34" t="b">
        <f t="shared" si="185"/>
        <v>1</v>
      </c>
      <c r="CE290" s="34" t="b">
        <f t="shared" si="185"/>
        <v>1</v>
      </c>
      <c r="CF290" s="34" t="b">
        <f t="shared" si="185"/>
        <v>1</v>
      </c>
    </row>
    <row r="291" spans="1:84" ht="12" customHeight="1" x14ac:dyDescent="0.3">
      <c r="A291" s="765"/>
      <c r="E291" s="258" t="str">
        <f>$AX$92</f>
        <v>Telitalálat: 10 p</v>
      </c>
      <c r="H291" s="670" t="str">
        <f t="shared" ref="H291:AK291" si="186">IF(OR(BC290,NOT($AS$20)),"",IF(AND(H289=$E289,H290=$E290),"ü",""))</f>
        <v/>
      </c>
      <c r="I291" s="671" t="str">
        <f t="shared" si="186"/>
        <v/>
      </c>
      <c r="J291" s="671" t="str">
        <f t="shared" si="186"/>
        <v/>
      </c>
      <c r="K291" s="671" t="str">
        <f t="shared" si="186"/>
        <v/>
      </c>
      <c r="L291" s="671" t="str">
        <f t="shared" si="186"/>
        <v/>
      </c>
      <c r="M291" s="671" t="str">
        <f t="shared" si="186"/>
        <v/>
      </c>
      <c r="N291" s="671" t="str">
        <f t="shared" si="186"/>
        <v/>
      </c>
      <c r="O291" s="671" t="str">
        <f t="shared" si="186"/>
        <v/>
      </c>
      <c r="P291" s="671" t="str">
        <f t="shared" si="186"/>
        <v/>
      </c>
      <c r="Q291" s="671" t="str">
        <f t="shared" si="186"/>
        <v/>
      </c>
      <c r="R291" s="671" t="str">
        <f t="shared" si="186"/>
        <v/>
      </c>
      <c r="S291" s="671" t="str">
        <f t="shared" si="186"/>
        <v/>
      </c>
      <c r="T291" s="671" t="str">
        <f t="shared" si="186"/>
        <v/>
      </c>
      <c r="U291" s="671" t="str">
        <f t="shared" si="186"/>
        <v/>
      </c>
      <c r="V291" s="671" t="str">
        <f t="shared" si="186"/>
        <v/>
      </c>
      <c r="W291" s="671" t="str">
        <f t="shared" si="186"/>
        <v/>
      </c>
      <c r="X291" s="671" t="str">
        <f t="shared" si="186"/>
        <v/>
      </c>
      <c r="Y291" s="671" t="str">
        <f t="shared" si="186"/>
        <v/>
      </c>
      <c r="Z291" s="671" t="str">
        <f t="shared" si="186"/>
        <v/>
      </c>
      <c r="AA291" s="671" t="str">
        <f t="shared" si="186"/>
        <v/>
      </c>
      <c r="AB291" s="671" t="str">
        <f t="shared" si="186"/>
        <v/>
      </c>
      <c r="AC291" s="671" t="str">
        <f t="shared" si="186"/>
        <v/>
      </c>
      <c r="AD291" s="671" t="str">
        <f t="shared" si="186"/>
        <v/>
      </c>
      <c r="AE291" s="671" t="str">
        <f t="shared" si="186"/>
        <v/>
      </c>
      <c r="AF291" s="671" t="str">
        <f t="shared" si="186"/>
        <v/>
      </c>
      <c r="AG291" s="671" t="str">
        <f t="shared" si="186"/>
        <v/>
      </c>
      <c r="AH291" s="671" t="str">
        <f t="shared" si="186"/>
        <v/>
      </c>
      <c r="AI291" s="671" t="str">
        <f t="shared" si="186"/>
        <v/>
      </c>
      <c r="AJ291" s="671" t="str">
        <f t="shared" si="186"/>
        <v/>
      </c>
      <c r="AK291" s="672" t="str">
        <f t="shared" si="186"/>
        <v/>
      </c>
      <c r="AL291" s="15"/>
      <c r="AM291" s="15"/>
      <c r="AP291" s="536"/>
      <c r="AR291" s="537"/>
      <c r="AS291" s="529"/>
      <c r="AW291" s="390" t="str">
        <f>""</f>
        <v/>
      </c>
      <c r="AX291" s="531"/>
      <c r="AY291" s="390" t="str">
        <f>""</f>
        <v/>
      </c>
      <c r="BD291" s="520"/>
      <c r="BE291" s="520"/>
      <c r="BF291" s="520"/>
      <c r="BG291" s="520"/>
      <c r="BH291" s="520"/>
      <c r="BI291" s="520"/>
      <c r="BJ291" s="520"/>
      <c r="BK291" s="520"/>
      <c r="BL291" s="520"/>
      <c r="BM291" s="520"/>
      <c r="BN291" s="520"/>
      <c r="BO291" s="520"/>
      <c r="BP291" s="520"/>
      <c r="BQ291" s="520"/>
      <c r="BR291" s="520"/>
      <c r="BS291" s="520"/>
      <c r="BT291" s="520"/>
      <c r="BU291" s="520"/>
      <c r="BV291" s="520"/>
      <c r="BW291" s="520"/>
      <c r="BX291" s="520"/>
      <c r="BY291" s="520"/>
    </row>
    <row r="292" spans="1:84" ht="12" customHeight="1" x14ac:dyDescent="0.3">
      <c r="A292" s="765"/>
      <c r="E292" s="258" t="str">
        <f>$AX$93</f>
        <v>Gólkülönbség: 6 p</v>
      </c>
      <c r="H292" s="673" t="str">
        <f t="shared" ref="H292:AK292" si="187">IF(OR(BC290,NOT($AS$22)),"",IF(AND(NOT($AS$32),H291="ü"),"",IF(H289-H290=$E289-$E290,"ü"," ")))</f>
        <v/>
      </c>
      <c r="I292" s="674" t="str">
        <f t="shared" si="187"/>
        <v/>
      </c>
      <c r="J292" s="674" t="str">
        <f t="shared" si="187"/>
        <v/>
      </c>
      <c r="K292" s="674" t="str">
        <f t="shared" si="187"/>
        <v/>
      </c>
      <c r="L292" s="674" t="str">
        <f t="shared" si="187"/>
        <v/>
      </c>
      <c r="M292" s="674" t="str">
        <f t="shared" si="187"/>
        <v/>
      </c>
      <c r="N292" s="674" t="str">
        <f t="shared" si="187"/>
        <v/>
      </c>
      <c r="O292" s="674" t="str">
        <f t="shared" si="187"/>
        <v/>
      </c>
      <c r="P292" s="674" t="str">
        <f t="shared" si="187"/>
        <v/>
      </c>
      <c r="Q292" s="674" t="str">
        <f t="shared" si="187"/>
        <v/>
      </c>
      <c r="R292" s="674" t="str">
        <f t="shared" si="187"/>
        <v/>
      </c>
      <c r="S292" s="674" t="str">
        <f t="shared" si="187"/>
        <v/>
      </c>
      <c r="T292" s="674" t="str">
        <f t="shared" si="187"/>
        <v/>
      </c>
      <c r="U292" s="674" t="str">
        <f t="shared" si="187"/>
        <v/>
      </c>
      <c r="V292" s="674" t="str">
        <f t="shared" si="187"/>
        <v/>
      </c>
      <c r="W292" s="674" t="str">
        <f t="shared" si="187"/>
        <v/>
      </c>
      <c r="X292" s="674" t="str">
        <f t="shared" si="187"/>
        <v/>
      </c>
      <c r="Y292" s="674" t="str">
        <f t="shared" si="187"/>
        <v/>
      </c>
      <c r="Z292" s="674" t="str">
        <f t="shared" si="187"/>
        <v/>
      </c>
      <c r="AA292" s="674" t="str">
        <f t="shared" si="187"/>
        <v/>
      </c>
      <c r="AB292" s="674" t="str">
        <f t="shared" si="187"/>
        <v/>
      </c>
      <c r="AC292" s="674" t="str">
        <f t="shared" si="187"/>
        <v/>
      </c>
      <c r="AD292" s="674" t="str">
        <f t="shared" si="187"/>
        <v/>
      </c>
      <c r="AE292" s="674" t="str">
        <f t="shared" si="187"/>
        <v/>
      </c>
      <c r="AF292" s="674" t="str">
        <f t="shared" si="187"/>
        <v/>
      </c>
      <c r="AG292" s="674" t="str">
        <f t="shared" si="187"/>
        <v/>
      </c>
      <c r="AH292" s="674" t="str">
        <f t="shared" si="187"/>
        <v/>
      </c>
      <c r="AI292" s="674" t="str">
        <f t="shared" si="187"/>
        <v/>
      </c>
      <c r="AJ292" s="674" t="str">
        <f t="shared" si="187"/>
        <v/>
      </c>
      <c r="AK292" s="675" t="str">
        <f t="shared" si="187"/>
        <v/>
      </c>
      <c r="AL292" s="15"/>
      <c r="AM292" s="15"/>
      <c r="AP292" s="536"/>
      <c r="AR292" s="537"/>
      <c r="AS292" s="529"/>
      <c r="AW292" s="390" t="str">
        <f>""</f>
        <v/>
      </c>
      <c r="AX292" s="531"/>
      <c r="AY292" s="390" t="str">
        <f>""</f>
        <v/>
      </c>
      <c r="BD292" s="520"/>
      <c r="BE292" s="520"/>
      <c r="BF292" s="520"/>
      <c r="BG292" s="520"/>
      <c r="BH292" s="520"/>
      <c r="BI292" s="520"/>
      <c r="BJ292" s="520"/>
      <c r="BK292" s="520"/>
      <c r="BL292" s="520"/>
      <c r="BM292" s="520"/>
      <c r="BN292" s="520"/>
      <c r="BO292" s="520"/>
      <c r="BP292" s="520"/>
      <c r="BQ292" s="520"/>
      <c r="BR292" s="520"/>
      <c r="BS292" s="520"/>
      <c r="BT292" s="520"/>
      <c r="BU292" s="520"/>
      <c r="BV292" s="520"/>
      <c r="BW292" s="520"/>
      <c r="BX292" s="520"/>
      <c r="BY292" s="520"/>
    </row>
    <row r="293" spans="1:84" ht="12" customHeight="1" x14ac:dyDescent="0.3">
      <c r="A293" s="765"/>
      <c r="E293" s="258" t="str">
        <f>$AX$94</f>
        <v>Mérkőzés kimenetele: 4 p</v>
      </c>
      <c r="H293" s="673" t="str">
        <f t="shared" ref="H293:AK293" si="188">IF(OR(BC290,NOT($AS$24)),"",IF(AND(NOT($AS$32),COUNTIF(H291:H292,"ü")&gt;0),"",IF(SIGN(H289-H290)=SIGN($E289-$E290),"ü"," ")))</f>
        <v/>
      </c>
      <c r="I293" s="674" t="str">
        <f t="shared" si="188"/>
        <v/>
      </c>
      <c r="J293" s="674" t="str">
        <f t="shared" si="188"/>
        <v/>
      </c>
      <c r="K293" s="674" t="str">
        <f t="shared" si="188"/>
        <v/>
      </c>
      <c r="L293" s="674" t="str">
        <f t="shared" si="188"/>
        <v/>
      </c>
      <c r="M293" s="674" t="str">
        <f t="shared" si="188"/>
        <v/>
      </c>
      <c r="N293" s="674" t="str">
        <f t="shared" si="188"/>
        <v/>
      </c>
      <c r="O293" s="674" t="str">
        <f t="shared" si="188"/>
        <v/>
      </c>
      <c r="P293" s="674" t="str">
        <f t="shared" si="188"/>
        <v/>
      </c>
      <c r="Q293" s="674" t="str">
        <f t="shared" si="188"/>
        <v/>
      </c>
      <c r="R293" s="674" t="str">
        <f t="shared" si="188"/>
        <v/>
      </c>
      <c r="S293" s="674" t="str">
        <f t="shared" si="188"/>
        <v/>
      </c>
      <c r="T293" s="674" t="str">
        <f t="shared" si="188"/>
        <v/>
      </c>
      <c r="U293" s="674" t="str">
        <f t="shared" si="188"/>
        <v/>
      </c>
      <c r="V293" s="674" t="str">
        <f t="shared" si="188"/>
        <v/>
      </c>
      <c r="W293" s="674" t="str">
        <f t="shared" si="188"/>
        <v/>
      </c>
      <c r="X293" s="674" t="str">
        <f t="shared" si="188"/>
        <v/>
      </c>
      <c r="Y293" s="674" t="str">
        <f t="shared" si="188"/>
        <v/>
      </c>
      <c r="Z293" s="674" t="str">
        <f t="shared" si="188"/>
        <v/>
      </c>
      <c r="AA293" s="674" t="str">
        <f t="shared" si="188"/>
        <v/>
      </c>
      <c r="AB293" s="674" t="str">
        <f t="shared" si="188"/>
        <v/>
      </c>
      <c r="AC293" s="674" t="str">
        <f t="shared" si="188"/>
        <v/>
      </c>
      <c r="AD293" s="674" t="str">
        <f t="shared" si="188"/>
        <v/>
      </c>
      <c r="AE293" s="674" t="str">
        <f t="shared" si="188"/>
        <v/>
      </c>
      <c r="AF293" s="674" t="str">
        <f t="shared" si="188"/>
        <v/>
      </c>
      <c r="AG293" s="674" t="str">
        <f t="shared" si="188"/>
        <v/>
      </c>
      <c r="AH293" s="674" t="str">
        <f t="shared" si="188"/>
        <v/>
      </c>
      <c r="AI293" s="674" t="str">
        <f t="shared" si="188"/>
        <v/>
      </c>
      <c r="AJ293" s="674" t="str">
        <f t="shared" si="188"/>
        <v/>
      </c>
      <c r="AK293" s="675" t="str">
        <f t="shared" si="188"/>
        <v/>
      </c>
      <c r="AL293" s="15"/>
      <c r="AM293" s="15"/>
      <c r="AP293" s="536"/>
      <c r="AR293" s="537"/>
      <c r="AS293" s="529"/>
      <c r="AW293" s="390" t="str">
        <f>""</f>
        <v/>
      </c>
      <c r="AX293" s="531"/>
      <c r="AY293" s="390" t="str">
        <f>""</f>
        <v/>
      </c>
      <c r="BD293" s="520"/>
      <c r="BE293" s="520"/>
      <c r="BF293" s="520"/>
      <c r="BG293" s="520"/>
      <c r="BH293" s="520"/>
      <c r="BI293" s="520"/>
      <c r="BJ293" s="520"/>
      <c r="BK293" s="520"/>
      <c r="BL293" s="520"/>
      <c r="BM293" s="520"/>
      <c r="BN293" s="520"/>
      <c r="BO293" s="520"/>
      <c r="BP293" s="520"/>
      <c r="BQ293" s="520"/>
      <c r="BR293" s="520"/>
      <c r="BS293" s="520"/>
      <c r="BT293" s="520"/>
      <c r="BU293" s="520"/>
      <c r="BV293" s="520"/>
      <c r="BW293" s="520"/>
      <c r="BX293" s="520"/>
      <c r="BY293" s="520"/>
    </row>
    <row r="294" spans="1:84" ht="12" customHeight="1" x14ac:dyDescent="0.3">
      <c r="A294" s="765"/>
      <c r="E294" s="258" t="str">
        <f>$AX$95</f>
        <v>Egyik csapat góljainak száma: 3 p</v>
      </c>
      <c r="H294" s="673" t="str">
        <f t="shared" ref="H294:AK294" si="189">IF(OR(BC290,NOT($AS$26)),"",IF(AND(NOT($AS$32),COUNTIF(H291:H293,"ü")&gt;0),"",IF(OR(H289=$E289,H290=$E290),"ü"," ")))</f>
        <v/>
      </c>
      <c r="I294" s="674" t="str">
        <f t="shared" si="189"/>
        <v/>
      </c>
      <c r="J294" s="674" t="str">
        <f t="shared" si="189"/>
        <v/>
      </c>
      <c r="K294" s="674" t="str">
        <f t="shared" si="189"/>
        <v/>
      </c>
      <c r="L294" s="674" t="str">
        <f t="shared" si="189"/>
        <v/>
      </c>
      <c r="M294" s="674" t="str">
        <f t="shared" si="189"/>
        <v/>
      </c>
      <c r="N294" s="674" t="str">
        <f t="shared" si="189"/>
        <v/>
      </c>
      <c r="O294" s="674" t="str">
        <f t="shared" si="189"/>
        <v/>
      </c>
      <c r="P294" s="674" t="str">
        <f t="shared" si="189"/>
        <v/>
      </c>
      <c r="Q294" s="674" t="str">
        <f t="shared" si="189"/>
        <v/>
      </c>
      <c r="R294" s="674" t="str">
        <f t="shared" si="189"/>
        <v/>
      </c>
      <c r="S294" s="674" t="str">
        <f t="shared" si="189"/>
        <v/>
      </c>
      <c r="T294" s="674" t="str">
        <f t="shared" si="189"/>
        <v/>
      </c>
      <c r="U294" s="674" t="str">
        <f t="shared" si="189"/>
        <v/>
      </c>
      <c r="V294" s="674" t="str">
        <f t="shared" si="189"/>
        <v/>
      </c>
      <c r="W294" s="674" t="str">
        <f t="shared" si="189"/>
        <v/>
      </c>
      <c r="X294" s="674" t="str">
        <f t="shared" si="189"/>
        <v/>
      </c>
      <c r="Y294" s="674" t="str">
        <f t="shared" si="189"/>
        <v/>
      </c>
      <c r="Z294" s="674" t="str">
        <f t="shared" si="189"/>
        <v/>
      </c>
      <c r="AA294" s="674" t="str">
        <f t="shared" si="189"/>
        <v/>
      </c>
      <c r="AB294" s="674" t="str">
        <f t="shared" si="189"/>
        <v/>
      </c>
      <c r="AC294" s="674" t="str">
        <f t="shared" si="189"/>
        <v/>
      </c>
      <c r="AD294" s="674" t="str">
        <f t="shared" si="189"/>
        <v/>
      </c>
      <c r="AE294" s="674" t="str">
        <f t="shared" si="189"/>
        <v/>
      </c>
      <c r="AF294" s="674" t="str">
        <f t="shared" si="189"/>
        <v/>
      </c>
      <c r="AG294" s="674" t="str">
        <f t="shared" si="189"/>
        <v/>
      </c>
      <c r="AH294" s="674" t="str">
        <f t="shared" si="189"/>
        <v/>
      </c>
      <c r="AI294" s="674" t="str">
        <f t="shared" si="189"/>
        <v/>
      </c>
      <c r="AJ294" s="674" t="str">
        <f t="shared" si="189"/>
        <v/>
      </c>
      <c r="AK294" s="675" t="str">
        <f t="shared" si="189"/>
        <v/>
      </c>
      <c r="AL294" s="15"/>
      <c r="AM294" s="15"/>
      <c r="AP294" s="536"/>
      <c r="AR294" s="537"/>
      <c r="AS294" s="529"/>
      <c r="AW294" s="390" t="str">
        <f>""</f>
        <v/>
      </c>
      <c r="AX294" s="531"/>
      <c r="AY294" s="390" t="str">
        <f>""</f>
        <v/>
      </c>
      <c r="BD294" s="520"/>
      <c r="BE294" s="520"/>
      <c r="BF294" s="520"/>
      <c r="BG294" s="520"/>
      <c r="BH294" s="520"/>
      <c r="BI294" s="520"/>
      <c r="BJ294" s="520"/>
      <c r="BK294" s="520"/>
      <c r="BL294" s="520"/>
      <c r="BM294" s="520"/>
      <c r="BN294" s="520"/>
      <c r="BO294" s="520"/>
      <c r="BP294" s="520"/>
      <c r="BQ294" s="520"/>
      <c r="BR294" s="520"/>
      <c r="BS294" s="520"/>
      <c r="BT294" s="520"/>
      <c r="BU294" s="520"/>
      <c r="BV294" s="520"/>
      <c r="BW294" s="520"/>
      <c r="BX294" s="520"/>
      <c r="BY294" s="520"/>
    </row>
    <row r="295" spans="1:84" ht="12" customHeight="1" x14ac:dyDescent="0.3">
      <c r="A295" s="765"/>
      <c r="E295" s="258" t="str">
        <f>$AX$96</f>
        <v>Összes gól: 2 p</v>
      </c>
      <c r="H295" s="673" t="str">
        <f t="shared" ref="H295:AK295" si="190">IF(OR(BC290,NOT($AS$28)),"",IF(AND(NOT($AS$32),COUNTIF(H291:H294,"ü")&gt;0),"",IF(H289+H290=$E289+$E290,"ü"," ")))</f>
        <v/>
      </c>
      <c r="I295" s="674" t="str">
        <f t="shared" si="190"/>
        <v/>
      </c>
      <c r="J295" s="674" t="str">
        <f t="shared" si="190"/>
        <v/>
      </c>
      <c r="K295" s="674" t="str">
        <f t="shared" si="190"/>
        <v/>
      </c>
      <c r="L295" s="674" t="str">
        <f t="shared" si="190"/>
        <v/>
      </c>
      <c r="M295" s="674" t="str">
        <f t="shared" si="190"/>
        <v/>
      </c>
      <c r="N295" s="674" t="str">
        <f t="shared" si="190"/>
        <v/>
      </c>
      <c r="O295" s="674" t="str">
        <f t="shared" si="190"/>
        <v/>
      </c>
      <c r="P295" s="674" t="str">
        <f t="shared" si="190"/>
        <v/>
      </c>
      <c r="Q295" s="674" t="str">
        <f t="shared" si="190"/>
        <v/>
      </c>
      <c r="R295" s="674" t="str">
        <f t="shared" si="190"/>
        <v/>
      </c>
      <c r="S295" s="674" t="str">
        <f t="shared" si="190"/>
        <v/>
      </c>
      <c r="T295" s="674" t="str">
        <f t="shared" si="190"/>
        <v/>
      </c>
      <c r="U295" s="674" t="str">
        <f t="shared" si="190"/>
        <v/>
      </c>
      <c r="V295" s="674" t="str">
        <f t="shared" si="190"/>
        <v/>
      </c>
      <c r="W295" s="674" t="str">
        <f t="shared" si="190"/>
        <v/>
      </c>
      <c r="X295" s="674" t="str">
        <f t="shared" si="190"/>
        <v/>
      </c>
      <c r="Y295" s="674" t="str">
        <f t="shared" si="190"/>
        <v/>
      </c>
      <c r="Z295" s="674" t="str">
        <f t="shared" si="190"/>
        <v/>
      </c>
      <c r="AA295" s="674" t="str">
        <f t="shared" si="190"/>
        <v/>
      </c>
      <c r="AB295" s="674" t="str">
        <f t="shared" si="190"/>
        <v/>
      </c>
      <c r="AC295" s="674" t="str">
        <f t="shared" si="190"/>
        <v/>
      </c>
      <c r="AD295" s="674" t="str">
        <f t="shared" si="190"/>
        <v/>
      </c>
      <c r="AE295" s="674" t="str">
        <f t="shared" si="190"/>
        <v/>
      </c>
      <c r="AF295" s="674" t="str">
        <f t="shared" si="190"/>
        <v/>
      </c>
      <c r="AG295" s="674" t="str">
        <f t="shared" si="190"/>
        <v/>
      </c>
      <c r="AH295" s="674" t="str">
        <f t="shared" si="190"/>
        <v/>
      </c>
      <c r="AI295" s="674" t="str">
        <f t="shared" si="190"/>
        <v/>
      </c>
      <c r="AJ295" s="674" t="str">
        <f t="shared" si="190"/>
        <v/>
      </c>
      <c r="AK295" s="675" t="str">
        <f t="shared" si="190"/>
        <v/>
      </c>
      <c r="AL295" s="15"/>
      <c r="AM295" s="15"/>
      <c r="AP295" s="536"/>
      <c r="AR295" s="537"/>
      <c r="AS295" s="529"/>
      <c r="AW295" s="390" t="str">
        <f>""</f>
        <v/>
      </c>
      <c r="AX295" s="531"/>
      <c r="AY295" s="390" t="str">
        <f>""</f>
        <v/>
      </c>
      <c r="BD295" s="520"/>
      <c r="BE295" s="520"/>
      <c r="BF295" s="520"/>
      <c r="BG295" s="520"/>
      <c r="BH295" s="520"/>
      <c r="BI295" s="520"/>
      <c r="BJ295" s="520"/>
      <c r="BK295" s="520"/>
      <c r="BL295" s="520"/>
      <c r="BM295" s="520"/>
      <c r="BN295" s="520"/>
      <c r="BO295" s="520"/>
      <c r="BP295" s="520"/>
      <c r="BQ295" s="520"/>
      <c r="BR295" s="520"/>
      <c r="BS295" s="520"/>
      <c r="BT295" s="520"/>
      <c r="BU295" s="520"/>
      <c r="BV295" s="520"/>
      <c r="BW295" s="520"/>
      <c r="BX295" s="520"/>
      <c r="BY295" s="520"/>
    </row>
    <row r="296" spans="1:84" ht="12" customHeight="1" x14ac:dyDescent="0.3">
      <c r="A296" s="765"/>
      <c r="E296" s="258" t="str">
        <f>$AX$97</f>
        <v>Fordított gólkülönbség: 1 p</v>
      </c>
      <c r="H296" s="676" t="str">
        <f t="shared" ref="H296:AK296" si="191">IF(OR(BC290,NOT($AS$30)),"",IF(AND(NOT($AS$32),COUNTIF(H291:H295,"ü")&gt;0),"",IF(AND(H289-H290=$E290-$E289,H289&lt;&gt;H290),"ü"," ")))</f>
        <v/>
      </c>
      <c r="I296" s="677" t="str">
        <f t="shared" si="191"/>
        <v/>
      </c>
      <c r="J296" s="677" t="str">
        <f t="shared" si="191"/>
        <v/>
      </c>
      <c r="K296" s="677" t="str">
        <f t="shared" si="191"/>
        <v/>
      </c>
      <c r="L296" s="677" t="str">
        <f t="shared" si="191"/>
        <v/>
      </c>
      <c r="M296" s="677" t="str">
        <f t="shared" si="191"/>
        <v/>
      </c>
      <c r="N296" s="677" t="str">
        <f t="shared" si="191"/>
        <v/>
      </c>
      <c r="O296" s="677" t="str">
        <f t="shared" si="191"/>
        <v/>
      </c>
      <c r="P296" s="677" t="str">
        <f t="shared" si="191"/>
        <v/>
      </c>
      <c r="Q296" s="677" t="str">
        <f t="shared" si="191"/>
        <v/>
      </c>
      <c r="R296" s="677" t="str">
        <f t="shared" si="191"/>
        <v/>
      </c>
      <c r="S296" s="677" t="str">
        <f t="shared" si="191"/>
        <v/>
      </c>
      <c r="T296" s="677" t="str">
        <f t="shared" si="191"/>
        <v/>
      </c>
      <c r="U296" s="677" t="str">
        <f t="shared" si="191"/>
        <v/>
      </c>
      <c r="V296" s="677" t="str">
        <f t="shared" si="191"/>
        <v/>
      </c>
      <c r="W296" s="677" t="str">
        <f t="shared" si="191"/>
        <v/>
      </c>
      <c r="X296" s="677" t="str">
        <f t="shared" si="191"/>
        <v/>
      </c>
      <c r="Y296" s="677" t="str">
        <f t="shared" si="191"/>
        <v/>
      </c>
      <c r="Z296" s="677" t="str">
        <f t="shared" si="191"/>
        <v/>
      </c>
      <c r="AA296" s="677" t="str">
        <f t="shared" si="191"/>
        <v/>
      </c>
      <c r="AB296" s="677" t="str">
        <f t="shared" si="191"/>
        <v/>
      </c>
      <c r="AC296" s="677" t="str">
        <f t="shared" si="191"/>
        <v/>
      </c>
      <c r="AD296" s="677" t="str">
        <f t="shared" si="191"/>
        <v/>
      </c>
      <c r="AE296" s="677" t="str">
        <f t="shared" si="191"/>
        <v/>
      </c>
      <c r="AF296" s="677" t="str">
        <f t="shared" si="191"/>
        <v/>
      </c>
      <c r="AG296" s="677" t="str">
        <f t="shared" si="191"/>
        <v/>
      </c>
      <c r="AH296" s="677" t="str">
        <f t="shared" si="191"/>
        <v/>
      </c>
      <c r="AI296" s="677" t="str">
        <f t="shared" si="191"/>
        <v/>
      </c>
      <c r="AJ296" s="677" t="str">
        <f t="shared" si="191"/>
        <v/>
      </c>
      <c r="AK296" s="678" t="str">
        <f t="shared" si="191"/>
        <v/>
      </c>
      <c r="AL296" s="15"/>
      <c r="AM296" s="15"/>
      <c r="AP296" s="536"/>
      <c r="AR296" s="537"/>
      <c r="AS296" s="529"/>
      <c r="AW296" s="390" t="str">
        <f>""</f>
        <v/>
      </c>
      <c r="AX296" s="531"/>
      <c r="AY296" s="390" t="str">
        <f>""</f>
        <v/>
      </c>
      <c r="BD296" s="520"/>
      <c r="BE296" s="520"/>
      <c r="BF296" s="520"/>
      <c r="BG296" s="520"/>
      <c r="BH296" s="520"/>
      <c r="BI296" s="520"/>
      <c r="BJ296" s="520"/>
      <c r="BK296" s="520"/>
      <c r="BL296" s="520"/>
      <c r="BM296" s="520"/>
      <c r="BN296" s="520"/>
      <c r="BO296" s="520"/>
      <c r="BP296" s="520"/>
      <c r="BQ296" s="520"/>
      <c r="BR296" s="520"/>
      <c r="BS296" s="520"/>
      <c r="BT296" s="520"/>
      <c r="BU296" s="520"/>
      <c r="BV296" s="520"/>
      <c r="BW296" s="520"/>
      <c r="BX296" s="520"/>
      <c r="BY296" s="520"/>
    </row>
    <row r="297" spans="1:84" ht="15" customHeight="1" x14ac:dyDescent="0.3">
      <c r="A297" s="765"/>
      <c r="E297" s="79" t="s">
        <v>799</v>
      </c>
      <c r="H297" s="679">
        <f t="shared" ref="H297:AK297" si="192">IF(NOT(H$13),"",SUMPRODUCT((H291:H296="ü")*($AW$92:$AW$97)))</f>
        <v>0</v>
      </c>
      <c r="I297" s="680">
        <f t="shared" si="192"/>
        <v>0</v>
      </c>
      <c r="J297" s="680">
        <f t="shared" si="192"/>
        <v>0</v>
      </c>
      <c r="K297" s="680">
        <f t="shared" si="192"/>
        <v>0</v>
      </c>
      <c r="L297" s="680">
        <f t="shared" si="192"/>
        <v>0</v>
      </c>
      <c r="M297" s="680">
        <f t="shared" si="192"/>
        <v>0</v>
      </c>
      <c r="N297" s="680">
        <f t="shared" si="192"/>
        <v>0</v>
      </c>
      <c r="O297" s="680">
        <f t="shared" si="192"/>
        <v>0</v>
      </c>
      <c r="P297" s="680">
        <f t="shared" si="192"/>
        <v>0</v>
      </c>
      <c r="Q297" s="680">
        <f t="shared" si="192"/>
        <v>0</v>
      </c>
      <c r="R297" s="680">
        <f t="shared" si="192"/>
        <v>0</v>
      </c>
      <c r="S297" s="680">
        <f t="shared" si="192"/>
        <v>0</v>
      </c>
      <c r="T297" s="680">
        <f t="shared" si="192"/>
        <v>0</v>
      </c>
      <c r="U297" s="680">
        <f t="shared" si="192"/>
        <v>0</v>
      </c>
      <c r="V297" s="680">
        <f t="shared" si="192"/>
        <v>0</v>
      </c>
      <c r="W297" s="680">
        <f t="shared" si="192"/>
        <v>0</v>
      </c>
      <c r="X297" s="680">
        <f t="shared" si="192"/>
        <v>0</v>
      </c>
      <c r="Y297" s="680">
        <f t="shared" si="192"/>
        <v>0</v>
      </c>
      <c r="Z297" s="680">
        <f t="shared" si="192"/>
        <v>0</v>
      </c>
      <c r="AA297" s="680">
        <f t="shared" si="192"/>
        <v>0</v>
      </c>
      <c r="AB297" s="680">
        <f t="shared" si="192"/>
        <v>0</v>
      </c>
      <c r="AC297" s="680">
        <f t="shared" si="192"/>
        <v>0</v>
      </c>
      <c r="AD297" s="680">
        <f t="shared" si="192"/>
        <v>0</v>
      </c>
      <c r="AE297" s="680" t="str">
        <f t="shared" si="192"/>
        <v/>
      </c>
      <c r="AF297" s="680" t="str">
        <f t="shared" si="192"/>
        <v/>
      </c>
      <c r="AG297" s="680" t="str">
        <f t="shared" si="192"/>
        <v/>
      </c>
      <c r="AH297" s="680" t="str">
        <f t="shared" si="192"/>
        <v/>
      </c>
      <c r="AI297" s="680" t="str">
        <f t="shared" si="192"/>
        <v/>
      </c>
      <c r="AJ297" s="680" t="str">
        <f t="shared" si="192"/>
        <v/>
      </c>
      <c r="AK297" s="681" t="str">
        <f t="shared" si="192"/>
        <v/>
      </c>
      <c r="AP297" s="536"/>
      <c r="AR297" s="537"/>
      <c r="AS297" s="529"/>
    </row>
    <row r="298" spans="1:84" ht="9" customHeight="1" x14ac:dyDescent="0.3">
      <c r="A298" s="765"/>
      <c r="D298" s="15"/>
      <c r="E298" s="15"/>
      <c r="F298" s="15"/>
      <c r="G298" s="15"/>
      <c r="H298" s="15"/>
      <c r="I298" s="16"/>
      <c r="J298" s="15"/>
      <c r="K298" s="15"/>
      <c r="L298" s="16"/>
      <c r="M298" s="15"/>
      <c r="N298" s="15"/>
      <c r="O298" s="16"/>
      <c r="P298" s="15"/>
      <c r="Q298" s="15"/>
      <c r="R298" s="16"/>
      <c r="S298" s="15"/>
      <c r="T298" s="15"/>
      <c r="U298" s="16"/>
      <c r="V298" s="15"/>
      <c r="W298" s="15"/>
      <c r="X298" s="16"/>
      <c r="Y298" s="15"/>
      <c r="Z298" s="15"/>
      <c r="AA298" s="16"/>
      <c r="AB298" s="15"/>
      <c r="AC298" s="15"/>
      <c r="AD298" s="16"/>
      <c r="AE298" s="15"/>
      <c r="AF298" s="15"/>
      <c r="AG298" s="16"/>
      <c r="AH298" s="15"/>
      <c r="AI298" s="15"/>
      <c r="AJ298" s="16"/>
      <c r="AK298" s="15"/>
      <c r="AP298" s="536"/>
      <c r="AR298" s="537"/>
      <c r="AS298" s="529"/>
    </row>
    <row r="299" spans="1:84" ht="15" customHeight="1" x14ac:dyDescent="0.3">
      <c r="A299" s="765"/>
      <c r="C299" s="27" t="str">
        <f>" "&amp;VLOOKUP(AQ300,schedule,18,FALSE)&amp;"  ("&amp;VLOOKUP(AQ300,schedule,3,FALSE)&amp;" CSOPORT)"</f>
        <v xml:space="preserve"> JÚNIUS 18. – PÉNTEK 15:00  (E CSOPORT)</v>
      </c>
      <c r="D299" s="27"/>
      <c r="E299" s="26"/>
      <c r="F299" s="26"/>
      <c r="G299" s="26"/>
      <c r="H299" s="26"/>
      <c r="I299" s="26"/>
      <c r="J299" s="26"/>
      <c r="AP299" s="536"/>
      <c r="AR299" s="537"/>
      <c r="AS299" s="529"/>
    </row>
    <row r="300" spans="1:84" ht="15" customHeight="1" x14ac:dyDescent="0.3">
      <c r="A300" s="765"/>
      <c r="C300" s="661"/>
      <c r="D300" s="662" t="str">
        <f>IF(INDEX(n.er,$AR300,8)="","",INDEX(n.er,$AR300,8))</f>
        <v>Svédország</v>
      </c>
      <c r="E300" s="663" t="str">
        <f>IF(NOT($AS300),"",INDEX(n.er,$AR300,9))</f>
        <v/>
      </c>
      <c r="F300" s="662"/>
      <c r="G300" s="259"/>
      <c r="H300" s="664">
        <v>2</v>
      </c>
      <c r="I300" s="665">
        <v>2</v>
      </c>
      <c r="J300" s="665">
        <v>0</v>
      </c>
      <c r="K300" s="665">
        <v>2</v>
      </c>
      <c r="L300" s="665">
        <v>1</v>
      </c>
      <c r="M300" s="665">
        <v>2</v>
      </c>
      <c r="N300" s="665">
        <v>1</v>
      </c>
      <c r="O300" s="665">
        <v>2</v>
      </c>
      <c r="P300" s="665">
        <v>2</v>
      </c>
      <c r="Q300" s="665">
        <v>1</v>
      </c>
      <c r="R300" s="665">
        <v>0</v>
      </c>
      <c r="S300" s="665">
        <v>1</v>
      </c>
      <c r="T300" s="665">
        <v>2</v>
      </c>
      <c r="U300" s="665">
        <v>2</v>
      </c>
      <c r="V300" s="665">
        <v>2</v>
      </c>
      <c r="W300" s="665">
        <v>1</v>
      </c>
      <c r="X300" s="665">
        <v>2</v>
      </c>
      <c r="Y300" s="665">
        <v>1</v>
      </c>
      <c r="Z300" s="665">
        <v>3</v>
      </c>
      <c r="AA300" s="665">
        <v>1</v>
      </c>
      <c r="AB300" s="665">
        <v>3</v>
      </c>
      <c r="AC300" s="665">
        <v>2</v>
      </c>
      <c r="AD300" s="665">
        <v>2</v>
      </c>
      <c r="AE300" s="665"/>
      <c r="AF300" s="665"/>
      <c r="AG300" s="665"/>
      <c r="AH300" s="665"/>
      <c r="AI300" s="665"/>
      <c r="AJ300" s="665"/>
      <c r="AK300" s="666"/>
      <c r="AP300" s="52">
        <f>AP289+1</f>
        <v>19</v>
      </c>
      <c r="AQ300" s="311">
        <f>INDEX(schedule,AP300,1)</f>
        <v>19</v>
      </c>
      <c r="AR300" s="311">
        <f>MATCH(AQ300,n.er.index,0)</f>
        <v>47</v>
      </c>
      <c r="AS300" s="532" t="b">
        <f>INDEX(n.er,$AR300,3)</f>
        <v>0</v>
      </c>
      <c r="AT300" s="531"/>
      <c r="AU300" s="531"/>
      <c r="AV300" s="531"/>
      <c r="AW300" s="531"/>
      <c r="AX300" s="531"/>
      <c r="BC300" s="525" t="b">
        <f t="shared" ref="BC300:CF300" si="193">IF(AND(ISNUMBER(H300),ISNUMBER(H301),H300&lt;&gt;"",H301&lt;&gt;""),AND(H300&gt;=0,H301&gt;=0,MOD(H300+H301,1)=0),FALSE)</f>
        <v>1</v>
      </c>
      <c r="BD300" s="525" t="b">
        <f t="shared" si="193"/>
        <v>1</v>
      </c>
      <c r="BE300" s="525" t="b">
        <f t="shared" si="193"/>
        <v>1</v>
      </c>
      <c r="BF300" s="525" t="b">
        <f t="shared" si="193"/>
        <v>1</v>
      </c>
      <c r="BG300" s="525" t="b">
        <f t="shared" si="193"/>
        <v>1</v>
      </c>
      <c r="BH300" s="525" t="b">
        <f t="shared" si="193"/>
        <v>1</v>
      </c>
      <c r="BI300" s="525" t="b">
        <f t="shared" si="193"/>
        <v>1</v>
      </c>
      <c r="BJ300" s="525" t="b">
        <f t="shared" si="193"/>
        <v>1</v>
      </c>
      <c r="BK300" s="525" t="b">
        <f t="shared" si="193"/>
        <v>1</v>
      </c>
      <c r="BL300" s="525" t="b">
        <f t="shared" si="193"/>
        <v>1</v>
      </c>
      <c r="BM300" s="525" t="b">
        <f t="shared" si="193"/>
        <v>1</v>
      </c>
      <c r="BN300" s="525" t="b">
        <f t="shared" si="193"/>
        <v>1</v>
      </c>
      <c r="BO300" s="525" t="b">
        <f t="shared" si="193"/>
        <v>1</v>
      </c>
      <c r="BP300" s="525" t="b">
        <f t="shared" si="193"/>
        <v>1</v>
      </c>
      <c r="BQ300" s="525" t="b">
        <f t="shared" si="193"/>
        <v>1</v>
      </c>
      <c r="BR300" s="525" t="b">
        <f t="shared" si="193"/>
        <v>1</v>
      </c>
      <c r="BS300" s="525" t="b">
        <f t="shared" si="193"/>
        <v>1</v>
      </c>
      <c r="BT300" s="525" t="b">
        <f t="shared" si="193"/>
        <v>1</v>
      </c>
      <c r="BU300" s="525" t="b">
        <f t="shared" si="193"/>
        <v>1</v>
      </c>
      <c r="BV300" s="525" t="b">
        <f t="shared" si="193"/>
        <v>1</v>
      </c>
      <c r="BW300" s="525" t="b">
        <f t="shared" si="193"/>
        <v>1</v>
      </c>
      <c r="BX300" s="525" t="b">
        <f t="shared" si="193"/>
        <v>1</v>
      </c>
      <c r="BY300" s="525" t="b">
        <f t="shared" si="193"/>
        <v>1</v>
      </c>
      <c r="BZ300" s="525" t="b">
        <f t="shared" si="193"/>
        <v>0</v>
      </c>
      <c r="CA300" s="525" t="b">
        <f t="shared" si="193"/>
        <v>0</v>
      </c>
      <c r="CB300" s="525" t="b">
        <f t="shared" si="193"/>
        <v>0</v>
      </c>
      <c r="CC300" s="525" t="b">
        <f t="shared" si="193"/>
        <v>0</v>
      </c>
      <c r="CD300" s="525" t="b">
        <f t="shared" si="193"/>
        <v>0</v>
      </c>
      <c r="CE300" s="525" t="b">
        <f t="shared" si="193"/>
        <v>0</v>
      </c>
      <c r="CF300" s="525" t="b">
        <f t="shared" si="193"/>
        <v>0</v>
      </c>
    </row>
    <row r="301" spans="1:84" ht="15" customHeight="1" x14ac:dyDescent="0.3">
      <c r="A301" s="765"/>
      <c r="C301" s="695"/>
      <c r="D301" s="696" t="str">
        <f>IF(INDEX(n.er,$AR300,11)="","",INDEX(n.er,$AR300,11))</f>
        <v>Szlovákia</v>
      </c>
      <c r="E301" s="697" t="str">
        <f>IF(NOT($AS300),"",INDEX(n.er,$AR300,10))</f>
        <v/>
      </c>
      <c r="F301" s="696"/>
      <c r="G301" s="259"/>
      <c r="H301" s="667">
        <v>0</v>
      </c>
      <c r="I301" s="668">
        <v>1</v>
      </c>
      <c r="J301" s="668">
        <v>2</v>
      </c>
      <c r="K301" s="668">
        <v>2</v>
      </c>
      <c r="L301" s="668">
        <v>0</v>
      </c>
      <c r="M301" s="668">
        <v>0</v>
      </c>
      <c r="N301" s="668">
        <v>1</v>
      </c>
      <c r="O301" s="668">
        <v>2</v>
      </c>
      <c r="P301" s="668">
        <v>0</v>
      </c>
      <c r="Q301" s="668">
        <v>1</v>
      </c>
      <c r="R301" s="668">
        <v>0</v>
      </c>
      <c r="S301" s="668">
        <v>1</v>
      </c>
      <c r="T301" s="668">
        <v>1</v>
      </c>
      <c r="U301" s="668">
        <v>2</v>
      </c>
      <c r="V301" s="668">
        <v>1</v>
      </c>
      <c r="W301" s="668">
        <v>0</v>
      </c>
      <c r="X301" s="668">
        <v>0</v>
      </c>
      <c r="Y301" s="668">
        <v>0</v>
      </c>
      <c r="Z301" s="668">
        <v>1</v>
      </c>
      <c r="AA301" s="668">
        <v>1</v>
      </c>
      <c r="AB301" s="668">
        <v>1</v>
      </c>
      <c r="AC301" s="668">
        <v>0</v>
      </c>
      <c r="AD301" s="668">
        <v>1</v>
      </c>
      <c r="AE301" s="668"/>
      <c r="AF301" s="668"/>
      <c r="AG301" s="668"/>
      <c r="AH301" s="668"/>
      <c r="AI301" s="668"/>
      <c r="AJ301" s="668"/>
      <c r="AK301" s="669"/>
      <c r="AP301" s="533"/>
      <c r="AQ301" s="577"/>
      <c r="AR301" s="534"/>
      <c r="AS301" s="535"/>
      <c r="AX301" s="531"/>
      <c r="BC301" s="34" t="b">
        <f t="shared" ref="BC301:CF301" si="194">OR(NOT(H$13),NOT($AS300),NOT(BC300))</f>
        <v>1</v>
      </c>
      <c r="BD301" s="34" t="b">
        <f t="shared" si="194"/>
        <v>1</v>
      </c>
      <c r="BE301" s="34" t="b">
        <f t="shared" si="194"/>
        <v>1</v>
      </c>
      <c r="BF301" s="34" t="b">
        <f t="shared" si="194"/>
        <v>1</v>
      </c>
      <c r="BG301" s="34" t="b">
        <f t="shared" si="194"/>
        <v>1</v>
      </c>
      <c r="BH301" s="34" t="b">
        <f t="shared" si="194"/>
        <v>1</v>
      </c>
      <c r="BI301" s="34" t="b">
        <f t="shared" si="194"/>
        <v>1</v>
      </c>
      <c r="BJ301" s="34" t="b">
        <f t="shared" si="194"/>
        <v>1</v>
      </c>
      <c r="BK301" s="34" t="b">
        <f t="shared" si="194"/>
        <v>1</v>
      </c>
      <c r="BL301" s="34" t="b">
        <f t="shared" si="194"/>
        <v>1</v>
      </c>
      <c r="BM301" s="34" t="b">
        <f t="shared" si="194"/>
        <v>1</v>
      </c>
      <c r="BN301" s="34" t="b">
        <f t="shared" si="194"/>
        <v>1</v>
      </c>
      <c r="BO301" s="34" t="b">
        <f t="shared" si="194"/>
        <v>1</v>
      </c>
      <c r="BP301" s="34" t="b">
        <f t="shared" si="194"/>
        <v>1</v>
      </c>
      <c r="BQ301" s="34" t="b">
        <f t="shared" si="194"/>
        <v>1</v>
      </c>
      <c r="BR301" s="34" t="b">
        <f t="shared" si="194"/>
        <v>1</v>
      </c>
      <c r="BS301" s="34" t="b">
        <f t="shared" si="194"/>
        <v>1</v>
      </c>
      <c r="BT301" s="34" t="b">
        <f t="shared" si="194"/>
        <v>1</v>
      </c>
      <c r="BU301" s="34" t="b">
        <f t="shared" si="194"/>
        <v>1</v>
      </c>
      <c r="BV301" s="34" t="b">
        <f t="shared" si="194"/>
        <v>1</v>
      </c>
      <c r="BW301" s="34" t="b">
        <f t="shared" si="194"/>
        <v>1</v>
      </c>
      <c r="BX301" s="34" t="b">
        <f t="shared" si="194"/>
        <v>1</v>
      </c>
      <c r="BY301" s="34" t="b">
        <f t="shared" si="194"/>
        <v>1</v>
      </c>
      <c r="BZ301" s="34" t="b">
        <f t="shared" si="194"/>
        <v>1</v>
      </c>
      <c r="CA301" s="34" t="b">
        <f t="shared" si="194"/>
        <v>1</v>
      </c>
      <c r="CB301" s="34" t="b">
        <f t="shared" si="194"/>
        <v>1</v>
      </c>
      <c r="CC301" s="34" t="b">
        <f t="shared" si="194"/>
        <v>1</v>
      </c>
      <c r="CD301" s="34" t="b">
        <f t="shared" si="194"/>
        <v>1</v>
      </c>
      <c r="CE301" s="34" t="b">
        <f t="shared" si="194"/>
        <v>1</v>
      </c>
      <c r="CF301" s="34" t="b">
        <f t="shared" si="194"/>
        <v>1</v>
      </c>
    </row>
    <row r="302" spans="1:84" ht="12" customHeight="1" x14ac:dyDescent="0.3">
      <c r="A302" s="765"/>
      <c r="E302" s="258" t="str">
        <f>$AX$92</f>
        <v>Telitalálat: 10 p</v>
      </c>
      <c r="H302" s="670" t="str">
        <f t="shared" ref="H302:AK302" si="195">IF(OR(BC301,NOT($AS$20)),"",IF(AND(H300=$E300,H301=$E301),"ü",""))</f>
        <v/>
      </c>
      <c r="I302" s="671" t="str">
        <f t="shared" si="195"/>
        <v/>
      </c>
      <c r="J302" s="671" t="str">
        <f t="shared" si="195"/>
        <v/>
      </c>
      <c r="K302" s="671" t="str">
        <f t="shared" si="195"/>
        <v/>
      </c>
      <c r="L302" s="671" t="str">
        <f t="shared" si="195"/>
        <v/>
      </c>
      <c r="M302" s="671" t="str">
        <f t="shared" si="195"/>
        <v/>
      </c>
      <c r="N302" s="671" t="str">
        <f t="shared" si="195"/>
        <v/>
      </c>
      <c r="O302" s="671" t="str">
        <f t="shared" si="195"/>
        <v/>
      </c>
      <c r="P302" s="671" t="str">
        <f t="shared" si="195"/>
        <v/>
      </c>
      <c r="Q302" s="671" t="str">
        <f t="shared" si="195"/>
        <v/>
      </c>
      <c r="R302" s="671" t="str">
        <f t="shared" si="195"/>
        <v/>
      </c>
      <c r="S302" s="671" t="str">
        <f t="shared" si="195"/>
        <v/>
      </c>
      <c r="T302" s="671" t="str">
        <f t="shared" si="195"/>
        <v/>
      </c>
      <c r="U302" s="671" t="str">
        <f t="shared" si="195"/>
        <v/>
      </c>
      <c r="V302" s="671" t="str">
        <f t="shared" si="195"/>
        <v/>
      </c>
      <c r="W302" s="671" t="str">
        <f t="shared" si="195"/>
        <v/>
      </c>
      <c r="X302" s="671" t="str">
        <f t="shared" si="195"/>
        <v/>
      </c>
      <c r="Y302" s="671" t="str">
        <f t="shared" si="195"/>
        <v/>
      </c>
      <c r="Z302" s="671" t="str">
        <f t="shared" si="195"/>
        <v/>
      </c>
      <c r="AA302" s="671" t="str">
        <f t="shared" si="195"/>
        <v/>
      </c>
      <c r="AB302" s="671" t="str">
        <f t="shared" si="195"/>
        <v/>
      </c>
      <c r="AC302" s="671" t="str">
        <f t="shared" si="195"/>
        <v/>
      </c>
      <c r="AD302" s="671" t="str">
        <f t="shared" si="195"/>
        <v/>
      </c>
      <c r="AE302" s="671" t="str">
        <f t="shared" si="195"/>
        <v/>
      </c>
      <c r="AF302" s="671" t="str">
        <f t="shared" si="195"/>
        <v/>
      </c>
      <c r="AG302" s="671" t="str">
        <f t="shared" si="195"/>
        <v/>
      </c>
      <c r="AH302" s="671" t="str">
        <f t="shared" si="195"/>
        <v/>
      </c>
      <c r="AI302" s="671" t="str">
        <f t="shared" si="195"/>
        <v/>
      </c>
      <c r="AJ302" s="671" t="str">
        <f t="shared" si="195"/>
        <v/>
      </c>
      <c r="AK302" s="672" t="str">
        <f t="shared" si="195"/>
        <v/>
      </c>
      <c r="AL302" s="15"/>
      <c r="AM302" s="15"/>
      <c r="AP302" s="536"/>
      <c r="AR302" s="537"/>
      <c r="AS302" s="529"/>
      <c r="AW302" s="390" t="str">
        <f>""</f>
        <v/>
      </c>
      <c r="AX302" s="531"/>
      <c r="AY302" s="390" t="str">
        <f>""</f>
        <v/>
      </c>
      <c r="BD302" s="520"/>
      <c r="BE302" s="520"/>
      <c r="BF302" s="520"/>
      <c r="BG302" s="520"/>
      <c r="BH302" s="520"/>
      <c r="BI302" s="520"/>
      <c r="BJ302" s="520"/>
      <c r="BK302" s="520"/>
      <c r="BL302" s="520"/>
      <c r="BM302" s="520"/>
      <c r="BN302" s="520"/>
      <c r="BO302" s="520"/>
      <c r="BP302" s="520"/>
      <c r="BQ302" s="520"/>
      <c r="BR302" s="520"/>
      <c r="BS302" s="520"/>
      <c r="BT302" s="520"/>
      <c r="BU302" s="520"/>
      <c r="BV302" s="520"/>
      <c r="BW302" s="520"/>
      <c r="BX302" s="520"/>
      <c r="BY302" s="520"/>
    </row>
    <row r="303" spans="1:84" ht="12" customHeight="1" x14ac:dyDescent="0.3">
      <c r="A303" s="765"/>
      <c r="E303" s="258" t="str">
        <f>$AX$93</f>
        <v>Gólkülönbség: 6 p</v>
      </c>
      <c r="H303" s="673" t="str">
        <f t="shared" ref="H303:AK303" si="196">IF(OR(BC301,NOT($AS$22)),"",IF(AND(NOT($AS$32),H302="ü"),"",IF(H300-H301=$E300-$E301,"ü"," ")))</f>
        <v/>
      </c>
      <c r="I303" s="674" t="str">
        <f t="shared" si="196"/>
        <v/>
      </c>
      <c r="J303" s="674" t="str">
        <f t="shared" si="196"/>
        <v/>
      </c>
      <c r="K303" s="674" t="str">
        <f t="shared" si="196"/>
        <v/>
      </c>
      <c r="L303" s="674" t="str">
        <f t="shared" si="196"/>
        <v/>
      </c>
      <c r="M303" s="674" t="str">
        <f t="shared" si="196"/>
        <v/>
      </c>
      <c r="N303" s="674" t="str">
        <f t="shared" si="196"/>
        <v/>
      </c>
      <c r="O303" s="674" t="str">
        <f t="shared" si="196"/>
        <v/>
      </c>
      <c r="P303" s="674" t="str">
        <f t="shared" si="196"/>
        <v/>
      </c>
      <c r="Q303" s="674" t="str">
        <f t="shared" si="196"/>
        <v/>
      </c>
      <c r="R303" s="674" t="str">
        <f t="shared" si="196"/>
        <v/>
      </c>
      <c r="S303" s="674" t="str">
        <f t="shared" si="196"/>
        <v/>
      </c>
      <c r="T303" s="674" t="str">
        <f t="shared" si="196"/>
        <v/>
      </c>
      <c r="U303" s="674" t="str">
        <f t="shared" si="196"/>
        <v/>
      </c>
      <c r="V303" s="674" t="str">
        <f t="shared" si="196"/>
        <v/>
      </c>
      <c r="W303" s="674" t="str">
        <f t="shared" si="196"/>
        <v/>
      </c>
      <c r="X303" s="674" t="str">
        <f t="shared" si="196"/>
        <v/>
      </c>
      <c r="Y303" s="674" t="str">
        <f t="shared" si="196"/>
        <v/>
      </c>
      <c r="Z303" s="674" t="str">
        <f t="shared" si="196"/>
        <v/>
      </c>
      <c r="AA303" s="674" t="str">
        <f t="shared" si="196"/>
        <v/>
      </c>
      <c r="AB303" s="674" t="str">
        <f t="shared" si="196"/>
        <v/>
      </c>
      <c r="AC303" s="674" t="str">
        <f t="shared" si="196"/>
        <v/>
      </c>
      <c r="AD303" s="674" t="str">
        <f t="shared" si="196"/>
        <v/>
      </c>
      <c r="AE303" s="674" t="str">
        <f t="shared" si="196"/>
        <v/>
      </c>
      <c r="AF303" s="674" t="str">
        <f t="shared" si="196"/>
        <v/>
      </c>
      <c r="AG303" s="674" t="str">
        <f t="shared" si="196"/>
        <v/>
      </c>
      <c r="AH303" s="674" t="str">
        <f t="shared" si="196"/>
        <v/>
      </c>
      <c r="AI303" s="674" t="str">
        <f t="shared" si="196"/>
        <v/>
      </c>
      <c r="AJ303" s="674" t="str">
        <f t="shared" si="196"/>
        <v/>
      </c>
      <c r="AK303" s="675" t="str">
        <f t="shared" si="196"/>
        <v/>
      </c>
      <c r="AL303" s="15"/>
      <c r="AM303" s="15"/>
      <c r="AP303" s="536"/>
      <c r="AR303" s="537"/>
      <c r="AS303" s="529"/>
      <c r="AW303" s="390" t="str">
        <f>""</f>
        <v/>
      </c>
      <c r="AX303" s="531"/>
      <c r="AY303" s="390" t="str">
        <f>""</f>
        <v/>
      </c>
      <c r="BD303" s="520"/>
      <c r="BE303" s="520"/>
      <c r="BF303" s="520"/>
      <c r="BG303" s="520"/>
      <c r="BH303" s="520"/>
      <c r="BI303" s="520"/>
      <c r="BJ303" s="520"/>
      <c r="BK303" s="520"/>
      <c r="BL303" s="520"/>
      <c r="BM303" s="520"/>
      <c r="BN303" s="520"/>
      <c r="BO303" s="520"/>
      <c r="BP303" s="520"/>
      <c r="BQ303" s="520"/>
      <c r="BR303" s="520"/>
      <c r="BS303" s="520"/>
      <c r="BT303" s="520"/>
      <c r="BU303" s="520"/>
      <c r="BV303" s="520"/>
      <c r="BW303" s="520"/>
      <c r="BX303" s="520"/>
      <c r="BY303" s="520"/>
    </row>
    <row r="304" spans="1:84" ht="12" customHeight="1" x14ac:dyDescent="0.3">
      <c r="A304" s="765"/>
      <c r="E304" s="258" t="str">
        <f>$AX$94</f>
        <v>Mérkőzés kimenetele: 4 p</v>
      </c>
      <c r="H304" s="673" t="str">
        <f t="shared" ref="H304:AK304" si="197">IF(OR(BC301,NOT($AS$24)),"",IF(AND(NOT($AS$32),COUNTIF(H302:H303,"ü")&gt;0),"",IF(SIGN(H300-H301)=SIGN($E300-$E301),"ü"," ")))</f>
        <v/>
      </c>
      <c r="I304" s="674" t="str">
        <f t="shared" si="197"/>
        <v/>
      </c>
      <c r="J304" s="674" t="str">
        <f t="shared" si="197"/>
        <v/>
      </c>
      <c r="K304" s="674" t="str">
        <f t="shared" si="197"/>
        <v/>
      </c>
      <c r="L304" s="674" t="str">
        <f t="shared" si="197"/>
        <v/>
      </c>
      <c r="M304" s="674" t="str">
        <f t="shared" si="197"/>
        <v/>
      </c>
      <c r="N304" s="674" t="str">
        <f t="shared" si="197"/>
        <v/>
      </c>
      <c r="O304" s="674" t="str">
        <f t="shared" si="197"/>
        <v/>
      </c>
      <c r="P304" s="674" t="str">
        <f t="shared" si="197"/>
        <v/>
      </c>
      <c r="Q304" s="674" t="str">
        <f t="shared" si="197"/>
        <v/>
      </c>
      <c r="R304" s="674" t="str">
        <f t="shared" si="197"/>
        <v/>
      </c>
      <c r="S304" s="674" t="str">
        <f t="shared" si="197"/>
        <v/>
      </c>
      <c r="T304" s="674" t="str">
        <f t="shared" si="197"/>
        <v/>
      </c>
      <c r="U304" s="674" t="str">
        <f t="shared" si="197"/>
        <v/>
      </c>
      <c r="V304" s="674" t="str">
        <f t="shared" si="197"/>
        <v/>
      </c>
      <c r="W304" s="674" t="str">
        <f t="shared" si="197"/>
        <v/>
      </c>
      <c r="X304" s="674" t="str">
        <f t="shared" si="197"/>
        <v/>
      </c>
      <c r="Y304" s="674" t="str">
        <f t="shared" si="197"/>
        <v/>
      </c>
      <c r="Z304" s="674" t="str">
        <f t="shared" si="197"/>
        <v/>
      </c>
      <c r="AA304" s="674" t="str">
        <f t="shared" si="197"/>
        <v/>
      </c>
      <c r="AB304" s="674" t="str">
        <f t="shared" si="197"/>
        <v/>
      </c>
      <c r="AC304" s="674" t="str">
        <f t="shared" si="197"/>
        <v/>
      </c>
      <c r="AD304" s="674" t="str">
        <f t="shared" si="197"/>
        <v/>
      </c>
      <c r="AE304" s="674" t="str">
        <f t="shared" si="197"/>
        <v/>
      </c>
      <c r="AF304" s="674" t="str">
        <f t="shared" si="197"/>
        <v/>
      </c>
      <c r="AG304" s="674" t="str">
        <f t="shared" si="197"/>
        <v/>
      </c>
      <c r="AH304" s="674" t="str">
        <f t="shared" si="197"/>
        <v/>
      </c>
      <c r="AI304" s="674" t="str">
        <f t="shared" si="197"/>
        <v/>
      </c>
      <c r="AJ304" s="674" t="str">
        <f t="shared" si="197"/>
        <v/>
      </c>
      <c r="AK304" s="675" t="str">
        <f t="shared" si="197"/>
        <v/>
      </c>
      <c r="AL304" s="15"/>
      <c r="AM304" s="15"/>
      <c r="AP304" s="536"/>
      <c r="AR304" s="537"/>
      <c r="AS304" s="529"/>
      <c r="AW304" s="390" t="str">
        <f>""</f>
        <v/>
      </c>
      <c r="AX304" s="531"/>
      <c r="AY304" s="390" t="str">
        <f>""</f>
        <v/>
      </c>
      <c r="BD304" s="520"/>
      <c r="BE304" s="520"/>
      <c r="BF304" s="520"/>
      <c r="BG304" s="520"/>
      <c r="BH304" s="520"/>
      <c r="BI304" s="520"/>
      <c r="BJ304" s="520"/>
      <c r="BK304" s="520"/>
      <c r="BL304" s="520"/>
      <c r="BM304" s="520"/>
      <c r="BN304" s="520"/>
      <c r="BO304" s="520"/>
      <c r="BP304" s="520"/>
      <c r="BQ304" s="520"/>
      <c r="BR304" s="520"/>
      <c r="BS304" s="520"/>
      <c r="BT304" s="520"/>
      <c r="BU304" s="520"/>
      <c r="BV304" s="520"/>
      <c r="BW304" s="520"/>
      <c r="BX304" s="520"/>
      <c r="BY304" s="520"/>
    </row>
    <row r="305" spans="1:84" ht="12" customHeight="1" x14ac:dyDescent="0.3">
      <c r="A305" s="765"/>
      <c r="E305" s="258" t="str">
        <f>$AX$95</f>
        <v>Egyik csapat góljainak száma: 3 p</v>
      </c>
      <c r="H305" s="673" t="str">
        <f t="shared" ref="H305:AK305" si="198">IF(OR(BC301,NOT($AS$26)),"",IF(AND(NOT($AS$32),COUNTIF(H302:H304,"ü")&gt;0),"",IF(OR(H300=$E300,H301=$E301),"ü"," ")))</f>
        <v/>
      </c>
      <c r="I305" s="674" t="str">
        <f t="shared" si="198"/>
        <v/>
      </c>
      <c r="J305" s="674" t="str">
        <f t="shared" si="198"/>
        <v/>
      </c>
      <c r="K305" s="674" t="str">
        <f t="shared" si="198"/>
        <v/>
      </c>
      <c r="L305" s="674" t="str">
        <f t="shared" si="198"/>
        <v/>
      </c>
      <c r="M305" s="674" t="str">
        <f t="shared" si="198"/>
        <v/>
      </c>
      <c r="N305" s="674" t="str">
        <f t="shared" si="198"/>
        <v/>
      </c>
      <c r="O305" s="674" t="str">
        <f t="shared" si="198"/>
        <v/>
      </c>
      <c r="P305" s="674" t="str">
        <f t="shared" si="198"/>
        <v/>
      </c>
      <c r="Q305" s="674" t="str">
        <f t="shared" si="198"/>
        <v/>
      </c>
      <c r="R305" s="674" t="str">
        <f t="shared" si="198"/>
        <v/>
      </c>
      <c r="S305" s="674" t="str">
        <f t="shared" si="198"/>
        <v/>
      </c>
      <c r="T305" s="674" t="str">
        <f t="shared" si="198"/>
        <v/>
      </c>
      <c r="U305" s="674" t="str">
        <f t="shared" si="198"/>
        <v/>
      </c>
      <c r="V305" s="674" t="str">
        <f t="shared" si="198"/>
        <v/>
      </c>
      <c r="W305" s="674" t="str">
        <f t="shared" si="198"/>
        <v/>
      </c>
      <c r="X305" s="674" t="str">
        <f t="shared" si="198"/>
        <v/>
      </c>
      <c r="Y305" s="674" t="str">
        <f t="shared" si="198"/>
        <v/>
      </c>
      <c r="Z305" s="674" t="str">
        <f t="shared" si="198"/>
        <v/>
      </c>
      <c r="AA305" s="674" t="str">
        <f t="shared" si="198"/>
        <v/>
      </c>
      <c r="AB305" s="674" t="str">
        <f t="shared" si="198"/>
        <v/>
      </c>
      <c r="AC305" s="674" t="str">
        <f t="shared" si="198"/>
        <v/>
      </c>
      <c r="AD305" s="674" t="str">
        <f t="shared" si="198"/>
        <v/>
      </c>
      <c r="AE305" s="674" t="str">
        <f t="shared" si="198"/>
        <v/>
      </c>
      <c r="AF305" s="674" t="str">
        <f t="shared" si="198"/>
        <v/>
      </c>
      <c r="AG305" s="674" t="str">
        <f t="shared" si="198"/>
        <v/>
      </c>
      <c r="AH305" s="674" t="str">
        <f t="shared" si="198"/>
        <v/>
      </c>
      <c r="AI305" s="674" t="str">
        <f t="shared" si="198"/>
        <v/>
      </c>
      <c r="AJ305" s="674" t="str">
        <f t="shared" si="198"/>
        <v/>
      </c>
      <c r="AK305" s="675" t="str">
        <f t="shared" si="198"/>
        <v/>
      </c>
      <c r="AL305" s="15"/>
      <c r="AM305" s="15"/>
      <c r="AP305" s="536"/>
      <c r="AR305" s="537"/>
      <c r="AS305" s="529"/>
      <c r="AW305" s="390" t="str">
        <f>""</f>
        <v/>
      </c>
      <c r="AX305" s="531"/>
      <c r="AY305" s="390" t="str">
        <f>""</f>
        <v/>
      </c>
      <c r="BD305" s="520"/>
      <c r="BE305" s="520"/>
      <c r="BF305" s="520"/>
      <c r="BG305" s="520"/>
      <c r="BH305" s="520"/>
      <c r="BI305" s="520"/>
      <c r="BJ305" s="520"/>
      <c r="BK305" s="520"/>
      <c r="BL305" s="520"/>
      <c r="BM305" s="520"/>
      <c r="BN305" s="520"/>
      <c r="BO305" s="520"/>
      <c r="BP305" s="520"/>
      <c r="BQ305" s="520"/>
      <c r="BR305" s="520"/>
      <c r="BS305" s="520"/>
      <c r="BT305" s="520"/>
      <c r="BU305" s="520"/>
      <c r="BV305" s="520"/>
      <c r="BW305" s="520"/>
      <c r="BX305" s="520"/>
      <c r="BY305" s="520"/>
    </row>
    <row r="306" spans="1:84" ht="12" customHeight="1" x14ac:dyDescent="0.3">
      <c r="A306" s="765"/>
      <c r="E306" s="258" t="str">
        <f>$AX$96</f>
        <v>Összes gól: 2 p</v>
      </c>
      <c r="H306" s="673" t="str">
        <f t="shared" ref="H306:AK306" si="199">IF(OR(BC301,NOT($AS$28)),"",IF(AND(NOT($AS$32),COUNTIF(H302:H305,"ü")&gt;0),"",IF(H300+H301=$E300+$E301,"ü"," ")))</f>
        <v/>
      </c>
      <c r="I306" s="674" t="str">
        <f t="shared" si="199"/>
        <v/>
      </c>
      <c r="J306" s="674" t="str">
        <f t="shared" si="199"/>
        <v/>
      </c>
      <c r="K306" s="674" t="str">
        <f t="shared" si="199"/>
        <v/>
      </c>
      <c r="L306" s="674" t="str">
        <f t="shared" si="199"/>
        <v/>
      </c>
      <c r="M306" s="674" t="str">
        <f t="shared" si="199"/>
        <v/>
      </c>
      <c r="N306" s="674" t="str">
        <f t="shared" si="199"/>
        <v/>
      </c>
      <c r="O306" s="674" t="str">
        <f t="shared" si="199"/>
        <v/>
      </c>
      <c r="P306" s="674" t="str">
        <f t="shared" si="199"/>
        <v/>
      </c>
      <c r="Q306" s="674" t="str">
        <f t="shared" si="199"/>
        <v/>
      </c>
      <c r="R306" s="674" t="str">
        <f t="shared" si="199"/>
        <v/>
      </c>
      <c r="S306" s="674" t="str">
        <f t="shared" si="199"/>
        <v/>
      </c>
      <c r="T306" s="674" t="str">
        <f t="shared" si="199"/>
        <v/>
      </c>
      <c r="U306" s="674" t="str">
        <f t="shared" si="199"/>
        <v/>
      </c>
      <c r="V306" s="674" t="str">
        <f t="shared" si="199"/>
        <v/>
      </c>
      <c r="W306" s="674" t="str">
        <f t="shared" si="199"/>
        <v/>
      </c>
      <c r="X306" s="674" t="str">
        <f t="shared" si="199"/>
        <v/>
      </c>
      <c r="Y306" s="674" t="str">
        <f t="shared" si="199"/>
        <v/>
      </c>
      <c r="Z306" s="674" t="str">
        <f t="shared" si="199"/>
        <v/>
      </c>
      <c r="AA306" s="674" t="str">
        <f t="shared" si="199"/>
        <v/>
      </c>
      <c r="AB306" s="674" t="str">
        <f t="shared" si="199"/>
        <v/>
      </c>
      <c r="AC306" s="674" t="str">
        <f t="shared" si="199"/>
        <v/>
      </c>
      <c r="AD306" s="674" t="str">
        <f t="shared" si="199"/>
        <v/>
      </c>
      <c r="AE306" s="674" t="str">
        <f t="shared" si="199"/>
        <v/>
      </c>
      <c r="AF306" s="674" t="str">
        <f t="shared" si="199"/>
        <v/>
      </c>
      <c r="AG306" s="674" t="str">
        <f t="shared" si="199"/>
        <v/>
      </c>
      <c r="AH306" s="674" t="str">
        <f t="shared" si="199"/>
        <v/>
      </c>
      <c r="AI306" s="674" t="str">
        <f t="shared" si="199"/>
        <v/>
      </c>
      <c r="AJ306" s="674" t="str">
        <f t="shared" si="199"/>
        <v/>
      </c>
      <c r="AK306" s="675" t="str">
        <f t="shared" si="199"/>
        <v/>
      </c>
      <c r="AL306" s="15"/>
      <c r="AM306" s="15"/>
      <c r="AP306" s="536"/>
      <c r="AR306" s="537"/>
      <c r="AS306" s="529"/>
      <c r="AW306" s="390" t="str">
        <f>""</f>
        <v/>
      </c>
      <c r="AX306" s="531"/>
      <c r="AY306" s="390" t="str">
        <f>""</f>
        <v/>
      </c>
      <c r="BD306" s="520"/>
      <c r="BE306" s="520"/>
      <c r="BF306" s="520"/>
      <c r="BG306" s="520"/>
      <c r="BH306" s="520"/>
      <c r="BI306" s="520"/>
      <c r="BJ306" s="520"/>
      <c r="BK306" s="520"/>
      <c r="BL306" s="520"/>
      <c r="BM306" s="520"/>
      <c r="BN306" s="520"/>
      <c r="BO306" s="520"/>
      <c r="BP306" s="520"/>
      <c r="BQ306" s="520"/>
      <c r="BR306" s="520"/>
      <c r="BS306" s="520"/>
      <c r="BT306" s="520"/>
      <c r="BU306" s="520"/>
      <c r="BV306" s="520"/>
      <c r="BW306" s="520"/>
      <c r="BX306" s="520"/>
      <c r="BY306" s="520"/>
    </row>
    <row r="307" spans="1:84" ht="12" customHeight="1" x14ac:dyDescent="0.3">
      <c r="A307" s="765"/>
      <c r="E307" s="258" t="str">
        <f>$AX$97</f>
        <v>Fordított gólkülönbség: 1 p</v>
      </c>
      <c r="H307" s="676" t="str">
        <f t="shared" ref="H307:AK307" si="200">IF(OR(BC301,NOT($AS$30)),"",IF(AND(NOT($AS$32),COUNTIF(H302:H306,"ü")&gt;0),"",IF(AND(H300-H301=$E301-$E300,H300&lt;&gt;H301),"ü"," ")))</f>
        <v/>
      </c>
      <c r="I307" s="677" t="str">
        <f t="shared" si="200"/>
        <v/>
      </c>
      <c r="J307" s="677" t="str">
        <f t="shared" si="200"/>
        <v/>
      </c>
      <c r="K307" s="677" t="str">
        <f t="shared" si="200"/>
        <v/>
      </c>
      <c r="L307" s="677" t="str">
        <f t="shared" si="200"/>
        <v/>
      </c>
      <c r="M307" s="677" t="str">
        <f t="shared" si="200"/>
        <v/>
      </c>
      <c r="N307" s="677" t="str">
        <f t="shared" si="200"/>
        <v/>
      </c>
      <c r="O307" s="677" t="str">
        <f t="shared" si="200"/>
        <v/>
      </c>
      <c r="P307" s="677" t="str">
        <f t="shared" si="200"/>
        <v/>
      </c>
      <c r="Q307" s="677" t="str">
        <f t="shared" si="200"/>
        <v/>
      </c>
      <c r="R307" s="677" t="str">
        <f t="shared" si="200"/>
        <v/>
      </c>
      <c r="S307" s="677" t="str">
        <f t="shared" si="200"/>
        <v/>
      </c>
      <c r="T307" s="677" t="str">
        <f t="shared" si="200"/>
        <v/>
      </c>
      <c r="U307" s="677" t="str">
        <f t="shared" si="200"/>
        <v/>
      </c>
      <c r="V307" s="677" t="str">
        <f t="shared" si="200"/>
        <v/>
      </c>
      <c r="W307" s="677" t="str">
        <f t="shared" si="200"/>
        <v/>
      </c>
      <c r="X307" s="677" t="str">
        <f t="shared" si="200"/>
        <v/>
      </c>
      <c r="Y307" s="677" t="str">
        <f t="shared" si="200"/>
        <v/>
      </c>
      <c r="Z307" s="677" t="str">
        <f t="shared" si="200"/>
        <v/>
      </c>
      <c r="AA307" s="677" t="str">
        <f t="shared" si="200"/>
        <v/>
      </c>
      <c r="AB307" s="677" t="str">
        <f t="shared" si="200"/>
        <v/>
      </c>
      <c r="AC307" s="677" t="str">
        <f t="shared" si="200"/>
        <v/>
      </c>
      <c r="AD307" s="677" t="str">
        <f t="shared" si="200"/>
        <v/>
      </c>
      <c r="AE307" s="677" t="str">
        <f t="shared" si="200"/>
        <v/>
      </c>
      <c r="AF307" s="677" t="str">
        <f t="shared" si="200"/>
        <v/>
      </c>
      <c r="AG307" s="677" t="str">
        <f t="shared" si="200"/>
        <v/>
      </c>
      <c r="AH307" s="677" t="str">
        <f t="shared" si="200"/>
        <v/>
      </c>
      <c r="AI307" s="677" t="str">
        <f t="shared" si="200"/>
        <v/>
      </c>
      <c r="AJ307" s="677" t="str">
        <f t="shared" si="200"/>
        <v/>
      </c>
      <c r="AK307" s="678" t="str">
        <f t="shared" si="200"/>
        <v/>
      </c>
      <c r="AL307" s="15"/>
      <c r="AM307" s="15"/>
      <c r="AP307" s="536"/>
      <c r="AR307" s="537"/>
      <c r="AS307" s="529"/>
      <c r="AW307" s="390" t="str">
        <f>""</f>
        <v/>
      </c>
      <c r="AX307" s="531"/>
      <c r="AY307" s="390" t="str">
        <f>""</f>
        <v/>
      </c>
      <c r="BD307" s="520"/>
      <c r="BE307" s="520"/>
      <c r="BF307" s="520"/>
      <c r="BG307" s="520"/>
      <c r="BH307" s="520"/>
      <c r="BI307" s="520"/>
      <c r="BJ307" s="520"/>
      <c r="BK307" s="520"/>
      <c r="BL307" s="520"/>
      <c r="BM307" s="520"/>
      <c r="BN307" s="520"/>
      <c r="BO307" s="520"/>
      <c r="BP307" s="520"/>
      <c r="BQ307" s="520"/>
      <c r="BR307" s="520"/>
      <c r="BS307" s="520"/>
      <c r="BT307" s="520"/>
      <c r="BU307" s="520"/>
      <c r="BV307" s="520"/>
      <c r="BW307" s="520"/>
      <c r="BX307" s="520"/>
      <c r="BY307" s="520"/>
    </row>
    <row r="308" spans="1:84" ht="15" customHeight="1" x14ac:dyDescent="0.3">
      <c r="A308" s="765"/>
      <c r="E308" s="79" t="s">
        <v>799</v>
      </c>
      <c r="H308" s="679">
        <f t="shared" ref="H308:AK308" si="201">IF(NOT(H$13),"",SUMPRODUCT((H302:H307="ü")*($AW$92:$AW$97)))</f>
        <v>0</v>
      </c>
      <c r="I308" s="680">
        <f t="shared" si="201"/>
        <v>0</v>
      </c>
      <c r="J308" s="680">
        <f t="shared" si="201"/>
        <v>0</v>
      </c>
      <c r="K308" s="680">
        <f t="shared" si="201"/>
        <v>0</v>
      </c>
      <c r="L308" s="680">
        <f t="shared" si="201"/>
        <v>0</v>
      </c>
      <c r="M308" s="680">
        <f t="shared" si="201"/>
        <v>0</v>
      </c>
      <c r="N308" s="680">
        <f t="shared" si="201"/>
        <v>0</v>
      </c>
      <c r="O308" s="680">
        <f t="shared" si="201"/>
        <v>0</v>
      </c>
      <c r="P308" s="680">
        <f t="shared" si="201"/>
        <v>0</v>
      </c>
      <c r="Q308" s="680">
        <f t="shared" si="201"/>
        <v>0</v>
      </c>
      <c r="R308" s="680">
        <f t="shared" si="201"/>
        <v>0</v>
      </c>
      <c r="S308" s="680">
        <f t="shared" si="201"/>
        <v>0</v>
      </c>
      <c r="T308" s="680">
        <f t="shared" si="201"/>
        <v>0</v>
      </c>
      <c r="U308" s="680">
        <f t="shared" si="201"/>
        <v>0</v>
      </c>
      <c r="V308" s="680">
        <f t="shared" si="201"/>
        <v>0</v>
      </c>
      <c r="W308" s="680">
        <f t="shared" si="201"/>
        <v>0</v>
      </c>
      <c r="X308" s="680">
        <f t="shared" si="201"/>
        <v>0</v>
      </c>
      <c r="Y308" s="680">
        <f t="shared" si="201"/>
        <v>0</v>
      </c>
      <c r="Z308" s="680">
        <f t="shared" si="201"/>
        <v>0</v>
      </c>
      <c r="AA308" s="680">
        <f t="shared" si="201"/>
        <v>0</v>
      </c>
      <c r="AB308" s="680">
        <f t="shared" si="201"/>
        <v>0</v>
      </c>
      <c r="AC308" s="680">
        <f t="shared" si="201"/>
        <v>0</v>
      </c>
      <c r="AD308" s="680">
        <f t="shared" si="201"/>
        <v>0</v>
      </c>
      <c r="AE308" s="680" t="str">
        <f t="shared" si="201"/>
        <v/>
      </c>
      <c r="AF308" s="680" t="str">
        <f t="shared" si="201"/>
        <v/>
      </c>
      <c r="AG308" s="680" t="str">
        <f t="shared" si="201"/>
        <v/>
      </c>
      <c r="AH308" s="680" t="str">
        <f t="shared" si="201"/>
        <v/>
      </c>
      <c r="AI308" s="680" t="str">
        <f t="shared" si="201"/>
        <v/>
      </c>
      <c r="AJ308" s="680" t="str">
        <f t="shared" si="201"/>
        <v/>
      </c>
      <c r="AK308" s="681" t="str">
        <f t="shared" si="201"/>
        <v/>
      </c>
      <c r="AP308" s="536"/>
      <c r="AR308" s="537"/>
      <c r="AS308" s="529"/>
    </row>
    <row r="309" spans="1:84" ht="9" customHeight="1" x14ac:dyDescent="0.3">
      <c r="A309" s="765"/>
      <c r="D309" s="15"/>
      <c r="E309" s="15"/>
      <c r="F309" s="15"/>
      <c r="G309" s="15"/>
      <c r="H309" s="15"/>
      <c r="I309" s="16"/>
      <c r="J309" s="15"/>
      <c r="K309" s="15"/>
      <c r="L309" s="16"/>
      <c r="M309" s="15"/>
      <c r="N309" s="15"/>
      <c r="O309" s="16"/>
      <c r="P309" s="15"/>
      <c r="Q309" s="15"/>
      <c r="R309" s="16"/>
      <c r="S309" s="15"/>
      <c r="T309" s="15"/>
      <c r="U309" s="16"/>
      <c r="V309" s="15"/>
      <c r="W309" s="15"/>
      <c r="X309" s="16"/>
      <c r="Y309" s="15"/>
      <c r="Z309" s="15"/>
      <c r="AA309" s="16"/>
      <c r="AB309" s="15"/>
      <c r="AC309" s="15"/>
      <c r="AD309" s="16"/>
      <c r="AE309" s="15"/>
      <c r="AF309" s="15"/>
      <c r="AG309" s="16"/>
      <c r="AH309" s="15"/>
      <c r="AI309" s="15"/>
      <c r="AJ309" s="16"/>
      <c r="AK309" s="15"/>
      <c r="AP309" s="536"/>
      <c r="AR309" s="537"/>
      <c r="AS309" s="529"/>
    </row>
    <row r="310" spans="1:84" ht="15" customHeight="1" x14ac:dyDescent="0.3">
      <c r="A310" s="765"/>
      <c r="C310" s="27" t="str">
        <f>" "&amp;VLOOKUP(AQ311,schedule,18,FALSE)&amp;"  ("&amp;VLOOKUP(AQ311,schedule,3,FALSE)&amp;" CSOPORT)"</f>
        <v xml:space="preserve"> JÚNIUS 18. – PÉNTEK 18:00  (D CSOPORT)</v>
      </c>
      <c r="D310" s="27"/>
      <c r="E310" s="26"/>
      <c r="F310" s="26"/>
      <c r="G310" s="26"/>
      <c r="H310" s="26"/>
      <c r="I310" s="26"/>
      <c r="J310" s="26"/>
      <c r="AP310" s="536"/>
      <c r="AR310" s="537"/>
      <c r="AS310" s="529"/>
    </row>
    <row r="311" spans="1:84" ht="15" customHeight="1" x14ac:dyDescent="0.3">
      <c r="A311" s="765"/>
      <c r="C311" s="661"/>
      <c r="D311" s="662" t="str">
        <f>IF(INDEX(n.er,$AR311,8)="","",INDEX(n.er,$AR311,8))</f>
        <v>Horvátország</v>
      </c>
      <c r="E311" s="663" t="str">
        <f>IF(NOT($AS311),"",INDEX(n.er,$AR311,9))</f>
        <v/>
      </c>
      <c r="F311" s="662"/>
      <c r="G311" s="259"/>
      <c r="H311" s="664">
        <v>2</v>
      </c>
      <c r="I311" s="665">
        <v>2</v>
      </c>
      <c r="J311" s="665">
        <v>2</v>
      </c>
      <c r="K311" s="665">
        <v>1</v>
      </c>
      <c r="L311" s="665">
        <v>2</v>
      </c>
      <c r="M311" s="665">
        <v>1</v>
      </c>
      <c r="N311" s="665">
        <v>2</v>
      </c>
      <c r="O311" s="665">
        <v>3</v>
      </c>
      <c r="P311" s="665">
        <v>2</v>
      </c>
      <c r="Q311" s="665">
        <v>2</v>
      </c>
      <c r="R311" s="665">
        <v>1</v>
      </c>
      <c r="S311" s="665">
        <v>2</v>
      </c>
      <c r="T311" s="665">
        <v>2</v>
      </c>
      <c r="U311" s="665">
        <v>1</v>
      </c>
      <c r="V311" s="665">
        <v>2</v>
      </c>
      <c r="W311" s="665">
        <v>2</v>
      </c>
      <c r="X311" s="665">
        <v>1</v>
      </c>
      <c r="Y311" s="665">
        <v>2</v>
      </c>
      <c r="Z311" s="665">
        <v>0</v>
      </c>
      <c r="AA311" s="665">
        <v>2</v>
      </c>
      <c r="AB311" s="665">
        <v>2</v>
      </c>
      <c r="AC311" s="665">
        <v>1</v>
      </c>
      <c r="AD311" s="665">
        <v>2</v>
      </c>
      <c r="AE311" s="665"/>
      <c r="AF311" s="665"/>
      <c r="AG311" s="665"/>
      <c r="AH311" s="665"/>
      <c r="AI311" s="665"/>
      <c r="AJ311" s="665"/>
      <c r="AK311" s="666"/>
      <c r="AP311" s="52">
        <f>AP300+1</f>
        <v>20</v>
      </c>
      <c r="AQ311" s="311">
        <f>INDEX(schedule,AP311,1)</f>
        <v>20</v>
      </c>
      <c r="AR311" s="311">
        <f>MATCH(AQ311,n.er.index,0)</f>
        <v>48</v>
      </c>
      <c r="AS311" s="532" t="b">
        <f>INDEX(n.er,$AR311,3)</f>
        <v>0</v>
      </c>
      <c r="AT311" s="531"/>
      <c r="AU311" s="531"/>
      <c r="AV311" s="531"/>
      <c r="AW311" s="531"/>
      <c r="AX311" s="531"/>
      <c r="BC311" s="525" t="b">
        <f t="shared" ref="BC311:CF311" si="202">IF(AND(ISNUMBER(H311),ISNUMBER(H312),H311&lt;&gt;"",H312&lt;&gt;""),AND(H311&gt;=0,H312&gt;=0,MOD(H311+H312,1)=0),FALSE)</f>
        <v>1</v>
      </c>
      <c r="BD311" s="525" t="b">
        <f t="shared" si="202"/>
        <v>1</v>
      </c>
      <c r="BE311" s="525" t="b">
        <f t="shared" si="202"/>
        <v>1</v>
      </c>
      <c r="BF311" s="525" t="b">
        <f t="shared" si="202"/>
        <v>1</v>
      </c>
      <c r="BG311" s="525" t="b">
        <f t="shared" si="202"/>
        <v>1</v>
      </c>
      <c r="BH311" s="525" t="b">
        <f t="shared" si="202"/>
        <v>1</v>
      </c>
      <c r="BI311" s="525" t="b">
        <f t="shared" si="202"/>
        <v>1</v>
      </c>
      <c r="BJ311" s="525" t="b">
        <f t="shared" si="202"/>
        <v>1</v>
      </c>
      <c r="BK311" s="525" t="b">
        <f t="shared" si="202"/>
        <v>1</v>
      </c>
      <c r="BL311" s="525" t="b">
        <f t="shared" si="202"/>
        <v>1</v>
      </c>
      <c r="BM311" s="525" t="b">
        <f t="shared" si="202"/>
        <v>1</v>
      </c>
      <c r="BN311" s="525" t="b">
        <f t="shared" si="202"/>
        <v>1</v>
      </c>
      <c r="BO311" s="525" t="b">
        <f t="shared" si="202"/>
        <v>1</v>
      </c>
      <c r="BP311" s="525" t="b">
        <f t="shared" si="202"/>
        <v>1</v>
      </c>
      <c r="BQ311" s="525" t="b">
        <f t="shared" si="202"/>
        <v>1</v>
      </c>
      <c r="BR311" s="525" t="b">
        <f t="shared" si="202"/>
        <v>1</v>
      </c>
      <c r="BS311" s="525" t="b">
        <f t="shared" si="202"/>
        <v>1</v>
      </c>
      <c r="BT311" s="525" t="b">
        <f t="shared" si="202"/>
        <v>1</v>
      </c>
      <c r="BU311" s="525" t="b">
        <f t="shared" si="202"/>
        <v>1</v>
      </c>
      <c r="BV311" s="525" t="b">
        <f t="shared" si="202"/>
        <v>1</v>
      </c>
      <c r="BW311" s="525" t="b">
        <f t="shared" si="202"/>
        <v>1</v>
      </c>
      <c r="BX311" s="525" t="b">
        <f t="shared" si="202"/>
        <v>1</v>
      </c>
      <c r="BY311" s="525" t="b">
        <f t="shared" si="202"/>
        <v>1</v>
      </c>
      <c r="BZ311" s="525" t="b">
        <f t="shared" si="202"/>
        <v>0</v>
      </c>
      <c r="CA311" s="525" t="b">
        <f t="shared" si="202"/>
        <v>0</v>
      </c>
      <c r="CB311" s="525" t="b">
        <f t="shared" si="202"/>
        <v>0</v>
      </c>
      <c r="CC311" s="525" t="b">
        <f t="shared" si="202"/>
        <v>0</v>
      </c>
      <c r="CD311" s="525" t="b">
        <f t="shared" si="202"/>
        <v>0</v>
      </c>
      <c r="CE311" s="525" t="b">
        <f t="shared" si="202"/>
        <v>0</v>
      </c>
      <c r="CF311" s="525" t="b">
        <f t="shared" si="202"/>
        <v>0</v>
      </c>
    </row>
    <row r="312" spans="1:84" ht="15" customHeight="1" x14ac:dyDescent="0.3">
      <c r="A312" s="765"/>
      <c r="C312" s="695"/>
      <c r="D312" s="696" t="str">
        <f>IF(INDEX(n.er,$AR311,11)="","",INDEX(n.er,$AR311,11))</f>
        <v>Csehország</v>
      </c>
      <c r="E312" s="697" t="str">
        <f>IF(NOT($AS311),"",INDEX(n.er,$AR311,10))</f>
        <v/>
      </c>
      <c r="F312" s="696"/>
      <c r="G312" s="259"/>
      <c r="H312" s="667">
        <v>1</v>
      </c>
      <c r="I312" s="668">
        <v>2</v>
      </c>
      <c r="J312" s="668">
        <v>0</v>
      </c>
      <c r="K312" s="668">
        <v>1</v>
      </c>
      <c r="L312" s="668">
        <v>1</v>
      </c>
      <c r="M312" s="668">
        <v>4</v>
      </c>
      <c r="N312" s="668">
        <v>0</v>
      </c>
      <c r="O312" s="668">
        <v>1</v>
      </c>
      <c r="P312" s="668">
        <v>1</v>
      </c>
      <c r="Q312" s="668">
        <v>1</v>
      </c>
      <c r="R312" s="668">
        <v>0</v>
      </c>
      <c r="S312" s="668">
        <v>2</v>
      </c>
      <c r="T312" s="668">
        <v>1</v>
      </c>
      <c r="U312" s="668">
        <v>0</v>
      </c>
      <c r="V312" s="668">
        <v>0</v>
      </c>
      <c r="W312" s="668">
        <v>1</v>
      </c>
      <c r="X312" s="668">
        <v>0</v>
      </c>
      <c r="Y312" s="668">
        <v>1</v>
      </c>
      <c r="Z312" s="668">
        <v>0</v>
      </c>
      <c r="AA312" s="668">
        <v>1</v>
      </c>
      <c r="AB312" s="668">
        <v>0</v>
      </c>
      <c r="AC312" s="668">
        <v>2</v>
      </c>
      <c r="AD312" s="668">
        <v>0</v>
      </c>
      <c r="AE312" s="668"/>
      <c r="AF312" s="668"/>
      <c r="AG312" s="668"/>
      <c r="AH312" s="668"/>
      <c r="AI312" s="668"/>
      <c r="AJ312" s="668"/>
      <c r="AK312" s="669"/>
      <c r="AP312" s="533"/>
      <c r="AQ312" s="577"/>
      <c r="AR312" s="534"/>
      <c r="AS312" s="535"/>
      <c r="AX312" s="531"/>
      <c r="BC312" s="34" t="b">
        <f t="shared" ref="BC312:CF312" si="203">OR(NOT(H$13),NOT($AS311),NOT(BC311))</f>
        <v>1</v>
      </c>
      <c r="BD312" s="34" t="b">
        <f t="shared" si="203"/>
        <v>1</v>
      </c>
      <c r="BE312" s="34" t="b">
        <f t="shared" si="203"/>
        <v>1</v>
      </c>
      <c r="BF312" s="34" t="b">
        <f t="shared" si="203"/>
        <v>1</v>
      </c>
      <c r="BG312" s="34" t="b">
        <f t="shared" si="203"/>
        <v>1</v>
      </c>
      <c r="BH312" s="34" t="b">
        <f t="shared" si="203"/>
        <v>1</v>
      </c>
      <c r="BI312" s="34" t="b">
        <f t="shared" si="203"/>
        <v>1</v>
      </c>
      <c r="BJ312" s="34" t="b">
        <f t="shared" si="203"/>
        <v>1</v>
      </c>
      <c r="BK312" s="34" t="b">
        <f t="shared" si="203"/>
        <v>1</v>
      </c>
      <c r="BL312" s="34" t="b">
        <f t="shared" si="203"/>
        <v>1</v>
      </c>
      <c r="BM312" s="34" t="b">
        <f t="shared" si="203"/>
        <v>1</v>
      </c>
      <c r="BN312" s="34" t="b">
        <f t="shared" si="203"/>
        <v>1</v>
      </c>
      <c r="BO312" s="34" t="b">
        <f t="shared" si="203"/>
        <v>1</v>
      </c>
      <c r="BP312" s="34" t="b">
        <f t="shared" si="203"/>
        <v>1</v>
      </c>
      <c r="BQ312" s="34" t="b">
        <f t="shared" si="203"/>
        <v>1</v>
      </c>
      <c r="BR312" s="34" t="b">
        <f t="shared" si="203"/>
        <v>1</v>
      </c>
      <c r="BS312" s="34" t="b">
        <f t="shared" si="203"/>
        <v>1</v>
      </c>
      <c r="BT312" s="34" t="b">
        <f t="shared" si="203"/>
        <v>1</v>
      </c>
      <c r="BU312" s="34" t="b">
        <f t="shared" si="203"/>
        <v>1</v>
      </c>
      <c r="BV312" s="34" t="b">
        <f t="shared" si="203"/>
        <v>1</v>
      </c>
      <c r="BW312" s="34" t="b">
        <f t="shared" si="203"/>
        <v>1</v>
      </c>
      <c r="BX312" s="34" t="b">
        <f t="shared" si="203"/>
        <v>1</v>
      </c>
      <c r="BY312" s="34" t="b">
        <f t="shared" si="203"/>
        <v>1</v>
      </c>
      <c r="BZ312" s="34" t="b">
        <f t="shared" si="203"/>
        <v>1</v>
      </c>
      <c r="CA312" s="34" t="b">
        <f t="shared" si="203"/>
        <v>1</v>
      </c>
      <c r="CB312" s="34" t="b">
        <f t="shared" si="203"/>
        <v>1</v>
      </c>
      <c r="CC312" s="34" t="b">
        <f t="shared" si="203"/>
        <v>1</v>
      </c>
      <c r="CD312" s="34" t="b">
        <f t="shared" si="203"/>
        <v>1</v>
      </c>
      <c r="CE312" s="34" t="b">
        <f t="shared" si="203"/>
        <v>1</v>
      </c>
      <c r="CF312" s="34" t="b">
        <f t="shared" si="203"/>
        <v>1</v>
      </c>
    </row>
    <row r="313" spans="1:84" ht="12" customHeight="1" x14ac:dyDescent="0.3">
      <c r="A313" s="765"/>
      <c r="E313" s="258" t="str">
        <f>$AX$92</f>
        <v>Telitalálat: 10 p</v>
      </c>
      <c r="H313" s="670" t="str">
        <f t="shared" ref="H313:AK313" si="204">IF(OR(BC312,NOT($AS$20)),"",IF(AND(H311=$E311,H312=$E312),"ü",""))</f>
        <v/>
      </c>
      <c r="I313" s="671" t="str">
        <f t="shared" si="204"/>
        <v/>
      </c>
      <c r="J313" s="671" t="str">
        <f t="shared" si="204"/>
        <v/>
      </c>
      <c r="K313" s="671" t="str">
        <f t="shared" si="204"/>
        <v/>
      </c>
      <c r="L313" s="671" t="str">
        <f t="shared" si="204"/>
        <v/>
      </c>
      <c r="M313" s="671" t="str">
        <f t="shared" si="204"/>
        <v/>
      </c>
      <c r="N313" s="671" t="str">
        <f t="shared" si="204"/>
        <v/>
      </c>
      <c r="O313" s="671" t="str">
        <f t="shared" si="204"/>
        <v/>
      </c>
      <c r="P313" s="671" t="str">
        <f t="shared" si="204"/>
        <v/>
      </c>
      <c r="Q313" s="671" t="str">
        <f t="shared" si="204"/>
        <v/>
      </c>
      <c r="R313" s="671" t="str">
        <f t="shared" si="204"/>
        <v/>
      </c>
      <c r="S313" s="671" t="str">
        <f t="shared" si="204"/>
        <v/>
      </c>
      <c r="T313" s="671" t="str">
        <f t="shared" si="204"/>
        <v/>
      </c>
      <c r="U313" s="671" t="str">
        <f t="shared" si="204"/>
        <v/>
      </c>
      <c r="V313" s="671" t="str">
        <f t="shared" si="204"/>
        <v/>
      </c>
      <c r="W313" s="671" t="str">
        <f t="shared" si="204"/>
        <v/>
      </c>
      <c r="X313" s="671" t="str">
        <f t="shared" si="204"/>
        <v/>
      </c>
      <c r="Y313" s="671" t="str">
        <f t="shared" si="204"/>
        <v/>
      </c>
      <c r="Z313" s="671" t="str">
        <f t="shared" si="204"/>
        <v/>
      </c>
      <c r="AA313" s="671" t="str">
        <f t="shared" si="204"/>
        <v/>
      </c>
      <c r="AB313" s="671" t="str">
        <f t="shared" si="204"/>
        <v/>
      </c>
      <c r="AC313" s="671" t="str">
        <f t="shared" si="204"/>
        <v/>
      </c>
      <c r="AD313" s="671" t="str">
        <f t="shared" si="204"/>
        <v/>
      </c>
      <c r="AE313" s="671" t="str">
        <f t="shared" si="204"/>
        <v/>
      </c>
      <c r="AF313" s="671" t="str">
        <f t="shared" si="204"/>
        <v/>
      </c>
      <c r="AG313" s="671" t="str">
        <f t="shared" si="204"/>
        <v/>
      </c>
      <c r="AH313" s="671" t="str">
        <f t="shared" si="204"/>
        <v/>
      </c>
      <c r="AI313" s="671" t="str">
        <f t="shared" si="204"/>
        <v/>
      </c>
      <c r="AJ313" s="671" t="str">
        <f t="shared" si="204"/>
        <v/>
      </c>
      <c r="AK313" s="672" t="str">
        <f t="shared" si="204"/>
        <v/>
      </c>
      <c r="AL313" s="15"/>
      <c r="AM313" s="15"/>
      <c r="AP313" s="536"/>
      <c r="AR313" s="537"/>
      <c r="AS313" s="529"/>
      <c r="AW313" s="390" t="str">
        <f>""</f>
        <v/>
      </c>
      <c r="AX313" s="531"/>
      <c r="AY313" s="390" t="str">
        <f>""</f>
        <v/>
      </c>
      <c r="BD313" s="520"/>
      <c r="BE313" s="520"/>
      <c r="BF313" s="520"/>
      <c r="BG313" s="520"/>
      <c r="BH313" s="520"/>
      <c r="BI313" s="520"/>
      <c r="BJ313" s="520"/>
      <c r="BK313" s="520"/>
      <c r="BL313" s="520"/>
      <c r="BM313" s="520"/>
      <c r="BN313" s="520"/>
      <c r="BO313" s="520"/>
      <c r="BP313" s="520"/>
      <c r="BQ313" s="520"/>
      <c r="BR313" s="520"/>
      <c r="BS313" s="520"/>
      <c r="BT313" s="520"/>
      <c r="BU313" s="520"/>
      <c r="BV313" s="520"/>
      <c r="BW313" s="520"/>
      <c r="BX313" s="520"/>
      <c r="BY313" s="520"/>
    </row>
    <row r="314" spans="1:84" ht="12" customHeight="1" x14ac:dyDescent="0.3">
      <c r="A314" s="765"/>
      <c r="E314" s="258" t="str">
        <f>$AX$93</f>
        <v>Gólkülönbség: 6 p</v>
      </c>
      <c r="H314" s="673" t="str">
        <f t="shared" ref="H314:AK314" si="205">IF(OR(BC312,NOT($AS$22)),"",IF(AND(NOT($AS$32),H313="ü"),"",IF(H311-H312=$E311-$E312,"ü"," ")))</f>
        <v/>
      </c>
      <c r="I314" s="674" t="str">
        <f t="shared" si="205"/>
        <v/>
      </c>
      <c r="J314" s="674" t="str">
        <f t="shared" si="205"/>
        <v/>
      </c>
      <c r="K314" s="674" t="str">
        <f t="shared" si="205"/>
        <v/>
      </c>
      <c r="L314" s="674" t="str">
        <f t="shared" si="205"/>
        <v/>
      </c>
      <c r="M314" s="674" t="str">
        <f t="shared" si="205"/>
        <v/>
      </c>
      <c r="N314" s="674" t="str">
        <f t="shared" si="205"/>
        <v/>
      </c>
      <c r="O314" s="674" t="str">
        <f t="shared" si="205"/>
        <v/>
      </c>
      <c r="P314" s="674" t="str">
        <f t="shared" si="205"/>
        <v/>
      </c>
      <c r="Q314" s="674" t="str">
        <f t="shared" si="205"/>
        <v/>
      </c>
      <c r="R314" s="674" t="str">
        <f t="shared" si="205"/>
        <v/>
      </c>
      <c r="S314" s="674" t="str">
        <f t="shared" si="205"/>
        <v/>
      </c>
      <c r="T314" s="674" t="str">
        <f t="shared" si="205"/>
        <v/>
      </c>
      <c r="U314" s="674" t="str">
        <f t="shared" si="205"/>
        <v/>
      </c>
      <c r="V314" s="674" t="str">
        <f t="shared" si="205"/>
        <v/>
      </c>
      <c r="W314" s="674" t="str">
        <f t="shared" si="205"/>
        <v/>
      </c>
      <c r="X314" s="674" t="str">
        <f t="shared" si="205"/>
        <v/>
      </c>
      <c r="Y314" s="674" t="str">
        <f t="shared" si="205"/>
        <v/>
      </c>
      <c r="Z314" s="674" t="str">
        <f t="shared" si="205"/>
        <v/>
      </c>
      <c r="AA314" s="674" t="str">
        <f t="shared" si="205"/>
        <v/>
      </c>
      <c r="AB314" s="674" t="str">
        <f t="shared" si="205"/>
        <v/>
      </c>
      <c r="AC314" s="674" t="str">
        <f t="shared" si="205"/>
        <v/>
      </c>
      <c r="AD314" s="674" t="str">
        <f t="shared" si="205"/>
        <v/>
      </c>
      <c r="AE314" s="674" t="str">
        <f t="shared" si="205"/>
        <v/>
      </c>
      <c r="AF314" s="674" t="str">
        <f t="shared" si="205"/>
        <v/>
      </c>
      <c r="AG314" s="674" t="str">
        <f t="shared" si="205"/>
        <v/>
      </c>
      <c r="AH314" s="674" t="str">
        <f t="shared" si="205"/>
        <v/>
      </c>
      <c r="AI314" s="674" t="str">
        <f t="shared" si="205"/>
        <v/>
      </c>
      <c r="AJ314" s="674" t="str">
        <f t="shared" si="205"/>
        <v/>
      </c>
      <c r="AK314" s="675" t="str">
        <f t="shared" si="205"/>
        <v/>
      </c>
      <c r="AL314" s="15"/>
      <c r="AM314" s="15"/>
      <c r="AP314" s="536"/>
      <c r="AR314" s="537"/>
      <c r="AS314" s="529"/>
      <c r="AW314" s="390" t="str">
        <f>""</f>
        <v/>
      </c>
      <c r="AX314" s="531"/>
      <c r="AY314" s="390" t="str">
        <f>""</f>
        <v/>
      </c>
      <c r="BD314" s="520"/>
      <c r="BE314" s="520"/>
      <c r="BF314" s="520"/>
      <c r="BG314" s="520"/>
      <c r="BH314" s="520"/>
      <c r="BI314" s="520"/>
      <c r="BJ314" s="520"/>
      <c r="BK314" s="520"/>
      <c r="BL314" s="520"/>
      <c r="BM314" s="520"/>
      <c r="BN314" s="520"/>
      <c r="BO314" s="520"/>
      <c r="BP314" s="520"/>
      <c r="BQ314" s="520"/>
      <c r="BR314" s="520"/>
      <c r="BS314" s="520"/>
      <c r="BT314" s="520"/>
      <c r="BU314" s="520"/>
      <c r="BV314" s="520"/>
      <c r="BW314" s="520"/>
      <c r="BX314" s="520"/>
      <c r="BY314" s="520"/>
    </row>
    <row r="315" spans="1:84" ht="12" customHeight="1" x14ac:dyDescent="0.3">
      <c r="A315" s="765"/>
      <c r="E315" s="258" t="str">
        <f>$AX$94</f>
        <v>Mérkőzés kimenetele: 4 p</v>
      </c>
      <c r="H315" s="673" t="str">
        <f t="shared" ref="H315:AK315" si="206">IF(OR(BC312,NOT($AS$24)),"",IF(AND(NOT($AS$32),COUNTIF(H313:H314,"ü")&gt;0),"",IF(SIGN(H311-H312)=SIGN($E311-$E312),"ü"," ")))</f>
        <v/>
      </c>
      <c r="I315" s="674" t="str">
        <f t="shared" si="206"/>
        <v/>
      </c>
      <c r="J315" s="674" t="str">
        <f t="shared" si="206"/>
        <v/>
      </c>
      <c r="K315" s="674" t="str">
        <f t="shared" si="206"/>
        <v/>
      </c>
      <c r="L315" s="674" t="str">
        <f t="shared" si="206"/>
        <v/>
      </c>
      <c r="M315" s="674" t="str">
        <f t="shared" si="206"/>
        <v/>
      </c>
      <c r="N315" s="674" t="str">
        <f t="shared" si="206"/>
        <v/>
      </c>
      <c r="O315" s="674" t="str">
        <f t="shared" si="206"/>
        <v/>
      </c>
      <c r="P315" s="674" t="str">
        <f t="shared" si="206"/>
        <v/>
      </c>
      <c r="Q315" s="674" t="str">
        <f t="shared" si="206"/>
        <v/>
      </c>
      <c r="R315" s="674" t="str">
        <f t="shared" si="206"/>
        <v/>
      </c>
      <c r="S315" s="674" t="str">
        <f t="shared" si="206"/>
        <v/>
      </c>
      <c r="T315" s="674" t="str">
        <f t="shared" si="206"/>
        <v/>
      </c>
      <c r="U315" s="674" t="str">
        <f t="shared" si="206"/>
        <v/>
      </c>
      <c r="V315" s="674" t="str">
        <f t="shared" si="206"/>
        <v/>
      </c>
      <c r="W315" s="674" t="str">
        <f t="shared" si="206"/>
        <v/>
      </c>
      <c r="X315" s="674" t="str">
        <f t="shared" si="206"/>
        <v/>
      </c>
      <c r="Y315" s="674" t="str">
        <f t="shared" si="206"/>
        <v/>
      </c>
      <c r="Z315" s="674" t="str">
        <f t="shared" si="206"/>
        <v/>
      </c>
      <c r="AA315" s="674" t="str">
        <f t="shared" si="206"/>
        <v/>
      </c>
      <c r="AB315" s="674" t="str">
        <f t="shared" si="206"/>
        <v/>
      </c>
      <c r="AC315" s="674" t="str">
        <f t="shared" si="206"/>
        <v/>
      </c>
      <c r="AD315" s="674" t="str">
        <f t="shared" si="206"/>
        <v/>
      </c>
      <c r="AE315" s="674" t="str">
        <f t="shared" si="206"/>
        <v/>
      </c>
      <c r="AF315" s="674" t="str">
        <f t="shared" si="206"/>
        <v/>
      </c>
      <c r="AG315" s="674" t="str">
        <f t="shared" si="206"/>
        <v/>
      </c>
      <c r="AH315" s="674" t="str">
        <f t="shared" si="206"/>
        <v/>
      </c>
      <c r="AI315" s="674" t="str">
        <f t="shared" si="206"/>
        <v/>
      </c>
      <c r="AJ315" s="674" t="str">
        <f t="shared" si="206"/>
        <v/>
      </c>
      <c r="AK315" s="675" t="str">
        <f t="shared" si="206"/>
        <v/>
      </c>
      <c r="AL315" s="15"/>
      <c r="AM315" s="15"/>
      <c r="AP315" s="536"/>
      <c r="AR315" s="537"/>
      <c r="AS315" s="529"/>
      <c r="AW315" s="390" t="str">
        <f>""</f>
        <v/>
      </c>
      <c r="AX315" s="531"/>
      <c r="AY315" s="390" t="str">
        <f>""</f>
        <v/>
      </c>
      <c r="BD315" s="520"/>
      <c r="BE315" s="520"/>
      <c r="BF315" s="520"/>
      <c r="BG315" s="520"/>
      <c r="BH315" s="520"/>
      <c r="BI315" s="520"/>
      <c r="BJ315" s="520"/>
      <c r="BK315" s="520"/>
      <c r="BL315" s="520"/>
      <c r="BM315" s="520"/>
      <c r="BN315" s="520"/>
      <c r="BO315" s="520"/>
      <c r="BP315" s="520"/>
      <c r="BQ315" s="520"/>
      <c r="BR315" s="520"/>
      <c r="BS315" s="520"/>
      <c r="BT315" s="520"/>
      <c r="BU315" s="520"/>
      <c r="BV315" s="520"/>
      <c r="BW315" s="520"/>
      <c r="BX315" s="520"/>
      <c r="BY315" s="520"/>
    </row>
    <row r="316" spans="1:84" ht="12" customHeight="1" x14ac:dyDescent="0.3">
      <c r="A316" s="765"/>
      <c r="E316" s="258" t="str">
        <f>$AX$95</f>
        <v>Egyik csapat góljainak száma: 3 p</v>
      </c>
      <c r="H316" s="673" t="str">
        <f t="shared" ref="H316:AK316" si="207">IF(OR(BC312,NOT($AS$26)),"",IF(AND(NOT($AS$32),COUNTIF(H313:H315,"ü")&gt;0),"",IF(OR(H311=$E311,H312=$E312),"ü"," ")))</f>
        <v/>
      </c>
      <c r="I316" s="674" t="str">
        <f t="shared" si="207"/>
        <v/>
      </c>
      <c r="J316" s="674" t="str">
        <f t="shared" si="207"/>
        <v/>
      </c>
      <c r="K316" s="674" t="str">
        <f t="shared" si="207"/>
        <v/>
      </c>
      <c r="L316" s="674" t="str">
        <f t="shared" si="207"/>
        <v/>
      </c>
      <c r="M316" s="674" t="str">
        <f t="shared" si="207"/>
        <v/>
      </c>
      <c r="N316" s="674" t="str">
        <f t="shared" si="207"/>
        <v/>
      </c>
      <c r="O316" s="674" t="str">
        <f t="shared" si="207"/>
        <v/>
      </c>
      <c r="P316" s="674" t="str">
        <f t="shared" si="207"/>
        <v/>
      </c>
      <c r="Q316" s="674" t="str">
        <f t="shared" si="207"/>
        <v/>
      </c>
      <c r="R316" s="674" t="str">
        <f t="shared" si="207"/>
        <v/>
      </c>
      <c r="S316" s="674" t="str">
        <f t="shared" si="207"/>
        <v/>
      </c>
      <c r="T316" s="674" t="str">
        <f t="shared" si="207"/>
        <v/>
      </c>
      <c r="U316" s="674" t="str">
        <f t="shared" si="207"/>
        <v/>
      </c>
      <c r="V316" s="674" t="str">
        <f t="shared" si="207"/>
        <v/>
      </c>
      <c r="W316" s="674" t="str">
        <f t="shared" si="207"/>
        <v/>
      </c>
      <c r="X316" s="674" t="str">
        <f t="shared" si="207"/>
        <v/>
      </c>
      <c r="Y316" s="674" t="str">
        <f t="shared" si="207"/>
        <v/>
      </c>
      <c r="Z316" s="674" t="str">
        <f t="shared" si="207"/>
        <v/>
      </c>
      <c r="AA316" s="674" t="str">
        <f t="shared" si="207"/>
        <v/>
      </c>
      <c r="AB316" s="674" t="str">
        <f t="shared" si="207"/>
        <v/>
      </c>
      <c r="AC316" s="674" t="str">
        <f t="shared" si="207"/>
        <v/>
      </c>
      <c r="AD316" s="674" t="str">
        <f t="shared" si="207"/>
        <v/>
      </c>
      <c r="AE316" s="674" t="str">
        <f t="shared" si="207"/>
        <v/>
      </c>
      <c r="AF316" s="674" t="str">
        <f t="shared" si="207"/>
        <v/>
      </c>
      <c r="AG316" s="674" t="str">
        <f t="shared" si="207"/>
        <v/>
      </c>
      <c r="AH316" s="674" t="str">
        <f t="shared" si="207"/>
        <v/>
      </c>
      <c r="AI316" s="674" t="str">
        <f t="shared" si="207"/>
        <v/>
      </c>
      <c r="AJ316" s="674" t="str">
        <f t="shared" si="207"/>
        <v/>
      </c>
      <c r="AK316" s="675" t="str">
        <f t="shared" si="207"/>
        <v/>
      </c>
      <c r="AL316" s="15"/>
      <c r="AM316" s="15"/>
      <c r="AP316" s="536"/>
      <c r="AR316" s="537"/>
      <c r="AS316" s="529"/>
      <c r="AW316" s="390" t="str">
        <f>""</f>
        <v/>
      </c>
      <c r="AX316" s="531"/>
      <c r="AY316" s="390" t="str">
        <f>""</f>
        <v/>
      </c>
      <c r="BD316" s="520"/>
      <c r="BE316" s="520"/>
      <c r="BF316" s="520"/>
      <c r="BG316" s="520"/>
      <c r="BH316" s="520"/>
      <c r="BI316" s="520"/>
      <c r="BJ316" s="520"/>
      <c r="BK316" s="520"/>
      <c r="BL316" s="520"/>
      <c r="BM316" s="520"/>
      <c r="BN316" s="520"/>
      <c r="BO316" s="520"/>
      <c r="BP316" s="520"/>
      <c r="BQ316" s="520"/>
      <c r="BR316" s="520"/>
      <c r="BS316" s="520"/>
      <c r="BT316" s="520"/>
      <c r="BU316" s="520"/>
      <c r="BV316" s="520"/>
      <c r="BW316" s="520"/>
      <c r="BX316" s="520"/>
      <c r="BY316" s="520"/>
    </row>
    <row r="317" spans="1:84" ht="12" customHeight="1" x14ac:dyDescent="0.3">
      <c r="A317" s="765"/>
      <c r="E317" s="258" t="str">
        <f>$AX$96</f>
        <v>Összes gól: 2 p</v>
      </c>
      <c r="H317" s="673" t="str">
        <f t="shared" ref="H317:AK317" si="208">IF(OR(BC312,NOT($AS$28)),"",IF(AND(NOT($AS$32),COUNTIF(H313:H316,"ü")&gt;0),"",IF(H311+H312=$E311+$E312,"ü"," ")))</f>
        <v/>
      </c>
      <c r="I317" s="674" t="str">
        <f t="shared" si="208"/>
        <v/>
      </c>
      <c r="J317" s="674" t="str">
        <f t="shared" si="208"/>
        <v/>
      </c>
      <c r="K317" s="674" t="str">
        <f t="shared" si="208"/>
        <v/>
      </c>
      <c r="L317" s="674" t="str">
        <f t="shared" si="208"/>
        <v/>
      </c>
      <c r="M317" s="674" t="str">
        <f t="shared" si="208"/>
        <v/>
      </c>
      <c r="N317" s="674" t="str">
        <f t="shared" si="208"/>
        <v/>
      </c>
      <c r="O317" s="674" t="str">
        <f t="shared" si="208"/>
        <v/>
      </c>
      <c r="P317" s="674" t="str">
        <f t="shared" si="208"/>
        <v/>
      </c>
      <c r="Q317" s="674" t="str">
        <f t="shared" si="208"/>
        <v/>
      </c>
      <c r="R317" s="674" t="str">
        <f t="shared" si="208"/>
        <v/>
      </c>
      <c r="S317" s="674" t="str">
        <f t="shared" si="208"/>
        <v/>
      </c>
      <c r="T317" s="674" t="str">
        <f t="shared" si="208"/>
        <v/>
      </c>
      <c r="U317" s="674" t="str">
        <f t="shared" si="208"/>
        <v/>
      </c>
      <c r="V317" s="674" t="str">
        <f t="shared" si="208"/>
        <v/>
      </c>
      <c r="W317" s="674" t="str">
        <f t="shared" si="208"/>
        <v/>
      </c>
      <c r="X317" s="674" t="str">
        <f t="shared" si="208"/>
        <v/>
      </c>
      <c r="Y317" s="674" t="str">
        <f t="shared" si="208"/>
        <v/>
      </c>
      <c r="Z317" s="674" t="str">
        <f t="shared" si="208"/>
        <v/>
      </c>
      <c r="AA317" s="674" t="str">
        <f t="shared" si="208"/>
        <v/>
      </c>
      <c r="AB317" s="674" t="str">
        <f t="shared" si="208"/>
        <v/>
      </c>
      <c r="AC317" s="674" t="str">
        <f t="shared" si="208"/>
        <v/>
      </c>
      <c r="AD317" s="674" t="str">
        <f t="shared" si="208"/>
        <v/>
      </c>
      <c r="AE317" s="674" t="str">
        <f t="shared" si="208"/>
        <v/>
      </c>
      <c r="AF317" s="674" t="str">
        <f t="shared" si="208"/>
        <v/>
      </c>
      <c r="AG317" s="674" t="str">
        <f t="shared" si="208"/>
        <v/>
      </c>
      <c r="AH317" s="674" t="str">
        <f t="shared" si="208"/>
        <v/>
      </c>
      <c r="AI317" s="674" t="str">
        <f t="shared" si="208"/>
        <v/>
      </c>
      <c r="AJ317" s="674" t="str">
        <f t="shared" si="208"/>
        <v/>
      </c>
      <c r="AK317" s="675" t="str">
        <f t="shared" si="208"/>
        <v/>
      </c>
      <c r="AL317" s="15"/>
      <c r="AM317" s="15"/>
      <c r="AP317" s="536"/>
      <c r="AR317" s="537"/>
      <c r="AS317" s="529"/>
      <c r="AW317" s="390" t="str">
        <f>""</f>
        <v/>
      </c>
      <c r="AX317" s="531"/>
      <c r="AY317" s="390" t="str">
        <f>""</f>
        <v/>
      </c>
      <c r="BD317" s="520"/>
      <c r="BE317" s="520"/>
      <c r="BF317" s="520"/>
      <c r="BG317" s="520"/>
      <c r="BH317" s="520"/>
      <c r="BI317" s="520"/>
      <c r="BJ317" s="520"/>
      <c r="BK317" s="520"/>
      <c r="BL317" s="520"/>
      <c r="BM317" s="520"/>
      <c r="BN317" s="520"/>
      <c r="BO317" s="520"/>
      <c r="BP317" s="520"/>
      <c r="BQ317" s="520"/>
      <c r="BR317" s="520"/>
      <c r="BS317" s="520"/>
      <c r="BT317" s="520"/>
      <c r="BU317" s="520"/>
      <c r="BV317" s="520"/>
      <c r="BW317" s="520"/>
      <c r="BX317" s="520"/>
      <c r="BY317" s="520"/>
    </row>
    <row r="318" spans="1:84" ht="12" customHeight="1" x14ac:dyDescent="0.3">
      <c r="A318" s="765"/>
      <c r="E318" s="258" t="str">
        <f>$AX$97</f>
        <v>Fordított gólkülönbség: 1 p</v>
      </c>
      <c r="H318" s="676" t="str">
        <f t="shared" ref="H318:AK318" si="209">IF(OR(BC312,NOT($AS$30)),"",IF(AND(NOT($AS$32),COUNTIF(H313:H317,"ü")&gt;0),"",IF(AND(H311-H312=$E312-$E311,H311&lt;&gt;H312),"ü"," ")))</f>
        <v/>
      </c>
      <c r="I318" s="677" t="str">
        <f t="shared" si="209"/>
        <v/>
      </c>
      <c r="J318" s="677" t="str">
        <f t="shared" si="209"/>
        <v/>
      </c>
      <c r="K318" s="677" t="str">
        <f t="shared" si="209"/>
        <v/>
      </c>
      <c r="L318" s="677" t="str">
        <f t="shared" si="209"/>
        <v/>
      </c>
      <c r="M318" s="677" t="str">
        <f t="shared" si="209"/>
        <v/>
      </c>
      <c r="N318" s="677" t="str">
        <f t="shared" si="209"/>
        <v/>
      </c>
      <c r="O318" s="677" t="str">
        <f t="shared" si="209"/>
        <v/>
      </c>
      <c r="P318" s="677" t="str">
        <f t="shared" si="209"/>
        <v/>
      </c>
      <c r="Q318" s="677" t="str">
        <f t="shared" si="209"/>
        <v/>
      </c>
      <c r="R318" s="677" t="str">
        <f t="shared" si="209"/>
        <v/>
      </c>
      <c r="S318" s="677" t="str">
        <f t="shared" si="209"/>
        <v/>
      </c>
      <c r="T318" s="677" t="str">
        <f t="shared" si="209"/>
        <v/>
      </c>
      <c r="U318" s="677" t="str">
        <f t="shared" si="209"/>
        <v/>
      </c>
      <c r="V318" s="677" t="str">
        <f t="shared" si="209"/>
        <v/>
      </c>
      <c r="W318" s="677" t="str">
        <f t="shared" si="209"/>
        <v/>
      </c>
      <c r="X318" s="677" t="str">
        <f t="shared" si="209"/>
        <v/>
      </c>
      <c r="Y318" s="677" t="str">
        <f t="shared" si="209"/>
        <v/>
      </c>
      <c r="Z318" s="677" t="str">
        <f t="shared" si="209"/>
        <v/>
      </c>
      <c r="AA318" s="677" t="str">
        <f t="shared" si="209"/>
        <v/>
      </c>
      <c r="AB318" s="677" t="str">
        <f t="shared" si="209"/>
        <v/>
      </c>
      <c r="AC318" s="677" t="str">
        <f t="shared" si="209"/>
        <v/>
      </c>
      <c r="AD318" s="677" t="str">
        <f t="shared" si="209"/>
        <v/>
      </c>
      <c r="AE318" s="677" t="str">
        <f t="shared" si="209"/>
        <v/>
      </c>
      <c r="AF318" s="677" t="str">
        <f t="shared" si="209"/>
        <v/>
      </c>
      <c r="AG318" s="677" t="str">
        <f t="shared" si="209"/>
        <v/>
      </c>
      <c r="AH318" s="677" t="str">
        <f t="shared" si="209"/>
        <v/>
      </c>
      <c r="AI318" s="677" t="str">
        <f t="shared" si="209"/>
        <v/>
      </c>
      <c r="AJ318" s="677" t="str">
        <f t="shared" si="209"/>
        <v/>
      </c>
      <c r="AK318" s="678" t="str">
        <f t="shared" si="209"/>
        <v/>
      </c>
      <c r="AL318" s="15"/>
      <c r="AM318" s="15"/>
      <c r="AP318" s="536"/>
      <c r="AR318" s="537"/>
      <c r="AS318" s="529"/>
      <c r="AW318" s="390" t="str">
        <f>""</f>
        <v/>
      </c>
      <c r="AX318" s="531"/>
      <c r="AY318" s="390" t="str">
        <f>""</f>
        <v/>
      </c>
      <c r="BD318" s="520"/>
      <c r="BE318" s="520"/>
      <c r="BF318" s="520"/>
      <c r="BG318" s="520"/>
      <c r="BH318" s="520"/>
      <c r="BI318" s="520"/>
      <c r="BJ318" s="520"/>
      <c r="BK318" s="520"/>
      <c r="BL318" s="520"/>
      <c r="BM318" s="520"/>
      <c r="BN318" s="520"/>
      <c r="BO318" s="520"/>
      <c r="BP318" s="520"/>
      <c r="BQ318" s="520"/>
      <c r="BR318" s="520"/>
      <c r="BS318" s="520"/>
      <c r="BT318" s="520"/>
      <c r="BU318" s="520"/>
      <c r="BV318" s="520"/>
      <c r="BW318" s="520"/>
      <c r="BX318" s="520"/>
      <c r="BY318" s="520"/>
    </row>
    <row r="319" spans="1:84" ht="15" customHeight="1" x14ac:dyDescent="0.3">
      <c r="A319" s="765"/>
      <c r="E319" s="79" t="s">
        <v>799</v>
      </c>
      <c r="H319" s="679">
        <f t="shared" ref="H319:AK319" si="210">IF(NOT(H$13),"",SUMPRODUCT((H313:H318="ü")*($AW$92:$AW$97)))</f>
        <v>0</v>
      </c>
      <c r="I319" s="680">
        <f t="shared" si="210"/>
        <v>0</v>
      </c>
      <c r="J319" s="680">
        <f t="shared" si="210"/>
        <v>0</v>
      </c>
      <c r="K319" s="680">
        <f t="shared" si="210"/>
        <v>0</v>
      </c>
      <c r="L319" s="680">
        <f t="shared" si="210"/>
        <v>0</v>
      </c>
      <c r="M319" s="680">
        <f t="shared" si="210"/>
        <v>0</v>
      </c>
      <c r="N319" s="680">
        <f t="shared" si="210"/>
        <v>0</v>
      </c>
      <c r="O319" s="680">
        <f t="shared" si="210"/>
        <v>0</v>
      </c>
      <c r="P319" s="680">
        <f t="shared" si="210"/>
        <v>0</v>
      </c>
      <c r="Q319" s="680">
        <f t="shared" si="210"/>
        <v>0</v>
      </c>
      <c r="R319" s="680">
        <f t="shared" si="210"/>
        <v>0</v>
      </c>
      <c r="S319" s="680">
        <f t="shared" si="210"/>
        <v>0</v>
      </c>
      <c r="T319" s="680">
        <f t="shared" si="210"/>
        <v>0</v>
      </c>
      <c r="U319" s="680">
        <f t="shared" si="210"/>
        <v>0</v>
      </c>
      <c r="V319" s="680">
        <f t="shared" si="210"/>
        <v>0</v>
      </c>
      <c r="W319" s="680">
        <f t="shared" si="210"/>
        <v>0</v>
      </c>
      <c r="X319" s="680">
        <f t="shared" si="210"/>
        <v>0</v>
      </c>
      <c r="Y319" s="680">
        <f t="shared" si="210"/>
        <v>0</v>
      </c>
      <c r="Z319" s="680">
        <f t="shared" si="210"/>
        <v>0</v>
      </c>
      <c r="AA319" s="680">
        <f t="shared" si="210"/>
        <v>0</v>
      </c>
      <c r="AB319" s="680">
        <f t="shared" si="210"/>
        <v>0</v>
      </c>
      <c r="AC319" s="680">
        <f t="shared" si="210"/>
        <v>0</v>
      </c>
      <c r="AD319" s="680">
        <f t="shared" si="210"/>
        <v>0</v>
      </c>
      <c r="AE319" s="680" t="str">
        <f t="shared" si="210"/>
        <v/>
      </c>
      <c r="AF319" s="680" t="str">
        <f t="shared" si="210"/>
        <v/>
      </c>
      <c r="AG319" s="680" t="str">
        <f t="shared" si="210"/>
        <v/>
      </c>
      <c r="AH319" s="680" t="str">
        <f t="shared" si="210"/>
        <v/>
      </c>
      <c r="AI319" s="680" t="str">
        <f t="shared" si="210"/>
        <v/>
      </c>
      <c r="AJ319" s="680" t="str">
        <f t="shared" si="210"/>
        <v/>
      </c>
      <c r="AK319" s="681" t="str">
        <f t="shared" si="210"/>
        <v/>
      </c>
      <c r="AP319" s="536"/>
      <c r="AR319" s="537"/>
      <c r="AS319" s="529"/>
    </row>
    <row r="320" spans="1:84" ht="9" customHeight="1" x14ac:dyDescent="0.3">
      <c r="A320" s="765"/>
      <c r="D320" s="15"/>
      <c r="E320" s="15"/>
      <c r="F320" s="15"/>
      <c r="G320" s="15"/>
      <c r="H320" s="15"/>
      <c r="I320" s="16"/>
      <c r="J320" s="15"/>
      <c r="K320" s="15"/>
      <c r="L320" s="16"/>
      <c r="M320" s="15"/>
      <c r="N320" s="15"/>
      <c r="O320" s="16"/>
      <c r="P320" s="15"/>
      <c r="Q320" s="15"/>
      <c r="R320" s="16"/>
      <c r="S320" s="15"/>
      <c r="T320" s="15"/>
      <c r="U320" s="16"/>
      <c r="V320" s="15"/>
      <c r="W320" s="15"/>
      <c r="X320" s="16"/>
      <c r="Y320" s="15"/>
      <c r="Z320" s="15"/>
      <c r="AA320" s="16"/>
      <c r="AB320" s="15"/>
      <c r="AC320" s="15"/>
      <c r="AD320" s="16"/>
      <c r="AE320" s="15"/>
      <c r="AF320" s="15"/>
      <c r="AG320" s="16"/>
      <c r="AH320" s="15"/>
      <c r="AI320" s="15"/>
      <c r="AJ320" s="16"/>
      <c r="AK320" s="15"/>
      <c r="AP320" s="536"/>
      <c r="AR320" s="537"/>
      <c r="AS320" s="529"/>
    </row>
    <row r="321" spans="1:84" ht="15" customHeight="1" x14ac:dyDescent="0.3">
      <c r="A321" s="765"/>
      <c r="C321" s="27" t="str">
        <f>" "&amp;VLOOKUP(AQ322,schedule,18,FALSE)&amp;"  ("&amp;VLOOKUP(AQ322,schedule,3,FALSE)&amp;" CSOPORT)"</f>
        <v xml:space="preserve"> JÚNIUS 18. – PÉNTEK 21:00  (D CSOPORT)</v>
      </c>
      <c r="D321" s="27"/>
      <c r="E321" s="26"/>
      <c r="F321" s="26"/>
      <c r="G321" s="26"/>
      <c r="H321" s="26"/>
      <c r="I321" s="26"/>
      <c r="J321" s="26"/>
      <c r="AP321" s="536"/>
      <c r="AR321" s="537"/>
      <c r="AS321" s="529"/>
    </row>
    <row r="322" spans="1:84" ht="15" customHeight="1" x14ac:dyDescent="0.3">
      <c r="A322" s="765"/>
      <c r="C322" s="661"/>
      <c r="D322" s="662" t="str">
        <f>IF(INDEX(n.er,$AR322,8)="","",INDEX(n.er,$AR322,8))</f>
        <v>Anglia</v>
      </c>
      <c r="E322" s="663" t="str">
        <f>IF(NOT($AS322),"",INDEX(n.er,$AR322,9))</f>
        <v/>
      </c>
      <c r="F322" s="662"/>
      <c r="G322" s="259"/>
      <c r="H322" s="664">
        <v>2</v>
      </c>
      <c r="I322" s="665">
        <v>3</v>
      </c>
      <c r="J322" s="665">
        <v>2</v>
      </c>
      <c r="K322" s="665">
        <v>3</v>
      </c>
      <c r="L322" s="665">
        <v>2</v>
      </c>
      <c r="M322" s="665">
        <v>5</v>
      </c>
      <c r="N322" s="665">
        <v>2</v>
      </c>
      <c r="O322" s="665">
        <v>2</v>
      </c>
      <c r="P322" s="665">
        <v>3</v>
      </c>
      <c r="Q322" s="665">
        <v>2</v>
      </c>
      <c r="R322" s="665">
        <v>2</v>
      </c>
      <c r="S322" s="665">
        <v>2</v>
      </c>
      <c r="T322" s="665">
        <v>3</v>
      </c>
      <c r="U322" s="665">
        <v>2</v>
      </c>
      <c r="V322" s="665">
        <v>1</v>
      </c>
      <c r="W322" s="665">
        <v>2</v>
      </c>
      <c r="X322" s="665">
        <v>3</v>
      </c>
      <c r="Y322" s="665">
        <v>2</v>
      </c>
      <c r="Z322" s="665">
        <v>3</v>
      </c>
      <c r="AA322" s="665">
        <v>3</v>
      </c>
      <c r="AB322" s="665">
        <v>1</v>
      </c>
      <c r="AC322" s="665">
        <v>1</v>
      </c>
      <c r="AD322" s="665">
        <v>3</v>
      </c>
      <c r="AE322" s="665"/>
      <c r="AF322" s="665"/>
      <c r="AG322" s="665"/>
      <c r="AH322" s="665"/>
      <c r="AI322" s="665"/>
      <c r="AJ322" s="665"/>
      <c r="AK322" s="666"/>
      <c r="AP322" s="52">
        <f>AP311+1</f>
        <v>21</v>
      </c>
      <c r="AQ322" s="311">
        <f>INDEX(schedule,AP322,1)</f>
        <v>21</v>
      </c>
      <c r="AR322" s="311">
        <f>MATCH(AQ322,n.er.index,0)</f>
        <v>49</v>
      </c>
      <c r="AS322" s="532" t="b">
        <f>INDEX(n.er,$AR322,3)</f>
        <v>0</v>
      </c>
      <c r="AT322" s="531"/>
      <c r="AU322" s="531"/>
      <c r="AV322" s="531"/>
      <c r="AW322" s="531"/>
      <c r="AX322" s="531"/>
      <c r="BC322" s="525" t="b">
        <f t="shared" ref="BC322:CF322" si="211">IF(AND(ISNUMBER(H322),ISNUMBER(H323),H322&lt;&gt;"",H323&lt;&gt;""),AND(H322&gt;=0,H323&gt;=0,MOD(H322+H323,1)=0),FALSE)</f>
        <v>1</v>
      </c>
      <c r="BD322" s="525" t="b">
        <f t="shared" si="211"/>
        <v>1</v>
      </c>
      <c r="BE322" s="525" t="b">
        <f t="shared" si="211"/>
        <v>1</v>
      </c>
      <c r="BF322" s="525" t="b">
        <f t="shared" si="211"/>
        <v>1</v>
      </c>
      <c r="BG322" s="525" t="b">
        <f t="shared" si="211"/>
        <v>1</v>
      </c>
      <c r="BH322" s="525" t="b">
        <f t="shared" si="211"/>
        <v>1</v>
      </c>
      <c r="BI322" s="525" t="b">
        <f t="shared" si="211"/>
        <v>1</v>
      </c>
      <c r="BJ322" s="525" t="b">
        <f t="shared" si="211"/>
        <v>1</v>
      </c>
      <c r="BK322" s="525" t="b">
        <f t="shared" si="211"/>
        <v>1</v>
      </c>
      <c r="BL322" s="525" t="b">
        <f t="shared" si="211"/>
        <v>1</v>
      </c>
      <c r="BM322" s="525" t="b">
        <f t="shared" si="211"/>
        <v>1</v>
      </c>
      <c r="BN322" s="525" t="b">
        <f t="shared" si="211"/>
        <v>1</v>
      </c>
      <c r="BO322" s="525" t="b">
        <f t="shared" si="211"/>
        <v>1</v>
      </c>
      <c r="BP322" s="525" t="b">
        <f t="shared" si="211"/>
        <v>1</v>
      </c>
      <c r="BQ322" s="525" t="b">
        <f t="shared" si="211"/>
        <v>1</v>
      </c>
      <c r="BR322" s="525" t="b">
        <f t="shared" si="211"/>
        <v>1</v>
      </c>
      <c r="BS322" s="525" t="b">
        <f t="shared" si="211"/>
        <v>1</v>
      </c>
      <c r="BT322" s="525" t="b">
        <f t="shared" si="211"/>
        <v>1</v>
      </c>
      <c r="BU322" s="525" t="b">
        <f t="shared" si="211"/>
        <v>1</v>
      </c>
      <c r="BV322" s="525" t="b">
        <f t="shared" si="211"/>
        <v>1</v>
      </c>
      <c r="BW322" s="525" t="b">
        <f t="shared" si="211"/>
        <v>1</v>
      </c>
      <c r="BX322" s="525" t="b">
        <f t="shared" si="211"/>
        <v>1</v>
      </c>
      <c r="BY322" s="525" t="b">
        <f t="shared" si="211"/>
        <v>1</v>
      </c>
      <c r="BZ322" s="525" t="b">
        <f t="shared" si="211"/>
        <v>0</v>
      </c>
      <c r="CA322" s="525" t="b">
        <f t="shared" si="211"/>
        <v>0</v>
      </c>
      <c r="CB322" s="525" t="b">
        <f t="shared" si="211"/>
        <v>0</v>
      </c>
      <c r="CC322" s="525" t="b">
        <f t="shared" si="211"/>
        <v>0</v>
      </c>
      <c r="CD322" s="525" t="b">
        <f t="shared" si="211"/>
        <v>0</v>
      </c>
      <c r="CE322" s="525" t="b">
        <f t="shared" si="211"/>
        <v>0</v>
      </c>
      <c r="CF322" s="525" t="b">
        <f t="shared" si="211"/>
        <v>0</v>
      </c>
    </row>
    <row r="323" spans="1:84" ht="15" customHeight="1" x14ac:dyDescent="0.3">
      <c r="A323" s="765"/>
      <c r="C323" s="695"/>
      <c r="D323" s="696" t="str">
        <f>IF(INDEX(n.er,$AR322,11)="","",INDEX(n.er,$AR322,11))</f>
        <v>Skócia</v>
      </c>
      <c r="E323" s="697" t="str">
        <f>IF(NOT($AS322),"",INDEX(n.er,$AR322,10))</f>
        <v/>
      </c>
      <c r="F323" s="696"/>
      <c r="G323" s="259"/>
      <c r="H323" s="667">
        <v>0</v>
      </c>
      <c r="I323" s="668">
        <v>0</v>
      </c>
      <c r="J323" s="668">
        <v>2</v>
      </c>
      <c r="K323" s="668">
        <v>1</v>
      </c>
      <c r="L323" s="668">
        <v>0</v>
      </c>
      <c r="M323" s="668">
        <v>3</v>
      </c>
      <c r="N323" s="668">
        <v>1</v>
      </c>
      <c r="O323" s="668">
        <v>1</v>
      </c>
      <c r="P323" s="668">
        <v>1</v>
      </c>
      <c r="Q323" s="668">
        <v>1</v>
      </c>
      <c r="R323" s="668">
        <v>2</v>
      </c>
      <c r="S323" s="668">
        <v>0</v>
      </c>
      <c r="T323" s="668">
        <v>0</v>
      </c>
      <c r="U323" s="668">
        <v>2</v>
      </c>
      <c r="V323" s="668">
        <v>0</v>
      </c>
      <c r="W323" s="668">
        <v>0</v>
      </c>
      <c r="X323" s="668">
        <v>1</v>
      </c>
      <c r="Y323" s="668">
        <v>1</v>
      </c>
      <c r="Z323" s="668">
        <v>1</v>
      </c>
      <c r="AA323" s="668">
        <v>0</v>
      </c>
      <c r="AB323" s="668">
        <v>0</v>
      </c>
      <c r="AC323" s="668">
        <v>1</v>
      </c>
      <c r="AD323" s="668">
        <v>0</v>
      </c>
      <c r="AE323" s="668"/>
      <c r="AF323" s="668"/>
      <c r="AG323" s="668"/>
      <c r="AH323" s="668"/>
      <c r="AI323" s="668"/>
      <c r="AJ323" s="668"/>
      <c r="AK323" s="669"/>
      <c r="AP323" s="533"/>
      <c r="AQ323" s="577"/>
      <c r="AR323" s="534"/>
      <c r="AS323" s="535"/>
      <c r="AX323" s="531"/>
      <c r="BC323" s="34" t="b">
        <f t="shared" ref="BC323:CF323" si="212">OR(NOT(H$13),NOT($AS322),NOT(BC322))</f>
        <v>1</v>
      </c>
      <c r="BD323" s="34" t="b">
        <f t="shared" si="212"/>
        <v>1</v>
      </c>
      <c r="BE323" s="34" t="b">
        <f t="shared" si="212"/>
        <v>1</v>
      </c>
      <c r="BF323" s="34" t="b">
        <f t="shared" si="212"/>
        <v>1</v>
      </c>
      <c r="BG323" s="34" t="b">
        <f t="shared" si="212"/>
        <v>1</v>
      </c>
      <c r="BH323" s="34" t="b">
        <f t="shared" si="212"/>
        <v>1</v>
      </c>
      <c r="BI323" s="34" t="b">
        <f t="shared" si="212"/>
        <v>1</v>
      </c>
      <c r="BJ323" s="34" t="b">
        <f t="shared" si="212"/>
        <v>1</v>
      </c>
      <c r="BK323" s="34" t="b">
        <f t="shared" si="212"/>
        <v>1</v>
      </c>
      <c r="BL323" s="34" t="b">
        <f t="shared" si="212"/>
        <v>1</v>
      </c>
      <c r="BM323" s="34" t="b">
        <f t="shared" si="212"/>
        <v>1</v>
      </c>
      <c r="BN323" s="34" t="b">
        <f t="shared" si="212"/>
        <v>1</v>
      </c>
      <c r="BO323" s="34" t="b">
        <f t="shared" si="212"/>
        <v>1</v>
      </c>
      <c r="BP323" s="34" t="b">
        <f t="shared" si="212"/>
        <v>1</v>
      </c>
      <c r="BQ323" s="34" t="b">
        <f t="shared" si="212"/>
        <v>1</v>
      </c>
      <c r="BR323" s="34" t="b">
        <f t="shared" si="212"/>
        <v>1</v>
      </c>
      <c r="BS323" s="34" t="b">
        <f t="shared" si="212"/>
        <v>1</v>
      </c>
      <c r="BT323" s="34" t="b">
        <f t="shared" si="212"/>
        <v>1</v>
      </c>
      <c r="BU323" s="34" t="b">
        <f t="shared" si="212"/>
        <v>1</v>
      </c>
      <c r="BV323" s="34" t="b">
        <f t="shared" si="212"/>
        <v>1</v>
      </c>
      <c r="BW323" s="34" t="b">
        <f t="shared" si="212"/>
        <v>1</v>
      </c>
      <c r="BX323" s="34" t="b">
        <f t="shared" si="212"/>
        <v>1</v>
      </c>
      <c r="BY323" s="34" t="b">
        <f t="shared" si="212"/>
        <v>1</v>
      </c>
      <c r="BZ323" s="34" t="b">
        <f t="shared" si="212"/>
        <v>1</v>
      </c>
      <c r="CA323" s="34" t="b">
        <f t="shared" si="212"/>
        <v>1</v>
      </c>
      <c r="CB323" s="34" t="b">
        <f t="shared" si="212"/>
        <v>1</v>
      </c>
      <c r="CC323" s="34" t="b">
        <f t="shared" si="212"/>
        <v>1</v>
      </c>
      <c r="CD323" s="34" t="b">
        <f t="shared" si="212"/>
        <v>1</v>
      </c>
      <c r="CE323" s="34" t="b">
        <f t="shared" si="212"/>
        <v>1</v>
      </c>
      <c r="CF323" s="34" t="b">
        <f t="shared" si="212"/>
        <v>1</v>
      </c>
    </row>
    <row r="324" spans="1:84" ht="12" customHeight="1" x14ac:dyDescent="0.3">
      <c r="A324" s="765"/>
      <c r="E324" s="258" t="str">
        <f>$AX$92</f>
        <v>Telitalálat: 10 p</v>
      </c>
      <c r="H324" s="670" t="str">
        <f t="shared" ref="H324:AK324" si="213">IF(OR(BC323,NOT($AS$20)),"",IF(AND(H322=$E322,H323=$E323),"ü",""))</f>
        <v/>
      </c>
      <c r="I324" s="671" t="str">
        <f t="shared" si="213"/>
        <v/>
      </c>
      <c r="J324" s="671" t="str">
        <f t="shared" si="213"/>
        <v/>
      </c>
      <c r="K324" s="671" t="str">
        <f t="shared" si="213"/>
        <v/>
      </c>
      <c r="L324" s="671" t="str">
        <f t="shared" si="213"/>
        <v/>
      </c>
      <c r="M324" s="671" t="str">
        <f t="shared" si="213"/>
        <v/>
      </c>
      <c r="N324" s="671" t="str">
        <f t="shared" si="213"/>
        <v/>
      </c>
      <c r="O324" s="671" t="str">
        <f t="shared" si="213"/>
        <v/>
      </c>
      <c r="P324" s="671" t="str">
        <f t="shared" si="213"/>
        <v/>
      </c>
      <c r="Q324" s="671" t="str">
        <f t="shared" si="213"/>
        <v/>
      </c>
      <c r="R324" s="671" t="str">
        <f t="shared" si="213"/>
        <v/>
      </c>
      <c r="S324" s="671" t="str">
        <f t="shared" si="213"/>
        <v/>
      </c>
      <c r="T324" s="671" t="str">
        <f t="shared" si="213"/>
        <v/>
      </c>
      <c r="U324" s="671" t="str">
        <f t="shared" si="213"/>
        <v/>
      </c>
      <c r="V324" s="671" t="str">
        <f t="shared" si="213"/>
        <v/>
      </c>
      <c r="W324" s="671" t="str">
        <f t="shared" si="213"/>
        <v/>
      </c>
      <c r="X324" s="671" t="str">
        <f t="shared" si="213"/>
        <v/>
      </c>
      <c r="Y324" s="671" t="str">
        <f t="shared" si="213"/>
        <v/>
      </c>
      <c r="Z324" s="671" t="str">
        <f t="shared" si="213"/>
        <v/>
      </c>
      <c r="AA324" s="671" t="str">
        <f t="shared" si="213"/>
        <v/>
      </c>
      <c r="AB324" s="671" t="str">
        <f t="shared" si="213"/>
        <v/>
      </c>
      <c r="AC324" s="671" t="str">
        <f t="shared" si="213"/>
        <v/>
      </c>
      <c r="AD324" s="671" t="str">
        <f t="shared" si="213"/>
        <v/>
      </c>
      <c r="AE324" s="671" t="str">
        <f t="shared" si="213"/>
        <v/>
      </c>
      <c r="AF324" s="671" t="str">
        <f t="shared" si="213"/>
        <v/>
      </c>
      <c r="AG324" s="671" t="str">
        <f t="shared" si="213"/>
        <v/>
      </c>
      <c r="AH324" s="671" t="str">
        <f t="shared" si="213"/>
        <v/>
      </c>
      <c r="AI324" s="671" t="str">
        <f t="shared" si="213"/>
        <v/>
      </c>
      <c r="AJ324" s="671" t="str">
        <f t="shared" si="213"/>
        <v/>
      </c>
      <c r="AK324" s="672" t="str">
        <f t="shared" si="213"/>
        <v/>
      </c>
      <c r="AL324" s="15"/>
      <c r="AM324" s="15"/>
      <c r="AP324" s="536"/>
      <c r="AR324" s="537"/>
      <c r="AS324" s="529"/>
      <c r="AW324" s="390" t="str">
        <f>""</f>
        <v/>
      </c>
      <c r="AX324" s="531"/>
      <c r="AY324" s="390" t="str">
        <f>""</f>
        <v/>
      </c>
      <c r="BD324" s="520"/>
      <c r="BE324" s="520"/>
      <c r="BF324" s="520"/>
      <c r="BG324" s="520"/>
      <c r="BH324" s="520"/>
      <c r="BI324" s="520"/>
      <c r="BJ324" s="520"/>
      <c r="BK324" s="520"/>
      <c r="BL324" s="520"/>
      <c r="BM324" s="520"/>
      <c r="BN324" s="520"/>
      <c r="BO324" s="520"/>
      <c r="BP324" s="520"/>
      <c r="BQ324" s="520"/>
      <c r="BR324" s="520"/>
      <c r="BS324" s="520"/>
      <c r="BT324" s="520"/>
      <c r="BU324" s="520"/>
      <c r="BV324" s="520"/>
      <c r="BW324" s="520"/>
      <c r="BX324" s="520"/>
      <c r="BY324" s="520"/>
    </row>
    <row r="325" spans="1:84" ht="12" customHeight="1" x14ac:dyDescent="0.3">
      <c r="A325" s="765"/>
      <c r="E325" s="258" t="str">
        <f>$AX$93</f>
        <v>Gólkülönbség: 6 p</v>
      </c>
      <c r="H325" s="673" t="str">
        <f t="shared" ref="H325:AK325" si="214">IF(OR(BC323,NOT($AS$22)),"",IF(AND(NOT($AS$32),H324="ü"),"",IF(H322-H323=$E322-$E323,"ü"," ")))</f>
        <v/>
      </c>
      <c r="I325" s="674" t="str">
        <f t="shared" si="214"/>
        <v/>
      </c>
      <c r="J325" s="674" t="str">
        <f t="shared" si="214"/>
        <v/>
      </c>
      <c r="K325" s="674" t="str">
        <f t="shared" si="214"/>
        <v/>
      </c>
      <c r="L325" s="674" t="str">
        <f t="shared" si="214"/>
        <v/>
      </c>
      <c r="M325" s="674" t="str">
        <f t="shared" si="214"/>
        <v/>
      </c>
      <c r="N325" s="674" t="str">
        <f t="shared" si="214"/>
        <v/>
      </c>
      <c r="O325" s="674" t="str">
        <f t="shared" si="214"/>
        <v/>
      </c>
      <c r="P325" s="674" t="str">
        <f t="shared" si="214"/>
        <v/>
      </c>
      <c r="Q325" s="674" t="str">
        <f t="shared" si="214"/>
        <v/>
      </c>
      <c r="R325" s="674" t="str">
        <f t="shared" si="214"/>
        <v/>
      </c>
      <c r="S325" s="674" t="str">
        <f t="shared" si="214"/>
        <v/>
      </c>
      <c r="T325" s="674" t="str">
        <f t="shared" si="214"/>
        <v/>
      </c>
      <c r="U325" s="674" t="str">
        <f t="shared" si="214"/>
        <v/>
      </c>
      <c r="V325" s="674" t="str">
        <f t="shared" si="214"/>
        <v/>
      </c>
      <c r="W325" s="674" t="str">
        <f t="shared" si="214"/>
        <v/>
      </c>
      <c r="X325" s="674" t="str">
        <f t="shared" si="214"/>
        <v/>
      </c>
      <c r="Y325" s="674" t="str">
        <f t="shared" si="214"/>
        <v/>
      </c>
      <c r="Z325" s="674" t="str">
        <f t="shared" si="214"/>
        <v/>
      </c>
      <c r="AA325" s="674" t="str">
        <f t="shared" si="214"/>
        <v/>
      </c>
      <c r="AB325" s="674" t="str">
        <f t="shared" si="214"/>
        <v/>
      </c>
      <c r="AC325" s="674" t="str">
        <f t="shared" si="214"/>
        <v/>
      </c>
      <c r="AD325" s="674" t="str">
        <f t="shared" si="214"/>
        <v/>
      </c>
      <c r="AE325" s="674" t="str">
        <f t="shared" si="214"/>
        <v/>
      </c>
      <c r="AF325" s="674" t="str">
        <f t="shared" si="214"/>
        <v/>
      </c>
      <c r="AG325" s="674" t="str">
        <f t="shared" si="214"/>
        <v/>
      </c>
      <c r="AH325" s="674" t="str">
        <f t="shared" si="214"/>
        <v/>
      </c>
      <c r="AI325" s="674" t="str">
        <f t="shared" si="214"/>
        <v/>
      </c>
      <c r="AJ325" s="674" t="str">
        <f t="shared" si="214"/>
        <v/>
      </c>
      <c r="AK325" s="675" t="str">
        <f t="shared" si="214"/>
        <v/>
      </c>
      <c r="AL325" s="15"/>
      <c r="AM325" s="15"/>
      <c r="AP325" s="536"/>
      <c r="AR325" s="537"/>
      <c r="AS325" s="529"/>
      <c r="AW325" s="390" t="str">
        <f>""</f>
        <v/>
      </c>
      <c r="AX325" s="531"/>
      <c r="AY325" s="390" t="str">
        <f>""</f>
        <v/>
      </c>
      <c r="BD325" s="520"/>
      <c r="BE325" s="520"/>
      <c r="BF325" s="520"/>
      <c r="BG325" s="520"/>
      <c r="BH325" s="520"/>
      <c r="BI325" s="520"/>
      <c r="BJ325" s="520"/>
      <c r="BK325" s="520"/>
      <c r="BL325" s="520"/>
      <c r="BM325" s="520"/>
      <c r="BN325" s="520"/>
      <c r="BO325" s="520"/>
      <c r="BP325" s="520"/>
      <c r="BQ325" s="520"/>
      <c r="BR325" s="520"/>
      <c r="BS325" s="520"/>
      <c r="BT325" s="520"/>
      <c r="BU325" s="520"/>
      <c r="BV325" s="520"/>
      <c r="BW325" s="520"/>
      <c r="BX325" s="520"/>
      <c r="BY325" s="520"/>
    </row>
    <row r="326" spans="1:84" ht="12" customHeight="1" x14ac:dyDescent="0.3">
      <c r="A326" s="765"/>
      <c r="E326" s="258" t="str">
        <f>$AX$94</f>
        <v>Mérkőzés kimenetele: 4 p</v>
      </c>
      <c r="H326" s="673" t="str">
        <f t="shared" ref="H326:AK326" si="215">IF(OR(BC323,NOT($AS$24)),"",IF(AND(NOT($AS$32),COUNTIF(H324:H325,"ü")&gt;0),"",IF(SIGN(H322-H323)=SIGN($E322-$E323),"ü"," ")))</f>
        <v/>
      </c>
      <c r="I326" s="674" t="str">
        <f t="shared" si="215"/>
        <v/>
      </c>
      <c r="J326" s="674" t="str">
        <f t="shared" si="215"/>
        <v/>
      </c>
      <c r="K326" s="674" t="str">
        <f t="shared" si="215"/>
        <v/>
      </c>
      <c r="L326" s="674" t="str">
        <f t="shared" si="215"/>
        <v/>
      </c>
      <c r="M326" s="674" t="str">
        <f t="shared" si="215"/>
        <v/>
      </c>
      <c r="N326" s="674" t="str">
        <f t="shared" si="215"/>
        <v/>
      </c>
      <c r="O326" s="674" t="str">
        <f t="shared" si="215"/>
        <v/>
      </c>
      <c r="P326" s="674" t="str">
        <f t="shared" si="215"/>
        <v/>
      </c>
      <c r="Q326" s="674" t="str">
        <f t="shared" si="215"/>
        <v/>
      </c>
      <c r="R326" s="674" t="str">
        <f t="shared" si="215"/>
        <v/>
      </c>
      <c r="S326" s="674" t="str">
        <f t="shared" si="215"/>
        <v/>
      </c>
      <c r="T326" s="674" t="str">
        <f t="shared" si="215"/>
        <v/>
      </c>
      <c r="U326" s="674" t="str">
        <f t="shared" si="215"/>
        <v/>
      </c>
      <c r="V326" s="674" t="str">
        <f t="shared" si="215"/>
        <v/>
      </c>
      <c r="W326" s="674" t="str">
        <f t="shared" si="215"/>
        <v/>
      </c>
      <c r="X326" s="674" t="str">
        <f t="shared" si="215"/>
        <v/>
      </c>
      <c r="Y326" s="674" t="str">
        <f t="shared" si="215"/>
        <v/>
      </c>
      <c r="Z326" s="674" t="str">
        <f t="shared" si="215"/>
        <v/>
      </c>
      <c r="AA326" s="674" t="str">
        <f t="shared" si="215"/>
        <v/>
      </c>
      <c r="AB326" s="674" t="str">
        <f t="shared" si="215"/>
        <v/>
      </c>
      <c r="AC326" s="674" t="str">
        <f t="shared" si="215"/>
        <v/>
      </c>
      <c r="AD326" s="674" t="str">
        <f t="shared" si="215"/>
        <v/>
      </c>
      <c r="AE326" s="674" t="str">
        <f t="shared" si="215"/>
        <v/>
      </c>
      <c r="AF326" s="674" t="str">
        <f t="shared" si="215"/>
        <v/>
      </c>
      <c r="AG326" s="674" t="str">
        <f t="shared" si="215"/>
        <v/>
      </c>
      <c r="AH326" s="674" t="str">
        <f t="shared" si="215"/>
        <v/>
      </c>
      <c r="AI326" s="674" t="str">
        <f t="shared" si="215"/>
        <v/>
      </c>
      <c r="AJ326" s="674" t="str">
        <f t="shared" si="215"/>
        <v/>
      </c>
      <c r="AK326" s="675" t="str">
        <f t="shared" si="215"/>
        <v/>
      </c>
      <c r="AL326" s="15"/>
      <c r="AM326" s="15"/>
      <c r="AP326" s="536"/>
      <c r="AR326" s="537"/>
      <c r="AS326" s="529"/>
      <c r="AW326" s="390" t="str">
        <f>""</f>
        <v/>
      </c>
      <c r="AX326" s="531"/>
      <c r="AY326" s="390" t="str">
        <f>""</f>
        <v/>
      </c>
      <c r="BD326" s="520"/>
      <c r="BE326" s="520"/>
      <c r="BF326" s="520"/>
      <c r="BG326" s="520"/>
      <c r="BH326" s="520"/>
      <c r="BI326" s="520"/>
      <c r="BJ326" s="520"/>
      <c r="BK326" s="520"/>
      <c r="BL326" s="520"/>
      <c r="BM326" s="520"/>
      <c r="BN326" s="520"/>
      <c r="BO326" s="520"/>
      <c r="BP326" s="520"/>
      <c r="BQ326" s="520"/>
      <c r="BR326" s="520"/>
      <c r="BS326" s="520"/>
      <c r="BT326" s="520"/>
      <c r="BU326" s="520"/>
      <c r="BV326" s="520"/>
      <c r="BW326" s="520"/>
      <c r="BX326" s="520"/>
      <c r="BY326" s="520"/>
    </row>
    <row r="327" spans="1:84" ht="12" customHeight="1" x14ac:dyDescent="0.3">
      <c r="A327" s="765"/>
      <c r="E327" s="258" t="str">
        <f>$AX$95</f>
        <v>Egyik csapat góljainak száma: 3 p</v>
      </c>
      <c r="H327" s="673" t="str">
        <f t="shared" ref="H327:AK327" si="216">IF(OR(BC323,NOT($AS$26)),"",IF(AND(NOT($AS$32),COUNTIF(H324:H326,"ü")&gt;0),"",IF(OR(H322=$E322,H323=$E323),"ü"," ")))</f>
        <v/>
      </c>
      <c r="I327" s="674" t="str">
        <f t="shared" si="216"/>
        <v/>
      </c>
      <c r="J327" s="674" t="str">
        <f t="shared" si="216"/>
        <v/>
      </c>
      <c r="K327" s="674" t="str">
        <f t="shared" si="216"/>
        <v/>
      </c>
      <c r="L327" s="674" t="str">
        <f t="shared" si="216"/>
        <v/>
      </c>
      <c r="M327" s="674" t="str">
        <f t="shared" si="216"/>
        <v/>
      </c>
      <c r="N327" s="674" t="str">
        <f t="shared" si="216"/>
        <v/>
      </c>
      <c r="O327" s="674" t="str">
        <f t="shared" si="216"/>
        <v/>
      </c>
      <c r="P327" s="674" t="str">
        <f t="shared" si="216"/>
        <v/>
      </c>
      <c r="Q327" s="674" t="str">
        <f t="shared" si="216"/>
        <v/>
      </c>
      <c r="R327" s="674" t="str">
        <f t="shared" si="216"/>
        <v/>
      </c>
      <c r="S327" s="674" t="str">
        <f t="shared" si="216"/>
        <v/>
      </c>
      <c r="T327" s="674" t="str">
        <f t="shared" si="216"/>
        <v/>
      </c>
      <c r="U327" s="674" t="str">
        <f t="shared" si="216"/>
        <v/>
      </c>
      <c r="V327" s="674" t="str">
        <f t="shared" si="216"/>
        <v/>
      </c>
      <c r="W327" s="674" t="str">
        <f t="shared" si="216"/>
        <v/>
      </c>
      <c r="X327" s="674" t="str">
        <f t="shared" si="216"/>
        <v/>
      </c>
      <c r="Y327" s="674" t="str">
        <f t="shared" si="216"/>
        <v/>
      </c>
      <c r="Z327" s="674" t="str">
        <f t="shared" si="216"/>
        <v/>
      </c>
      <c r="AA327" s="674" t="str">
        <f t="shared" si="216"/>
        <v/>
      </c>
      <c r="AB327" s="674" t="str">
        <f t="shared" si="216"/>
        <v/>
      </c>
      <c r="AC327" s="674" t="str">
        <f t="shared" si="216"/>
        <v/>
      </c>
      <c r="AD327" s="674" t="str">
        <f t="shared" si="216"/>
        <v/>
      </c>
      <c r="AE327" s="674" t="str">
        <f t="shared" si="216"/>
        <v/>
      </c>
      <c r="AF327" s="674" t="str">
        <f t="shared" si="216"/>
        <v/>
      </c>
      <c r="AG327" s="674" t="str">
        <f t="shared" si="216"/>
        <v/>
      </c>
      <c r="AH327" s="674" t="str">
        <f t="shared" si="216"/>
        <v/>
      </c>
      <c r="AI327" s="674" t="str">
        <f t="shared" si="216"/>
        <v/>
      </c>
      <c r="AJ327" s="674" t="str">
        <f t="shared" si="216"/>
        <v/>
      </c>
      <c r="AK327" s="675" t="str">
        <f t="shared" si="216"/>
        <v/>
      </c>
      <c r="AL327" s="15"/>
      <c r="AM327" s="15"/>
      <c r="AP327" s="536"/>
      <c r="AR327" s="537"/>
      <c r="AS327" s="529"/>
      <c r="AW327" s="390" t="str">
        <f>""</f>
        <v/>
      </c>
      <c r="AX327" s="531"/>
      <c r="AY327" s="390" t="str">
        <f>""</f>
        <v/>
      </c>
      <c r="BD327" s="520"/>
      <c r="BE327" s="520"/>
      <c r="BF327" s="520"/>
      <c r="BG327" s="520"/>
      <c r="BH327" s="520"/>
      <c r="BI327" s="520"/>
      <c r="BJ327" s="520"/>
      <c r="BK327" s="520"/>
      <c r="BL327" s="520"/>
      <c r="BM327" s="520"/>
      <c r="BN327" s="520"/>
      <c r="BO327" s="520"/>
      <c r="BP327" s="520"/>
      <c r="BQ327" s="520"/>
      <c r="BR327" s="520"/>
      <c r="BS327" s="520"/>
      <c r="BT327" s="520"/>
      <c r="BU327" s="520"/>
      <c r="BV327" s="520"/>
      <c r="BW327" s="520"/>
      <c r="BX327" s="520"/>
      <c r="BY327" s="520"/>
    </row>
    <row r="328" spans="1:84" ht="12" customHeight="1" x14ac:dyDescent="0.3">
      <c r="A328" s="765"/>
      <c r="E328" s="258" t="str">
        <f>$AX$96</f>
        <v>Összes gól: 2 p</v>
      </c>
      <c r="H328" s="673" t="str">
        <f t="shared" ref="H328:AK328" si="217">IF(OR(BC323,NOT($AS$28)),"",IF(AND(NOT($AS$32),COUNTIF(H324:H327,"ü")&gt;0),"",IF(H322+H323=$E322+$E323,"ü"," ")))</f>
        <v/>
      </c>
      <c r="I328" s="674" t="str">
        <f t="shared" si="217"/>
        <v/>
      </c>
      <c r="J328" s="674" t="str">
        <f t="shared" si="217"/>
        <v/>
      </c>
      <c r="K328" s="674" t="str">
        <f t="shared" si="217"/>
        <v/>
      </c>
      <c r="L328" s="674" t="str">
        <f t="shared" si="217"/>
        <v/>
      </c>
      <c r="M328" s="674" t="str">
        <f t="shared" si="217"/>
        <v/>
      </c>
      <c r="N328" s="674" t="str">
        <f t="shared" si="217"/>
        <v/>
      </c>
      <c r="O328" s="674" t="str">
        <f t="shared" si="217"/>
        <v/>
      </c>
      <c r="P328" s="674" t="str">
        <f t="shared" si="217"/>
        <v/>
      </c>
      <c r="Q328" s="674" t="str">
        <f t="shared" si="217"/>
        <v/>
      </c>
      <c r="R328" s="674" t="str">
        <f t="shared" si="217"/>
        <v/>
      </c>
      <c r="S328" s="674" t="str">
        <f t="shared" si="217"/>
        <v/>
      </c>
      <c r="T328" s="674" t="str">
        <f t="shared" si="217"/>
        <v/>
      </c>
      <c r="U328" s="674" t="str">
        <f t="shared" si="217"/>
        <v/>
      </c>
      <c r="V328" s="674" t="str">
        <f t="shared" si="217"/>
        <v/>
      </c>
      <c r="W328" s="674" t="str">
        <f t="shared" si="217"/>
        <v/>
      </c>
      <c r="X328" s="674" t="str">
        <f t="shared" si="217"/>
        <v/>
      </c>
      <c r="Y328" s="674" t="str">
        <f t="shared" si="217"/>
        <v/>
      </c>
      <c r="Z328" s="674" t="str">
        <f t="shared" si="217"/>
        <v/>
      </c>
      <c r="AA328" s="674" t="str">
        <f t="shared" si="217"/>
        <v/>
      </c>
      <c r="AB328" s="674" t="str">
        <f t="shared" si="217"/>
        <v/>
      </c>
      <c r="AC328" s="674" t="str">
        <f t="shared" si="217"/>
        <v/>
      </c>
      <c r="AD328" s="674" t="str">
        <f t="shared" si="217"/>
        <v/>
      </c>
      <c r="AE328" s="674" t="str">
        <f t="shared" si="217"/>
        <v/>
      </c>
      <c r="AF328" s="674" t="str">
        <f t="shared" si="217"/>
        <v/>
      </c>
      <c r="AG328" s="674" t="str">
        <f t="shared" si="217"/>
        <v/>
      </c>
      <c r="AH328" s="674" t="str">
        <f t="shared" si="217"/>
        <v/>
      </c>
      <c r="AI328" s="674" t="str">
        <f t="shared" si="217"/>
        <v/>
      </c>
      <c r="AJ328" s="674" t="str">
        <f t="shared" si="217"/>
        <v/>
      </c>
      <c r="AK328" s="675" t="str">
        <f t="shared" si="217"/>
        <v/>
      </c>
      <c r="AL328" s="15"/>
      <c r="AM328" s="15"/>
      <c r="AP328" s="536"/>
      <c r="AR328" s="537"/>
      <c r="AS328" s="529"/>
      <c r="AW328" s="390" t="str">
        <f>""</f>
        <v/>
      </c>
      <c r="AX328" s="531"/>
      <c r="AY328" s="390" t="str">
        <f>""</f>
        <v/>
      </c>
      <c r="BD328" s="520"/>
      <c r="BE328" s="520"/>
      <c r="BF328" s="520"/>
      <c r="BG328" s="520"/>
      <c r="BH328" s="520"/>
      <c r="BI328" s="520"/>
      <c r="BJ328" s="520"/>
      <c r="BK328" s="520"/>
      <c r="BL328" s="520"/>
      <c r="BM328" s="520"/>
      <c r="BN328" s="520"/>
      <c r="BO328" s="520"/>
      <c r="BP328" s="520"/>
      <c r="BQ328" s="520"/>
      <c r="BR328" s="520"/>
      <c r="BS328" s="520"/>
      <c r="BT328" s="520"/>
      <c r="BU328" s="520"/>
      <c r="BV328" s="520"/>
      <c r="BW328" s="520"/>
      <c r="BX328" s="520"/>
      <c r="BY328" s="520"/>
    </row>
    <row r="329" spans="1:84" ht="12" customHeight="1" x14ac:dyDescent="0.3">
      <c r="A329" s="765"/>
      <c r="E329" s="258" t="str">
        <f>$AX$97</f>
        <v>Fordított gólkülönbség: 1 p</v>
      </c>
      <c r="H329" s="676" t="str">
        <f t="shared" ref="H329:AK329" si="218">IF(OR(BC323,NOT($AS$30)),"",IF(AND(NOT($AS$32),COUNTIF(H324:H328,"ü")&gt;0),"",IF(AND(H322-H323=$E323-$E322,H322&lt;&gt;H323),"ü"," ")))</f>
        <v/>
      </c>
      <c r="I329" s="677" t="str">
        <f t="shared" si="218"/>
        <v/>
      </c>
      <c r="J329" s="677" t="str">
        <f t="shared" si="218"/>
        <v/>
      </c>
      <c r="K329" s="677" t="str">
        <f t="shared" si="218"/>
        <v/>
      </c>
      <c r="L329" s="677" t="str">
        <f t="shared" si="218"/>
        <v/>
      </c>
      <c r="M329" s="677" t="str">
        <f t="shared" si="218"/>
        <v/>
      </c>
      <c r="N329" s="677" t="str">
        <f t="shared" si="218"/>
        <v/>
      </c>
      <c r="O329" s="677" t="str">
        <f t="shared" si="218"/>
        <v/>
      </c>
      <c r="P329" s="677" t="str">
        <f t="shared" si="218"/>
        <v/>
      </c>
      <c r="Q329" s="677" t="str">
        <f t="shared" si="218"/>
        <v/>
      </c>
      <c r="R329" s="677" t="str">
        <f t="shared" si="218"/>
        <v/>
      </c>
      <c r="S329" s="677" t="str">
        <f t="shared" si="218"/>
        <v/>
      </c>
      <c r="T329" s="677" t="str">
        <f t="shared" si="218"/>
        <v/>
      </c>
      <c r="U329" s="677" t="str">
        <f t="shared" si="218"/>
        <v/>
      </c>
      <c r="V329" s="677" t="str">
        <f t="shared" si="218"/>
        <v/>
      </c>
      <c r="W329" s="677" t="str">
        <f t="shared" si="218"/>
        <v/>
      </c>
      <c r="X329" s="677" t="str">
        <f t="shared" si="218"/>
        <v/>
      </c>
      <c r="Y329" s="677" t="str">
        <f t="shared" si="218"/>
        <v/>
      </c>
      <c r="Z329" s="677" t="str">
        <f t="shared" si="218"/>
        <v/>
      </c>
      <c r="AA329" s="677" t="str">
        <f t="shared" si="218"/>
        <v/>
      </c>
      <c r="AB329" s="677" t="str">
        <f t="shared" si="218"/>
        <v/>
      </c>
      <c r="AC329" s="677" t="str">
        <f t="shared" si="218"/>
        <v/>
      </c>
      <c r="AD329" s="677" t="str">
        <f t="shared" si="218"/>
        <v/>
      </c>
      <c r="AE329" s="677" t="str">
        <f t="shared" si="218"/>
        <v/>
      </c>
      <c r="AF329" s="677" t="str">
        <f t="shared" si="218"/>
        <v/>
      </c>
      <c r="AG329" s="677" t="str">
        <f t="shared" si="218"/>
        <v/>
      </c>
      <c r="AH329" s="677" t="str">
        <f t="shared" si="218"/>
        <v/>
      </c>
      <c r="AI329" s="677" t="str">
        <f t="shared" si="218"/>
        <v/>
      </c>
      <c r="AJ329" s="677" t="str">
        <f t="shared" si="218"/>
        <v/>
      </c>
      <c r="AK329" s="678" t="str">
        <f t="shared" si="218"/>
        <v/>
      </c>
      <c r="AL329" s="15"/>
      <c r="AM329" s="15"/>
      <c r="AP329" s="536"/>
      <c r="AR329" s="537"/>
      <c r="AS329" s="529"/>
      <c r="AW329" s="390" t="str">
        <f>""</f>
        <v/>
      </c>
      <c r="AX329" s="531"/>
      <c r="AY329" s="390" t="str">
        <f>""</f>
        <v/>
      </c>
      <c r="BD329" s="520"/>
      <c r="BE329" s="520"/>
      <c r="BF329" s="520"/>
      <c r="BG329" s="520"/>
      <c r="BH329" s="520"/>
      <c r="BI329" s="520"/>
      <c r="BJ329" s="520"/>
      <c r="BK329" s="520"/>
      <c r="BL329" s="520"/>
      <c r="BM329" s="520"/>
      <c r="BN329" s="520"/>
      <c r="BO329" s="520"/>
      <c r="BP329" s="520"/>
      <c r="BQ329" s="520"/>
      <c r="BR329" s="520"/>
      <c r="BS329" s="520"/>
      <c r="BT329" s="520"/>
      <c r="BU329" s="520"/>
      <c r="BV329" s="520"/>
      <c r="BW329" s="520"/>
      <c r="BX329" s="520"/>
      <c r="BY329" s="520"/>
    </row>
    <row r="330" spans="1:84" ht="15" customHeight="1" x14ac:dyDescent="0.3">
      <c r="A330" s="765"/>
      <c r="E330" s="79" t="s">
        <v>799</v>
      </c>
      <c r="H330" s="679">
        <f t="shared" ref="H330:AK330" si="219">IF(NOT(H$13),"",SUMPRODUCT((H324:H329="ü")*($AW$92:$AW$97)))</f>
        <v>0</v>
      </c>
      <c r="I330" s="680">
        <f t="shared" si="219"/>
        <v>0</v>
      </c>
      <c r="J330" s="680">
        <f t="shared" si="219"/>
        <v>0</v>
      </c>
      <c r="K330" s="680">
        <f t="shared" si="219"/>
        <v>0</v>
      </c>
      <c r="L330" s="680">
        <f t="shared" si="219"/>
        <v>0</v>
      </c>
      <c r="M330" s="680">
        <f t="shared" si="219"/>
        <v>0</v>
      </c>
      <c r="N330" s="680">
        <f t="shared" si="219"/>
        <v>0</v>
      </c>
      <c r="O330" s="680">
        <f t="shared" si="219"/>
        <v>0</v>
      </c>
      <c r="P330" s="680">
        <f t="shared" si="219"/>
        <v>0</v>
      </c>
      <c r="Q330" s="680">
        <f t="shared" si="219"/>
        <v>0</v>
      </c>
      <c r="R330" s="680">
        <f t="shared" si="219"/>
        <v>0</v>
      </c>
      <c r="S330" s="680">
        <f t="shared" si="219"/>
        <v>0</v>
      </c>
      <c r="T330" s="680">
        <f t="shared" si="219"/>
        <v>0</v>
      </c>
      <c r="U330" s="680">
        <f t="shared" si="219"/>
        <v>0</v>
      </c>
      <c r="V330" s="680">
        <f t="shared" si="219"/>
        <v>0</v>
      </c>
      <c r="W330" s="680">
        <f t="shared" si="219"/>
        <v>0</v>
      </c>
      <c r="X330" s="680">
        <f t="shared" si="219"/>
        <v>0</v>
      </c>
      <c r="Y330" s="680">
        <f t="shared" si="219"/>
        <v>0</v>
      </c>
      <c r="Z330" s="680">
        <f t="shared" si="219"/>
        <v>0</v>
      </c>
      <c r="AA330" s="680">
        <f t="shared" si="219"/>
        <v>0</v>
      </c>
      <c r="AB330" s="680">
        <f t="shared" si="219"/>
        <v>0</v>
      </c>
      <c r="AC330" s="680">
        <f t="shared" si="219"/>
        <v>0</v>
      </c>
      <c r="AD330" s="680">
        <f t="shared" si="219"/>
        <v>0</v>
      </c>
      <c r="AE330" s="680" t="str">
        <f t="shared" si="219"/>
        <v/>
      </c>
      <c r="AF330" s="680" t="str">
        <f t="shared" si="219"/>
        <v/>
      </c>
      <c r="AG330" s="680" t="str">
        <f t="shared" si="219"/>
        <v/>
      </c>
      <c r="AH330" s="680" t="str">
        <f t="shared" si="219"/>
        <v/>
      </c>
      <c r="AI330" s="680" t="str">
        <f t="shared" si="219"/>
        <v/>
      </c>
      <c r="AJ330" s="680" t="str">
        <f t="shared" si="219"/>
        <v/>
      </c>
      <c r="AK330" s="681" t="str">
        <f t="shared" si="219"/>
        <v/>
      </c>
      <c r="AP330" s="536"/>
      <c r="AR330" s="537"/>
      <c r="AS330" s="529"/>
    </row>
    <row r="331" spans="1:84" ht="9" customHeight="1" x14ac:dyDescent="0.3">
      <c r="A331" s="765"/>
      <c r="D331" s="15"/>
      <c r="E331" s="15"/>
      <c r="F331" s="15"/>
      <c r="G331" s="15"/>
      <c r="H331" s="15"/>
      <c r="I331" s="16"/>
      <c r="J331" s="15"/>
      <c r="K331" s="15"/>
      <c r="L331" s="16"/>
      <c r="M331" s="15"/>
      <c r="N331" s="15"/>
      <c r="O331" s="16"/>
      <c r="P331" s="15"/>
      <c r="Q331" s="15"/>
      <c r="R331" s="16"/>
      <c r="S331" s="15"/>
      <c r="T331" s="15"/>
      <c r="U331" s="16"/>
      <c r="V331" s="15"/>
      <c r="W331" s="15"/>
      <c r="X331" s="16"/>
      <c r="Y331" s="15"/>
      <c r="Z331" s="15"/>
      <c r="AA331" s="16"/>
      <c r="AB331" s="15"/>
      <c r="AC331" s="15"/>
      <c r="AD331" s="16"/>
      <c r="AE331" s="15"/>
      <c r="AF331" s="15"/>
      <c r="AG331" s="16"/>
      <c r="AH331" s="15"/>
      <c r="AI331" s="15"/>
      <c r="AJ331" s="16"/>
      <c r="AK331" s="15"/>
      <c r="AP331" s="536"/>
      <c r="AR331" s="537"/>
      <c r="AS331" s="529"/>
    </row>
    <row r="332" spans="1:84" ht="15" customHeight="1" x14ac:dyDescent="0.3">
      <c r="A332" s="765"/>
      <c r="C332" s="27" t="str">
        <f>" "&amp;VLOOKUP(AQ333,schedule,18,FALSE)&amp;"  ("&amp;VLOOKUP(AQ333,schedule,3,FALSE)&amp;" CSOPORT)"</f>
        <v xml:space="preserve"> JÚNIUS 19. – SZOMBAT 15:00  (F CSOPORT)</v>
      </c>
      <c r="D332" s="27"/>
      <c r="E332" s="26"/>
      <c r="F332" s="26"/>
      <c r="G332" s="26"/>
      <c r="H332" s="26"/>
      <c r="I332" s="26"/>
      <c r="J332" s="26"/>
      <c r="AP332" s="536"/>
      <c r="AR332" s="537"/>
      <c r="AS332" s="529"/>
    </row>
    <row r="333" spans="1:84" ht="15" customHeight="1" x14ac:dyDescent="0.3">
      <c r="A333" s="765"/>
      <c r="C333" s="661"/>
      <c r="D333" s="662" t="str">
        <f>IF(INDEX(n.er,$AR333,8)="","",INDEX(n.er,$AR333,8))</f>
        <v>MAGYARORSZÁG</v>
      </c>
      <c r="E333" s="663" t="str">
        <f>IF(NOT($AS333),"",INDEX(n.er,$AR333,9))</f>
        <v/>
      </c>
      <c r="F333" s="662"/>
      <c r="G333" s="259"/>
      <c r="H333" s="664">
        <v>0</v>
      </c>
      <c r="I333" s="665">
        <v>0</v>
      </c>
      <c r="J333" s="665">
        <v>3</v>
      </c>
      <c r="K333" s="665">
        <v>1</v>
      </c>
      <c r="L333" s="665">
        <v>0</v>
      </c>
      <c r="M333" s="665">
        <v>1</v>
      </c>
      <c r="N333" s="665">
        <v>1</v>
      </c>
      <c r="O333" s="665">
        <v>1</v>
      </c>
      <c r="P333" s="665">
        <v>0</v>
      </c>
      <c r="Q333" s="665">
        <v>1</v>
      </c>
      <c r="R333" s="665">
        <v>0</v>
      </c>
      <c r="S333" s="665">
        <v>0</v>
      </c>
      <c r="T333" s="665">
        <v>0</v>
      </c>
      <c r="U333" s="665">
        <v>1</v>
      </c>
      <c r="V333" s="665">
        <v>0</v>
      </c>
      <c r="W333" s="665">
        <v>0</v>
      </c>
      <c r="X333" s="665">
        <v>1</v>
      </c>
      <c r="Y333" s="665">
        <v>0</v>
      </c>
      <c r="Z333" s="665">
        <v>2</v>
      </c>
      <c r="AA333" s="665">
        <v>0</v>
      </c>
      <c r="AB333" s="665">
        <v>1</v>
      </c>
      <c r="AC333" s="665">
        <v>0</v>
      </c>
      <c r="AD333" s="665">
        <v>1</v>
      </c>
      <c r="AE333" s="665"/>
      <c r="AF333" s="665"/>
      <c r="AG333" s="665"/>
      <c r="AH333" s="665"/>
      <c r="AI333" s="665"/>
      <c r="AJ333" s="665"/>
      <c r="AK333" s="666"/>
      <c r="AP333" s="52">
        <f>AP322+1</f>
        <v>22</v>
      </c>
      <c r="AQ333" s="311">
        <f>INDEX(schedule,AP333,1)</f>
        <v>22</v>
      </c>
      <c r="AR333" s="311">
        <f>MATCH(AQ333,n.er.index,0)</f>
        <v>54</v>
      </c>
      <c r="AS333" s="532" t="b">
        <f>INDEX(n.er,$AR333,3)</f>
        <v>0</v>
      </c>
      <c r="AT333" s="531"/>
      <c r="AU333" s="531"/>
      <c r="AV333" s="531"/>
      <c r="AW333" s="531"/>
      <c r="AX333" s="531"/>
      <c r="BC333" s="525" t="b">
        <f t="shared" ref="BC333:CF333" si="220">IF(AND(ISNUMBER(H333),ISNUMBER(H334),H333&lt;&gt;"",H334&lt;&gt;""),AND(H333&gt;=0,H334&gt;=0,MOD(H333+H334,1)=0),FALSE)</f>
        <v>1</v>
      </c>
      <c r="BD333" s="525" t="b">
        <f t="shared" si="220"/>
        <v>1</v>
      </c>
      <c r="BE333" s="525" t="b">
        <f t="shared" si="220"/>
        <v>1</v>
      </c>
      <c r="BF333" s="525" t="b">
        <f t="shared" si="220"/>
        <v>1</v>
      </c>
      <c r="BG333" s="525" t="b">
        <f t="shared" si="220"/>
        <v>1</v>
      </c>
      <c r="BH333" s="525" t="b">
        <f t="shared" si="220"/>
        <v>1</v>
      </c>
      <c r="BI333" s="525" t="b">
        <f t="shared" si="220"/>
        <v>1</v>
      </c>
      <c r="BJ333" s="525" t="b">
        <f t="shared" si="220"/>
        <v>1</v>
      </c>
      <c r="BK333" s="525" t="b">
        <f t="shared" si="220"/>
        <v>1</v>
      </c>
      <c r="BL333" s="525" t="b">
        <f t="shared" si="220"/>
        <v>1</v>
      </c>
      <c r="BM333" s="525" t="b">
        <f t="shared" si="220"/>
        <v>1</v>
      </c>
      <c r="BN333" s="525" t="b">
        <f t="shared" si="220"/>
        <v>1</v>
      </c>
      <c r="BO333" s="525" t="b">
        <f t="shared" si="220"/>
        <v>1</v>
      </c>
      <c r="BP333" s="525" t="b">
        <f t="shared" si="220"/>
        <v>1</v>
      </c>
      <c r="BQ333" s="525" t="b">
        <f t="shared" si="220"/>
        <v>1</v>
      </c>
      <c r="BR333" s="525" t="b">
        <f t="shared" si="220"/>
        <v>1</v>
      </c>
      <c r="BS333" s="525" t="b">
        <f t="shared" si="220"/>
        <v>1</v>
      </c>
      <c r="BT333" s="525" t="b">
        <f t="shared" si="220"/>
        <v>1</v>
      </c>
      <c r="BU333" s="525" t="b">
        <f t="shared" si="220"/>
        <v>1</v>
      </c>
      <c r="BV333" s="525" t="b">
        <f t="shared" si="220"/>
        <v>1</v>
      </c>
      <c r="BW333" s="525" t="b">
        <f t="shared" si="220"/>
        <v>1</v>
      </c>
      <c r="BX333" s="525" t="b">
        <f t="shared" si="220"/>
        <v>1</v>
      </c>
      <c r="BY333" s="525" t="b">
        <f t="shared" si="220"/>
        <v>1</v>
      </c>
      <c r="BZ333" s="525" t="b">
        <f t="shared" si="220"/>
        <v>0</v>
      </c>
      <c r="CA333" s="525" t="b">
        <f t="shared" si="220"/>
        <v>0</v>
      </c>
      <c r="CB333" s="525" t="b">
        <f t="shared" si="220"/>
        <v>0</v>
      </c>
      <c r="CC333" s="525" t="b">
        <f t="shared" si="220"/>
        <v>0</v>
      </c>
      <c r="CD333" s="525" t="b">
        <f t="shared" si="220"/>
        <v>0</v>
      </c>
      <c r="CE333" s="525" t="b">
        <f t="shared" si="220"/>
        <v>0</v>
      </c>
      <c r="CF333" s="525" t="b">
        <f t="shared" si="220"/>
        <v>0</v>
      </c>
    </row>
    <row r="334" spans="1:84" ht="15" customHeight="1" x14ac:dyDescent="0.3">
      <c r="A334" s="765"/>
      <c r="C334" s="695"/>
      <c r="D334" s="696" t="str">
        <f>IF(INDEX(n.er,$AR333,11)="","",INDEX(n.er,$AR333,11))</f>
        <v>Franciaország</v>
      </c>
      <c r="E334" s="697" t="str">
        <f>IF(NOT($AS333),"",INDEX(n.er,$AR333,10))</f>
        <v/>
      </c>
      <c r="F334" s="696"/>
      <c r="G334" s="259"/>
      <c r="H334" s="667">
        <v>3</v>
      </c>
      <c r="I334" s="668">
        <v>2</v>
      </c>
      <c r="J334" s="668">
        <v>2</v>
      </c>
      <c r="K334" s="668">
        <v>3</v>
      </c>
      <c r="L334" s="668">
        <v>2</v>
      </c>
      <c r="M334" s="668">
        <v>1</v>
      </c>
      <c r="N334" s="668">
        <v>3</v>
      </c>
      <c r="O334" s="668">
        <v>2</v>
      </c>
      <c r="P334" s="668">
        <v>3</v>
      </c>
      <c r="Q334" s="668">
        <v>2</v>
      </c>
      <c r="R334" s="668">
        <v>3</v>
      </c>
      <c r="S334" s="668">
        <v>3</v>
      </c>
      <c r="T334" s="668">
        <v>3</v>
      </c>
      <c r="U334" s="668">
        <v>3</v>
      </c>
      <c r="V334" s="668">
        <v>3</v>
      </c>
      <c r="W334" s="668">
        <v>2</v>
      </c>
      <c r="X334" s="668">
        <v>2</v>
      </c>
      <c r="Y334" s="668">
        <v>4</v>
      </c>
      <c r="Z334" s="668">
        <v>2</v>
      </c>
      <c r="AA334" s="668">
        <v>4</v>
      </c>
      <c r="AB334" s="668">
        <v>3</v>
      </c>
      <c r="AC334" s="668">
        <v>3</v>
      </c>
      <c r="AD334" s="668">
        <v>3</v>
      </c>
      <c r="AE334" s="668"/>
      <c r="AF334" s="668"/>
      <c r="AG334" s="668"/>
      <c r="AH334" s="668"/>
      <c r="AI334" s="668"/>
      <c r="AJ334" s="668"/>
      <c r="AK334" s="669"/>
      <c r="AP334" s="533"/>
      <c r="AQ334" s="577"/>
      <c r="AR334" s="534"/>
      <c r="AS334" s="535"/>
      <c r="AX334" s="531"/>
      <c r="BC334" s="34" t="b">
        <f t="shared" ref="BC334:CF334" si="221">OR(NOT(H$13),NOT($AS333),NOT(BC333))</f>
        <v>1</v>
      </c>
      <c r="BD334" s="34" t="b">
        <f t="shared" si="221"/>
        <v>1</v>
      </c>
      <c r="BE334" s="34" t="b">
        <f t="shared" si="221"/>
        <v>1</v>
      </c>
      <c r="BF334" s="34" t="b">
        <f t="shared" si="221"/>
        <v>1</v>
      </c>
      <c r="BG334" s="34" t="b">
        <f t="shared" si="221"/>
        <v>1</v>
      </c>
      <c r="BH334" s="34" t="b">
        <f t="shared" si="221"/>
        <v>1</v>
      </c>
      <c r="BI334" s="34" t="b">
        <f t="shared" si="221"/>
        <v>1</v>
      </c>
      <c r="BJ334" s="34" t="b">
        <f t="shared" si="221"/>
        <v>1</v>
      </c>
      <c r="BK334" s="34" t="b">
        <f t="shared" si="221"/>
        <v>1</v>
      </c>
      <c r="BL334" s="34" t="b">
        <f t="shared" si="221"/>
        <v>1</v>
      </c>
      <c r="BM334" s="34" t="b">
        <f t="shared" si="221"/>
        <v>1</v>
      </c>
      <c r="BN334" s="34" t="b">
        <f t="shared" si="221"/>
        <v>1</v>
      </c>
      <c r="BO334" s="34" t="b">
        <f t="shared" si="221"/>
        <v>1</v>
      </c>
      <c r="BP334" s="34" t="b">
        <f t="shared" si="221"/>
        <v>1</v>
      </c>
      <c r="BQ334" s="34" t="b">
        <f t="shared" si="221"/>
        <v>1</v>
      </c>
      <c r="BR334" s="34" t="b">
        <f t="shared" si="221"/>
        <v>1</v>
      </c>
      <c r="BS334" s="34" t="b">
        <f t="shared" si="221"/>
        <v>1</v>
      </c>
      <c r="BT334" s="34" t="b">
        <f t="shared" si="221"/>
        <v>1</v>
      </c>
      <c r="BU334" s="34" t="b">
        <f t="shared" si="221"/>
        <v>1</v>
      </c>
      <c r="BV334" s="34" t="b">
        <f t="shared" si="221"/>
        <v>1</v>
      </c>
      <c r="BW334" s="34" t="b">
        <f t="shared" si="221"/>
        <v>1</v>
      </c>
      <c r="BX334" s="34" t="b">
        <f t="shared" si="221"/>
        <v>1</v>
      </c>
      <c r="BY334" s="34" t="b">
        <f t="shared" si="221"/>
        <v>1</v>
      </c>
      <c r="BZ334" s="34" t="b">
        <f t="shared" si="221"/>
        <v>1</v>
      </c>
      <c r="CA334" s="34" t="b">
        <f t="shared" si="221"/>
        <v>1</v>
      </c>
      <c r="CB334" s="34" t="b">
        <f t="shared" si="221"/>
        <v>1</v>
      </c>
      <c r="CC334" s="34" t="b">
        <f t="shared" si="221"/>
        <v>1</v>
      </c>
      <c r="CD334" s="34" t="b">
        <f t="shared" si="221"/>
        <v>1</v>
      </c>
      <c r="CE334" s="34" t="b">
        <f t="shared" si="221"/>
        <v>1</v>
      </c>
      <c r="CF334" s="34" t="b">
        <f t="shared" si="221"/>
        <v>1</v>
      </c>
    </row>
    <row r="335" spans="1:84" ht="12" customHeight="1" x14ac:dyDescent="0.3">
      <c r="A335" s="765"/>
      <c r="E335" s="258" t="str">
        <f>$AX$92</f>
        <v>Telitalálat: 10 p</v>
      </c>
      <c r="H335" s="670" t="str">
        <f t="shared" ref="H335:AK335" si="222">IF(OR(BC334,NOT($AS$20)),"",IF(AND(H333=$E333,H334=$E334),"ü",""))</f>
        <v/>
      </c>
      <c r="I335" s="671" t="str">
        <f t="shared" si="222"/>
        <v/>
      </c>
      <c r="J335" s="671" t="str">
        <f t="shared" si="222"/>
        <v/>
      </c>
      <c r="K335" s="671" t="str">
        <f t="shared" si="222"/>
        <v/>
      </c>
      <c r="L335" s="671" t="str">
        <f t="shared" si="222"/>
        <v/>
      </c>
      <c r="M335" s="671" t="str">
        <f t="shared" si="222"/>
        <v/>
      </c>
      <c r="N335" s="671" t="str">
        <f t="shared" si="222"/>
        <v/>
      </c>
      <c r="O335" s="671" t="str">
        <f t="shared" si="222"/>
        <v/>
      </c>
      <c r="P335" s="671" t="str">
        <f t="shared" si="222"/>
        <v/>
      </c>
      <c r="Q335" s="671" t="str">
        <f t="shared" si="222"/>
        <v/>
      </c>
      <c r="R335" s="671" t="str">
        <f t="shared" si="222"/>
        <v/>
      </c>
      <c r="S335" s="671" t="str">
        <f t="shared" si="222"/>
        <v/>
      </c>
      <c r="T335" s="671" t="str">
        <f t="shared" si="222"/>
        <v/>
      </c>
      <c r="U335" s="671" t="str">
        <f t="shared" si="222"/>
        <v/>
      </c>
      <c r="V335" s="671" t="str">
        <f t="shared" si="222"/>
        <v/>
      </c>
      <c r="W335" s="671" t="str">
        <f t="shared" si="222"/>
        <v/>
      </c>
      <c r="X335" s="671" t="str">
        <f t="shared" si="222"/>
        <v/>
      </c>
      <c r="Y335" s="671" t="str">
        <f t="shared" si="222"/>
        <v/>
      </c>
      <c r="Z335" s="671" t="str">
        <f t="shared" si="222"/>
        <v/>
      </c>
      <c r="AA335" s="671" t="str">
        <f t="shared" si="222"/>
        <v/>
      </c>
      <c r="AB335" s="671" t="str">
        <f t="shared" si="222"/>
        <v/>
      </c>
      <c r="AC335" s="671" t="str">
        <f t="shared" si="222"/>
        <v/>
      </c>
      <c r="AD335" s="671" t="str">
        <f t="shared" si="222"/>
        <v/>
      </c>
      <c r="AE335" s="671" t="str">
        <f t="shared" si="222"/>
        <v/>
      </c>
      <c r="AF335" s="671" t="str">
        <f t="shared" si="222"/>
        <v/>
      </c>
      <c r="AG335" s="671" t="str">
        <f t="shared" si="222"/>
        <v/>
      </c>
      <c r="AH335" s="671" t="str">
        <f t="shared" si="222"/>
        <v/>
      </c>
      <c r="AI335" s="671" t="str">
        <f t="shared" si="222"/>
        <v/>
      </c>
      <c r="AJ335" s="671" t="str">
        <f t="shared" si="222"/>
        <v/>
      </c>
      <c r="AK335" s="672" t="str">
        <f t="shared" si="222"/>
        <v/>
      </c>
      <c r="AL335" s="15"/>
      <c r="AM335" s="15"/>
      <c r="AP335" s="536"/>
      <c r="AR335" s="537"/>
      <c r="AS335" s="529"/>
      <c r="AW335" s="390" t="str">
        <f>""</f>
        <v/>
      </c>
      <c r="AX335" s="531"/>
      <c r="AY335" s="390" t="str">
        <f>""</f>
        <v/>
      </c>
      <c r="BD335" s="520"/>
      <c r="BE335" s="520"/>
      <c r="BF335" s="520"/>
      <c r="BG335" s="520"/>
      <c r="BH335" s="520"/>
      <c r="BI335" s="520"/>
      <c r="BJ335" s="520"/>
      <c r="BK335" s="520"/>
      <c r="BL335" s="520"/>
      <c r="BM335" s="520"/>
      <c r="BN335" s="520"/>
      <c r="BO335" s="520"/>
      <c r="BP335" s="520"/>
      <c r="BQ335" s="520"/>
      <c r="BR335" s="520"/>
      <c r="BS335" s="520"/>
      <c r="BT335" s="520"/>
      <c r="BU335" s="520"/>
      <c r="BV335" s="520"/>
      <c r="BW335" s="520"/>
      <c r="BX335" s="520"/>
      <c r="BY335" s="520"/>
    </row>
    <row r="336" spans="1:84" ht="12" customHeight="1" x14ac:dyDescent="0.3">
      <c r="A336" s="765"/>
      <c r="E336" s="258" t="str">
        <f>$AX$93</f>
        <v>Gólkülönbség: 6 p</v>
      </c>
      <c r="H336" s="673" t="str">
        <f t="shared" ref="H336:AK336" si="223">IF(OR(BC334,NOT($AS$22)),"",IF(AND(NOT($AS$32),H335="ü"),"",IF(H333-H334=$E333-$E334,"ü"," ")))</f>
        <v/>
      </c>
      <c r="I336" s="674" t="str">
        <f t="shared" si="223"/>
        <v/>
      </c>
      <c r="J336" s="674" t="str">
        <f t="shared" si="223"/>
        <v/>
      </c>
      <c r="K336" s="674" t="str">
        <f t="shared" si="223"/>
        <v/>
      </c>
      <c r="L336" s="674" t="str">
        <f t="shared" si="223"/>
        <v/>
      </c>
      <c r="M336" s="674" t="str">
        <f t="shared" si="223"/>
        <v/>
      </c>
      <c r="N336" s="674" t="str">
        <f t="shared" si="223"/>
        <v/>
      </c>
      <c r="O336" s="674" t="str">
        <f t="shared" si="223"/>
        <v/>
      </c>
      <c r="P336" s="674" t="str">
        <f t="shared" si="223"/>
        <v/>
      </c>
      <c r="Q336" s="674" t="str">
        <f t="shared" si="223"/>
        <v/>
      </c>
      <c r="R336" s="674" t="str">
        <f t="shared" si="223"/>
        <v/>
      </c>
      <c r="S336" s="674" t="str">
        <f t="shared" si="223"/>
        <v/>
      </c>
      <c r="T336" s="674" t="str">
        <f t="shared" si="223"/>
        <v/>
      </c>
      <c r="U336" s="674" t="str">
        <f t="shared" si="223"/>
        <v/>
      </c>
      <c r="V336" s="674" t="str">
        <f t="shared" si="223"/>
        <v/>
      </c>
      <c r="W336" s="674" t="str">
        <f t="shared" si="223"/>
        <v/>
      </c>
      <c r="X336" s="674" t="str">
        <f t="shared" si="223"/>
        <v/>
      </c>
      <c r="Y336" s="674" t="str">
        <f t="shared" si="223"/>
        <v/>
      </c>
      <c r="Z336" s="674" t="str">
        <f t="shared" si="223"/>
        <v/>
      </c>
      <c r="AA336" s="674" t="str">
        <f t="shared" si="223"/>
        <v/>
      </c>
      <c r="AB336" s="674" t="str">
        <f t="shared" si="223"/>
        <v/>
      </c>
      <c r="AC336" s="674" t="str">
        <f t="shared" si="223"/>
        <v/>
      </c>
      <c r="AD336" s="674" t="str">
        <f t="shared" si="223"/>
        <v/>
      </c>
      <c r="AE336" s="674" t="str">
        <f t="shared" si="223"/>
        <v/>
      </c>
      <c r="AF336" s="674" t="str">
        <f t="shared" si="223"/>
        <v/>
      </c>
      <c r="AG336" s="674" t="str">
        <f t="shared" si="223"/>
        <v/>
      </c>
      <c r="AH336" s="674" t="str">
        <f t="shared" si="223"/>
        <v/>
      </c>
      <c r="AI336" s="674" t="str">
        <f t="shared" si="223"/>
        <v/>
      </c>
      <c r="AJ336" s="674" t="str">
        <f t="shared" si="223"/>
        <v/>
      </c>
      <c r="AK336" s="675" t="str">
        <f t="shared" si="223"/>
        <v/>
      </c>
      <c r="AL336" s="15"/>
      <c r="AM336" s="15"/>
      <c r="AP336" s="536"/>
      <c r="AR336" s="537"/>
      <c r="AS336" s="529"/>
      <c r="AW336" s="390" t="str">
        <f>""</f>
        <v/>
      </c>
      <c r="AX336" s="531"/>
      <c r="AY336" s="390" t="str">
        <f>""</f>
        <v/>
      </c>
      <c r="BD336" s="520"/>
      <c r="BE336" s="520"/>
      <c r="BF336" s="520"/>
      <c r="BG336" s="520"/>
      <c r="BH336" s="520"/>
      <c r="BI336" s="520"/>
      <c r="BJ336" s="520"/>
      <c r="BK336" s="520"/>
      <c r="BL336" s="520"/>
      <c r="BM336" s="520"/>
      <c r="BN336" s="520"/>
      <c r="BO336" s="520"/>
      <c r="BP336" s="520"/>
      <c r="BQ336" s="520"/>
      <c r="BR336" s="520"/>
      <c r="BS336" s="520"/>
      <c r="BT336" s="520"/>
      <c r="BU336" s="520"/>
      <c r="BV336" s="520"/>
      <c r="BW336" s="520"/>
      <c r="BX336" s="520"/>
      <c r="BY336" s="520"/>
    </row>
    <row r="337" spans="1:84" ht="12" customHeight="1" x14ac:dyDescent="0.3">
      <c r="A337" s="765"/>
      <c r="E337" s="258" t="str">
        <f>$AX$94</f>
        <v>Mérkőzés kimenetele: 4 p</v>
      </c>
      <c r="H337" s="673" t="str">
        <f t="shared" ref="H337:AK337" si="224">IF(OR(BC334,NOT($AS$24)),"",IF(AND(NOT($AS$32),COUNTIF(H335:H336,"ü")&gt;0),"",IF(SIGN(H333-H334)=SIGN($E333-$E334),"ü"," ")))</f>
        <v/>
      </c>
      <c r="I337" s="674" t="str">
        <f t="shared" si="224"/>
        <v/>
      </c>
      <c r="J337" s="674" t="str">
        <f t="shared" si="224"/>
        <v/>
      </c>
      <c r="K337" s="674" t="str">
        <f t="shared" si="224"/>
        <v/>
      </c>
      <c r="L337" s="674" t="str">
        <f t="shared" si="224"/>
        <v/>
      </c>
      <c r="M337" s="674" t="str">
        <f t="shared" si="224"/>
        <v/>
      </c>
      <c r="N337" s="674" t="str">
        <f t="shared" si="224"/>
        <v/>
      </c>
      <c r="O337" s="674" t="str">
        <f t="shared" si="224"/>
        <v/>
      </c>
      <c r="P337" s="674" t="str">
        <f t="shared" si="224"/>
        <v/>
      </c>
      <c r="Q337" s="674" t="str">
        <f t="shared" si="224"/>
        <v/>
      </c>
      <c r="R337" s="674" t="str">
        <f t="shared" si="224"/>
        <v/>
      </c>
      <c r="S337" s="674" t="str">
        <f t="shared" si="224"/>
        <v/>
      </c>
      <c r="T337" s="674" t="str">
        <f t="shared" si="224"/>
        <v/>
      </c>
      <c r="U337" s="674" t="str">
        <f t="shared" si="224"/>
        <v/>
      </c>
      <c r="V337" s="674" t="str">
        <f t="shared" si="224"/>
        <v/>
      </c>
      <c r="W337" s="674" t="str">
        <f t="shared" si="224"/>
        <v/>
      </c>
      <c r="X337" s="674" t="str">
        <f t="shared" si="224"/>
        <v/>
      </c>
      <c r="Y337" s="674" t="str">
        <f t="shared" si="224"/>
        <v/>
      </c>
      <c r="Z337" s="674" t="str">
        <f t="shared" si="224"/>
        <v/>
      </c>
      <c r="AA337" s="674" t="str">
        <f t="shared" si="224"/>
        <v/>
      </c>
      <c r="AB337" s="674" t="str">
        <f t="shared" si="224"/>
        <v/>
      </c>
      <c r="AC337" s="674" t="str">
        <f t="shared" si="224"/>
        <v/>
      </c>
      <c r="AD337" s="674" t="str">
        <f t="shared" si="224"/>
        <v/>
      </c>
      <c r="AE337" s="674" t="str">
        <f t="shared" si="224"/>
        <v/>
      </c>
      <c r="AF337" s="674" t="str">
        <f t="shared" si="224"/>
        <v/>
      </c>
      <c r="AG337" s="674" t="str">
        <f t="shared" si="224"/>
        <v/>
      </c>
      <c r="AH337" s="674" t="str">
        <f t="shared" si="224"/>
        <v/>
      </c>
      <c r="AI337" s="674" t="str">
        <f t="shared" si="224"/>
        <v/>
      </c>
      <c r="AJ337" s="674" t="str">
        <f t="shared" si="224"/>
        <v/>
      </c>
      <c r="AK337" s="675" t="str">
        <f t="shared" si="224"/>
        <v/>
      </c>
      <c r="AL337" s="15"/>
      <c r="AM337" s="15"/>
      <c r="AP337" s="536"/>
      <c r="AR337" s="537"/>
      <c r="AS337" s="529"/>
      <c r="AW337" s="390" t="str">
        <f>""</f>
        <v/>
      </c>
      <c r="AX337" s="531"/>
      <c r="AY337" s="390" t="str">
        <f>""</f>
        <v/>
      </c>
      <c r="BD337" s="520"/>
      <c r="BE337" s="520"/>
      <c r="BF337" s="520"/>
      <c r="BG337" s="520"/>
      <c r="BH337" s="520"/>
      <c r="BI337" s="520"/>
      <c r="BJ337" s="520"/>
      <c r="BK337" s="520"/>
      <c r="BL337" s="520"/>
      <c r="BM337" s="520"/>
      <c r="BN337" s="520"/>
      <c r="BO337" s="520"/>
      <c r="BP337" s="520"/>
      <c r="BQ337" s="520"/>
      <c r="BR337" s="520"/>
      <c r="BS337" s="520"/>
      <c r="BT337" s="520"/>
      <c r="BU337" s="520"/>
      <c r="BV337" s="520"/>
      <c r="BW337" s="520"/>
      <c r="BX337" s="520"/>
      <c r="BY337" s="520"/>
    </row>
    <row r="338" spans="1:84" ht="12" customHeight="1" x14ac:dyDescent="0.3">
      <c r="A338" s="765"/>
      <c r="E338" s="258" t="str">
        <f>$AX$95</f>
        <v>Egyik csapat góljainak száma: 3 p</v>
      </c>
      <c r="H338" s="673" t="str">
        <f t="shared" ref="H338:AK338" si="225">IF(OR(BC334,NOT($AS$26)),"",IF(AND(NOT($AS$32),COUNTIF(H335:H337,"ü")&gt;0),"",IF(OR(H333=$E333,H334=$E334),"ü"," ")))</f>
        <v/>
      </c>
      <c r="I338" s="674" t="str">
        <f t="shared" si="225"/>
        <v/>
      </c>
      <c r="J338" s="674" t="str">
        <f t="shared" si="225"/>
        <v/>
      </c>
      <c r="K338" s="674" t="str">
        <f t="shared" si="225"/>
        <v/>
      </c>
      <c r="L338" s="674" t="str">
        <f t="shared" si="225"/>
        <v/>
      </c>
      <c r="M338" s="674" t="str">
        <f t="shared" si="225"/>
        <v/>
      </c>
      <c r="N338" s="674" t="str">
        <f t="shared" si="225"/>
        <v/>
      </c>
      <c r="O338" s="674" t="str">
        <f t="shared" si="225"/>
        <v/>
      </c>
      <c r="P338" s="674" t="str">
        <f t="shared" si="225"/>
        <v/>
      </c>
      <c r="Q338" s="674" t="str">
        <f t="shared" si="225"/>
        <v/>
      </c>
      <c r="R338" s="674" t="str">
        <f t="shared" si="225"/>
        <v/>
      </c>
      <c r="S338" s="674" t="str">
        <f t="shared" si="225"/>
        <v/>
      </c>
      <c r="T338" s="674" t="str">
        <f t="shared" si="225"/>
        <v/>
      </c>
      <c r="U338" s="674" t="str">
        <f t="shared" si="225"/>
        <v/>
      </c>
      <c r="V338" s="674" t="str">
        <f t="shared" si="225"/>
        <v/>
      </c>
      <c r="W338" s="674" t="str">
        <f t="shared" si="225"/>
        <v/>
      </c>
      <c r="X338" s="674" t="str">
        <f t="shared" si="225"/>
        <v/>
      </c>
      <c r="Y338" s="674" t="str">
        <f t="shared" si="225"/>
        <v/>
      </c>
      <c r="Z338" s="674" t="str">
        <f t="shared" si="225"/>
        <v/>
      </c>
      <c r="AA338" s="674" t="str">
        <f t="shared" si="225"/>
        <v/>
      </c>
      <c r="AB338" s="674" t="str">
        <f t="shared" si="225"/>
        <v/>
      </c>
      <c r="AC338" s="674" t="str">
        <f t="shared" si="225"/>
        <v/>
      </c>
      <c r="AD338" s="674" t="str">
        <f t="shared" si="225"/>
        <v/>
      </c>
      <c r="AE338" s="674" t="str">
        <f t="shared" si="225"/>
        <v/>
      </c>
      <c r="AF338" s="674" t="str">
        <f t="shared" si="225"/>
        <v/>
      </c>
      <c r="AG338" s="674" t="str">
        <f t="shared" si="225"/>
        <v/>
      </c>
      <c r="AH338" s="674" t="str">
        <f t="shared" si="225"/>
        <v/>
      </c>
      <c r="AI338" s="674" t="str">
        <f t="shared" si="225"/>
        <v/>
      </c>
      <c r="AJ338" s="674" t="str">
        <f t="shared" si="225"/>
        <v/>
      </c>
      <c r="AK338" s="675" t="str">
        <f t="shared" si="225"/>
        <v/>
      </c>
      <c r="AL338" s="15"/>
      <c r="AM338" s="15"/>
      <c r="AP338" s="536"/>
      <c r="AR338" s="537"/>
      <c r="AS338" s="529"/>
      <c r="AW338" s="390" t="str">
        <f>""</f>
        <v/>
      </c>
      <c r="AX338" s="531"/>
      <c r="AY338" s="390" t="str">
        <f>""</f>
        <v/>
      </c>
      <c r="BD338" s="520"/>
      <c r="BE338" s="520"/>
      <c r="BF338" s="520"/>
      <c r="BG338" s="520"/>
      <c r="BH338" s="520"/>
      <c r="BI338" s="520"/>
      <c r="BJ338" s="520"/>
      <c r="BK338" s="520"/>
      <c r="BL338" s="520"/>
      <c r="BM338" s="520"/>
      <c r="BN338" s="520"/>
      <c r="BO338" s="520"/>
      <c r="BP338" s="520"/>
      <c r="BQ338" s="520"/>
      <c r="BR338" s="520"/>
      <c r="BS338" s="520"/>
      <c r="BT338" s="520"/>
      <c r="BU338" s="520"/>
      <c r="BV338" s="520"/>
      <c r="BW338" s="520"/>
      <c r="BX338" s="520"/>
      <c r="BY338" s="520"/>
    </row>
    <row r="339" spans="1:84" ht="12" customHeight="1" x14ac:dyDescent="0.3">
      <c r="A339" s="765"/>
      <c r="E339" s="258" t="str">
        <f>$AX$96</f>
        <v>Összes gól: 2 p</v>
      </c>
      <c r="H339" s="673" t="str">
        <f t="shared" ref="H339:AK339" si="226">IF(OR(BC334,NOT($AS$28)),"",IF(AND(NOT($AS$32),COUNTIF(H335:H338,"ü")&gt;0),"",IF(H333+H334=$E333+$E334,"ü"," ")))</f>
        <v/>
      </c>
      <c r="I339" s="674" t="str">
        <f t="shared" si="226"/>
        <v/>
      </c>
      <c r="J339" s="674" t="str">
        <f t="shared" si="226"/>
        <v/>
      </c>
      <c r="K339" s="674" t="str">
        <f t="shared" si="226"/>
        <v/>
      </c>
      <c r="L339" s="674" t="str">
        <f t="shared" si="226"/>
        <v/>
      </c>
      <c r="M339" s="674" t="str">
        <f t="shared" si="226"/>
        <v/>
      </c>
      <c r="N339" s="674" t="str">
        <f t="shared" si="226"/>
        <v/>
      </c>
      <c r="O339" s="674" t="str">
        <f t="shared" si="226"/>
        <v/>
      </c>
      <c r="P339" s="674" t="str">
        <f t="shared" si="226"/>
        <v/>
      </c>
      <c r="Q339" s="674" t="str">
        <f t="shared" si="226"/>
        <v/>
      </c>
      <c r="R339" s="674" t="str">
        <f t="shared" si="226"/>
        <v/>
      </c>
      <c r="S339" s="674" t="str">
        <f t="shared" si="226"/>
        <v/>
      </c>
      <c r="T339" s="674" t="str">
        <f t="shared" si="226"/>
        <v/>
      </c>
      <c r="U339" s="674" t="str">
        <f t="shared" si="226"/>
        <v/>
      </c>
      <c r="V339" s="674" t="str">
        <f t="shared" si="226"/>
        <v/>
      </c>
      <c r="W339" s="674" t="str">
        <f t="shared" si="226"/>
        <v/>
      </c>
      <c r="X339" s="674" t="str">
        <f t="shared" si="226"/>
        <v/>
      </c>
      <c r="Y339" s="674" t="str">
        <f t="shared" si="226"/>
        <v/>
      </c>
      <c r="Z339" s="674" t="str">
        <f t="shared" si="226"/>
        <v/>
      </c>
      <c r="AA339" s="674" t="str">
        <f t="shared" si="226"/>
        <v/>
      </c>
      <c r="AB339" s="674" t="str">
        <f t="shared" si="226"/>
        <v/>
      </c>
      <c r="AC339" s="674" t="str">
        <f t="shared" si="226"/>
        <v/>
      </c>
      <c r="AD339" s="674" t="str">
        <f t="shared" si="226"/>
        <v/>
      </c>
      <c r="AE339" s="674" t="str">
        <f t="shared" si="226"/>
        <v/>
      </c>
      <c r="AF339" s="674" t="str">
        <f t="shared" si="226"/>
        <v/>
      </c>
      <c r="AG339" s="674" t="str">
        <f t="shared" si="226"/>
        <v/>
      </c>
      <c r="AH339" s="674" t="str">
        <f t="shared" si="226"/>
        <v/>
      </c>
      <c r="AI339" s="674" t="str">
        <f t="shared" si="226"/>
        <v/>
      </c>
      <c r="AJ339" s="674" t="str">
        <f t="shared" si="226"/>
        <v/>
      </c>
      <c r="AK339" s="675" t="str">
        <f t="shared" si="226"/>
        <v/>
      </c>
      <c r="AL339" s="15"/>
      <c r="AM339" s="15"/>
      <c r="AP339" s="536"/>
      <c r="AR339" s="537"/>
      <c r="AS339" s="529"/>
      <c r="AW339" s="390" t="str">
        <f>""</f>
        <v/>
      </c>
      <c r="AX339" s="531"/>
      <c r="AY339" s="390" t="str">
        <f>""</f>
        <v/>
      </c>
      <c r="BD339" s="520"/>
      <c r="BE339" s="520"/>
      <c r="BF339" s="520"/>
      <c r="BG339" s="520"/>
      <c r="BH339" s="520"/>
      <c r="BI339" s="520"/>
      <c r="BJ339" s="520"/>
      <c r="BK339" s="520"/>
      <c r="BL339" s="520"/>
      <c r="BM339" s="520"/>
      <c r="BN339" s="520"/>
      <c r="BO339" s="520"/>
      <c r="BP339" s="520"/>
      <c r="BQ339" s="520"/>
      <c r="BR339" s="520"/>
      <c r="BS339" s="520"/>
      <c r="BT339" s="520"/>
      <c r="BU339" s="520"/>
      <c r="BV339" s="520"/>
      <c r="BW339" s="520"/>
      <c r="BX339" s="520"/>
      <c r="BY339" s="520"/>
    </row>
    <row r="340" spans="1:84" ht="12" customHeight="1" x14ac:dyDescent="0.3">
      <c r="A340" s="765"/>
      <c r="E340" s="258" t="str">
        <f>$AX$97</f>
        <v>Fordított gólkülönbség: 1 p</v>
      </c>
      <c r="H340" s="676" t="str">
        <f t="shared" ref="H340:AK340" si="227">IF(OR(BC334,NOT($AS$30)),"",IF(AND(NOT($AS$32),COUNTIF(H335:H339,"ü")&gt;0),"",IF(AND(H333-H334=$E334-$E333,H333&lt;&gt;H334),"ü"," ")))</f>
        <v/>
      </c>
      <c r="I340" s="677" t="str">
        <f t="shared" si="227"/>
        <v/>
      </c>
      <c r="J340" s="677" t="str">
        <f t="shared" si="227"/>
        <v/>
      </c>
      <c r="K340" s="677" t="str">
        <f t="shared" si="227"/>
        <v/>
      </c>
      <c r="L340" s="677" t="str">
        <f t="shared" si="227"/>
        <v/>
      </c>
      <c r="M340" s="677" t="str">
        <f t="shared" si="227"/>
        <v/>
      </c>
      <c r="N340" s="677" t="str">
        <f t="shared" si="227"/>
        <v/>
      </c>
      <c r="O340" s="677" t="str">
        <f t="shared" si="227"/>
        <v/>
      </c>
      <c r="P340" s="677" t="str">
        <f t="shared" si="227"/>
        <v/>
      </c>
      <c r="Q340" s="677" t="str">
        <f t="shared" si="227"/>
        <v/>
      </c>
      <c r="R340" s="677" t="str">
        <f t="shared" si="227"/>
        <v/>
      </c>
      <c r="S340" s="677" t="str">
        <f t="shared" si="227"/>
        <v/>
      </c>
      <c r="T340" s="677" t="str">
        <f t="shared" si="227"/>
        <v/>
      </c>
      <c r="U340" s="677" t="str">
        <f t="shared" si="227"/>
        <v/>
      </c>
      <c r="V340" s="677" t="str">
        <f t="shared" si="227"/>
        <v/>
      </c>
      <c r="W340" s="677" t="str">
        <f t="shared" si="227"/>
        <v/>
      </c>
      <c r="X340" s="677" t="str">
        <f t="shared" si="227"/>
        <v/>
      </c>
      <c r="Y340" s="677" t="str">
        <f t="shared" si="227"/>
        <v/>
      </c>
      <c r="Z340" s="677" t="str">
        <f t="shared" si="227"/>
        <v/>
      </c>
      <c r="AA340" s="677" t="str">
        <f t="shared" si="227"/>
        <v/>
      </c>
      <c r="AB340" s="677" t="str">
        <f t="shared" si="227"/>
        <v/>
      </c>
      <c r="AC340" s="677" t="str">
        <f t="shared" si="227"/>
        <v/>
      </c>
      <c r="AD340" s="677" t="str">
        <f t="shared" si="227"/>
        <v/>
      </c>
      <c r="AE340" s="677" t="str">
        <f t="shared" si="227"/>
        <v/>
      </c>
      <c r="AF340" s="677" t="str">
        <f t="shared" si="227"/>
        <v/>
      </c>
      <c r="AG340" s="677" t="str">
        <f t="shared" si="227"/>
        <v/>
      </c>
      <c r="AH340" s="677" t="str">
        <f t="shared" si="227"/>
        <v/>
      </c>
      <c r="AI340" s="677" t="str">
        <f t="shared" si="227"/>
        <v/>
      </c>
      <c r="AJ340" s="677" t="str">
        <f t="shared" si="227"/>
        <v/>
      </c>
      <c r="AK340" s="678" t="str">
        <f t="shared" si="227"/>
        <v/>
      </c>
      <c r="AL340" s="15"/>
      <c r="AM340" s="15"/>
      <c r="AP340" s="536"/>
      <c r="AR340" s="537"/>
      <c r="AS340" s="529"/>
      <c r="AW340" s="390" t="str">
        <f>""</f>
        <v/>
      </c>
      <c r="AX340" s="531"/>
      <c r="AY340" s="390" t="str">
        <f>""</f>
        <v/>
      </c>
      <c r="BD340" s="520"/>
      <c r="BE340" s="520"/>
      <c r="BF340" s="520"/>
      <c r="BG340" s="520"/>
      <c r="BH340" s="520"/>
      <c r="BI340" s="520"/>
      <c r="BJ340" s="520"/>
      <c r="BK340" s="520"/>
      <c r="BL340" s="520"/>
      <c r="BM340" s="520"/>
      <c r="BN340" s="520"/>
      <c r="BO340" s="520"/>
      <c r="BP340" s="520"/>
      <c r="BQ340" s="520"/>
      <c r="BR340" s="520"/>
      <c r="BS340" s="520"/>
      <c r="BT340" s="520"/>
      <c r="BU340" s="520"/>
      <c r="BV340" s="520"/>
      <c r="BW340" s="520"/>
      <c r="BX340" s="520"/>
      <c r="BY340" s="520"/>
    </row>
    <row r="341" spans="1:84" ht="15" customHeight="1" x14ac:dyDescent="0.3">
      <c r="A341" s="765"/>
      <c r="E341" s="79" t="s">
        <v>799</v>
      </c>
      <c r="H341" s="679">
        <f t="shared" ref="H341:AK341" si="228">IF(NOT(H$13),"",SUMPRODUCT((H335:H340="ü")*($AW$92:$AW$97)))</f>
        <v>0</v>
      </c>
      <c r="I341" s="680">
        <f t="shared" si="228"/>
        <v>0</v>
      </c>
      <c r="J341" s="680">
        <f t="shared" si="228"/>
        <v>0</v>
      </c>
      <c r="K341" s="680">
        <f t="shared" si="228"/>
        <v>0</v>
      </c>
      <c r="L341" s="680">
        <f t="shared" si="228"/>
        <v>0</v>
      </c>
      <c r="M341" s="680">
        <f t="shared" si="228"/>
        <v>0</v>
      </c>
      <c r="N341" s="680">
        <f t="shared" si="228"/>
        <v>0</v>
      </c>
      <c r="O341" s="680">
        <f t="shared" si="228"/>
        <v>0</v>
      </c>
      <c r="P341" s="680">
        <f t="shared" si="228"/>
        <v>0</v>
      </c>
      <c r="Q341" s="680">
        <f t="shared" si="228"/>
        <v>0</v>
      </c>
      <c r="R341" s="680">
        <f t="shared" si="228"/>
        <v>0</v>
      </c>
      <c r="S341" s="680">
        <f t="shared" si="228"/>
        <v>0</v>
      </c>
      <c r="T341" s="680">
        <f t="shared" si="228"/>
        <v>0</v>
      </c>
      <c r="U341" s="680">
        <f t="shared" si="228"/>
        <v>0</v>
      </c>
      <c r="V341" s="680">
        <f t="shared" si="228"/>
        <v>0</v>
      </c>
      <c r="W341" s="680">
        <f t="shared" si="228"/>
        <v>0</v>
      </c>
      <c r="X341" s="680">
        <f t="shared" si="228"/>
        <v>0</v>
      </c>
      <c r="Y341" s="680">
        <f t="shared" si="228"/>
        <v>0</v>
      </c>
      <c r="Z341" s="680">
        <f t="shared" si="228"/>
        <v>0</v>
      </c>
      <c r="AA341" s="680">
        <f t="shared" si="228"/>
        <v>0</v>
      </c>
      <c r="AB341" s="680">
        <f t="shared" si="228"/>
        <v>0</v>
      </c>
      <c r="AC341" s="680">
        <f t="shared" si="228"/>
        <v>0</v>
      </c>
      <c r="AD341" s="680">
        <f t="shared" si="228"/>
        <v>0</v>
      </c>
      <c r="AE341" s="680" t="str">
        <f t="shared" si="228"/>
        <v/>
      </c>
      <c r="AF341" s="680" t="str">
        <f t="shared" si="228"/>
        <v/>
      </c>
      <c r="AG341" s="680" t="str">
        <f t="shared" si="228"/>
        <v/>
      </c>
      <c r="AH341" s="680" t="str">
        <f t="shared" si="228"/>
        <v/>
      </c>
      <c r="AI341" s="680" t="str">
        <f t="shared" si="228"/>
        <v/>
      </c>
      <c r="AJ341" s="680" t="str">
        <f t="shared" si="228"/>
        <v/>
      </c>
      <c r="AK341" s="681" t="str">
        <f t="shared" si="228"/>
        <v/>
      </c>
      <c r="AP341" s="536"/>
      <c r="AR341" s="537"/>
      <c r="AS341" s="529"/>
    </row>
    <row r="342" spans="1:84" ht="9" customHeight="1" x14ac:dyDescent="0.3">
      <c r="A342" s="765"/>
      <c r="D342" s="15"/>
      <c r="E342" s="15"/>
      <c r="F342" s="15"/>
      <c r="G342" s="15"/>
      <c r="H342" s="15"/>
      <c r="I342" s="16"/>
      <c r="J342" s="15"/>
      <c r="K342" s="15"/>
      <c r="L342" s="16"/>
      <c r="M342" s="15"/>
      <c r="N342" s="15"/>
      <c r="O342" s="16"/>
      <c r="P342" s="15"/>
      <c r="Q342" s="15"/>
      <c r="R342" s="16"/>
      <c r="S342" s="15"/>
      <c r="T342" s="15"/>
      <c r="U342" s="16"/>
      <c r="V342" s="15"/>
      <c r="W342" s="15"/>
      <c r="X342" s="16"/>
      <c r="Y342" s="15"/>
      <c r="Z342" s="15"/>
      <c r="AA342" s="16"/>
      <c r="AB342" s="15"/>
      <c r="AC342" s="15"/>
      <c r="AD342" s="16"/>
      <c r="AE342" s="15"/>
      <c r="AF342" s="15"/>
      <c r="AG342" s="16"/>
      <c r="AH342" s="15"/>
      <c r="AI342" s="15"/>
      <c r="AJ342" s="16"/>
      <c r="AK342" s="15"/>
      <c r="AP342" s="536"/>
      <c r="AR342" s="537"/>
      <c r="AS342" s="529"/>
    </row>
    <row r="343" spans="1:84" ht="15" customHeight="1" x14ac:dyDescent="0.3">
      <c r="A343" s="765"/>
      <c r="C343" s="27" t="str">
        <f>" "&amp;VLOOKUP(AQ344,schedule,18,FALSE)&amp;"  ("&amp;VLOOKUP(AQ344,schedule,3,FALSE)&amp;" CSOPORT)"</f>
        <v xml:space="preserve"> JÚNIUS 19. – SZOMBAT 18:00  (F CSOPORT)</v>
      </c>
      <c r="D343" s="27"/>
      <c r="E343" s="26"/>
      <c r="F343" s="26"/>
      <c r="G343" s="26"/>
      <c r="H343" s="26"/>
      <c r="I343" s="26"/>
      <c r="J343" s="26"/>
      <c r="AP343" s="536"/>
      <c r="AR343" s="537"/>
      <c r="AS343" s="529"/>
    </row>
    <row r="344" spans="1:84" ht="15" customHeight="1" x14ac:dyDescent="0.3">
      <c r="A344" s="765"/>
      <c r="C344" s="661"/>
      <c r="D344" s="662" t="str">
        <f>IF(INDEX(n.er,$AR344,8)="","",INDEX(n.er,$AR344,8))</f>
        <v>Portugália</v>
      </c>
      <c r="E344" s="663" t="str">
        <f>IF(NOT($AS344),"",INDEX(n.er,$AR344,9))</f>
        <v/>
      </c>
      <c r="F344" s="662"/>
      <c r="G344" s="259"/>
      <c r="H344" s="664">
        <v>1</v>
      </c>
      <c r="I344" s="665">
        <v>1</v>
      </c>
      <c r="J344" s="665">
        <v>1</v>
      </c>
      <c r="K344" s="665">
        <v>2</v>
      </c>
      <c r="L344" s="665">
        <v>2</v>
      </c>
      <c r="M344" s="665">
        <v>2</v>
      </c>
      <c r="N344" s="665">
        <v>2</v>
      </c>
      <c r="O344" s="665">
        <v>2</v>
      </c>
      <c r="P344" s="665">
        <v>2</v>
      </c>
      <c r="Q344" s="665">
        <v>1</v>
      </c>
      <c r="R344" s="665">
        <v>1</v>
      </c>
      <c r="S344" s="665">
        <v>1</v>
      </c>
      <c r="T344" s="665">
        <v>2</v>
      </c>
      <c r="U344" s="665">
        <v>2</v>
      </c>
      <c r="V344" s="665">
        <v>1</v>
      </c>
      <c r="W344" s="665">
        <v>1</v>
      </c>
      <c r="X344" s="665">
        <v>2</v>
      </c>
      <c r="Y344" s="665">
        <v>1</v>
      </c>
      <c r="Z344" s="665">
        <v>3</v>
      </c>
      <c r="AA344" s="665">
        <v>1</v>
      </c>
      <c r="AB344" s="665">
        <v>1</v>
      </c>
      <c r="AC344" s="665">
        <v>2</v>
      </c>
      <c r="AD344" s="665">
        <v>2</v>
      </c>
      <c r="AE344" s="665"/>
      <c r="AF344" s="665"/>
      <c r="AG344" s="665"/>
      <c r="AH344" s="665"/>
      <c r="AI344" s="665"/>
      <c r="AJ344" s="665"/>
      <c r="AK344" s="666"/>
      <c r="AP344" s="52">
        <f>AP333+1</f>
        <v>23</v>
      </c>
      <c r="AQ344" s="311">
        <f>INDEX(schedule,AP344,1)</f>
        <v>23</v>
      </c>
      <c r="AR344" s="311">
        <f>MATCH(AQ344,n.er.index,0)</f>
        <v>55</v>
      </c>
      <c r="AS344" s="532" t="b">
        <f>INDEX(n.er,$AR344,3)</f>
        <v>0</v>
      </c>
      <c r="AT344" s="531"/>
      <c r="AU344" s="531"/>
      <c r="AV344" s="531"/>
      <c r="AW344" s="531"/>
      <c r="AX344" s="531"/>
      <c r="BC344" s="525" t="b">
        <f t="shared" ref="BC344:CF344" si="229">IF(AND(ISNUMBER(H344),ISNUMBER(H345),H344&lt;&gt;"",H345&lt;&gt;""),AND(H344&gt;=0,H345&gt;=0,MOD(H344+H345,1)=0),FALSE)</f>
        <v>1</v>
      </c>
      <c r="BD344" s="525" t="b">
        <f t="shared" si="229"/>
        <v>1</v>
      </c>
      <c r="BE344" s="525" t="b">
        <f t="shared" si="229"/>
        <v>1</v>
      </c>
      <c r="BF344" s="525" t="b">
        <f t="shared" si="229"/>
        <v>1</v>
      </c>
      <c r="BG344" s="525" t="b">
        <f t="shared" si="229"/>
        <v>1</v>
      </c>
      <c r="BH344" s="525" t="b">
        <f t="shared" si="229"/>
        <v>1</v>
      </c>
      <c r="BI344" s="525" t="b">
        <f t="shared" si="229"/>
        <v>1</v>
      </c>
      <c r="BJ344" s="525" t="b">
        <f t="shared" si="229"/>
        <v>1</v>
      </c>
      <c r="BK344" s="525" t="b">
        <f t="shared" si="229"/>
        <v>1</v>
      </c>
      <c r="BL344" s="525" t="b">
        <f t="shared" si="229"/>
        <v>1</v>
      </c>
      <c r="BM344" s="525" t="b">
        <f t="shared" si="229"/>
        <v>1</v>
      </c>
      <c r="BN344" s="525" t="b">
        <f t="shared" si="229"/>
        <v>1</v>
      </c>
      <c r="BO344" s="525" t="b">
        <f t="shared" si="229"/>
        <v>1</v>
      </c>
      <c r="BP344" s="525" t="b">
        <f t="shared" si="229"/>
        <v>1</v>
      </c>
      <c r="BQ344" s="525" t="b">
        <f t="shared" si="229"/>
        <v>1</v>
      </c>
      <c r="BR344" s="525" t="b">
        <f t="shared" si="229"/>
        <v>1</v>
      </c>
      <c r="BS344" s="525" t="b">
        <f t="shared" si="229"/>
        <v>1</v>
      </c>
      <c r="BT344" s="525" t="b">
        <f t="shared" si="229"/>
        <v>1</v>
      </c>
      <c r="BU344" s="525" t="b">
        <f t="shared" si="229"/>
        <v>1</v>
      </c>
      <c r="BV344" s="525" t="b">
        <f t="shared" si="229"/>
        <v>1</v>
      </c>
      <c r="BW344" s="525" t="b">
        <f t="shared" si="229"/>
        <v>1</v>
      </c>
      <c r="BX344" s="525" t="b">
        <f t="shared" si="229"/>
        <v>1</v>
      </c>
      <c r="BY344" s="525" t="b">
        <f t="shared" si="229"/>
        <v>1</v>
      </c>
      <c r="BZ344" s="525" t="b">
        <f t="shared" si="229"/>
        <v>0</v>
      </c>
      <c r="CA344" s="525" t="b">
        <f t="shared" si="229"/>
        <v>0</v>
      </c>
      <c r="CB344" s="525" t="b">
        <f t="shared" si="229"/>
        <v>0</v>
      </c>
      <c r="CC344" s="525" t="b">
        <f t="shared" si="229"/>
        <v>0</v>
      </c>
      <c r="CD344" s="525" t="b">
        <f t="shared" si="229"/>
        <v>0</v>
      </c>
      <c r="CE344" s="525" t="b">
        <f t="shared" si="229"/>
        <v>0</v>
      </c>
      <c r="CF344" s="525" t="b">
        <f t="shared" si="229"/>
        <v>0</v>
      </c>
    </row>
    <row r="345" spans="1:84" ht="15" customHeight="1" x14ac:dyDescent="0.3">
      <c r="A345" s="765"/>
      <c r="C345" s="695"/>
      <c r="D345" s="696" t="str">
        <f>IF(INDEX(n.er,$AR344,11)="","",INDEX(n.er,$AR344,11))</f>
        <v>Németország</v>
      </c>
      <c r="E345" s="697" t="str">
        <f>IF(NOT($AS344),"",INDEX(n.er,$AR344,10))</f>
        <v/>
      </c>
      <c r="F345" s="696"/>
      <c r="G345" s="259"/>
      <c r="H345" s="667">
        <v>3</v>
      </c>
      <c r="I345" s="668">
        <v>3</v>
      </c>
      <c r="J345" s="668">
        <v>2</v>
      </c>
      <c r="K345" s="668">
        <v>3</v>
      </c>
      <c r="L345" s="668">
        <v>1</v>
      </c>
      <c r="M345" s="668">
        <v>1</v>
      </c>
      <c r="N345" s="668">
        <v>1</v>
      </c>
      <c r="O345" s="668">
        <v>2</v>
      </c>
      <c r="P345" s="668">
        <v>1</v>
      </c>
      <c r="Q345" s="668">
        <v>2</v>
      </c>
      <c r="R345" s="668">
        <v>0</v>
      </c>
      <c r="S345" s="668">
        <v>1</v>
      </c>
      <c r="T345" s="668">
        <v>1</v>
      </c>
      <c r="U345" s="668">
        <v>1</v>
      </c>
      <c r="V345" s="668">
        <v>3</v>
      </c>
      <c r="W345" s="668">
        <v>2</v>
      </c>
      <c r="X345" s="668">
        <v>1</v>
      </c>
      <c r="Y345" s="668">
        <v>3</v>
      </c>
      <c r="Z345" s="668">
        <v>2</v>
      </c>
      <c r="AA345" s="668">
        <v>1</v>
      </c>
      <c r="AB345" s="668">
        <v>1</v>
      </c>
      <c r="AC345" s="668">
        <v>2</v>
      </c>
      <c r="AD345" s="668">
        <v>2</v>
      </c>
      <c r="AE345" s="668"/>
      <c r="AF345" s="668"/>
      <c r="AG345" s="668"/>
      <c r="AH345" s="668"/>
      <c r="AI345" s="668"/>
      <c r="AJ345" s="668"/>
      <c r="AK345" s="669"/>
      <c r="AP345" s="533"/>
      <c r="AQ345" s="577"/>
      <c r="AR345" s="534"/>
      <c r="AS345" s="535"/>
      <c r="AX345" s="531"/>
      <c r="BC345" s="34" t="b">
        <f t="shared" ref="BC345:CF345" si="230">OR(NOT(H$13),NOT($AS344),NOT(BC344))</f>
        <v>1</v>
      </c>
      <c r="BD345" s="34" t="b">
        <f t="shared" si="230"/>
        <v>1</v>
      </c>
      <c r="BE345" s="34" t="b">
        <f t="shared" si="230"/>
        <v>1</v>
      </c>
      <c r="BF345" s="34" t="b">
        <f t="shared" si="230"/>
        <v>1</v>
      </c>
      <c r="BG345" s="34" t="b">
        <f t="shared" si="230"/>
        <v>1</v>
      </c>
      <c r="BH345" s="34" t="b">
        <f t="shared" si="230"/>
        <v>1</v>
      </c>
      <c r="BI345" s="34" t="b">
        <f t="shared" si="230"/>
        <v>1</v>
      </c>
      <c r="BJ345" s="34" t="b">
        <f t="shared" si="230"/>
        <v>1</v>
      </c>
      <c r="BK345" s="34" t="b">
        <f t="shared" si="230"/>
        <v>1</v>
      </c>
      <c r="BL345" s="34" t="b">
        <f t="shared" si="230"/>
        <v>1</v>
      </c>
      <c r="BM345" s="34" t="b">
        <f t="shared" si="230"/>
        <v>1</v>
      </c>
      <c r="BN345" s="34" t="b">
        <f t="shared" si="230"/>
        <v>1</v>
      </c>
      <c r="BO345" s="34" t="b">
        <f t="shared" si="230"/>
        <v>1</v>
      </c>
      <c r="BP345" s="34" t="b">
        <f t="shared" si="230"/>
        <v>1</v>
      </c>
      <c r="BQ345" s="34" t="b">
        <f t="shared" si="230"/>
        <v>1</v>
      </c>
      <c r="BR345" s="34" t="b">
        <f t="shared" si="230"/>
        <v>1</v>
      </c>
      <c r="BS345" s="34" t="b">
        <f t="shared" si="230"/>
        <v>1</v>
      </c>
      <c r="BT345" s="34" t="b">
        <f t="shared" si="230"/>
        <v>1</v>
      </c>
      <c r="BU345" s="34" t="b">
        <f t="shared" si="230"/>
        <v>1</v>
      </c>
      <c r="BV345" s="34" t="b">
        <f t="shared" si="230"/>
        <v>1</v>
      </c>
      <c r="BW345" s="34" t="b">
        <f t="shared" si="230"/>
        <v>1</v>
      </c>
      <c r="BX345" s="34" t="b">
        <f t="shared" si="230"/>
        <v>1</v>
      </c>
      <c r="BY345" s="34" t="b">
        <f t="shared" si="230"/>
        <v>1</v>
      </c>
      <c r="BZ345" s="34" t="b">
        <f t="shared" si="230"/>
        <v>1</v>
      </c>
      <c r="CA345" s="34" t="b">
        <f t="shared" si="230"/>
        <v>1</v>
      </c>
      <c r="CB345" s="34" t="b">
        <f t="shared" si="230"/>
        <v>1</v>
      </c>
      <c r="CC345" s="34" t="b">
        <f t="shared" si="230"/>
        <v>1</v>
      </c>
      <c r="CD345" s="34" t="b">
        <f t="shared" si="230"/>
        <v>1</v>
      </c>
      <c r="CE345" s="34" t="b">
        <f t="shared" si="230"/>
        <v>1</v>
      </c>
      <c r="CF345" s="34" t="b">
        <f t="shared" si="230"/>
        <v>1</v>
      </c>
    </row>
    <row r="346" spans="1:84" ht="12" customHeight="1" x14ac:dyDescent="0.3">
      <c r="A346" s="765"/>
      <c r="E346" s="258" t="str">
        <f>$AX$92</f>
        <v>Telitalálat: 10 p</v>
      </c>
      <c r="H346" s="670" t="str">
        <f t="shared" ref="H346:AK346" si="231">IF(OR(BC345,NOT($AS$20)),"",IF(AND(H344=$E344,H345=$E345),"ü",""))</f>
        <v/>
      </c>
      <c r="I346" s="671" t="str">
        <f t="shared" si="231"/>
        <v/>
      </c>
      <c r="J346" s="671" t="str">
        <f t="shared" si="231"/>
        <v/>
      </c>
      <c r="K346" s="671" t="str">
        <f t="shared" si="231"/>
        <v/>
      </c>
      <c r="L346" s="671" t="str">
        <f t="shared" si="231"/>
        <v/>
      </c>
      <c r="M346" s="671" t="str">
        <f t="shared" si="231"/>
        <v/>
      </c>
      <c r="N346" s="671" t="str">
        <f t="shared" si="231"/>
        <v/>
      </c>
      <c r="O346" s="671" t="str">
        <f t="shared" si="231"/>
        <v/>
      </c>
      <c r="P346" s="671" t="str">
        <f t="shared" si="231"/>
        <v/>
      </c>
      <c r="Q346" s="671" t="str">
        <f t="shared" si="231"/>
        <v/>
      </c>
      <c r="R346" s="671" t="str">
        <f t="shared" si="231"/>
        <v/>
      </c>
      <c r="S346" s="671" t="str">
        <f t="shared" si="231"/>
        <v/>
      </c>
      <c r="T346" s="671" t="str">
        <f t="shared" si="231"/>
        <v/>
      </c>
      <c r="U346" s="671" t="str">
        <f t="shared" si="231"/>
        <v/>
      </c>
      <c r="V346" s="671" t="str">
        <f t="shared" si="231"/>
        <v/>
      </c>
      <c r="W346" s="671" t="str">
        <f t="shared" si="231"/>
        <v/>
      </c>
      <c r="X346" s="671" t="str">
        <f t="shared" si="231"/>
        <v/>
      </c>
      <c r="Y346" s="671" t="str">
        <f t="shared" si="231"/>
        <v/>
      </c>
      <c r="Z346" s="671" t="str">
        <f t="shared" si="231"/>
        <v/>
      </c>
      <c r="AA346" s="671" t="str">
        <f t="shared" si="231"/>
        <v/>
      </c>
      <c r="AB346" s="671" t="str">
        <f t="shared" si="231"/>
        <v/>
      </c>
      <c r="AC346" s="671" t="str">
        <f t="shared" si="231"/>
        <v/>
      </c>
      <c r="AD346" s="671" t="str">
        <f t="shared" si="231"/>
        <v/>
      </c>
      <c r="AE346" s="671" t="str">
        <f t="shared" si="231"/>
        <v/>
      </c>
      <c r="AF346" s="671" t="str">
        <f t="shared" si="231"/>
        <v/>
      </c>
      <c r="AG346" s="671" t="str">
        <f t="shared" si="231"/>
        <v/>
      </c>
      <c r="AH346" s="671" t="str">
        <f t="shared" si="231"/>
        <v/>
      </c>
      <c r="AI346" s="671" t="str">
        <f t="shared" si="231"/>
        <v/>
      </c>
      <c r="AJ346" s="671" t="str">
        <f t="shared" si="231"/>
        <v/>
      </c>
      <c r="AK346" s="672" t="str">
        <f t="shared" si="231"/>
        <v/>
      </c>
      <c r="AL346" s="15"/>
      <c r="AM346" s="15"/>
      <c r="AP346" s="536"/>
      <c r="AR346" s="537"/>
      <c r="AS346" s="529"/>
      <c r="AW346" s="390" t="str">
        <f>""</f>
        <v/>
      </c>
      <c r="AX346" s="531"/>
      <c r="AY346" s="390" t="str">
        <f>""</f>
        <v/>
      </c>
      <c r="BD346" s="520"/>
      <c r="BE346" s="520"/>
      <c r="BF346" s="520"/>
      <c r="BG346" s="520"/>
      <c r="BH346" s="520"/>
      <c r="BI346" s="520"/>
      <c r="BJ346" s="520"/>
      <c r="BK346" s="520"/>
      <c r="BL346" s="520"/>
      <c r="BM346" s="520"/>
      <c r="BN346" s="520"/>
      <c r="BO346" s="520"/>
      <c r="BP346" s="520"/>
      <c r="BQ346" s="520"/>
      <c r="BR346" s="520"/>
      <c r="BS346" s="520"/>
      <c r="BT346" s="520"/>
      <c r="BU346" s="520"/>
      <c r="BV346" s="520"/>
      <c r="BW346" s="520"/>
      <c r="BX346" s="520"/>
      <c r="BY346" s="520"/>
    </row>
    <row r="347" spans="1:84" ht="12" customHeight="1" x14ac:dyDescent="0.3">
      <c r="A347" s="765"/>
      <c r="E347" s="258" t="str">
        <f>$AX$93</f>
        <v>Gólkülönbség: 6 p</v>
      </c>
      <c r="H347" s="673" t="str">
        <f t="shared" ref="H347:AK347" si="232">IF(OR(BC345,NOT($AS$22)),"",IF(AND(NOT($AS$32),H346="ü"),"",IF(H344-H345=$E344-$E345,"ü"," ")))</f>
        <v/>
      </c>
      <c r="I347" s="674" t="str">
        <f t="shared" si="232"/>
        <v/>
      </c>
      <c r="J347" s="674" t="str">
        <f t="shared" si="232"/>
        <v/>
      </c>
      <c r="K347" s="674" t="str">
        <f t="shared" si="232"/>
        <v/>
      </c>
      <c r="L347" s="674" t="str">
        <f t="shared" si="232"/>
        <v/>
      </c>
      <c r="M347" s="674" t="str">
        <f t="shared" si="232"/>
        <v/>
      </c>
      <c r="N347" s="674" t="str">
        <f t="shared" si="232"/>
        <v/>
      </c>
      <c r="O347" s="674" t="str">
        <f t="shared" si="232"/>
        <v/>
      </c>
      <c r="P347" s="674" t="str">
        <f t="shared" si="232"/>
        <v/>
      </c>
      <c r="Q347" s="674" t="str">
        <f t="shared" si="232"/>
        <v/>
      </c>
      <c r="R347" s="674" t="str">
        <f t="shared" si="232"/>
        <v/>
      </c>
      <c r="S347" s="674" t="str">
        <f t="shared" si="232"/>
        <v/>
      </c>
      <c r="T347" s="674" t="str">
        <f t="shared" si="232"/>
        <v/>
      </c>
      <c r="U347" s="674" t="str">
        <f t="shared" si="232"/>
        <v/>
      </c>
      <c r="V347" s="674" t="str">
        <f t="shared" si="232"/>
        <v/>
      </c>
      <c r="W347" s="674" t="str">
        <f t="shared" si="232"/>
        <v/>
      </c>
      <c r="X347" s="674" t="str">
        <f t="shared" si="232"/>
        <v/>
      </c>
      <c r="Y347" s="674" t="str">
        <f t="shared" si="232"/>
        <v/>
      </c>
      <c r="Z347" s="674" t="str">
        <f t="shared" si="232"/>
        <v/>
      </c>
      <c r="AA347" s="674" t="str">
        <f t="shared" si="232"/>
        <v/>
      </c>
      <c r="AB347" s="674" t="str">
        <f t="shared" si="232"/>
        <v/>
      </c>
      <c r="AC347" s="674" t="str">
        <f t="shared" si="232"/>
        <v/>
      </c>
      <c r="AD347" s="674" t="str">
        <f t="shared" si="232"/>
        <v/>
      </c>
      <c r="AE347" s="674" t="str">
        <f t="shared" si="232"/>
        <v/>
      </c>
      <c r="AF347" s="674" t="str">
        <f t="shared" si="232"/>
        <v/>
      </c>
      <c r="AG347" s="674" t="str">
        <f t="shared" si="232"/>
        <v/>
      </c>
      <c r="AH347" s="674" t="str">
        <f t="shared" si="232"/>
        <v/>
      </c>
      <c r="AI347" s="674" t="str">
        <f t="shared" si="232"/>
        <v/>
      </c>
      <c r="AJ347" s="674" t="str">
        <f t="shared" si="232"/>
        <v/>
      </c>
      <c r="AK347" s="675" t="str">
        <f t="shared" si="232"/>
        <v/>
      </c>
      <c r="AL347" s="15"/>
      <c r="AM347" s="15"/>
      <c r="AP347" s="536"/>
      <c r="AR347" s="537"/>
      <c r="AS347" s="529"/>
      <c r="AW347" s="390" t="str">
        <f>""</f>
        <v/>
      </c>
      <c r="AX347" s="531"/>
      <c r="AY347" s="390" t="str">
        <f>""</f>
        <v/>
      </c>
      <c r="BD347" s="520"/>
      <c r="BE347" s="520"/>
      <c r="BF347" s="520"/>
      <c r="BG347" s="520"/>
      <c r="BH347" s="520"/>
      <c r="BI347" s="520"/>
      <c r="BJ347" s="520"/>
      <c r="BK347" s="520"/>
      <c r="BL347" s="520"/>
      <c r="BM347" s="520"/>
      <c r="BN347" s="520"/>
      <c r="BO347" s="520"/>
      <c r="BP347" s="520"/>
      <c r="BQ347" s="520"/>
      <c r="BR347" s="520"/>
      <c r="BS347" s="520"/>
      <c r="BT347" s="520"/>
      <c r="BU347" s="520"/>
      <c r="BV347" s="520"/>
      <c r="BW347" s="520"/>
      <c r="BX347" s="520"/>
      <c r="BY347" s="520"/>
    </row>
    <row r="348" spans="1:84" ht="12" customHeight="1" x14ac:dyDescent="0.3">
      <c r="A348" s="765"/>
      <c r="E348" s="258" t="str">
        <f>$AX$94</f>
        <v>Mérkőzés kimenetele: 4 p</v>
      </c>
      <c r="H348" s="673" t="str">
        <f t="shared" ref="H348:AK348" si="233">IF(OR(BC345,NOT($AS$24)),"",IF(AND(NOT($AS$32),COUNTIF(H346:H347,"ü")&gt;0),"",IF(SIGN(H344-H345)=SIGN($E344-$E345),"ü"," ")))</f>
        <v/>
      </c>
      <c r="I348" s="674" t="str">
        <f t="shared" si="233"/>
        <v/>
      </c>
      <c r="J348" s="674" t="str">
        <f t="shared" si="233"/>
        <v/>
      </c>
      <c r="K348" s="674" t="str">
        <f t="shared" si="233"/>
        <v/>
      </c>
      <c r="L348" s="674" t="str">
        <f t="shared" si="233"/>
        <v/>
      </c>
      <c r="M348" s="674" t="str">
        <f t="shared" si="233"/>
        <v/>
      </c>
      <c r="N348" s="674" t="str">
        <f t="shared" si="233"/>
        <v/>
      </c>
      <c r="O348" s="674" t="str">
        <f t="shared" si="233"/>
        <v/>
      </c>
      <c r="P348" s="674" t="str">
        <f t="shared" si="233"/>
        <v/>
      </c>
      <c r="Q348" s="674" t="str">
        <f t="shared" si="233"/>
        <v/>
      </c>
      <c r="R348" s="674" t="str">
        <f t="shared" si="233"/>
        <v/>
      </c>
      <c r="S348" s="674" t="str">
        <f t="shared" si="233"/>
        <v/>
      </c>
      <c r="T348" s="674" t="str">
        <f t="shared" si="233"/>
        <v/>
      </c>
      <c r="U348" s="674" t="str">
        <f t="shared" si="233"/>
        <v/>
      </c>
      <c r="V348" s="674" t="str">
        <f t="shared" si="233"/>
        <v/>
      </c>
      <c r="W348" s="674" t="str">
        <f t="shared" si="233"/>
        <v/>
      </c>
      <c r="X348" s="674" t="str">
        <f t="shared" si="233"/>
        <v/>
      </c>
      <c r="Y348" s="674" t="str">
        <f t="shared" si="233"/>
        <v/>
      </c>
      <c r="Z348" s="674" t="str">
        <f t="shared" si="233"/>
        <v/>
      </c>
      <c r="AA348" s="674" t="str">
        <f t="shared" si="233"/>
        <v/>
      </c>
      <c r="AB348" s="674" t="str">
        <f t="shared" si="233"/>
        <v/>
      </c>
      <c r="AC348" s="674" t="str">
        <f t="shared" si="233"/>
        <v/>
      </c>
      <c r="AD348" s="674" t="str">
        <f t="shared" si="233"/>
        <v/>
      </c>
      <c r="AE348" s="674" t="str">
        <f t="shared" si="233"/>
        <v/>
      </c>
      <c r="AF348" s="674" t="str">
        <f t="shared" si="233"/>
        <v/>
      </c>
      <c r="AG348" s="674" t="str">
        <f t="shared" si="233"/>
        <v/>
      </c>
      <c r="AH348" s="674" t="str">
        <f t="shared" si="233"/>
        <v/>
      </c>
      <c r="AI348" s="674" t="str">
        <f t="shared" si="233"/>
        <v/>
      </c>
      <c r="AJ348" s="674" t="str">
        <f t="shared" si="233"/>
        <v/>
      </c>
      <c r="AK348" s="675" t="str">
        <f t="shared" si="233"/>
        <v/>
      </c>
      <c r="AL348" s="15"/>
      <c r="AM348" s="15"/>
      <c r="AP348" s="536"/>
      <c r="AR348" s="537"/>
      <c r="AS348" s="529"/>
      <c r="AW348" s="390" t="str">
        <f>""</f>
        <v/>
      </c>
      <c r="AX348" s="531"/>
      <c r="AY348" s="390" t="str">
        <f>""</f>
        <v/>
      </c>
      <c r="BD348" s="520"/>
      <c r="BE348" s="520"/>
      <c r="BF348" s="520"/>
      <c r="BG348" s="520"/>
      <c r="BH348" s="520"/>
      <c r="BI348" s="520"/>
      <c r="BJ348" s="520"/>
      <c r="BK348" s="520"/>
      <c r="BL348" s="520"/>
      <c r="BM348" s="520"/>
      <c r="BN348" s="520"/>
      <c r="BO348" s="520"/>
      <c r="BP348" s="520"/>
      <c r="BQ348" s="520"/>
      <c r="BR348" s="520"/>
      <c r="BS348" s="520"/>
      <c r="BT348" s="520"/>
      <c r="BU348" s="520"/>
      <c r="BV348" s="520"/>
      <c r="BW348" s="520"/>
      <c r="BX348" s="520"/>
      <c r="BY348" s="520"/>
    </row>
    <row r="349" spans="1:84" ht="12" customHeight="1" x14ac:dyDescent="0.3">
      <c r="A349" s="765"/>
      <c r="E349" s="258" t="str">
        <f>$AX$95</f>
        <v>Egyik csapat góljainak száma: 3 p</v>
      </c>
      <c r="H349" s="673" t="str">
        <f t="shared" ref="H349:AK349" si="234">IF(OR(BC345,NOT($AS$26)),"",IF(AND(NOT($AS$32),COUNTIF(H346:H348,"ü")&gt;0),"",IF(OR(H344=$E344,H345=$E345),"ü"," ")))</f>
        <v/>
      </c>
      <c r="I349" s="674" t="str">
        <f t="shared" si="234"/>
        <v/>
      </c>
      <c r="J349" s="674" t="str">
        <f t="shared" si="234"/>
        <v/>
      </c>
      <c r="K349" s="674" t="str">
        <f t="shared" si="234"/>
        <v/>
      </c>
      <c r="L349" s="674" t="str">
        <f t="shared" si="234"/>
        <v/>
      </c>
      <c r="M349" s="674" t="str">
        <f t="shared" si="234"/>
        <v/>
      </c>
      <c r="N349" s="674" t="str">
        <f t="shared" si="234"/>
        <v/>
      </c>
      <c r="O349" s="674" t="str">
        <f t="shared" si="234"/>
        <v/>
      </c>
      <c r="P349" s="674" t="str">
        <f t="shared" si="234"/>
        <v/>
      </c>
      <c r="Q349" s="674" t="str">
        <f t="shared" si="234"/>
        <v/>
      </c>
      <c r="R349" s="674" t="str">
        <f t="shared" si="234"/>
        <v/>
      </c>
      <c r="S349" s="674" t="str">
        <f t="shared" si="234"/>
        <v/>
      </c>
      <c r="T349" s="674" t="str">
        <f t="shared" si="234"/>
        <v/>
      </c>
      <c r="U349" s="674" t="str">
        <f t="shared" si="234"/>
        <v/>
      </c>
      <c r="V349" s="674" t="str">
        <f t="shared" si="234"/>
        <v/>
      </c>
      <c r="W349" s="674" t="str">
        <f t="shared" si="234"/>
        <v/>
      </c>
      <c r="X349" s="674" t="str">
        <f t="shared" si="234"/>
        <v/>
      </c>
      <c r="Y349" s="674" t="str">
        <f t="shared" si="234"/>
        <v/>
      </c>
      <c r="Z349" s="674" t="str">
        <f t="shared" si="234"/>
        <v/>
      </c>
      <c r="AA349" s="674" t="str">
        <f t="shared" si="234"/>
        <v/>
      </c>
      <c r="AB349" s="674" t="str">
        <f t="shared" si="234"/>
        <v/>
      </c>
      <c r="AC349" s="674" t="str">
        <f t="shared" si="234"/>
        <v/>
      </c>
      <c r="AD349" s="674" t="str">
        <f t="shared" si="234"/>
        <v/>
      </c>
      <c r="AE349" s="674" t="str">
        <f t="shared" si="234"/>
        <v/>
      </c>
      <c r="AF349" s="674" t="str">
        <f t="shared" si="234"/>
        <v/>
      </c>
      <c r="AG349" s="674" t="str">
        <f t="shared" si="234"/>
        <v/>
      </c>
      <c r="AH349" s="674" t="str">
        <f t="shared" si="234"/>
        <v/>
      </c>
      <c r="AI349" s="674" t="str">
        <f t="shared" si="234"/>
        <v/>
      </c>
      <c r="AJ349" s="674" t="str">
        <f t="shared" si="234"/>
        <v/>
      </c>
      <c r="AK349" s="675" t="str">
        <f t="shared" si="234"/>
        <v/>
      </c>
      <c r="AL349" s="15"/>
      <c r="AM349" s="15"/>
      <c r="AP349" s="536"/>
      <c r="AR349" s="537"/>
      <c r="AS349" s="529"/>
      <c r="AW349" s="390" t="str">
        <f>""</f>
        <v/>
      </c>
      <c r="AX349" s="531"/>
      <c r="AY349" s="390" t="str">
        <f>""</f>
        <v/>
      </c>
      <c r="BD349" s="520"/>
      <c r="BE349" s="520"/>
      <c r="BF349" s="520"/>
      <c r="BG349" s="520"/>
      <c r="BH349" s="520"/>
      <c r="BI349" s="520"/>
      <c r="BJ349" s="520"/>
      <c r="BK349" s="520"/>
      <c r="BL349" s="520"/>
      <c r="BM349" s="520"/>
      <c r="BN349" s="520"/>
      <c r="BO349" s="520"/>
      <c r="BP349" s="520"/>
      <c r="BQ349" s="520"/>
      <c r="BR349" s="520"/>
      <c r="BS349" s="520"/>
      <c r="BT349" s="520"/>
      <c r="BU349" s="520"/>
      <c r="BV349" s="520"/>
      <c r="BW349" s="520"/>
      <c r="BX349" s="520"/>
      <c r="BY349" s="520"/>
    </row>
    <row r="350" spans="1:84" ht="12" customHeight="1" x14ac:dyDescent="0.3">
      <c r="A350" s="765"/>
      <c r="E350" s="258" t="str">
        <f>$AX$96</f>
        <v>Összes gól: 2 p</v>
      </c>
      <c r="H350" s="673" t="str">
        <f t="shared" ref="H350:AK350" si="235">IF(OR(BC345,NOT($AS$28)),"",IF(AND(NOT($AS$32),COUNTIF(H346:H349,"ü")&gt;0),"",IF(H344+H345=$E344+$E345,"ü"," ")))</f>
        <v/>
      </c>
      <c r="I350" s="674" t="str">
        <f t="shared" si="235"/>
        <v/>
      </c>
      <c r="J350" s="674" t="str">
        <f t="shared" si="235"/>
        <v/>
      </c>
      <c r="K350" s="674" t="str">
        <f t="shared" si="235"/>
        <v/>
      </c>
      <c r="L350" s="674" t="str">
        <f t="shared" si="235"/>
        <v/>
      </c>
      <c r="M350" s="674" t="str">
        <f t="shared" si="235"/>
        <v/>
      </c>
      <c r="N350" s="674" t="str">
        <f t="shared" si="235"/>
        <v/>
      </c>
      <c r="O350" s="674" t="str">
        <f t="shared" si="235"/>
        <v/>
      </c>
      <c r="P350" s="674" t="str">
        <f t="shared" si="235"/>
        <v/>
      </c>
      <c r="Q350" s="674" t="str">
        <f t="shared" si="235"/>
        <v/>
      </c>
      <c r="R350" s="674" t="str">
        <f t="shared" si="235"/>
        <v/>
      </c>
      <c r="S350" s="674" t="str">
        <f t="shared" si="235"/>
        <v/>
      </c>
      <c r="T350" s="674" t="str">
        <f t="shared" si="235"/>
        <v/>
      </c>
      <c r="U350" s="674" t="str">
        <f t="shared" si="235"/>
        <v/>
      </c>
      <c r="V350" s="674" t="str">
        <f t="shared" si="235"/>
        <v/>
      </c>
      <c r="W350" s="674" t="str">
        <f t="shared" si="235"/>
        <v/>
      </c>
      <c r="X350" s="674" t="str">
        <f t="shared" si="235"/>
        <v/>
      </c>
      <c r="Y350" s="674" t="str">
        <f t="shared" si="235"/>
        <v/>
      </c>
      <c r="Z350" s="674" t="str">
        <f t="shared" si="235"/>
        <v/>
      </c>
      <c r="AA350" s="674" t="str">
        <f t="shared" si="235"/>
        <v/>
      </c>
      <c r="AB350" s="674" t="str">
        <f t="shared" si="235"/>
        <v/>
      </c>
      <c r="AC350" s="674" t="str">
        <f t="shared" si="235"/>
        <v/>
      </c>
      <c r="AD350" s="674" t="str">
        <f t="shared" si="235"/>
        <v/>
      </c>
      <c r="AE350" s="674" t="str">
        <f t="shared" si="235"/>
        <v/>
      </c>
      <c r="AF350" s="674" t="str">
        <f t="shared" si="235"/>
        <v/>
      </c>
      <c r="AG350" s="674" t="str">
        <f t="shared" si="235"/>
        <v/>
      </c>
      <c r="AH350" s="674" t="str">
        <f t="shared" si="235"/>
        <v/>
      </c>
      <c r="AI350" s="674" t="str">
        <f t="shared" si="235"/>
        <v/>
      </c>
      <c r="AJ350" s="674" t="str">
        <f t="shared" si="235"/>
        <v/>
      </c>
      <c r="AK350" s="675" t="str">
        <f t="shared" si="235"/>
        <v/>
      </c>
      <c r="AL350" s="15"/>
      <c r="AM350" s="15"/>
      <c r="AP350" s="536"/>
      <c r="AR350" s="537"/>
      <c r="AS350" s="529"/>
      <c r="AW350" s="390" t="str">
        <f>""</f>
        <v/>
      </c>
      <c r="AX350" s="531"/>
      <c r="AY350" s="390" t="str">
        <f>""</f>
        <v/>
      </c>
      <c r="BD350" s="520"/>
      <c r="BE350" s="520"/>
      <c r="BF350" s="520"/>
      <c r="BG350" s="520"/>
      <c r="BH350" s="520"/>
      <c r="BI350" s="520"/>
      <c r="BJ350" s="520"/>
      <c r="BK350" s="520"/>
      <c r="BL350" s="520"/>
      <c r="BM350" s="520"/>
      <c r="BN350" s="520"/>
      <c r="BO350" s="520"/>
      <c r="BP350" s="520"/>
      <c r="BQ350" s="520"/>
      <c r="BR350" s="520"/>
      <c r="BS350" s="520"/>
      <c r="BT350" s="520"/>
      <c r="BU350" s="520"/>
      <c r="BV350" s="520"/>
      <c r="BW350" s="520"/>
      <c r="BX350" s="520"/>
      <c r="BY350" s="520"/>
    </row>
    <row r="351" spans="1:84" ht="12" customHeight="1" x14ac:dyDescent="0.3">
      <c r="A351" s="765"/>
      <c r="E351" s="258" t="str">
        <f>$AX$97</f>
        <v>Fordított gólkülönbség: 1 p</v>
      </c>
      <c r="H351" s="676" t="str">
        <f t="shared" ref="H351:AK351" si="236">IF(OR(BC345,NOT($AS$30)),"",IF(AND(NOT($AS$32),COUNTIF(H346:H350,"ü")&gt;0),"",IF(AND(H344-H345=$E345-$E344,H344&lt;&gt;H345),"ü"," ")))</f>
        <v/>
      </c>
      <c r="I351" s="677" t="str">
        <f t="shared" si="236"/>
        <v/>
      </c>
      <c r="J351" s="677" t="str">
        <f t="shared" si="236"/>
        <v/>
      </c>
      <c r="K351" s="677" t="str">
        <f t="shared" si="236"/>
        <v/>
      </c>
      <c r="L351" s="677" t="str">
        <f t="shared" si="236"/>
        <v/>
      </c>
      <c r="M351" s="677" t="str">
        <f t="shared" si="236"/>
        <v/>
      </c>
      <c r="N351" s="677" t="str">
        <f t="shared" si="236"/>
        <v/>
      </c>
      <c r="O351" s="677" t="str">
        <f t="shared" si="236"/>
        <v/>
      </c>
      <c r="P351" s="677" t="str">
        <f t="shared" si="236"/>
        <v/>
      </c>
      <c r="Q351" s="677" t="str">
        <f t="shared" si="236"/>
        <v/>
      </c>
      <c r="R351" s="677" t="str">
        <f t="shared" si="236"/>
        <v/>
      </c>
      <c r="S351" s="677" t="str">
        <f t="shared" si="236"/>
        <v/>
      </c>
      <c r="T351" s="677" t="str">
        <f t="shared" si="236"/>
        <v/>
      </c>
      <c r="U351" s="677" t="str">
        <f t="shared" si="236"/>
        <v/>
      </c>
      <c r="V351" s="677" t="str">
        <f t="shared" si="236"/>
        <v/>
      </c>
      <c r="W351" s="677" t="str">
        <f t="shared" si="236"/>
        <v/>
      </c>
      <c r="X351" s="677" t="str">
        <f t="shared" si="236"/>
        <v/>
      </c>
      <c r="Y351" s="677" t="str">
        <f t="shared" si="236"/>
        <v/>
      </c>
      <c r="Z351" s="677" t="str">
        <f t="shared" si="236"/>
        <v/>
      </c>
      <c r="AA351" s="677" t="str">
        <f t="shared" si="236"/>
        <v/>
      </c>
      <c r="AB351" s="677" t="str">
        <f t="shared" si="236"/>
        <v/>
      </c>
      <c r="AC351" s="677" t="str">
        <f t="shared" si="236"/>
        <v/>
      </c>
      <c r="AD351" s="677" t="str">
        <f t="shared" si="236"/>
        <v/>
      </c>
      <c r="AE351" s="677" t="str">
        <f t="shared" si="236"/>
        <v/>
      </c>
      <c r="AF351" s="677" t="str">
        <f t="shared" si="236"/>
        <v/>
      </c>
      <c r="AG351" s="677" t="str">
        <f t="shared" si="236"/>
        <v/>
      </c>
      <c r="AH351" s="677" t="str">
        <f t="shared" si="236"/>
        <v/>
      </c>
      <c r="AI351" s="677" t="str">
        <f t="shared" si="236"/>
        <v/>
      </c>
      <c r="AJ351" s="677" t="str">
        <f t="shared" si="236"/>
        <v/>
      </c>
      <c r="AK351" s="678" t="str">
        <f t="shared" si="236"/>
        <v/>
      </c>
      <c r="AL351" s="15"/>
      <c r="AM351" s="15"/>
      <c r="AP351" s="536"/>
      <c r="AR351" s="537"/>
      <c r="AS351" s="529"/>
      <c r="AW351" s="390" t="str">
        <f>""</f>
        <v/>
      </c>
      <c r="AX351" s="531"/>
      <c r="AY351" s="390" t="str">
        <f>""</f>
        <v/>
      </c>
      <c r="BD351" s="520"/>
      <c r="BE351" s="520"/>
      <c r="BF351" s="520"/>
      <c r="BG351" s="520"/>
      <c r="BH351" s="520"/>
      <c r="BI351" s="520"/>
      <c r="BJ351" s="520"/>
      <c r="BK351" s="520"/>
      <c r="BL351" s="520"/>
      <c r="BM351" s="520"/>
      <c r="BN351" s="520"/>
      <c r="BO351" s="520"/>
      <c r="BP351" s="520"/>
      <c r="BQ351" s="520"/>
      <c r="BR351" s="520"/>
      <c r="BS351" s="520"/>
      <c r="BT351" s="520"/>
      <c r="BU351" s="520"/>
      <c r="BV351" s="520"/>
      <c r="BW351" s="520"/>
      <c r="BX351" s="520"/>
      <c r="BY351" s="520"/>
    </row>
    <row r="352" spans="1:84" ht="15" customHeight="1" x14ac:dyDescent="0.3">
      <c r="A352" s="765"/>
      <c r="E352" s="79" t="s">
        <v>799</v>
      </c>
      <c r="H352" s="679">
        <f t="shared" ref="H352:AK352" si="237">IF(NOT(H$13),"",SUMPRODUCT((H346:H351="ü")*($AW$92:$AW$97)))</f>
        <v>0</v>
      </c>
      <c r="I352" s="680">
        <f t="shared" si="237"/>
        <v>0</v>
      </c>
      <c r="J352" s="680">
        <f t="shared" si="237"/>
        <v>0</v>
      </c>
      <c r="K352" s="680">
        <f t="shared" si="237"/>
        <v>0</v>
      </c>
      <c r="L352" s="680">
        <f t="shared" si="237"/>
        <v>0</v>
      </c>
      <c r="M352" s="680">
        <f t="shared" si="237"/>
        <v>0</v>
      </c>
      <c r="N352" s="680">
        <f t="shared" si="237"/>
        <v>0</v>
      </c>
      <c r="O352" s="680">
        <f t="shared" si="237"/>
        <v>0</v>
      </c>
      <c r="P352" s="680">
        <f t="shared" si="237"/>
        <v>0</v>
      </c>
      <c r="Q352" s="680">
        <f t="shared" si="237"/>
        <v>0</v>
      </c>
      <c r="R352" s="680">
        <f t="shared" si="237"/>
        <v>0</v>
      </c>
      <c r="S352" s="680">
        <f t="shared" si="237"/>
        <v>0</v>
      </c>
      <c r="T352" s="680">
        <f t="shared" si="237"/>
        <v>0</v>
      </c>
      <c r="U352" s="680">
        <f t="shared" si="237"/>
        <v>0</v>
      </c>
      <c r="V352" s="680">
        <f t="shared" si="237"/>
        <v>0</v>
      </c>
      <c r="W352" s="680">
        <f t="shared" si="237"/>
        <v>0</v>
      </c>
      <c r="X352" s="680">
        <f t="shared" si="237"/>
        <v>0</v>
      </c>
      <c r="Y352" s="680">
        <f t="shared" si="237"/>
        <v>0</v>
      </c>
      <c r="Z352" s="680">
        <f t="shared" si="237"/>
        <v>0</v>
      </c>
      <c r="AA352" s="680">
        <f t="shared" si="237"/>
        <v>0</v>
      </c>
      <c r="AB352" s="680">
        <f t="shared" si="237"/>
        <v>0</v>
      </c>
      <c r="AC352" s="680">
        <f t="shared" si="237"/>
        <v>0</v>
      </c>
      <c r="AD352" s="680">
        <f t="shared" si="237"/>
        <v>0</v>
      </c>
      <c r="AE352" s="680" t="str">
        <f t="shared" si="237"/>
        <v/>
      </c>
      <c r="AF352" s="680" t="str">
        <f t="shared" si="237"/>
        <v/>
      </c>
      <c r="AG352" s="680" t="str">
        <f t="shared" si="237"/>
        <v/>
      </c>
      <c r="AH352" s="680" t="str">
        <f t="shared" si="237"/>
        <v/>
      </c>
      <c r="AI352" s="680" t="str">
        <f t="shared" si="237"/>
        <v/>
      </c>
      <c r="AJ352" s="680" t="str">
        <f t="shared" si="237"/>
        <v/>
      </c>
      <c r="AK352" s="681" t="str">
        <f t="shared" si="237"/>
        <v/>
      </c>
      <c r="AP352" s="536"/>
      <c r="AR352" s="537"/>
      <c r="AS352" s="529"/>
    </row>
    <row r="353" spans="1:84" ht="9" customHeight="1" x14ac:dyDescent="0.3">
      <c r="A353" s="765"/>
      <c r="D353" s="15"/>
      <c r="E353" s="15"/>
      <c r="F353" s="15"/>
      <c r="G353" s="15"/>
      <c r="H353" s="15"/>
      <c r="I353" s="16"/>
      <c r="J353" s="15"/>
      <c r="K353" s="15"/>
      <c r="L353" s="16"/>
      <c r="M353" s="15"/>
      <c r="N353" s="15"/>
      <c r="O353" s="16"/>
      <c r="P353" s="15"/>
      <c r="Q353" s="15"/>
      <c r="R353" s="16"/>
      <c r="S353" s="15"/>
      <c r="T353" s="15"/>
      <c r="U353" s="16"/>
      <c r="V353" s="15"/>
      <c r="W353" s="15"/>
      <c r="X353" s="16"/>
      <c r="Y353" s="15"/>
      <c r="Z353" s="15"/>
      <c r="AA353" s="16"/>
      <c r="AB353" s="15"/>
      <c r="AC353" s="15"/>
      <c r="AD353" s="16"/>
      <c r="AE353" s="15"/>
      <c r="AF353" s="15"/>
      <c r="AG353" s="16"/>
      <c r="AH353" s="15"/>
      <c r="AI353" s="15"/>
      <c r="AJ353" s="16"/>
      <c r="AK353" s="15"/>
      <c r="AP353" s="536"/>
      <c r="AR353" s="537"/>
      <c r="AS353" s="529"/>
    </row>
    <row r="354" spans="1:84" ht="15" customHeight="1" x14ac:dyDescent="0.3">
      <c r="A354" s="765"/>
      <c r="C354" s="27" t="str">
        <f>" "&amp;VLOOKUP(AQ355,schedule,18,FALSE)&amp;"  ("&amp;VLOOKUP(AQ355,schedule,3,FALSE)&amp;" CSOPORT)"</f>
        <v xml:space="preserve"> JÚNIUS 19. – SZOMBAT 21:00  (E CSOPORT)</v>
      </c>
      <c r="D354" s="27"/>
      <c r="E354" s="26"/>
      <c r="F354" s="26"/>
      <c r="G354" s="26"/>
      <c r="H354" s="26"/>
      <c r="I354" s="26"/>
      <c r="J354" s="26"/>
      <c r="AP354" s="536"/>
      <c r="AR354" s="537"/>
      <c r="AS354" s="529"/>
    </row>
    <row r="355" spans="1:84" ht="15" customHeight="1" x14ac:dyDescent="0.3">
      <c r="A355" s="765"/>
      <c r="C355" s="661"/>
      <c r="D355" s="662" t="str">
        <f>IF(INDEX(n.er,$AR355,8)="","",INDEX(n.er,$AR355,8))</f>
        <v>Spanyolország</v>
      </c>
      <c r="E355" s="663" t="str">
        <f>IF(NOT($AS355),"",INDEX(n.er,$AR355,9))</f>
        <v/>
      </c>
      <c r="F355" s="662"/>
      <c r="G355" s="259"/>
      <c r="H355" s="664">
        <v>2</v>
      </c>
      <c r="I355" s="665">
        <v>2</v>
      </c>
      <c r="J355" s="665">
        <v>3</v>
      </c>
      <c r="K355" s="665">
        <v>1</v>
      </c>
      <c r="L355" s="665">
        <v>2</v>
      </c>
      <c r="M355" s="665">
        <v>2</v>
      </c>
      <c r="N355" s="665">
        <v>2</v>
      </c>
      <c r="O355" s="665">
        <v>3</v>
      </c>
      <c r="P355" s="665">
        <v>2</v>
      </c>
      <c r="Q355" s="665">
        <v>2</v>
      </c>
      <c r="R355" s="665">
        <v>0</v>
      </c>
      <c r="S355" s="665">
        <v>2</v>
      </c>
      <c r="T355" s="665">
        <v>2</v>
      </c>
      <c r="U355" s="665">
        <v>2</v>
      </c>
      <c r="V355" s="665">
        <v>3</v>
      </c>
      <c r="W355" s="665">
        <v>2</v>
      </c>
      <c r="X355" s="665">
        <v>3</v>
      </c>
      <c r="Y355" s="665">
        <v>2</v>
      </c>
      <c r="Z355" s="665">
        <v>1</v>
      </c>
      <c r="AA355" s="665">
        <v>1</v>
      </c>
      <c r="AB355" s="665">
        <v>1</v>
      </c>
      <c r="AC355" s="665">
        <v>3</v>
      </c>
      <c r="AD355" s="665">
        <v>3</v>
      </c>
      <c r="AE355" s="665"/>
      <c r="AF355" s="665"/>
      <c r="AG355" s="665"/>
      <c r="AH355" s="665"/>
      <c r="AI355" s="665"/>
      <c r="AJ355" s="665"/>
      <c r="AK355" s="666"/>
      <c r="AP355" s="52">
        <f>AP344+1</f>
        <v>24</v>
      </c>
      <c r="AQ355" s="311">
        <f>INDEX(schedule,AP355,1)</f>
        <v>24</v>
      </c>
      <c r="AR355" s="311">
        <f>MATCH(AQ355,n.er.index,0)</f>
        <v>56</v>
      </c>
      <c r="AS355" s="532" t="b">
        <f>INDEX(n.er,$AR355,3)</f>
        <v>0</v>
      </c>
      <c r="AT355" s="531"/>
      <c r="AU355" s="531"/>
      <c r="AV355" s="531"/>
      <c r="AW355" s="531"/>
      <c r="AX355" s="531"/>
      <c r="BC355" s="525" t="b">
        <f t="shared" ref="BC355:CF355" si="238">IF(AND(ISNUMBER(H355),ISNUMBER(H356),H355&lt;&gt;"",H356&lt;&gt;""),AND(H355&gt;=0,H356&gt;=0,MOD(H355+H356,1)=0),FALSE)</f>
        <v>1</v>
      </c>
      <c r="BD355" s="525" t="b">
        <f t="shared" si="238"/>
        <v>1</v>
      </c>
      <c r="BE355" s="525" t="b">
        <f t="shared" si="238"/>
        <v>1</v>
      </c>
      <c r="BF355" s="525" t="b">
        <f t="shared" si="238"/>
        <v>1</v>
      </c>
      <c r="BG355" s="525" t="b">
        <f t="shared" si="238"/>
        <v>1</v>
      </c>
      <c r="BH355" s="525" t="b">
        <f t="shared" si="238"/>
        <v>1</v>
      </c>
      <c r="BI355" s="525" t="b">
        <f t="shared" si="238"/>
        <v>1</v>
      </c>
      <c r="BJ355" s="525" t="b">
        <f t="shared" si="238"/>
        <v>1</v>
      </c>
      <c r="BK355" s="525" t="b">
        <f t="shared" si="238"/>
        <v>1</v>
      </c>
      <c r="BL355" s="525" t="b">
        <f t="shared" si="238"/>
        <v>1</v>
      </c>
      <c r="BM355" s="525" t="b">
        <f t="shared" si="238"/>
        <v>1</v>
      </c>
      <c r="BN355" s="525" t="b">
        <f t="shared" si="238"/>
        <v>1</v>
      </c>
      <c r="BO355" s="525" t="b">
        <f t="shared" si="238"/>
        <v>1</v>
      </c>
      <c r="BP355" s="525" t="b">
        <f t="shared" si="238"/>
        <v>1</v>
      </c>
      <c r="BQ355" s="525" t="b">
        <f t="shared" si="238"/>
        <v>1</v>
      </c>
      <c r="BR355" s="525" t="b">
        <f t="shared" si="238"/>
        <v>1</v>
      </c>
      <c r="BS355" s="525" t="b">
        <f t="shared" si="238"/>
        <v>1</v>
      </c>
      <c r="BT355" s="525" t="b">
        <f t="shared" si="238"/>
        <v>1</v>
      </c>
      <c r="BU355" s="525" t="b">
        <f t="shared" si="238"/>
        <v>1</v>
      </c>
      <c r="BV355" s="525" t="b">
        <f t="shared" si="238"/>
        <v>1</v>
      </c>
      <c r="BW355" s="525" t="b">
        <f t="shared" si="238"/>
        <v>1</v>
      </c>
      <c r="BX355" s="525" t="b">
        <f t="shared" si="238"/>
        <v>1</v>
      </c>
      <c r="BY355" s="525" t="b">
        <f t="shared" si="238"/>
        <v>1</v>
      </c>
      <c r="BZ355" s="525" t="b">
        <f t="shared" si="238"/>
        <v>0</v>
      </c>
      <c r="CA355" s="525" t="b">
        <f t="shared" si="238"/>
        <v>0</v>
      </c>
      <c r="CB355" s="525" t="b">
        <f t="shared" si="238"/>
        <v>0</v>
      </c>
      <c r="CC355" s="525" t="b">
        <f t="shared" si="238"/>
        <v>0</v>
      </c>
      <c r="CD355" s="525" t="b">
        <f t="shared" si="238"/>
        <v>0</v>
      </c>
      <c r="CE355" s="525" t="b">
        <f t="shared" si="238"/>
        <v>0</v>
      </c>
      <c r="CF355" s="525" t="b">
        <f t="shared" si="238"/>
        <v>0</v>
      </c>
    </row>
    <row r="356" spans="1:84" ht="15" customHeight="1" x14ac:dyDescent="0.3">
      <c r="A356" s="765"/>
      <c r="C356" s="695"/>
      <c r="D356" s="696" t="str">
        <f>IF(INDEX(n.er,$AR355,11)="","",INDEX(n.er,$AR355,11))</f>
        <v>Lengyelország</v>
      </c>
      <c r="E356" s="697" t="str">
        <f>IF(NOT($AS355),"",INDEX(n.er,$AR355,10))</f>
        <v/>
      </c>
      <c r="F356" s="696"/>
      <c r="G356" s="259"/>
      <c r="H356" s="667">
        <v>1</v>
      </c>
      <c r="I356" s="668">
        <v>2</v>
      </c>
      <c r="J356" s="668">
        <v>2</v>
      </c>
      <c r="K356" s="668">
        <v>2</v>
      </c>
      <c r="L356" s="668">
        <v>1</v>
      </c>
      <c r="M356" s="668">
        <v>0</v>
      </c>
      <c r="N356" s="668">
        <v>1</v>
      </c>
      <c r="O356" s="668">
        <v>1</v>
      </c>
      <c r="P356" s="668">
        <v>1</v>
      </c>
      <c r="Q356" s="668">
        <v>1</v>
      </c>
      <c r="R356" s="668">
        <v>1</v>
      </c>
      <c r="S356" s="668">
        <v>0</v>
      </c>
      <c r="T356" s="668">
        <v>1</v>
      </c>
      <c r="U356" s="668">
        <v>0</v>
      </c>
      <c r="V356" s="668">
        <v>0</v>
      </c>
      <c r="W356" s="668">
        <v>1</v>
      </c>
      <c r="X356" s="668">
        <v>2</v>
      </c>
      <c r="Y356" s="668">
        <v>1</v>
      </c>
      <c r="Z356" s="668">
        <v>1</v>
      </c>
      <c r="AA356" s="668">
        <v>1</v>
      </c>
      <c r="AB356" s="668">
        <v>1</v>
      </c>
      <c r="AC356" s="668">
        <v>0</v>
      </c>
      <c r="AD356" s="668">
        <v>0</v>
      </c>
      <c r="AE356" s="668"/>
      <c r="AF356" s="668"/>
      <c r="AG356" s="668"/>
      <c r="AH356" s="668"/>
      <c r="AI356" s="668"/>
      <c r="AJ356" s="668"/>
      <c r="AK356" s="669"/>
      <c r="AP356" s="533"/>
      <c r="AQ356" s="577"/>
      <c r="AR356" s="534"/>
      <c r="AS356" s="535"/>
      <c r="AX356" s="531"/>
      <c r="BC356" s="34" t="b">
        <f t="shared" ref="BC356:CF356" si="239">OR(NOT(H$13),NOT($AS355),NOT(BC355))</f>
        <v>1</v>
      </c>
      <c r="BD356" s="34" t="b">
        <f t="shared" si="239"/>
        <v>1</v>
      </c>
      <c r="BE356" s="34" t="b">
        <f t="shared" si="239"/>
        <v>1</v>
      </c>
      <c r="BF356" s="34" t="b">
        <f t="shared" si="239"/>
        <v>1</v>
      </c>
      <c r="BG356" s="34" t="b">
        <f t="shared" si="239"/>
        <v>1</v>
      </c>
      <c r="BH356" s="34" t="b">
        <f t="shared" si="239"/>
        <v>1</v>
      </c>
      <c r="BI356" s="34" t="b">
        <f t="shared" si="239"/>
        <v>1</v>
      </c>
      <c r="BJ356" s="34" t="b">
        <f t="shared" si="239"/>
        <v>1</v>
      </c>
      <c r="BK356" s="34" t="b">
        <f t="shared" si="239"/>
        <v>1</v>
      </c>
      <c r="BL356" s="34" t="b">
        <f t="shared" si="239"/>
        <v>1</v>
      </c>
      <c r="BM356" s="34" t="b">
        <f t="shared" si="239"/>
        <v>1</v>
      </c>
      <c r="BN356" s="34" t="b">
        <f t="shared" si="239"/>
        <v>1</v>
      </c>
      <c r="BO356" s="34" t="b">
        <f t="shared" si="239"/>
        <v>1</v>
      </c>
      <c r="BP356" s="34" t="b">
        <f t="shared" si="239"/>
        <v>1</v>
      </c>
      <c r="BQ356" s="34" t="b">
        <f t="shared" si="239"/>
        <v>1</v>
      </c>
      <c r="BR356" s="34" t="b">
        <f t="shared" si="239"/>
        <v>1</v>
      </c>
      <c r="BS356" s="34" t="b">
        <f t="shared" si="239"/>
        <v>1</v>
      </c>
      <c r="BT356" s="34" t="b">
        <f t="shared" si="239"/>
        <v>1</v>
      </c>
      <c r="BU356" s="34" t="b">
        <f t="shared" si="239"/>
        <v>1</v>
      </c>
      <c r="BV356" s="34" t="b">
        <f t="shared" si="239"/>
        <v>1</v>
      </c>
      <c r="BW356" s="34" t="b">
        <f t="shared" si="239"/>
        <v>1</v>
      </c>
      <c r="BX356" s="34" t="b">
        <f t="shared" si="239"/>
        <v>1</v>
      </c>
      <c r="BY356" s="34" t="b">
        <f t="shared" si="239"/>
        <v>1</v>
      </c>
      <c r="BZ356" s="34" t="b">
        <f t="shared" si="239"/>
        <v>1</v>
      </c>
      <c r="CA356" s="34" t="b">
        <f t="shared" si="239"/>
        <v>1</v>
      </c>
      <c r="CB356" s="34" t="b">
        <f t="shared" si="239"/>
        <v>1</v>
      </c>
      <c r="CC356" s="34" t="b">
        <f t="shared" si="239"/>
        <v>1</v>
      </c>
      <c r="CD356" s="34" t="b">
        <f t="shared" si="239"/>
        <v>1</v>
      </c>
      <c r="CE356" s="34" t="b">
        <f t="shared" si="239"/>
        <v>1</v>
      </c>
      <c r="CF356" s="34" t="b">
        <f t="shared" si="239"/>
        <v>1</v>
      </c>
    </row>
    <row r="357" spans="1:84" ht="12" customHeight="1" x14ac:dyDescent="0.3">
      <c r="A357" s="765"/>
      <c r="E357" s="258" t="str">
        <f>$AX$92</f>
        <v>Telitalálat: 10 p</v>
      </c>
      <c r="H357" s="670" t="str">
        <f t="shared" ref="H357:AK357" si="240">IF(OR(BC356,NOT($AS$20)),"",IF(AND(H355=$E355,H356=$E356),"ü",""))</f>
        <v/>
      </c>
      <c r="I357" s="671" t="str">
        <f t="shared" si="240"/>
        <v/>
      </c>
      <c r="J357" s="671" t="str">
        <f t="shared" si="240"/>
        <v/>
      </c>
      <c r="K357" s="671" t="str">
        <f t="shared" si="240"/>
        <v/>
      </c>
      <c r="L357" s="671" t="str">
        <f t="shared" si="240"/>
        <v/>
      </c>
      <c r="M357" s="671" t="str">
        <f t="shared" si="240"/>
        <v/>
      </c>
      <c r="N357" s="671" t="str">
        <f t="shared" si="240"/>
        <v/>
      </c>
      <c r="O357" s="671" t="str">
        <f t="shared" si="240"/>
        <v/>
      </c>
      <c r="P357" s="671" t="str">
        <f t="shared" si="240"/>
        <v/>
      </c>
      <c r="Q357" s="671" t="str">
        <f t="shared" si="240"/>
        <v/>
      </c>
      <c r="R357" s="671" t="str">
        <f t="shared" si="240"/>
        <v/>
      </c>
      <c r="S357" s="671" t="str">
        <f t="shared" si="240"/>
        <v/>
      </c>
      <c r="T357" s="671" t="str">
        <f t="shared" si="240"/>
        <v/>
      </c>
      <c r="U357" s="671" t="str">
        <f t="shared" si="240"/>
        <v/>
      </c>
      <c r="V357" s="671" t="str">
        <f t="shared" si="240"/>
        <v/>
      </c>
      <c r="W357" s="671" t="str">
        <f t="shared" si="240"/>
        <v/>
      </c>
      <c r="X357" s="671" t="str">
        <f t="shared" si="240"/>
        <v/>
      </c>
      <c r="Y357" s="671" t="str">
        <f t="shared" si="240"/>
        <v/>
      </c>
      <c r="Z357" s="671" t="str">
        <f t="shared" si="240"/>
        <v/>
      </c>
      <c r="AA357" s="671" t="str">
        <f t="shared" si="240"/>
        <v/>
      </c>
      <c r="AB357" s="671" t="str">
        <f t="shared" si="240"/>
        <v/>
      </c>
      <c r="AC357" s="671" t="str">
        <f t="shared" si="240"/>
        <v/>
      </c>
      <c r="AD357" s="671" t="str">
        <f t="shared" si="240"/>
        <v/>
      </c>
      <c r="AE357" s="671" t="str">
        <f t="shared" si="240"/>
        <v/>
      </c>
      <c r="AF357" s="671" t="str">
        <f t="shared" si="240"/>
        <v/>
      </c>
      <c r="AG357" s="671" t="str">
        <f t="shared" si="240"/>
        <v/>
      </c>
      <c r="AH357" s="671" t="str">
        <f t="shared" si="240"/>
        <v/>
      </c>
      <c r="AI357" s="671" t="str">
        <f t="shared" si="240"/>
        <v/>
      </c>
      <c r="AJ357" s="671" t="str">
        <f t="shared" si="240"/>
        <v/>
      </c>
      <c r="AK357" s="672" t="str">
        <f t="shared" si="240"/>
        <v/>
      </c>
      <c r="AL357" s="15"/>
      <c r="AM357" s="15"/>
      <c r="AP357" s="536"/>
      <c r="AR357" s="537"/>
      <c r="AS357" s="529"/>
      <c r="AW357" s="390" t="str">
        <f>""</f>
        <v/>
      </c>
      <c r="AX357" s="531"/>
      <c r="AY357" s="390" t="str">
        <f>""</f>
        <v/>
      </c>
      <c r="BD357" s="520"/>
      <c r="BE357" s="520"/>
      <c r="BF357" s="520"/>
      <c r="BG357" s="520"/>
      <c r="BH357" s="520"/>
      <c r="BI357" s="520"/>
      <c r="BJ357" s="520"/>
      <c r="BK357" s="520"/>
      <c r="BL357" s="520"/>
      <c r="BM357" s="520"/>
      <c r="BN357" s="520"/>
      <c r="BO357" s="520"/>
      <c r="BP357" s="520"/>
      <c r="BQ357" s="520"/>
      <c r="BR357" s="520"/>
      <c r="BS357" s="520"/>
      <c r="BT357" s="520"/>
      <c r="BU357" s="520"/>
      <c r="BV357" s="520"/>
      <c r="BW357" s="520"/>
      <c r="BX357" s="520"/>
      <c r="BY357" s="520"/>
    </row>
    <row r="358" spans="1:84" ht="12" customHeight="1" x14ac:dyDescent="0.3">
      <c r="A358" s="765"/>
      <c r="E358" s="258" t="str">
        <f>$AX$93</f>
        <v>Gólkülönbség: 6 p</v>
      </c>
      <c r="H358" s="673" t="str">
        <f t="shared" ref="H358:AK358" si="241">IF(OR(BC356,NOT($AS$22)),"",IF(AND(NOT($AS$32),H357="ü"),"",IF(H355-H356=$E355-$E356,"ü"," ")))</f>
        <v/>
      </c>
      <c r="I358" s="674" t="str">
        <f t="shared" si="241"/>
        <v/>
      </c>
      <c r="J358" s="674" t="str">
        <f t="shared" si="241"/>
        <v/>
      </c>
      <c r="K358" s="674" t="str">
        <f t="shared" si="241"/>
        <v/>
      </c>
      <c r="L358" s="674" t="str">
        <f t="shared" si="241"/>
        <v/>
      </c>
      <c r="M358" s="674" t="str">
        <f t="shared" si="241"/>
        <v/>
      </c>
      <c r="N358" s="674" t="str">
        <f t="shared" si="241"/>
        <v/>
      </c>
      <c r="O358" s="674" t="str">
        <f t="shared" si="241"/>
        <v/>
      </c>
      <c r="P358" s="674" t="str">
        <f t="shared" si="241"/>
        <v/>
      </c>
      <c r="Q358" s="674" t="str">
        <f t="shared" si="241"/>
        <v/>
      </c>
      <c r="R358" s="674" t="str">
        <f t="shared" si="241"/>
        <v/>
      </c>
      <c r="S358" s="674" t="str">
        <f t="shared" si="241"/>
        <v/>
      </c>
      <c r="T358" s="674" t="str">
        <f t="shared" si="241"/>
        <v/>
      </c>
      <c r="U358" s="674" t="str">
        <f t="shared" si="241"/>
        <v/>
      </c>
      <c r="V358" s="674" t="str">
        <f t="shared" si="241"/>
        <v/>
      </c>
      <c r="W358" s="674" t="str">
        <f t="shared" si="241"/>
        <v/>
      </c>
      <c r="X358" s="674" t="str">
        <f t="shared" si="241"/>
        <v/>
      </c>
      <c r="Y358" s="674" t="str">
        <f t="shared" si="241"/>
        <v/>
      </c>
      <c r="Z358" s="674" t="str">
        <f t="shared" si="241"/>
        <v/>
      </c>
      <c r="AA358" s="674" t="str">
        <f t="shared" si="241"/>
        <v/>
      </c>
      <c r="AB358" s="674" t="str">
        <f t="shared" si="241"/>
        <v/>
      </c>
      <c r="AC358" s="674" t="str">
        <f t="shared" si="241"/>
        <v/>
      </c>
      <c r="AD358" s="674" t="str">
        <f t="shared" si="241"/>
        <v/>
      </c>
      <c r="AE358" s="674" t="str">
        <f t="shared" si="241"/>
        <v/>
      </c>
      <c r="AF358" s="674" t="str">
        <f t="shared" si="241"/>
        <v/>
      </c>
      <c r="AG358" s="674" t="str">
        <f t="shared" si="241"/>
        <v/>
      </c>
      <c r="AH358" s="674" t="str">
        <f t="shared" si="241"/>
        <v/>
      </c>
      <c r="AI358" s="674" t="str">
        <f t="shared" si="241"/>
        <v/>
      </c>
      <c r="AJ358" s="674" t="str">
        <f t="shared" si="241"/>
        <v/>
      </c>
      <c r="AK358" s="675" t="str">
        <f t="shared" si="241"/>
        <v/>
      </c>
      <c r="AL358" s="15"/>
      <c r="AM358" s="15"/>
      <c r="AP358" s="536"/>
      <c r="AR358" s="537"/>
      <c r="AS358" s="529"/>
      <c r="AW358" s="390" t="str">
        <f>""</f>
        <v/>
      </c>
      <c r="AX358" s="531"/>
      <c r="AY358" s="390" t="str">
        <f>""</f>
        <v/>
      </c>
      <c r="BD358" s="520"/>
      <c r="BE358" s="520"/>
      <c r="BF358" s="520"/>
      <c r="BG358" s="520"/>
      <c r="BH358" s="520"/>
      <c r="BI358" s="520"/>
      <c r="BJ358" s="520"/>
      <c r="BK358" s="520"/>
      <c r="BL358" s="520"/>
      <c r="BM358" s="520"/>
      <c r="BN358" s="520"/>
      <c r="BO358" s="520"/>
      <c r="BP358" s="520"/>
      <c r="BQ358" s="520"/>
      <c r="BR358" s="520"/>
      <c r="BS358" s="520"/>
      <c r="BT358" s="520"/>
      <c r="BU358" s="520"/>
      <c r="BV358" s="520"/>
      <c r="BW358" s="520"/>
      <c r="BX358" s="520"/>
      <c r="BY358" s="520"/>
    </row>
    <row r="359" spans="1:84" ht="12" customHeight="1" x14ac:dyDescent="0.3">
      <c r="A359" s="765"/>
      <c r="E359" s="258" t="str">
        <f>$AX$94</f>
        <v>Mérkőzés kimenetele: 4 p</v>
      </c>
      <c r="H359" s="673" t="str">
        <f t="shared" ref="H359:AK359" si="242">IF(OR(BC356,NOT($AS$24)),"",IF(AND(NOT($AS$32),COUNTIF(H357:H358,"ü")&gt;0),"",IF(SIGN(H355-H356)=SIGN($E355-$E356),"ü"," ")))</f>
        <v/>
      </c>
      <c r="I359" s="674" t="str">
        <f t="shared" si="242"/>
        <v/>
      </c>
      <c r="J359" s="674" t="str">
        <f t="shared" si="242"/>
        <v/>
      </c>
      <c r="K359" s="674" t="str">
        <f t="shared" si="242"/>
        <v/>
      </c>
      <c r="L359" s="674" t="str">
        <f t="shared" si="242"/>
        <v/>
      </c>
      <c r="M359" s="674" t="str">
        <f t="shared" si="242"/>
        <v/>
      </c>
      <c r="N359" s="674" t="str">
        <f t="shared" si="242"/>
        <v/>
      </c>
      <c r="O359" s="674" t="str">
        <f t="shared" si="242"/>
        <v/>
      </c>
      <c r="P359" s="674" t="str">
        <f t="shared" si="242"/>
        <v/>
      </c>
      <c r="Q359" s="674" t="str">
        <f t="shared" si="242"/>
        <v/>
      </c>
      <c r="R359" s="674" t="str">
        <f t="shared" si="242"/>
        <v/>
      </c>
      <c r="S359" s="674" t="str">
        <f t="shared" si="242"/>
        <v/>
      </c>
      <c r="T359" s="674" t="str">
        <f t="shared" si="242"/>
        <v/>
      </c>
      <c r="U359" s="674" t="str">
        <f t="shared" si="242"/>
        <v/>
      </c>
      <c r="V359" s="674" t="str">
        <f t="shared" si="242"/>
        <v/>
      </c>
      <c r="W359" s="674" t="str">
        <f t="shared" si="242"/>
        <v/>
      </c>
      <c r="X359" s="674" t="str">
        <f t="shared" si="242"/>
        <v/>
      </c>
      <c r="Y359" s="674" t="str">
        <f t="shared" si="242"/>
        <v/>
      </c>
      <c r="Z359" s="674" t="str">
        <f t="shared" si="242"/>
        <v/>
      </c>
      <c r="AA359" s="674" t="str">
        <f t="shared" si="242"/>
        <v/>
      </c>
      <c r="AB359" s="674" t="str">
        <f t="shared" si="242"/>
        <v/>
      </c>
      <c r="AC359" s="674" t="str">
        <f t="shared" si="242"/>
        <v/>
      </c>
      <c r="AD359" s="674" t="str">
        <f t="shared" si="242"/>
        <v/>
      </c>
      <c r="AE359" s="674" t="str">
        <f t="shared" si="242"/>
        <v/>
      </c>
      <c r="AF359" s="674" t="str">
        <f t="shared" si="242"/>
        <v/>
      </c>
      <c r="AG359" s="674" t="str">
        <f t="shared" si="242"/>
        <v/>
      </c>
      <c r="AH359" s="674" t="str">
        <f t="shared" si="242"/>
        <v/>
      </c>
      <c r="AI359" s="674" t="str">
        <f t="shared" si="242"/>
        <v/>
      </c>
      <c r="AJ359" s="674" t="str">
        <f t="shared" si="242"/>
        <v/>
      </c>
      <c r="AK359" s="675" t="str">
        <f t="shared" si="242"/>
        <v/>
      </c>
      <c r="AL359" s="15"/>
      <c r="AM359" s="15"/>
      <c r="AP359" s="536"/>
      <c r="AR359" s="537"/>
      <c r="AS359" s="529"/>
      <c r="AW359" s="390" t="str">
        <f>""</f>
        <v/>
      </c>
      <c r="AX359" s="531"/>
      <c r="AY359" s="390" t="str">
        <f>""</f>
        <v/>
      </c>
      <c r="BD359" s="520"/>
      <c r="BE359" s="520"/>
      <c r="BF359" s="520"/>
      <c r="BG359" s="520"/>
      <c r="BH359" s="520"/>
      <c r="BI359" s="520"/>
      <c r="BJ359" s="520"/>
      <c r="BK359" s="520"/>
      <c r="BL359" s="520"/>
      <c r="BM359" s="520"/>
      <c r="BN359" s="520"/>
      <c r="BO359" s="520"/>
      <c r="BP359" s="520"/>
      <c r="BQ359" s="520"/>
      <c r="BR359" s="520"/>
      <c r="BS359" s="520"/>
      <c r="BT359" s="520"/>
      <c r="BU359" s="520"/>
      <c r="BV359" s="520"/>
      <c r="BW359" s="520"/>
      <c r="BX359" s="520"/>
      <c r="BY359" s="520"/>
    </row>
    <row r="360" spans="1:84" ht="12" customHeight="1" x14ac:dyDescent="0.3">
      <c r="A360" s="765"/>
      <c r="E360" s="258" t="str">
        <f>$AX$95</f>
        <v>Egyik csapat góljainak száma: 3 p</v>
      </c>
      <c r="H360" s="673" t="str">
        <f t="shared" ref="H360:AK360" si="243">IF(OR(BC356,NOT($AS$26)),"",IF(AND(NOT($AS$32),COUNTIF(H357:H359,"ü")&gt;0),"",IF(OR(H355=$E355,H356=$E356),"ü"," ")))</f>
        <v/>
      </c>
      <c r="I360" s="674" t="str">
        <f t="shared" si="243"/>
        <v/>
      </c>
      <c r="J360" s="674" t="str">
        <f t="shared" si="243"/>
        <v/>
      </c>
      <c r="K360" s="674" t="str">
        <f t="shared" si="243"/>
        <v/>
      </c>
      <c r="L360" s="674" t="str">
        <f t="shared" si="243"/>
        <v/>
      </c>
      <c r="M360" s="674" t="str">
        <f t="shared" si="243"/>
        <v/>
      </c>
      <c r="N360" s="674" t="str">
        <f t="shared" si="243"/>
        <v/>
      </c>
      <c r="O360" s="674" t="str">
        <f t="shared" si="243"/>
        <v/>
      </c>
      <c r="P360" s="674" t="str">
        <f t="shared" si="243"/>
        <v/>
      </c>
      <c r="Q360" s="674" t="str">
        <f t="shared" si="243"/>
        <v/>
      </c>
      <c r="R360" s="674" t="str">
        <f t="shared" si="243"/>
        <v/>
      </c>
      <c r="S360" s="674" t="str">
        <f t="shared" si="243"/>
        <v/>
      </c>
      <c r="T360" s="674" t="str">
        <f t="shared" si="243"/>
        <v/>
      </c>
      <c r="U360" s="674" t="str">
        <f t="shared" si="243"/>
        <v/>
      </c>
      <c r="V360" s="674" t="str">
        <f t="shared" si="243"/>
        <v/>
      </c>
      <c r="W360" s="674" t="str">
        <f t="shared" si="243"/>
        <v/>
      </c>
      <c r="X360" s="674" t="str">
        <f t="shared" si="243"/>
        <v/>
      </c>
      <c r="Y360" s="674" t="str">
        <f t="shared" si="243"/>
        <v/>
      </c>
      <c r="Z360" s="674" t="str">
        <f t="shared" si="243"/>
        <v/>
      </c>
      <c r="AA360" s="674" t="str">
        <f t="shared" si="243"/>
        <v/>
      </c>
      <c r="AB360" s="674" t="str">
        <f t="shared" si="243"/>
        <v/>
      </c>
      <c r="AC360" s="674" t="str">
        <f t="shared" si="243"/>
        <v/>
      </c>
      <c r="AD360" s="674" t="str">
        <f t="shared" si="243"/>
        <v/>
      </c>
      <c r="AE360" s="674" t="str">
        <f t="shared" si="243"/>
        <v/>
      </c>
      <c r="AF360" s="674" t="str">
        <f t="shared" si="243"/>
        <v/>
      </c>
      <c r="AG360" s="674" t="str">
        <f t="shared" si="243"/>
        <v/>
      </c>
      <c r="AH360" s="674" t="str">
        <f t="shared" si="243"/>
        <v/>
      </c>
      <c r="AI360" s="674" t="str">
        <f t="shared" si="243"/>
        <v/>
      </c>
      <c r="AJ360" s="674" t="str">
        <f t="shared" si="243"/>
        <v/>
      </c>
      <c r="AK360" s="675" t="str">
        <f t="shared" si="243"/>
        <v/>
      </c>
      <c r="AL360" s="15"/>
      <c r="AM360" s="15"/>
      <c r="AP360" s="536"/>
      <c r="AR360" s="537"/>
      <c r="AS360" s="529"/>
      <c r="AW360" s="390" t="str">
        <f>""</f>
        <v/>
      </c>
      <c r="AX360" s="531"/>
      <c r="AY360" s="390" t="str">
        <f>""</f>
        <v/>
      </c>
      <c r="BD360" s="520"/>
      <c r="BE360" s="520"/>
      <c r="BF360" s="520"/>
      <c r="BG360" s="520"/>
      <c r="BH360" s="520"/>
      <c r="BI360" s="520"/>
      <c r="BJ360" s="520"/>
      <c r="BK360" s="520"/>
      <c r="BL360" s="520"/>
      <c r="BM360" s="520"/>
      <c r="BN360" s="520"/>
      <c r="BO360" s="520"/>
      <c r="BP360" s="520"/>
      <c r="BQ360" s="520"/>
      <c r="BR360" s="520"/>
      <c r="BS360" s="520"/>
      <c r="BT360" s="520"/>
      <c r="BU360" s="520"/>
      <c r="BV360" s="520"/>
      <c r="BW360" s="520"/>
      <c r="BX360" s="520"/>
      <c r="BY360" s="520"/>
    </row>
    <row r="361" spans="1:84" ht="12" customHeight="1" x14ac:dyDescent="0.3">
      <c r="A361" s="765"/>
      <c r="E361" s="258" t="str">
        <f>$AX$96</f>
        <v>Összes gól: 2 p</v>
      </c>
      <c r="H361" s="673" t="str">
        <f t="shared" ref="H361:AK361" si="244">IF(OR(BC356,NOT($AS$28)),"",IF(AND(NOT($AS$32),COUNTIF(H357:H360,"ü")&gt;0),"",IF(H355+H356=$E355+$E356,"ü"," ")))</f>
        <v/>
      </c>
      <c r="I361" s="674" t="str">
        <f t="shared" si="244"/>
        <v/>
      </c>
      <c r="J361" s="674" t="str">
        <f t="shared" si="244"/>
        <v/>
      </c>
      <c r="K361" s="674" t="str">
        <f t="shared" si="244"/>
        <v/>
      </c>
      <c r="L361" s="674" t="str">
        <f t="shared" si="244"/>
        <v/>
      </c>
      <c r="M361" s="674" t="str">
        <f t="shared" si="244"/>
        <v/>
      </c>
      <c r="N361" s="674" t="str">
        <f t="shared" si="244"/>
        <v/>
      </c>
      <c r="O361" s="674" t="str">
        <f t="shared" si="244"/>
        <v/>
      </c>
      <c r="P361" s="674" t="str">
        <f t="shared" si="244"/>
        <v/>
      </c>
      <c r="Q361" s="674" t="str">
        <f t="shared" si="244"/>
        <v/>
      </c>
      <c r="R361" s="674" t="str">
        <f t="shared" si="244"/>
        <v/>
      </c>
      <c r="S361" s="674" t="str">
        <f t="shared" si="244"/>
        <v/>
      </c>
      <c r="T361" s="674" t="str">
        <f t="shared" si="244"/>
        <v/>
      </c>
      <c r="U361" s="674" t="str">
        <f t="shared" si="244"/>
        <v/>
      </c>
      <c r="V361" s="674" t="str">
        <f t="shared" si="244"/>
        <v/>
      </c>
      <c r="W361" s="674" t="str">
        <f t="shared" si="244"/>
        <v/>
      </c>
      <c r="X361" s="674" t="str">
        <f t="shared" si="244"/>
        <v/>
      </c>
      <c r="Y361" s="674" t="str">
        <f t="shared" si="244"/>
        <v/>
      </c>
      <c r="Z361" s="674" t="str">
        <f t="shared" si="244"/>
        <v/>
      </c>
      <c r="AA361" s="674" t="str">
        <f t="shared" si="244"/>
        <v/>
      </c>
      <c r="AB361" s="674" t="str">
        <f t="shared" si="244"/>
        <v/>
      </c>
      <c r="AC361" s="674" t="str">
        <f t="shared" si="244"/>
        <v/>
      </c>
      <c r="AD361" s="674" t="str">
        <f t="shared" si="244"/>
        <v/>
      </c>
      <c r="AE361" s="674" t="str">
        <f t="shared" si="244"/>
        <v/>
      </c>
      <c r="AF361" s="674" t="str">
        <f t="shared" si="244"/>
        <v/>
      </c>
      <c r="AG361" s="674" t="str">
        <f t="shared" si="244"/>
        <v/>
      </c>
      <c r="AH361" s="674" t="str">
        <f t="shared" si="244"/>
        <v/>
      </c>
      <c r="AI361" s="674" t="str">
        <f t="shared" si="244"/>
        <v/>
      </c>
      <c r="AJ361" s="674" t="str">
        <f t="shared" si="244"/>
        <v/>
      </c>
      <c r="AK361" s="675" t="str">
        <f t="shared" si="244"/>
        <v/>
      </c>
      <c r="AL361" s="15"/>
      <c r="AM361" s="15"/>
      <c r="AP361" s="536"/>
      <c r="AR361" s="537"/>
      <c r="AS361" s="529"/>
      <c r="AW361" s="390" t="str">
        <f>""</f>
        <v/>
      </c>
      <c r="AX361" s="531"/>
      <c r="AY361" s="390" t="str">
        <f>""</f>
        <v/>
      </c>
      <c r="BD361" s="520"/>
      <c r="BE361" s="520"/>
      <c r="BF361" s="520"/>
      <c r="BG361" s="520"/>
      <c r="BH361" s="520"/>
      <c r="BI361" s="520"/>
      <c r="BJ361" s="520"/>
      <c r="BK361" s="520"/>
      <c r="BL361" s="520"/>
      <c r="BM361" s="520"/>
      <c r="BN361" s="520"/>
      <c r="BO361" s="520"/>
      <c r="BP361" s="520"/>
      <c r="BQ361" s="520"/>
      <c r="BR361" s="520"/>
      <c r="BS361" s="520"/>
      <c r="BT361" s="520"/>
      <c r="BU361" s="520"/>
      <c r="BV361" s="520"/>
      <c r="BW361" s="520"/>
      <c r="BX361" s="520"/>
      <c r="BY361" s="520"/>
    </row>
    <row r="362" spans="1:84" ht="12" customHeight="1" x14ac:dyDescent="0.3">
      <c r="A362" s="765"/>
      <c r="E362" s="258" t="str">
        <f>$AX$97</f>
        <v>Fordított gólkülönbség: 1 p</v>
      </c>
      <c r="H362" s="676" t="str">
        <f t="shared" ref="H362:AK362" si="245">IF(OR(BC356,NOT($AS$30)),"",IF(AND(NOT($AS$32),COUNTIF(H357:H361,"ü")&gt;0),"",IF(AND(H355-H356=$E356-$E355,H355&lt;&gt;H356),"ü"," ")))</f>
        <v/>
      </c>
      <c r="I362" s="677" t="str">
        <f t="shared" si="245"/>
        <v/>
      </c>
      <c r="J362" s="677" t="str">
        <f t="shared" si="245"/>
        <v/>
      </c>
      <c r="K362" s="677" t="str">
        <f t="shared" si="245"/>
        <v/>
      </c>
      <c r="L362" s="677" t="str">
        <f t="shared" si="245"/>
        <v/>
      </c>
      <c r="M362" s="677" t="str">
        <f t="shared" si="245"/>
        <v/>
      </c>
      <c r="N362" s="677" t="str">
        <f t="shared" si="245"/>
        <v/>
      </c>
      <c r="O362" s="677" t="str">
        <f t="shared" si="245"/>
        <v/>
      </c>
      <c r="P362" s="677" t="str">
        <f t="shared" si="245"/>
        <v/>
      </c>
      <c r="Q362" s="677" t="str">
        <f t="shared" si="245"/>
        <v/>
      </c>
      <c r="R362" s="677" t="str">
        <f t="shared" si="245"/>
        <v/>
      </c>
      <c r="S362" s="677" t="str">
        <f t="shared" si="245"/>
        <v/>
      </c>
      <c r="T362" s="677" t="str">
        <f t="shared" si="245"/>
        <v/>
      </c>
      <c r="U362" s="677" t="str">
        <f t="shared" si="245"/>
        <v/>
      </c>
      <c r="V362" s="677" t="str">
        <f t="shared" si="245"/>
        <v/>
      </c>
      <c r="W362" s="677" t="str">
        <f t="shared" si="245"/>
        <v/>
      </c>
      <c r="X362" s="677" t="str">
        <f t="shared" si="245"/>
        <v/>
      </c>
      <c r="Y362" s="677" t="str">
        <f t="shared" si="245"/>
        <v/>
      </c>
      <c r="Z362" s="677" t="str">
        <f t="shared" si="245"/>
        <v/>
      </c>
      <c r="AA362" s="677" t="str">
        <f t="shared" si="245"/>
        <v/>
      </c>
      <c r="AB362" s="677" t="str">
        <f t="shared" si="245"/>
        <v/>
      </c>
      <c r="AC362" s="677" t="str">
        <f t="shared" si="245"/>
        <v/>
      </c>
      <c r="AD362" s="677" t="str">
        <f t="shared" si="245"/>
        <v/>
      </c>
      <c r="AE362" s="677" t="str">
        <f t="shared" si="245"/>
        <v/>
      </c>
      <c r="AF362" s="677" t="str">
        <f t="shared" si="245"/>
        <v/>
      </c>
      <c r="AG362" s="677" t="str">
        <f t="shared" si="245"/>
        <v/>
      </c>
      <c r="AH362" s="677" t="str">
        <f t="shared" si="245"/>
        <v/>
      </c>
      <c r="AI362" s="677" t="str">
        <f t="shared" si="245"/>
        <v/>
      </c>
      <c r="AJ362" s="677" t="str">
        <f t="shared" si="245"/>
        <v/>
      </c>
      <c r="AK362" s="678" t="str">
        <f t="shared" si="245"/>
        <v/>
      </c>
      <c r="AL362" s="15"/>
      <c r="AM362" s="15"/>
      <c r="AP362" s="536"/>
      <c r="AR362" s="537"/>
      <c r="AS362" s="529"/>
      <c r="AW362" s="390" t="str">
        <f>""</f>
        <v/>
      </c>
      <c r="AX362" s="531"/>
      <c r="AY362" s="390" t="str">
        <f>""</f>
        <v/>
      </c>
      <c r="BD362" s="520"/>
      <c r="BE362" s="520"/>
      <c r="BF362" s="520"/>
      <c r="BG362" s="520"/>
      <c r="BH362" s="520"/>
      <c r="BI362" s="520"/>
      <c r="BJ362" s="520"/>
      <c r="BK362" s="520"/>
      <c r="BL362" s="520"/>
      <c r="BM362" s="520"/>
      <c r="BN362" s="520"/>
      <c r="BO362" s="520"/>
      <c r="BP362" s="520"/>
      <c r="BQ362" s="520"/>
      <c r="BR362" s="520"/>
      <c r="BS362" s="520"/>
      <c r="BT362" s="520"/>
      <c r="BU362" s="520"/>
      <c r="BV362" s="520"/>
      <c r="BW362" s="520"/>
      <c r="BX362" s="520"/>
      <c r="BY362" s="520"/>
    </row>
    <row r="363" spans="1:84" ht="15" customHeight="1" x14ac:dyDescent="0.3">
      <c r="A363" s="765"/>
      <c r="E363" s="79" t="s">
        <v>799</v>
      </c>
      <c r="H363" s="679">
        <f t="shared" ref="H363:AK363" si="246">IF(NOT(H$13),"",SUMPRODUCT((H357:H362="ü")*($AW$92:$AW$97)))</f>
        <v>0</v>
      </c>
      <c r="I363" s="680">
        <f t="shared" si="246"/>
        <v>0</v>
      </c>
      <c r="J363" s="680">
        <f t="shared" si="246"/>
        <v>0</v>
      </c>
      <c r="K363" s="680">
        <f t="shared" si="246"/>
        <v>0</v>
      </c>
      <c r="L363" s="680">
        <f t="shared" si="246"/>
        <v>0</v>
      </c>
      <c r="M363" s="680">
        <f t="shared" si="246"/>
        <v>0</v>
      </c>
      <c r="N363" s="680">
        <f t="shared" si="246"/>
        <v>0</v>
      </c>
      <c r="O363" s="680">
        <f t="shared" si="246"/>
        <v>0</v>
      </c>
      <c r="P363" s="680">
        <f t="shared" si="246"/>
        <v>0</v>
      </c>
      <c r="Q363" s="680">
        <f t="shared" si="246"/>
        <v>0</v>
      </c>
      <c r="R363" s="680">
        <f t="shared" si="246"/>
        <v>0</v>
      </c>
      <c r="S363" s="680">
        <f t="shared" si="246"/>
        <v>0</v>
      </c>
      <c r="T363" s="680">
        <f t="shared" si="246"/>
        <v>0</v>
      </c>
      <c r="U363" s="680">
        <f t="shared" si="246"/>
        <v>0</v>
      </c>
      <c r="V363" s="680">
        <f t="shared" si="246"/>
        <v>0</v>
      </c>
      <c r="W363" s="680">
        <f t="shared" si="246"/>
        <v>0</v>
      </c>
      <c r="X363" s="680">
        <f t="shared" si="246"/>
        <v>0</v>
      </c>
      <c r="Y363" s="680">
        <f t="shared" si="246"/>
        <v>0</v>
      </c>
      <c r="Z363" s="680">
        <f t="shared" si="246"/>
        <v>0</v>
      </c>
      <c r="AA363" s="680">
        <f t="shared" si="246"/>
        <v>0</v>
      </c>
      <c r="AB363" s="680">
        <f t="shared" si="246"/>
        <v>0</v>
      </c>
      <c r="AC363" s="680">
        <f t="shared" si="246"/>
        <v>0</v>
      </c>
      <c r="AD363" s="680">
        <f t="shared" si="246"/>
        <v>0</v>
      </c>
      <c r="AE363" s="680" t="str">
        <f t="shared" si="246"/>
        <v/>
      </c>
      <c r="AF363" s="680" t="str">
        <f t="shared" si="246"/>
        <v/>
      </c>
      <c r="AG363" s="680" t="str">
        <f t="shared" si="246"/>
        <v/>
      </c>
      <c r="AH363" s="680" t="str">
        <f t="shared" si="246"/>
        <v/>
      </c>
      <c r="AI363" s="680" t="str">
        <f t="shared" si="246"/>
        <v/>
      </c>
      <c r="AJ363" s="680" t="str">
        <f t="shared" si="246"/>
        <v/>
      </c>
      <c r="AK363" s="681" t="str">
        <f t="shared" si="246"/>
        <v/>
      </c>
      <c r="AP363" s="538"/>
      <c r="AQ363" s="699"/>
      <c r="AR363" s="539"/>
      <c r="AS363" s="540"/>
    </row>
    <row r="364" spans="1:84" x14ac:dyDescent="0.3">
      <c r="A364" s="765"/>
    </row>
    <row r="365" spans="1:84" x14ac:dyDescent="0.3">
      <c r="A365" s="765"/>
    </row>
    <row r="366" spans="1:84" x14ac:dyDescent="0.3">
      <c r="A366" s="765"/>
    </row>
    <row r="367" spans="1:84" x14ac:dyDescent="0.3">
      <c r="A367" s="765"/>
    </row>
    <row r="368" spans="1:84" x14ac:dyDescent="0.3">
      <c r="A368" s="765"/>
    </row>
    <row r="369" spans="1:86" x14ac:dyDescent="0.3">
      <c r="A369" s="765"/>
    </row>
    <row r="370" spans="1:86" x14ac:dyDescent="0.3">
      <c r="A370" s="765"/>
    </row>
    <row r="371" spans="1:86" x14ac:dyDescent="0.3">
      <c r="A371" s="765"/>
    </row>
    <row r="372" spans="1:86" x14ac:dyDescent="0.3">
      <c r="A372" s="765"/>
    </row>
    <row r="373" spans="1:86" ht="12" customHeight="1" x14ac:dyDescent="0.3">
      <c r="A373" s="765"/>
      <c r="D373" s="15"/>
      <c r="E373" s="15"/>
      <c r="F373" s="15"/>
      <c r="G373" s="15"/>
      <c r="H373" s="15"/>
      <c r="I373" s="16"/>
      <c r="J373" s="15"/>
      <c r="K373" s="15"/>
      <c r="L373" s="16"/>
      <c r="M373" s="15"/>
      <c r="N373" s="15"/>
      <c r="O373" s="16"/>
      <c r="P373" s="15"/>
      <c r="Q373" s="15"/>
      <c r="R373" s="16"/>
      <c r="S373" s="15"/>
      <c r="T373" s="15"/>
      <c r="U373" s="16"/>
      <c r="V373" s="15"/>
      <c r="W373" s="15"/>
      <c r="X373" s="16"/>
      <c r="Y373" s="15"/>
      <c r="Z373" s="15"/>
      <c r="AA373" s="16"/>
      <c r="AB373" s="15"/>
      <c r="AC373" s="15"/>
      <c r="AD373" s="16"/>
      <c r="AE373" s="15"/>
      <c r="AF373" s="15"/>
      <c r="AG373" s="16"/>
      <c r="AH373" s="15"/>
      <c r="AI373" s="15"/>
      <c r="AJ373" s="16"/>
      <c r="AK373" s="15"/>
    </row>
    <row r="374" spans="1:86" ht="15" customHeight="1" x14ac:dyDescent="0.3">
      <c r="A374" s="765"/>
      <c r="C374" s="657"/>
      <c r="D374" s="652" t="s">
        <v>803</v>
      </c>
      <c r="E374" s="658"/>
      <c r="F374" s="659"/>
      <c r="G374" s="659"/>
      <c r="H374" s="659"/>
      <c r="I374" s="660"/>
      <c r="J374" s="659"/>
      <c r="K374" s="659"/>
      <c r="L374" s="660"/>
      <c r="M374" s="659"/>
      <c r="N374" s="659"/>
      <c r="O374" s="660"/>
      <c r="P374" s="659"/>
      <c r="Q374" s="659"/>
      <c r="R374" s="660"/>
      <c r="S374" s="659"/>
      <c r="T374" s="659"/>
      <c r="U374" s="660"/>
      <c r="V374" s="659"/>
      <c r="W374" s="659"/>
      <c r="X374" s="660"/>
      <c r="Y374" s="659"/>
      <c r="Z374" s="659"/>
      <c r="AA374" s="660"/>
      <c r="AB374" s="659"/>
      <c r="AC374" s="659"/>
      <c r="AD374" s="660"/>
      <c r="AE374" s="659"/>
      <c r="AF374" s="659"/>
      <c r="AG374" s="660"/>
      <c r="AH374" s="659"/>
      <c r="AI374" s="659"/>
      <c r="AJ374" s="660"/>
      <c r="AK374" s="659"/>
    </row>
    <row r="375" spans="1:86" s="31" customFormat="1" ht="15" customHeight="1" x14ac:dyDescent="0.3">
      <c r="A375" s="765"/>
      <c r="B375" s="29"/>
      <c r="C375" s="654"/>
      <c r="D375" s="653"/>
      <c r="E375" s="84" t="s">
        <v>801</v>
      </c>
      <c r="F375" s="41"/>
      <c r="G375" s="655"/>
      <c r="H375" s="656">
        <f t="shared" ref="H375:AK375" si="247">IF(NOT(H$13),"",SUMIF($E386:$E507,$E$98,H386:H507))</f>
        <v>0</v>
      </c>
      <c r="I375" s="656">
        <f t="shared" si="247"/>
        <v>0</v>
      </c>
      <c r="J375" s="656">
        <f t="shared" si="247"/>
        <v>0</v>
      </c>
      <c r="K375" s="656">
        <f t="shared" si="247"/>
        <v>0</v>
      </c>
      <c r="L375" s="656">
        <f t="shared" si="247"/>
        <v>0</v>
      </c>
      <c r="M375" s="656">
        <f t="shared" si="247"/>
        <v>0</v>
      </c>
      <c r="N375" s="656">
        <f t="shared" si="247"/>
        <v>0</v>
      </c>
      <c r="O375" s="656">
        <f t="shared" si="247"/>
        <v>0</v>
      </c>
      <c r="P375" s="656">
        <f t="shared" si="247"/>
        <v>0</v>
      </c>
      <c r="Q375" s="656">
        <f t="shared" si="247"/>
        <v>0</v>
      </c>
      <c r="R375" s="656">
        <f t="shared" si="247"/>
        <v>0</v>
      </c>
      <c r="S375" s="656">
        <f t="shared" si="247"/>
        <v>0</v>
      </c>
      <c r="T375" s="656">
        <f t="shared" si="247"/>
        <v>0</v>
      </c>
      <c r="U375" s="656">
        <f t="shared" si="247"/>
        <v>0</v>
      </c>
      <c r="V375" s="656">
        <f t="shared" si="247"/>
        <v>0</v>
      </c>
      <c r="W375" s="656">
        <f t="shared" si="247"/>
        <v>0</v>
      </c>
      <c r="X375" s="656">
        <f t="shared" si="247"/>
        <v>0</v>
      </c>
      <c r="Y375" s="656">
        <f t="shared" si="247"/>
        <v>0</v>
      </c>
      <c r="Z375" s="656">
        <f t="shared" si="247"/>
        <v>0</v>
      </c>
      <c r="AA375" s="656">
        <f t="shared" si="247"/>
        <v>0</v>
      </c>
      <c r="AB375" s="656">
        <f t="shared" si="247"/>
        <v>0</v>
      </c>
      <c r="AC375" s="656">
        <f t="shared" si="247"/>
        <v>0</v>
      </c>
      <c r="AD375" s="656">
        <f t="shared" si="247"/>
        <v>0</v>
      </c>
      <c r="AE375" s="656" t="str">
        <f t="shared" si="247"/>
        <v/>
      </c>
      <c r="AF375" s="656" t="str">
        <f t="shared" si="247"/>
        <v/>
      </c>
      <c r="AG375" s="656" t="str">
        <f t="shared" si="247"/>
        <v/>
      </c>
      <c r="AH375" s="656" t="str">
        <f t="shared" si="247"/>
        <v/>
      </c>
      <c r="AI375" s="656" t="str">
        <f t="shared" si="247"/>
        <v/>
      </c>
      <c r="AJ375" s="656" t="str">
        <f t="shared" si="247"/>
        <v/>
      </c>
      <c r="AK375" s="656" t="str">
        <f t="shared" si="247"/>
        <v/>
      </c>
      <c r="AL375" s="30"/>
      <c r="AM375" s="30"/>
      <c r="AN375" s="14"/>
      <c r="AO375" s="390"/>
      <c r="AP375" s="390"/>
      <c r="AQ375" s="390"/>
      <c r="AR375" s="390"/>
      <c r="AS375" s="543" t="s">
        <v>800</v>
      </c>
      <c r="AT375" s="390"/>
      <c r="AU375" s="390"/>
      <c r="AV375" s="390"/>
      <c r="AW375" s="390"/>
      <c r="AX375" s="390"/>
      <c r="AY375" s="390"/>
      <c r="AZ375" s="14"/>
      <c r="BA375" s="520"/>
      <c r="BB375" s="520"/>
      <c r="BC375" s="520"/>
      <c r="BD375" s="390"/>
      <c r="BE375" s="390"/>
      <c r="BF375" s="390"/>
      <c r="BG375" s="390"/>
      <c r="BH375" s="390"/>
      <c r="BI375" s="390"/>
      <c r="BJ375" s="390"/>
      <c r="BK375" s="390"/>
      <c r="BL375" s="390"/>
      <c r="BM375" s="390"/>
      <c r="BN375" s="390"/>
      <c r="BO375" s="390"/>
      <c r="BP375" s="390"/>
      <c r="BQ375" s="390"/>
      <c r="BR375" s="390"/>
      <c r="BS375" s="390"/>
      <c r="BT375" s="390"/>
      <c r="BU375" s="390"/>
      <c r="BV375" s="390"/>
      <c r="BW375" s="390"/>
      <c r="BX375" s="390"/>
      <c r="BY375" s="390"/>
      <c r="BZ375" s="520"/>
      <c r="CA375" s="520"/>
      <c r="CB375" s="520"/>
      <c r="CC375" s="520"/>
      <c r="CD375" s="520"/>
      <c r="CE375" s="520"/>
      <c r="CF375" s="520"/>
      <c r="CG375" s="520"/>
      <c r="CH375" s="14"/>
    </row>
    <row r="376" spans="1:86" s="281" customFormat="1" ht="12" customHeight="1" x14ac:dyDescent="0.2">
      <c r="A376" s="765"/>
      <c r="C376" s="284"/>
      <c r="D376" s="284"/>
      <c r="E376" s="79"/>
      <c r="F376" s="27"/>
      <c r="G376" s="284"/>
      <c r="H376" s="283"/>
      <c r="I376" s="283"/>
      <c r="J376" s="283"/>
      <c r="K376" s="283"/>
      <c r="L376" s="283"/>
      <c r="M376" s="283"/>
      <c r="N376" s="283"/>
      <c r="O376" s="283"/>
      <c r="P376" s="283"/>
      <c r="Q376" s="283"/>
      <c r="R376" s="283"/>
      <c r="S376" s="283"/>
      <c r="T376" s="283"/>
      <c r="U376" s="283"/>
      <c r="V376" s="283"/>
      <c r="W376" s="283"/>
      <c r="X376" s="283"/>
      <c r="Y376" s="283"/>
      <c r="Z376" s="283"/>
      <c r="AA376" s="283"/>
      <c r="AB376" s="283"/>
      <c r="AC376" s="283"/>
      <c r="AD376" s="283"/>
      <c r="AE376" s="283"/>
      <c r="AF376" s="283"/>
      <c r="AG376" s="283"/>
      <c r="AH376" s="283"/>
      <c r="AI376" s="283"/>
      <c r="AJ376" s="283"/>
      <c r="AK376" s="283"/>
      <c r="AN376" s="282"/>
      <c r="AO376" s="524"/>
      <c r="AP376" s="524"/>
      <c r="AQ376" s="524"/>
      <c r="AR376" s="524"/>
      <c r="AS376" s="524"/>
      <c r="AT376" s="524"/>
      <c r="AU376" s="524"/>
      <c r="AV376" s="524"/>
      <c r="AW376" s="524"/>
      <c r="AX376" s="524"/>
      <c r="AY376" s="524"/>
      <c r="AZ376" s="282"/>
      <c r="BA376" s="523"/>
      <c r="BB376" s="523"/>
      <c r="BC376" s="523"/>
      <c r="BD376" s="524"/>
      <c r="BE376" s="524"/>
      <c r="BF376" s="524"/>
      <c r="BG376" s="524"/>
      <c r="BH376" s="524"/>
      <c r="BI376" s="524"/>
      <c r="BJ376" s="524"/>
      <c r="BK376" s="524"/>
      <c r="BL376" s="524"/>
      <c r="BM376" s="524"/>
      <c r="BN376" s="524"/>
      <c r="BO376" s="524"/>
      <c r="BP376" s="524"/>
      <c r="BQ376" s="524"/>
      <c r="BR376" s="524"/>
      <c r="BS376" s="524"/>
      <c r="BT376" s="524"/>
      <c r="BU376" s="524"/>
      <c r="BV376" s="524"/>
      <c r="BW376" s="524"/>
      <c r="BX376" s="524"/>
      <c r="BY376" s="524"/>
      <c r="BZ376" s="523"/>
      <c r="CA376" s="523"/>
      <c r="CB376" s="523"/>
      <c r="CC376" s="523"/>
      <c r="CD376" s="523"/>
      <c r="CE376" s="523"/>
      <c r="CF376" s="523"/>
      <c r="CG376" s="523"/>
      <c r="CH376" s="282"/>
    </row>
    <row r="377" spans="1:86" ht="15" customHeight="1" x14ac:dyDescent="0.3">
      <c r="A377" s="765"/>
      <c r="C377" s="27" t="str">
        <f>" "&amp;VLOOKUP(AQ378,schedule,18,FALSE)&amp;"  ("&amp;VLOOKUP(AQ378,schedule,3,FALSE)&amp;" CSOPORT)"</f>
        <v xml:space="preserve"> JÚNIUS 20. – VASÁRNAP 18:00  (A CSOPORT)</v>
      </c>
      <c r="D377" s="27"/>
      <c r="E377" s="26"/>
      <c r="F377" s="26"/>
      <c r="G377" s="26"/>
      <c r="H377" s="26"/>
      <c r="I377" s="26"/>
      <c r="J377" s="26"/>
    </row>
    <row r="378" spans="1:86" ht="15" customHeight="1" x14ac:dyDescent="0.3">
      <c r="A378" s="765"/>
      <c r="C378" s="661"/>
      <c r="D378" s="662" t="str">
        <f>IF(INDEX(n.er,$AR378,8)="","",INDEX(n.er,$AR378,8))</f>
        <v>Olaszország</v>
      </c>
      <c r="E378" s="663" t="str">
        <f>IF(NOT($AS378),"",INDEX(n.er,$AR378,9))</f>
        <v/>
      </c>
      <c r="F378" s="662"/>
      <c r="G378" s="259"/>
      <c r="H378" s="664">
        <v>3</v>
      </c>
      <c r="I378" s="665">
        <v>2</v>
      </c>
      <c r="J378" s="665">
        <v>2</v>
      </c>
      <c r="K378" s="665">
        <v>3</v>
      </c>
      <c r="L378" s="665">
        <v>1</v>
      </c>
      <c r="M378" s="665">
        <v>3</v>
      </c>
      <c r="N378" s="665">
        <v>3</v>
      </c>
      <c r="O378" s="665">
        <v>2</v>
      </c>
      <c r="P378" s="665">
        <v>2</v>
      </c>
      <c r="Q378" s="665">
        <v>2</v>
      </c>
      <c r="R378" s="665">
        <v>2</v>
      </c>
      <c r="S378" s="665">
        <v>2</v>
      </c>
      <c r="T378" s="665">
        <v>2</v>
      </c>
      <c r="U378" s="665">
        <v>2</v>
      </c>
      <c r="V378" s="665">
        <v>2</v>
      </c>
      <c r="W378" s="665">
        <v>2</v>
      </c>
      <c r="X378" s="665">
        <v>2</v>
      </c>
      <c r="Y378" s="665">
        <v>2</v>
      </c>
      <c r="Z378" s="665">
        <v>1</v>
      </c>
      <c r="AA378" s="665">
        <v>2</v>
      </c>
      <c r="AB378" s="665">
        <v>2</v>
      </c>
      <c r="AC378" s="665">
        <v>2</v>
      </c>
      <c r="AD378" s="665">
        <v>2</v>
      </c>
      <c r="AE378" s="665"/>
      <c r="AF378" s="665"/>
      <c r="AG378" s="665"/>
      <c r="AH378" s="665"/>
      <c r="AI378" s="665"/>
      <c r="AJ378" s="665"/>
      <c r="AK378" s="666"/>
      <c r="AP378" s="52">
        <f>AP355+1</f>
        <v>25</v>
      </c>
      <c r="AQ378" s="311">
        <f>INDEX(schedule,AP378,1)</f>
        <v>25</v>
      </c>
      <c r="AR378" s="311">
        <f>MATCH(AQ378,n.er.index,0)</f>
        <v>61</v>
      </c>
      <c r="AS378" s="532" t="b">
        <f>INDEX(n.er,$AR378,3)</f>
        <v>0</v>
      </c>
      <c r="AT378" s="531"/>
      <c r="AU378" s="531"/>
      <c r="AV378" s="531"/>
      <c r="AW378" s="531"/>
      <c r="AX378" s="531"/>
      <c r="BC378" s="525" t="b">
        <f t="shared" ref="BC378:CF378" si="248">IF(AND(ISNUMBER(H378),ISNUMBER(H379),H378&lt;&gt;"",H379&lt;&gt;""),AND(H378&gt;=0,H379&gt;=0,MOD(H378+H379,1)=0),FALSE)</f>
        <v>1</v>
      </c>
      <c r="BD378" s="525" t="b">
        <f t="shared" si="248"/>
        <v>1</v>
      </c>
      <c r="BE378" s="525" t="b">
        <f t="shared" si="248"/>
        <v>1</v>
      </c>
      <c r="BF378" s="525" t="b">
        <f t="shared" si="248"/>
        <v>1</v>
      </c>
      <c r="BG378" s="525" t="b">
        <f t="shared" si="248"/>
        <v>1</v>
      </c>
      <c r="BH378" s="525" t="b">
        <f t="shared" si="248"/>
        <v>1</v>
      </c>
      <c r="BI378" s="525" t="b">
        <f t="shared" si="248"/>
        <v>1</v>
      </c>
      <c r="BJ378" s="525" t="b">
        <f t="shared" si="248"/>
        <v>1</v>
      </c>
      <c r="BK378" s="525" t="b">
        <f t="shared" si="248"/>
        <v>1</v>
      </c>
      <c r="BL378" s="525" t="b">
        <f t="shared" si="248"/>
        <v>1</v>
      </c>
      <c r="BM378" s="525" t="b">
        <f t="shared" si="248"/>
        <v>1</v>
      </c>
      <c r="BN378" s="525" t="b">
        <f t="shared" si="248"/>
        <v>1</v>
      </c>
      <c r="BO378" s="525" t="b">
        <f t="shared" si="248"/>
        <v>1</v>
      </c>
      <c r="BP378" s="525" t="b">
        <f t="shared" si="248"/>
        <v>1</v>
      </c>
      <c r="BQ378" s="525" t="b">
        <f t="shared" si="248"/>
        <v>1</v>
      </c>
      <c r="BR378" s="525" t="b">
        <f t="shared" si="248"/>
        <v>1</v>
      </c>
      <c r="BS378" s="525" t="b">
        <f t="shared" si="248"/>
        <v>1</v>
      </c>
      <c r="BT378" s="525" t="b">
        <f t="shared" si="248"/>
        <v>1</v>
      </c>
      <c r="BU378" s="525" t="b">
        <f t="shared" si="248"/>
        <v>1</v>
      </c>
      <c r="BV378" s="525" t="b">
        <f t="shared" si="248"/>
        <v>1</v>
      </c>
      <c r="BW378" s="525" t="b">
        <f t="shared" si="248"/>
        <v>1</v>
      </c>
      <c r="BX378" s="525" t="b">
        <f t="shared" si="248"/>
        <v>1</v>
      </c>
      <c r="BY378" s="525" t="b">
        <f t="shared" si="248"/>
        <v>1</v>
      </c>
      <c r="BZ378" s="525" t="b">
        <f t="shared" si="248"/>
        <v>0</v>
      </c>
      <c r="CA378" s="525" t="b">
        <f t="shared" si="248"/>
        <v>0</v>
      </c>
      <c r="CB378" s="525" t="b">
        <f t="shared" si="248"/>
        <v>0</v>
      </c>
      <c r="CC378" s="525" t="b">
        <f t="shared" si="248"/>
        <v>0</v>
      </c>
      <c r="CD378" s="525" t="b">
        <f t="shared" si="248"/>
        <v>0</v>
      </c>
      <c r="CE378" s="525" t="b">
        <f t="shared" si="248"/>
        <v>0</v>
      </c>
      <c r="CF378" s="525" t="b">
        <f t="shared" si="248"/>
        <v>0</v>
      </c>
    </row>
    <row r="379" spans="1:86" ht="15" customHeight="1" x14ac:dyDescent="0.3">
      <c r="A379" s="765"/>
      <c r="C379" s="695"/>
      <c r="D379" s="696" t="str">
        <f>IF(INDEX(n.er,$AR378,11)="","",INDEX(n.er,$AR378,11))</f>
        <v>Wales</v>
      </c>
      <c r="E379" s="697" t="str">
        <f>IF(NOT($AS378),"",INDEX(n.er,$AR378,10))</f>
        <v/>
      </c>
      <c r="F379" s="696"/>
      <c r="G379" s="259"/>
      <c r="H379" s="667">
        <v>0</v>
      </c>
      <c r="I379" s="668">
        <v>1</v>
      </c>
      <c r="J379" s="668">
        <v>1</v>
      </c>
      <c r="K379" s="668">
        <v>1</v>
      </c>
      <c r="L379" s="668">
        <v>1</v>
      </c>
      <c r="M379" s="668">
        <v>1</v>
      </c>
      <c r="N379" s="668">
        <v>1</v>
      </c>
      <c r="O379" s="668">
        <v>1</v>
      </c>
      <c r="P379" s="668">
        <v>0</v>
      </c>
      <c r="Q379" s="668">
        <v>1</v>
      </c>
      <c r="R379" s="668">
        <v>1</v>
      </c>
      <c r="S379" s="668">
        <v>0</v>
      </c>
      <c r="T379" s="668">
        <v>0</v>
      </c>
      <c r="U379" s="668">
        <v>2</v>
      </c>
      <c r="V379" s="668">
        <v>0</v>
      </c>
      <c r="W379" s="668">
        <v>0</v>
      </c>
      <c r="X379" s="668">
        <v>2</v>
      </c>
      <c r="Y379" s="668">
        <v>0</v>
      </c>
      <c r="Z379" s="668">
        <v>0</v>
      </c>
      <c r="AA379" s="668">
        <v>0</v>
      </c>
      <c r="AB379" s="668">
        <v>0</v>
      </c>
      <c r="AC379" s="668">
        <v>1</v>
      </c>
      <c r="AD379" s="668">
        <v>0</v>
      </c>
      <c r="AE379" s="668"/>
      <c r="AF379" s="668"/>
      <c r="AG379" s="668"/>
      <c r="AH379" s="668"/>
      <c r="AI379" s="668"/>
      <c r="AJ379" s="668"/>
      <c r="AK379" s="669"/>
      <c r="AP379" s="533"/>
      <c r="AQ379" s="577"/>
      <c r="AR379" s="534"/>
      <c r="AS379" s="535"/>
      <c r="AX379" s="531"/>
      <c r="BC379" s="34" t="b">
        <f t="shared" ref="BC379:CF379" si="249">OR(NOT(H$13),NOT($AS378),NOT(BC378))</f>
        <v>1</v>
      </c>
      <c r="BD379" s="34" t="b">
        <f t="shared" si="249"/>
        <v>1</v>
      </c>
      <c r="BE379" s="34" t="b">
        <f t="shared" si="249"/>
        <v>1</v>
      </c>
      <c r="BF379" s="34" t="b">
        <f t="shared" si="249"/>
        <v>1</v>
      </c>
      <c r="BG379" s="34" t="b">
        <f t="shared" si="249"/>
        <v>1</v>
      </c>
      <c r="BH379" s="34" t="b">
        <f t="shared" si="249"/>
        <v>1</v>
      </c>
      <c r="BI379" s="34" t="b">
        <f t="shared" si="249"/>
        <v>1</v>
      </c>
      <c r="BJ379" s="34" t="b">
        <f t="shared" si="249"/>
        <v>1</v>
      </c>
      <c r="BK379" s="34" t="b">
        <f t="shared" si="249"/>
        <v>1</v>
      </c>
      <c r="BL379" s="34" t="b">
        <f t="shared" si="249"/>
        <v>1</v>
      </c>
      <c r="BM379" s="34" t="b">
        <f t="shared" si="249"/>
        <v>1</v>
      </c>
      <c r="BN379" s="34" t="b">
        <f t="shared" si="249"/>
        <v>1</v>
      </c>
      <c r="BO379" s="34" t="b">
        <f t="shared" si="249"/>
        <v>1</v>
      </c>
      <c r="BP379" s="34" t="b">
        <f t="shared" si="249"/>
        <v>1</v>
      </c>
      <c r="BQ379" s="34" t="b">
        <f t="shared" si="249"/>
        <v>1</v>
      </c>
      <c r="BR379" s="34" t="b">
        <f t="shared" si="249"/>
        <v>1</v>
      </c>
      <c r="BS379" s="34" t="b">
        <f t="shared" si="249"/>
        <v>1</v>
      </c>
      <c r="BT379" s="34" t="b">
        <f t="shared" si="249"/>
        <v>1</v>
      </c>
      <c r="BU379" s="34" t="b">
        <f t="shared" si="249"/>
        <v>1</v>
      </c>
      <c r="BV379" s="34" t="b">
        <f t="shared" si="249"/>
        <v>1</v>
      </c>
      <c r="BW379" s="34" t="b">
        <f t="shared" si="249"/>
        <v>1</v>
      </c>
      <c r="BX379" s="34" t="b">
        <f t="shared" si="249"/>
        <v>1</v>
      </c>
      <c r="BY379" s="34" t="b">
        <f t="shared" si="249"/>
        <v>1</v>
      </c>
      <c r="BZ379" s="34" t="b">
        <f t="shared" si="249"/>
        <v>1</v>
      </c>
      <c r="CA379" s="34" t="b">
        <f t="shared" si="249"/>
        <v>1</v>
      </c>
      <c r="CB379" s="34" t="b">
        <f t="shared" si="249"/>
        <v>1</v>
      </c>
      <c r="CC379" s="34" t="b">
        <f t="shared" si="249"/>
        <v>1</v>
      </c>
      <c r="CD379" s="34" t="b">
        <f t="shared" si="249"/>
        <v>1</v>
      </c>
      <c r="CE379" s="34" t="b">
        <f t="shared" si="249"/>
        <v>1</v>
      </c>
      <c r="CF379" s="34" t="b">
        <f t="shared" si="249"/>
        <v>1</v>
      </c>
    </row>
    <row r="380" spans="1:86" ht="12" customHeight="1" x14ac:dyDescent="0.3">
      <c r="A380" s="765"/>
      <c r="E380" s="258" t="str">
        <f>$AX$92</f>
        <v>Telitalálat: 10 p</v>
      </c>
      <c r="H380" s="670" t="str">
        <f t="shared" ref="H380:AK380" si="250">IF(OR(BC379,NOT($AS$20)),"",IF(AND(H378=$E378,H379=$E379),"ü",""))</f>
        <v/>
      </c>
      <c r="I380" s="671" t="str">
        <f t="shared" si="250"/>
        <v/>
      </c>
      <c r="J380" s="671" t="str">
        <f t="shared" si="250"/>
        <v/>
      </c>
      <c r="K380" s="671" t="str">
        <f t="shared" si="250"/>
        <v/>
      </c>
      <c r="L380" s="671" t="str">
        <f t="shared" si="250"/>
        <v/>
      </c>
      <c r="M380" s="671" t="str">
        <f t="shared" si="250"/>
        <v/>
      </c>
      <c r="N380" s="671" t="str">
        <f t="shared" si="250"/>
        <v/>
      </c>
      <c r="O380" s="671" t="str">
        <f t="shared" si="250"/>
        <v/>
      </c>
      <c r="P380" s="671" t="str">
        <f t="shared" si="250"/>
        <v/>
      </c>
      <c r="Q380" s="671" t="str">
        <f t="shared" si="250"/>
        <v/>
      </c>
      <c r="R380" s="671" t="str">
        <f t="shared" si="250"/>
        <v/>
      </c>
      <c r="S380" s="671" t="str">
        <f t="shared" si="250"/>
        <v/>
      </c>
      <c r="T380" s="671" t="str">
        <f t="shared" si="250"/>
        <v/>
      </c>
      <c r="U380" s="671" t="str">
        <f t="shared" si="250"/>
        <v/>
      </c>
      <c r="V380" s="671" t="str">
        <f t="shared" si="250"/>
        <v/>
      </c>
      <c r="W380" s="671" t="str">
        <f t="shared" si="250"/>
        <v/>
      </c>
      <c r="X380" s="671" t="str">
        <f t="shared" si="250"/>
        <v/>
      </c>
      <c r="Y380" s="671" t="str">
        <f t="shared" si="250"/>
        <v/>
      </c>
      <c r="Z380" s="671" t="str">
        <f t="shared" si="250"/>
        <v/>
      </c>
      <c r="AA380" s="671" t="str">
        <f t="shared" si="250"/>
        <v/>
      </c>
      <c r="AB380" s="671" t="str">
        <f t="shared" si="250"/>
        <v/>
      </c>
      <c r="AC380" s="671" t="str">
        <f t="shared" si="250"/>
        <v/>
      </c>
      <c r="AD380" s="671" t="str">
        <f t="shared" si="250"/>
        <v/>
      </c>
      <c r="AE380" s="671" t="str">
        <f t="shared" si="250"/>
        <v/>
      </c>
      <c r="AF380" s="671" t="str">
        <f t="shared" si="250"/>
        <v/>
      </c>
      <c r="AG380" s="671" t="str">
        <f t="shared" si="250"/>
        <v/>
      </c>
      <c r="AH380" s="671" t="str">
        <f t="shared" si="250"/>
        <v/>
      </c>
      <c r="AI380" s="671" t="str">
        <f t="shared" si="250"/>
        <v/>
      </c>
      <c r="AJ380" s="671" t="str">
        <f t="shared" si="250"/>
        <v/>
      </c>
      <c r="AK380" s="672" t="str">
        <f t="shared" si="250"/>
        <v/>
      </c>
      <c r="AL380" s="15"/>
      <c r="AM380" s="15"/>
      <c r="AP380" s="536"/>
      <c r="AR380" s="537"/>
      <c r="AS380" s="529"/>
      <c r="AW380" s="390" t="str">
        <f>""</f>
        <v/>
      </c>
      <c r="AX380" s="531"/>
      <c r="AY380" s="390" t="str">
        <f>""</f>
        <v/>
      </c>
      <c r="BD380" s="520"/>
      <c r="BE380" s="520"/>
      <c r="BF380" s="520"/>
      <c r="BG380" s="520"/>
      <c r="BH380" s="520"/>
      <c r="BI380" s="520"/>
      <c r="BJ380" s="520"/>
      <c r="BK380" s="520"/>
      <c r="BL380" s="520"/>
      <c r="BM380" s="520"/>
      <c r="BN380" s="520"/>
      <c r="BO380" s="520"/>
      <c r="BP380" s="520"/>
      <c r="BQ380" s="520"/>
      <c r="BR380" s="520"/>
      <c r="BS380" s="520"/>
      <c r="BT380" s="520"/>
      <c r="BU380" s="520"/>
      <c r="BV380" s="520"/>
      <c r="BW380" s="520"/>
      <c r="BX380" s="520"/>
      <c r="BY380" s="520"/>
    </row>
    <row r="381" spans="1:86" ht="12" customHeight="1" x14ac:dyDescent="0.3">
      <c r="A381" s="765"/>
      <c r="E381" s="258" t="str">
        <f>$AX$93</f>
        <v>Gólkülönbség: 6 p</v>
      </c>
      <c r="H381" s="673" t="str">
        <f t="shared" ref="H381:AK381" si="251">IF(OR(BC379,NOT($AS$22)),"",IF(AND(NOT($AS$32),H380="ü"),"",IF(H378-H379=$E378-$E379,"ü"," ")))</f>
        <v/>
      </c>
      <c r="I381" s="674" t="str">
        <f t="shared" si="251"/>
        <v/>
      </c>
      <c r="J381" s="674" t="str">
        <f t="shared" si="251"/>
        <v/>
      </c>
      <c r="K381" s="674" t="str">
        <f t="shared" si="251"/>
        <v/>
      </c>
      <c r="L381" s="674" t="str">
        <f t="shared" si="251"/>
        <v/>
      </c>
      <c r="M381" s="674" t="str">
        <f t="shared" si="251"/>
        <v/>
      </c>
      <c r="N381" s="674" t="str">
        <f t="shared" si="251"/>
        <v/>
      </c>
      <c r="O381" s="674" t="str">
        <f t="shared" si="251"/>
        <v/>
      </c>
      <c r="P381" s="674" t="str">
        <f t="shared" si="251"/>
        <v/>
      </c>
      <c r="Q381" s="674" t="str">
        <f t="shared" si="251"/>
        <v/>
      </c>
      <c r="R381" s="674" t="str">
        <f t="shared" si="251"/>
        <v/>
      </c>
      <c r="S381" s="674" t="str">
        <f t="shared" si="251"/>
        <v/>
      </c>
      <c r="T381" s="674" t="str">
        <f t="shared" si="251"/>
        <v/>
      </c>
      <c r="U381" s="674" t="str">
        <f t="shared" si="251"/>
        <v/>
      </c>
      <c r="V381" s="674" t="str">
        <f t="shared" si="251"/>
        <v/>
      </c>
      <c r="W381" s="674" t="str">
        <f t="shared" si="251"/>
        <v/>
      </c>
      <c r="X381" s="674" t="str">
        <f t="shared" si="251"/>
        <v/>
      </c>
      <c r="Y381" s="674" t="str">
        <f t="shared" si="251"/>
        <v/>
      </c>
      <c r="Z381" s="674" t="str">
        <f t="shared" si="251"/>
        <v/>
      </c>
      <c r="AA381" s="674" t="str">
        <f t="shared" si="251"/>
        <v/>
      </c>
      <c r="AB381" s="674" t="str">
        <f t="shared" si="251"/>
        <v/>
      </c>
      <c r="AC381" s="674" t="str">
        <f t="shared" si="251"/>
        <v/>
      </c>
      <c r="AD381" s="674" t="str">
        <f t="shared" si="251"/>
        <v/>
      </c>
      <c r="AE381" s="674" t="str">
        <f t="shared" si="251"/>
        <v/>
      </c>
      <c r="AF381" s="674" t="str">
        <f t="shared" si="251"/>
        <v/>
      </c>
      <c r="AG381" s="674" t="str">
        <f t="shared" si="251"/>
        <v/>
      </c>
      <c r="AH381" s="674" t="str">
        <f t="shared" si="251"/>
        <v/>
      </c>
      <c r="AI381" s="674" t="str">
        <f t="shared" si="251"/>
        <v/>
      </c>
      <c r="AJ381" s="674" t="str">
        <f t="shared" si="251"/>
        <v/>
      </c>
      <c r="AK381" s="675" t="str">
        <f t="shared" si="251"/>
        <v/>
      </c>
      <c r="AL381" s="15"/>
      <c r="AM381" s="15"/>
      <c r="AP381" s="536"/>
      <c r="AR381" s="537"/>
      <c r="AS381" s="529"/>
      <c r="AW381" s="390" t="str">
        <f>""</f>
        <v/>
      </c>
      <c r="AX381" s="531"/>
      <c r="AY381" s="390" t="str">
        <f>""</f>
        <v/>
      </c>
      <c r="BD381" s="520"/>
      <c r="BE381" s="520"/>
      <c r="BF381" s="520"/>
      <c r="BG381" s="520"/>
      <c r="BH381" s="520"/>
      <c r="BI381" s="520"/>
      <c r="BJ381" s="520"/>
      <c r="BK381" s="520"/>
      <c r="BL381" s="520"/>
      <c r="BM381" s="520"/>
      <c r="BN381" s="520"/>
      <c r="BO381" s="520"/>
      <c r="BP381" s="520"/>
      <c r="BQ381" s="520"/>
      <c r="BR381" s="520"/>
      <c r="BS381" s="520"/>
      <c r="BT381" s="520"/>
      <c r="BU381" s="520"/>
      <c r="BV381" s="520"/>
      <c r="BW381" s="520"/>
      <c r="BX381" s="520"/>
      <c r="BY381" s="520"/>
    </row>
    <row r="382" spans="1:86" ht="12" customHeight="1" x14ac:dyDescent="0.3">
      <c r="A382" s="765"/>
      <c r="E382" s="258" t="str">
        <f>$AX$94</f>
        <v>Mérkőzés kimenetele: 4 p</v>
      </c>
      <c r="H382" s="673" t="str">
        <f t="shared" ref="H382:AK382" si="252">IF(OR(BC379,NOT($AS$24)),"",IF(AND(NOT($AS$32),COUNTIF(H380:H381,"ü")&gt;0),"",IF(SIGN(H378-H379)=SIGN($E378-$E379),"ü"," ")))</f>
        <v/>
      </c>
      <c r="I382" s="674" t="str">
        <f t="shared" si="252"/>
        <v/>
      </c>
      <c r="J382" s="674" t="str">
        <f t="shared" si="252"/>
        <v/>
      </c>
      <c r="K382" s="674" t="str">
        <f t="shared" si="252"/>
        <v/>
      </c>
      <c r="L382" s="674" t="str">
        <f t="shared" si="252"/>
        <v/>
      </c>
      <c r="M382" s="674" t="str">
        <f t="shared" si="252"/>
        <v/>
      </c>
      <c r="N382" s="674" t="str">
        <f t="shared" si="252"/>
        <v/>
      </c>
      <c r="O382" s="674" t="str">
        <f t="shared" si="252"/>
        <v/>
      </c>
      <c r="P382" s="674" t="str">
        <f t="shared" si="252"/>
        <v/>
      </c>
      <c r="Q382" s="674" t="str">
        <f t="shared" si="252"/>
        <v/>
      </c>
      <c r="R382" s="674" t="str">
        <f t="shared" si="252"/>
        <v/>
      </c>
      <c r="S382" s="674" t="str">
        <f t="shared" si="252"/>
        <v/>
      </c>
      <c r="T382" s="674" t="str">
        <f t="shared" si="252"/>
        <v/>
      </c>
      <c r="U382" s="674" t="str">
        <f t="shared" si="252"/>
        <v/>
      </c>
      <c r="V382" s="674" t="str">
        <f t="shared" si="252"/>
        <v/>
      </c>
      <c r="W382" s="674" t="str">
        <f t="shared" si="252"/>
        <v/>
      </c>
      <c r="X382" s="674" t="str">
        <f t="shared" si="252"/>
        <v/>
      </c>
      <c r="Y382" s="674" t="str">
        <f t="shared" si="252"/>
        <v/>
      </c>
      <c r="Z382" s="674" t="str">
        <f t="shared" si="252"/>
        <v/>
      </c>
      <c r="AA382" s="674" t="str">
        <f t="shared" si="252"/>
        <v/>
      </c>
      <c r="AB382" s="674" t="str">
        <f t="shared" si="252"/>
        <v/>
      </c>
      <c r="AC382" s="674" t="str">
        <f t="shared" si="252"/>
        <v/>
      </c>
      <c r="AD382" s="674" t="str">
        <f t="shared" si="252"/>
        <v/>
      </c>
      <c r="AE382" s="674" t="str">
        <f t="shared" si="252"/>
        <v/>
      </c>
      <c r="AF382" s="674" t="str">
        <f t="shared" si="252"/>
        <v/>
      </c>
      <c r="AG382" s="674" t="str">
        <f t="shared" si="252"/>
        <v/>
      </c>
      <c r="AH382" s="674" t="str">
        <f t="shared" si="252"/>
        <v/>
      </c>
      <c r="AI382" s="674" t="str">
        <f t="shared" si="252"/>
        <v/>
      </c>
      <c r="AJ382" s="674" t="str">
        <f t="shared" si="252"/>
        <v/>
      </c>
      <c r="AK382" s="675" t="str">
        <f t="shared" si="252"/>
        <v/>
      </c>
      <c r="AL382" s="15"/>
      <c r="AM382" s="15"/>
      <c r="AP382" s="536"/>
      <c r="AR382" s="537"/>
      <c r="AS382" s="529"/>
      <c r="AW382" s="390" t="str">
        <f>""</f>
        <v/>
      </c>
      <c r="AX382" s="531"/>
      <c r="AY382" s="390" t="str">
        <f>""</f>
        <v/>
      </c>
      <c r="BD382" s="520"/>
      <c r="BE382" s="520"/>
      <c r="BF382" s="520"/>
      <c r="BG382" s="520"/>
      <c r="BH382" s="520"/>
      <c r="BI382" s="520"/>
      <c r="BJ382" s="520"/>
      <c r="BK382" s="520"/>
      <c r="BL382" s="520"/>
      <c r="BM382" s="520"/>
      <c r="BN382" s="520"/>
      <c r="BO382" s="520"/>
      <c r="BP382" s="520"/>
      <c r="BQ382" s="520"/>
      <c r="BR382" s="520"/>
      <c r="BS382" s="520"/>
      <c r="BT382" s="520"/>
      <c r="BU382" s="520"/>
      <c r="BV382" s="520"/>
      <c r="BW382" s="520"/>
      <c r="BX382" s="520"/>
      <c r="BY382" s="520"/>
    </row>
    <row r="383" spans="1:86" ht="12" customHeight="1" x14ac:dyDescent="0.3">
      <c r="A383" s="765"/>
      <c r="E383" s="258" t="str">
        <f>$AX$95</f>
        <v>Egyik csapat góljainak száma: 3 p</v>
      </c>
      <c r="H383" s="673" t="str">
        <f t="shared" ref="H383:AK383" si="253">IF(OR(BC379,NOT($AS$26)),"",IF(AND(NOT($AS$32),COUNTIF(H380:H382,"ü")&gt;0),"",IF(OR(H378=$E378,H379=$E379),"ü"," ")))</f>
        <v/>
      </c>
      <c r="I383" s="674" t="str">
        <f t="shared" si="253"/>
        <v/>
      </c>
      <c r="J383" s="674" t="str">
        <f t="shared" si="253"/>
        <v/>
      </c>
      <c r="K383" s="674" t="str">
        <f t="shared" si="253"/>
        <v/>
      </c>
      <c r="L383" s="674" t="str">
        <f t="shared" si="253"/>
        <v/>
      </c>
      <c r="M383" s="674" t="str">
        <f t="shared" si="253"/>
        <v/>
      </c>
      <c r="N383" s="674" t="str">
        <f t="shared" si="253"/>
        <v/>
      </c>
      <c r="O383" s="674" t="str">
        <f t="shared" si="253"/>
        <v/>
      </c>
      <c r="P383" s="674" t="str">
        <f t="shared" si="253"/>
        <v/>
      </c>
      <c r="Q383" s="674" t="str">
        <f t="shared" si="253"/>
        <v/>
      </c>
      <c r="R383" s="674" t="str">
        <f t="shared" si="253"/>
        <v/>
      </c>
      <c r="S383" s="674" t="str">
        <f t="shared" si="253"/>
        <v/>
      </c>
      <c r="T383" s="674" t="str">
        <f t="shared" si="253"/>
        <v/>
      </c>
      <c r="U383" s="674" t="str">
        <f t="shared" si="253"/>
        <v/>
      </c>
      <c r="V383" s="674" t="str">
        <f t="shared" si="253"/>
        <v/>
      </c>
      <c r="W383" s="674" t="str">
        <f t="shared" si="253"/>
        <v/>
      </c>
      <c r="X383" s="674" t="str">
        <f t="shared" si="253"/>
        <v/>
      </c>
      <c r="Y383" s="674" t="str">
        <f t="shared" si="253"/>
        <v/>
      </c>
      <c r="Z383" s="674" t="str">
        <f t="shared" si="253"/>
        <v/>
      </c>
      <c r="AA383" s="674" t="str">
        <f t="shared" si="253"/>
        <v/>
      </c>
      <c r="AB383" s="674" t="str">
        <f t="shared" si="253"/>
        <v/>
      </c>
      <c r="AC383" s="674" t="str">
        <f t="shared" si="253"/>
        <v/>
      </c>
      <c r="AD383" s="674" t="str">
        <f t="shared" si="253"/>
        <v/>
      </c>
      <c r="AE383" s="674" t="str">
        <f t="shared" si="253"/>
        <v/>
      </c>
      <c r="AF383" s="674" t="str">
        <f t="shared" si="253"/>
        <v/>
      </c>
      <c r="AG383" s="674" t="str">
        <f t="shared" si="253"/>
        <v/>
      </c>
      <c r="AH383" s="674" t="str">
        <f t="shared" si="253"/>
        <v/>
      </c>
      <c r="AI383" s="674" t="str">
        <f t="shared" si="253"/>
        <v/>
      </c>
      <c r="AJ383" s="674" t="str">
        <f t="shared" si="253"/>
        <v/>
      </c>
      <c r="AK383" s="675" t="str">
        <f t="shared" si="253"/>
        <v/>
      </c>
      <c r="AL383" s="15"/>
      <c r="AM383" s="15"/>
      <c r="AP383" s="536"/>
      <c r="AR383" s="537"/>
      <c r="AS383" s="529"/>
      <c r="AW383" s="390" t="str">
        <f>""</f>
        <v/>
      </c>
      <c r="AX383" s="531"/>
      <c r="AY383" s="390" t="str">
        <f>""</f>
        <v/>
      </c>
      <c r="BD383" s="520"/>
      <c r="BE383" s="520"/>
      <c r="BF383" s="520"/>
      <c r="BG383" s="520"/>
      <c r="BH383" s="520"/>
      <c r="BI383" s="520"/>
      <c r="BJ383" s="520"/>
      <c r="BK383" s="520"/>
      <c r="BL383" s="520"/>
      <c r="BM383" s="520"/>
      <c r="BN383" s="520"/>
      <c r="BO383" s="520"/>
      <c r="BP383" s="520"/>
      <c r="BQ383" s="520"/>
      <c r="BR383" s="520"/>
      <c r="BS383" s="520"/>
      <c r="BT383" s="520"/>
      <c r="BU383" s="520"/>
      <c r="BV383" s="520"/>
      <c r="BW383" s="520"/>
      <c r="BX383" s="520"/>
      <c r="BY383" s="520"/>
    </row>
    <row r="384" spans="1:86" ht="12" customHeight="1" x14ac:dyDescent="0.3">
      <c r="A384" s="765"/>
      <c r="E384" s="258" t="str">
        <f>$AX$96</f>
        <v>Összes gól: 2 p</v>
      </c>
      <c r="H384" s="673" t="str">
        <f t="shared" ref="H384:AK384" si="254">IF(OR(BC379,NOT($AS$28)),"",IF(AND(NOT($AS$32),COUNTIF(H380:H383,"ü")&gt;0),"",IF(H378+H379=$E378+$E379,"ü"," ")))</f>
        <v/>
      </c>
      <c r="I384" s="674" t="str">
        <f t="shared" si="254"/>
        <v/>
      </c>
      <c r="J384" s="674" t="str">
        <f t="shared" si="254"/>
        <v/>
      </c>
      <c r="K384" s="674" t="str">
        <f t="shared" si="254"/>
        <v/>
      </c>
      <c r="L384" s="674" t="str">
        <f t="shared" si="254"/>
        <v/>
      </c>
      <c r="M384" s="674" t="str">
        <f t="shared" si="254"/>
        <v/>
      </c>
      <c r="N384" s="674" t="str">
        <f t="shared" si="254"/>
        <v/>
      </c>
      <c r="O384" s="674" t="str">
        <f t="shared" si="254"/>
        <v/>
      </c>
      <c r="P384" s="674" t="str">
        <f t="shared" si="254"/>
        <v/>
      </c>
      <c r="Q384" s="674" t="str">
        <f t="shared" si="254"/>
        <v/>
      </c>
      <c r="R384" s="674" t="str">
        <f t="shared" si="254"/>
        <v/>
      </c>
      <c r="S384" s="674" t="str">
        <f t="shared" si="254"/>
        <v/>
      </c>
      <c r="T384" s="674" t="str">
        <f t="shared" si="254"/>
        <v/>
      </c>
      <c r="U384" s="674" t="str">
        <f t="shared" si="254"/>
        <v/>
      </c>
      <c r="V384" s="674" t="str">
        <f t="shared" si="254"/>
        <v/>
      </c>
      <c r="W384" s="674" t="str">
        <f t="shared" si="254"/>
        <v/>
      </c>
      <c r="X384" s="674" t="str">
        <f t="shared" si="254"/>
        <v/>
      </c>
      <c r="Y384" s="674" t="str">
        <f t="shared" si="254"/>
        <v/>
      </c>
      <c r="Z384" s="674" t="str">
        <f t="shared" si="254"/>
        <v/>
      </c>
      <c r="AA384" s="674" t="str">
        <f t="shared" si="254"/>
        <v/>
      </c>
      <c r="AB384" s="674" t="str">
        <f t="shared" si="254"/>
        <v/>
      </c>
      <c r="AC384" s="674" t="str">
        <f t="shared" si="254"/>
        <v/>
      </c>
      <c r="AD384" s="674" t="str">
        <f t="shared" si="254"/>
        <v/>
      </c>
      <c r="AE384" s="674" t="str">
        <f t="shared" si="254"/>
        <v/>
      </c>
      <c r="AF384" s="674" t="str">
        <f t="shared" si="254"/>
        <v/>
      </c>
      <c r="AG384" s="674" t="str">
        <f t="shared" si="254"/>
        <v/>
      </c>
      <c r="AH384" s="674" t="str">
        <f t="shared" si="254"/>
        <v/>
      </c>
      <c r="AI384" s="674" t="str">
        <f t="shared" si="254"/>
        <v/>
      </c>
      <c r="AJ384" s="674" t="str">
        <f t="shared" si="254"/>
        <v/>
      </c>
      <c r="AK384" s="675" t="str">
        <f t="shared" si="254"/>
        <v/>
      </c>
      <c r="AL384" s="15"/>
      <c r="AM384" s="15"/>
      <c r="AP384" s="536"/>
      <c r="AR384" s="537"/>
      <c r="AS384" s="529"/>
      <c r="AW384" s="390" t="str">
        <f>""</f>
        <v/>
      </c>
      <c r="AX384" s="531"/>
      <c r="AY384" s="390" t="str">
        <f>""</f>
        <v/>
      </c>
      <c r="BD384" s="520"/>
      <c r="BE384" s="520"/>
      <c r="BF384" s="520"/>
      <c r="BG384" s="520"/>
      <c r="BH384" s="520"/>
      <c r="BI384" s="520"/>
      <c r="BJ384" s="520"/>
      <c r="BK384" s="520"/>
      <c r="BL384" s="520"/>
      <c r="BM384" s="520"/>
      <c r="BN384" s="520"/>
      <c r="BO384" s="520"/>
      <c r="BP384" s="520"/>
      <c r="BQ384" s="520"/>
      <c r="BR384" s="520"/>
      <c r="BS384" s="520"/>
      <c r="BT384" s="520"/>
      <c r="BU384" s="520"/>
      <c r="BV384" s="520"/>
      <c r="BW384" s="520"/>
      <c r="BX384" s="520"/>
      <c r="BY384" s="520"/>
    </row>
    <row r="385" spans="1:84" ht="12" customHeight="1" x14ac:dyDescent="0.3">
      <c r="A385" s="765"/>
      <c r="E385" s="258" t="str">
        <f>$AX$97</f>
        <v>Fordított gólkülönbség: 1 p</v>
      </c>
      <c r="H385" s="676" t="str">
        <f t="shared" ref="H385:AK385" si="255">IF(OR(BC379,NOT($AS$30)),"",IF(AND(NOT($AS$32),COUNTIF(H380:H384,"ü")&gt;0),"",IF(AND(H378-H379=$E379-$E378,H378&lt;&gt;H379),"ü"," ")))</f>
        <v/>
      </c>
      <c r="I385" s="677" t="str">
        <f t="shared" si="255"/>
        <v/>
      </c>
      <c r="J385" s="677" t="str">
        <f t="shared" si="255"/>
        <v/>
      </c>
      <c r="K385" s="677" t="str">
        <f t="shared" si="255"/>
        <v/>
      </c>
      <c r="L385" s="677" t="str">
        <f t="shared" si="255"/>
        <v/>
      </c>
      <c r="M385" s="677" t="str">
        <f t="shared" si="255"/>
        <v/>
      </c>
      <c r="N385" s="677" t="str">
        <f t="shared" si="255"/>
        <v/>
      </c>
      <c r="O385" s="677" t="str">
        <f t="shared" si="255"/>
        <v/>
      </c>
      <c r="P385" s="677" t="str">
        <f t="shared" si="255"/>
        <v/>
      </c>
      <c r="Q385" s="677" t="str">
        <f t="shared" si="255"/>
        <v/>
      </c>
      <c r="R385" s="677" t="str">
        <f t="shared" si="255"/>
        <v/>
      </c>
      <c r="S385" s="677" t="str">
        <f t="shared" si="255"/>
        <v/>
      </c>
      <c r="T385" s="677" t="str">
        <f t="shared" si="255"/>
        <v/>
      </c>
      <c r="U385" s="677" t="str">
        <f t="shared" si="255"/>
        <v/>
      </c>
      <c r="V385" s="677" t="str">
        <f t="shared" si="255"/>
        <v/>
      </c>
      <c r="W385" s="677" t="str">
        <f t="shared" si="255"/>
        <v/>
      </c>
      <c r="X385" s="677" t="str">
        <f t="shared" si="255"/>
        <v/>
      </c>
      <c r="Y385" s="677" t="str">
        <f t="shared" si="255"/>
        <v/>
      </c>
      <c r="Z385" s="677" t="str">
        <f t="shared" si="255"/>
        <v/>
      </c>
      <c r="AA385" s="677" t="str">
        <f t="shared" si="255"/>
        <v/>
      </c>
      <c r="AB385" s="677" t="str">
        <f t="shared" si="255"/>
        <v/>
      </c>
      <c r="AC385" s="677" t="str">
        <f t="shared" si="255"/>
        <v/>
      </c>
      <c r="AD385" s="677" t="str">
        <f t="shared" si="255"/>
        <v/>
      </c>
      <c r="AE385" s="677" t="str">
        <f t="shared" si="255"/>
        <v/>
      </c>
      <c r="AF385" s="677" t="str">
        <f t="shared" si="255"/>
        <v/>
      </c>
      <c r="AG385" s="677" t="str">
        <f t="shared" si="255"/>
        <v/>
      </c>
      <c r="AH385" s="677" t="str">
        <f t="shared" si="255"/>
        <v/>
      </c>
      <c r="AI385" s="677" t="str">
        <f t="shared" si="255"/>
        <v/>
      </c>
      <c r="AJ385" s="677" t="str">
        <f t="shared" si="255"/>
        <v/>
      </c>
      <c r="AK385" s="678" t="str">
        <f t="shared" si="255"/>
        <v/>
      </c>
      <c r="AL385" s="15"/>
      <c r="AM385" s="15"/>
      <c r="AP385" s="536"/>
      <c r="AR385" s="537"/>
      <c r="AS385" s="529"/>
      <c r="AW385" s="390" t="str">
        <f>""</f>
        <v/>
      </c>
      <c r="AX385" s="531"/>
      <c r="AY385" s="390" t="str">
        <f>""</f>
        <v/>
      </c>
      <c r="BD385" s="520"/>
      <c r="BE385" s="520"/>
      <c r="BF385" s="520"/>
      <c r="BG385" s="520"/>
      <c r="BH385" s="520"/>
      <c r="BI385" s="520"/>
      <c r="BJ385" s="520"/>
      <c r="BK385" s="520"/>
      <c r="BL385" s="520"/>
      <c r="BM385" s="520"/>
      <c r="BN385" s="520"/>
      <c r="BO385" s="520"/>
      <c r="BP385" s="520"/>
      <c r="BQ385" s="520"/>
      <c r="BR385" s="520"/>
      <c r="BS385" s="520"/>
      <c r="BT385" s="520"/>
      <c r="BU385" s="520"/>
      <c r="BV385" s="520"/>
      <c r="BW385" s="520"/>
      <c r="BX385" s="520"/>
      <c r="BY385" s="520"/>
    </row>
    <row r="386" spans="1:84" ht="15" customHeight="1" x14ac:dyDescent="0.3">
      <c r="A386" s="765"/>
      <c r="E386" s="79" t="s">
        <v>799</v>
      </c>
      <c r="H386" s="679">
        <f t="shared" ref="H386:AK386" si="256">IF(NOT(H$13),"",SUMPRODUCT((H380:H385="ü")*($AW$92:$AW$97)))</f>
        <v>0</v>
      </c>
      <c r="I386" s="680">
        <f t="shared" si="256"/>
        <v>0</v>
      </c>
      <c r="J386" s="680">
        <f t="shared" si="256"/>
        <v>0</v>
      </c>
      <c r="K386" s="680">
        <f t="shared" si="256"/>
        <v>0</v>
      </c>
      <c r="L386" s="680">
        <f t="shared" si="256"/>
        <v>0</v>
      </c>
      <c r="M386" s="680">
        <f t="shared" si="256"/>
        <v>0</v>
      </c>
      <c r="N386" s="680">
        <f t="shared" si="256"/>
        <v>0</v>
      </c>
      <c r="O386" s="680">
        <f t="shared" si="256"/>
        <v>0</v>
      </c>
      <c r="P386" s="680">
        <f t="shared" si="256"/>
        <v>0</v>
      </c>
      <c r="Q386" s="680">
        <f t="shared" si="256"/>
        <v>0</v>
      </c>
      <c r="R386" s="680">
        <f t="shared" si="256"/>
        <v>0</v>
      </c>
      <c r="S386" s="680">
        <f t="shared" si="256"/>
        <v>0</v>
      </c>
      <c r="T386" s="680">
        <f t="shared" si="256"/>
        <v>0</v>
      </c>
      <c r="U386" s="680">
        <f t="shared" si="256"/>
        <v>0</v>
      </c>
      <c r="V386" s="680">
        <f t="shared" si="256"/>
        <v>0</v>
      </c>
      <c r="W386" s="680">
        <f t="shared" si="256"/>
        <v>0</v>
      </c>
      <c r="X386" s="680">
        <f t="shared" si="256"/>
        <v>0</v>
      </c>
      <c r="Y386" s="680">
        <f t="shared" si="256"/>
        <v>0</v>
      </c>
      <c r="Z386" s="680">
        <f t="shared" si="256"/>
        <v>0</v>
      </c>
      <c r="AA386" s="680">
        <f t="shared" si="256"/>
        <v>0</v>
      </c>
      <c r="AB386" s="680">
        <f t="shared" si="256"/>
        <v>0</v>
      </c>
      <c r="AC386" s="680">
        <f t="shared" si="256"/>
        <v>0</v>
      </c>
      <c r="AD386" s="680">
        <f t="shared" si="256"/>
        <v>0</v>
      </c>
      <c r="AE386" s="680" t="str">
        <f t="shared" si="256"/>
        <v/>
      </c>
      <c r="AF386" s="680" t="str">
        <f t="shared" si="256"/>
        <v/>
      </c>
      <c r="AG386" s="680" t="str">
        <f t="shared" si="256"/>
        <v/>
      </c>
      <c r="AH386" s="680" t="str">
        <f t="shared" si="256"/>
        <v/>
      </c>
      <c r="AI386" s="680" t="str">
        <f t="shared" si="256"/>
        <v/>
      </c>
      <c r="AJ386" s="680" t="str">
        <f t="shared" si="256"/>
        <v/>
      </c>
      <c r="AK386" s="681" t="str">
        <f t="shared" si="256"/>
        <v/>
      </c>
      <c r="AP386" s="536"/>
      <c r="AR386" s="537"/>
      <c r="AS386" s="529"/>
      <c r="AX386" s="531"/>
    </row>
    <row r="387" spans="1:84" ht="9" customHeight="1" x14ac:dyDescent="0.3">
      <c r="A387" s="765"/>
      <c r="D387" s="15"/>
      <c r="E387" s="15"/>
      <c r="F387" s="15"/>
      <c r="G387" s="15"/>
      <c r="H387" s="15"/>
      <c r="I387" s="16"/>
      <c r="J387" s="15"/>
      <c r="K387" s="15"/>
      <c r="L387" s="16"/>
      <c r="M387" s="15"/>
      <c r="N387" s="15"/>
      <c r="O387" s="16"/>
      <c r="P387" s="15"/>
      <c r="Q387" s="15"/>
      <c r="R387" s="16"/>
      <c r="S387" s="15"/>
      <c r="T387" s="15"/>
      <c r="U387" s="16"/>
      <c r="V387" s="15"/>
      <c r="W387" s="15"/>
      <c r="X387" s="16"/>
      <c r="Y387" s="15"/>
      <c r="Z387" s="15"/>
      <c r="AA387" s="16"/>
      <c r="AB387" s="15"/>
      <c r="AC387" s="15"/>
      <c r="AD387" s="16"/>
      <c r="AE387" s="15"/>
      <c r="AF387" s="15"/>
      <c r="AG387" s="16"/>
      <c r="AH387" s="15"/>
      <c r="AI387" s="15"/>
      <c r="AJ387" s="16"/>
      <c r="AK387" s="15"/>
      <c r="AP387" s="536"/>
      <c r="AR387" s="537"/>
      <c r="AS387" s="529"/>
      <c r="AX387" s="531"/>
    </row>
    <row r="388" spans="1:84" ht="15" customHeight="1" x14ac:dyDescent="0.3">
      <c r="A388" s="765"/>
      <c r="C388" s="27" t="str">
        <f>" "&amp;VLOOKUP(AQ389,schedule,18,FALSE)&amp;"  ("&amp;VLOOKUP(AQ389,schedule,3,FALSE)&amp;" CSOPORT)"</f>
        <v xml:space="preserve"> JÚNIUS 20. – VASÁRNAP 18:00  (A CSOPORT)</v>
      </c>
      <c r="D388" s="27"/>
      <c r="E388" s="26"/>
      <c r="F388" s="26"/>
      <c r="G388" s="26"/>
      <c r="H388" s="26"/>
      <c r="I388" s="26"/>
      <c r="J388" s="26"/>
      <c r="AP388" s="536"/>
      <c r="AR388" s="537"/>
      <c r="AS388" s="529"/>
    </row>
    <row r="389" spans="1:84" ht="15" customHeight="1" x14ac:dyDescent="0.3">
      <c r="A389" s="765"/>
      <c r="C389" s="661"/>
      <c r="D389" s="662" t="str">
        <f>IF(INDEX(n.er,$AR389,8)="","",INDEX(n.er,$AR389,8))</f>
        <v>Svájc</v>
      </c>
      <c r="E389" s="663" t="str">
        <f>IF(NOT($AS389),"",INDEX(n.er,$AR389,9))</f>
        <v/>
      </c>
      <c r="F389" s="662"/>
      <c r="G389" s="259"/>
      <c r="H389" s="664">
        <v>2</v>
      </c>
      <c r="I389" s="665">
        <v>2</v>
      </c>
      <c r="J389" s="665">
        <v>1</v>
      </c>
      <c r="K389" s="665">
        <v>2</v>
      </c>
      <c r="L389" s="665">
        <v>0</v>
      </c>
      <c r="M389" s="665">
        <v>1</v>
      </c>
      <c r="N389" s="665">
        <v>0</v>
      </c>
      <c r="O389" s="665">
        <v>0</v>
      </c>
      <c r="P389" s="665">
        <v>1</v>
      </c>
      <c r="Q389" s="665">
        <v>2</v>
      </c>
      <c r="R389" s="665">
        <v>1</v>
      </c>
      <c r="S389" s="665">
        <v>1</v>
      </c>
      <c r="T389" s="665">
        <v>1</v>
      </c>
      <c r="U389" s="665">
        <v>2</v>
      </c>
      <c r="V389" s="665">
        <v>1</v>
      </c>
      <c r="W389" s="665">
        <v>1</v>
      </c>
      <c r="X389" s="665">
        <v>0</v>
      </c>
      <c r="Y389" s="665">
        <v>2</v>
      </c>
      <c r="Z389" s="665">
        <v>0</v>
      </c>
      <c r="AA389" s="665">
        <v>1</v>
      </c>
      <c r="AB389" s="665">
        <v>1</v>
      </c>
      <c r="AC389" s="665">
        <v>1</v>
      </c>
      <c r="AD389" s="665">
        <v>2</v>
      </c>
      <c r="AE389" s="665"/>
      <c r="AF389" s="665"/>
      <c r="AG389" s="665"/>
      <c r="AH389" s="665"/>
      <c r="AI389" s="665"/>
      <c r="AJ389" s="665"/>
      <c r="AK389" s="666"/>
      <c r="AP389" s="52">
        <f>AP378+1</f>
        <v>26</v>
      </c>
      <c r="AQ389" s="311">
        <f>INDEX(schedule,AP389,1)</f>
        <v>26</v>
      </c>
      <c r="AR389" s="311">
        <f>MATCH(AQ389,n.er.index,0)</f>
        <v>62</v>
      </c>
      <c r="AS389" s="532" t="b">
        <f>INDEX(n.er,$AR389,3)</f>
        <v>0</v>
      </c>
      <c r="AT389" s="531"/>
      <c r="AU389" s="531"/>
      <c r="AV389" s="531"/>
      <c r="AW389" s="531"/>
      <c r="AX389" s="531"/>
      <c r="BC389" s="525" t="b">
        <f t="shared" ref="BC389:CF389" si="257">IF(AND(ISNUMBER(H389),ISNUMBER(H390),H389&lt;&gt;"",H390&lt;&gt;""),AND(H389&gt;=0,H390&gt;=0,MOD(H389+H390,1)=0),FALSE)</f>
        <v>1</v>
      </c>
      <c r="BD389" s="525" t="b">
        <f t="shared" si="257"/>
        <v>1</v>
      </c>
      <c r="BE389" s="525" t="b">
        <f t="shared" si="257"/>
        <v>1</v>
      </c>
      <c r="BF389" s="525" t="b">
        <f t="shared" si="257"/>
        <v>1</v>
      </c>
      <c r="BG389" s="525" t="b">
        <f t="shared" si="257"/>
        <v>1</v>
      </c>
      <c r="BH389" s="525" t="b">
        <f t="shared" si="257"/>
        <v>1</v>
      </c>
      <c r="BI389" s="525" t="b">
        <f t="shared" si="257"/>
        <v>1</v>
      </c>
      <c r="BJ389" s="525" t="b">
        <f t="shared" si="257"/>
        <v>1</v>
      </c>
      <c r="BK389" s="525" t="b">
        <f t="shared" si="257"/>
        <v>1</v>
      </c>
      <c r="BL389" s="525" t="b">
        <f t="shared" si="257"/>
        <v>1</v>
      </c>
      <c r="BM389" s="525" t="b">
        <f t="shared" si="257"/>
        <v>1</v>
      </c>
      <c r="BN389" s="525" t="b">
        <f t="shared" si="257"/>
        <v>1</v>
      </c>
      <c r="BO389" s="525" t="b">
        <f t="shared" si="257"/>
        <v>1</v>
      </c>
      <c r="BP389" s="525" t="b">
        <f t="shared" si="257"/>
        <v>1</v>
      </c>
      <c r="BQ389" s="525" t="b">
        <f t="shared" si="257"/>
        <v>1</v>
      </c>
      <c r="BR389" s="525" t="b">
        <f t="shared" si="257"/>
        <v>1</v>
      </c>
      <c r="BS389" s="525" t="b">
        <f t="shared" si="257"/>
        <v>1</v>
      </c>
      <c r="BT389" s="525" t="b">
        <f t="shared" si="257"/>
        <v>1</v>
      </c>
      <c r="BU389" s="525" t="b">
        <f t="shared" si="257"/>
        <v>1</v>
      </c>
      <c r="BV389" s="525" t="b">
        <f t="shared" si="257"/>
        <v>1</v>
      </c>
      <c r="BW389" s="525" t="b">
        <f t="shared" si="257"/>
        <v>1</v>
      </c>
      <c r="BX389" s="525" t="b">
        <f t="shared" si="257"/>
        <v>1</v>
      </c>
      <c r="BY389" s="525" t="b">
        <f t="shared" si="257"/>
        <v>1</v>
      </c>
      <c r="BZ389" s="525" t="b">
        <f t="shared" si="257"/>
        <v>0</v>
      </c>
      <c r="CA389" s="525" t="b">
        <f t="shared" si="257"/>
        <v>0</v>
      </c>
      <c r="CB389" s="525" t="b">
        <f t="shared" si="257"/>
        <v>0</v>
      </c>
      <c r="CC389" s="525" t="b">
        <f t="shared" si="257"/>
        <v>0</v>
      </c>
      <c r="CD389" s="525" t="b">
        <f t="shared" si="257"/>
        <v>0</v>
      </c>
      <c r="CE389" s="525" t="b">
        <f t="shared" si="257"/>
        <v>0</v>
      </c>
      <c r="CF389" s="525" t="b">
        <f t="shared" si="257"/>
        <v>0</v>
      </c>
    </row>
    <row r="390" spans="1:84" ht="15" customHeight="1" x14ac:dyDescent="0.3">
      <c r="A390" s="765"/>
      <c r="C390" s="695"/>
      <c r="D390" s="696" t="str">
        <f>IF(INDEX(n.er,$AR389,11)="","",INDEX(n.er,$AR389,11))</f>
        <v>Törökország</v>
      </c>
      <c r="E390" s="697" t="str">
        <f>IF(NOT($AS389),"",INDEX(n.er,$AR389,10))</f>
        <v/>
      </c>
      <c r="F390" s="696"/>
      <c r="G390" s="259"/>
      <c r="H390" s="667">
        <v>1</v>
      </c>
      <c r="I390" s="668">
        <v>3</v>
      </c>
      <c r="J390" s="668">
        <v>2</v>
      </c>
      <c r="K390" s="668">
        <v>2</v>
      </c>
      <c r="L390" s="668">
        <v>1</v>
      </c>
      <c r="M390" s="668">
        <v>4</v>
      </c>
      <c r="N390" s="668">
        <v>2</v>
      </c>
      <c r="O390" s="668">
        <v>0</v>
      </c>
      <c r="P390" s="668">
        <v>2</v>
      </c>
      <c r="Q390" s="668">
        <v>1</v>
      </c>
      <c r="R390" s="668">
        <v>1</v>
      </c>
      <c r="S390" s="668">
        <v>1</v>
      </c>
      <c r="T390" s="668">
        <v>1</v>
      </c>
      <c r="U390" s="668">
        <v>1</v>
      </c>
      <c r="V390" s="668">
        <v>2</v>
      </c>
      <c r="W390" s="668">
        <v>1</v>
      </c>
      <c r="X390" s="668">
        <v>1</v>
      </c>
      <c r="Y390" s="668">
        <v>1</v>
      </c>
      <c r="Z390" s="668">
        <v>0</v>
      </c>
      <c r="AA390" s="668">
        <v>1</v>
      </c>
      <c r="AB390" s="668">
        <v>2</v>
      </c>
      <c r="AC390" s="668">
        <v>1</v>
      </c>
      <c r="AD390" s="668">
        <v>1</v>
      </c>
      <c r="AE390" s="668"/>
      <c r="AF390" s="668"/>
      <c r="AG390" s="668"/>
      <c r="AH390" s="668"/>
      <c r="AI390" s="668"/>
      <c r="AJ390" s="668"/>
      <c r="AK390" s="669"/>
      <c r="AP390" s="533"/>
      <c r="AQ390" s="577"/>
      <c r="AR390" s="534"/>
      <c r="AS390" s="535"/>
      <c r="AX390" s="531"/>
      <c r="BC390" s="34" t="b">
        <f t="shared" ref="BC390:CF390" si="258">OR(NOT(H$13),NOT($AS389),NOT(BC389))</f>
        <v>1</v>
      </c>
      <c r="BD390" s="34" t="b">
        <f t="shared" si="258"/>
        <v>1</v>
      </c>
      <c r="BE390" s="34" t="b">
        <f t="shared" si="258"/>
        <v>1</v>
      </c>
      <c r="BF390" s="34" t="b">
        <f t="shared" si="258"/>
        <v>1</v>
      </c>
      <c r="BG390" s="34" t="b">
        <f t="shared" si="258"/>
        <v>1</v>
      </c>
      <c r="BH390" s="34" t="b">
        <f t="shared" si="258"/>
        <v>1</v>
      </c>
      <c r="BI390" s="34" t="b">
        <f t="shared" si="258"/>
        <v>1</v>
      </c>
      <c r="BJ390" s="34" t="b">
        <f t="shared" si="258"/>
        <v>1</v>
      </c>
      <c r="BK390" s="34" t="b">
        <f t="shared" si="258"/>
        <v>1</v>
      </c>
      <c r="BL390" s="34" t="b">
        <f t="shared" si="258"/>
        <v>1</v>
      </c>
      <c r="BM390" s="34" t="b">
        <f t="shared" si="258"/>
        <v>1</v>
      </c>
      <c r="BN390" s="34" t="b">
        <f t="shared" si="258"/>
        <v>1</v>
      </c>
      <c r="BO390" s="34" t="b">
        <f t="shared" si="258"/>
        <v>1</v>
      </c>
      <c r="BP390" s="34" t="b">
        <f t="shared" si="258"/>
        <v>1</v>
      </c>
      <c r="BQ390" s="34" t="b">
        <f t="shared" si="258"/>
        <v>1</v>
      </c>
      <c r="BR390" s="34" t="b">
        <f t="shared" si="258"/>
        <v>1</v>
      </c>
      <c r="BS390" s="34" t="b">
        <f t="shared" si="258"/>
        <v>1</v>
      </c>
      <c r="BT390" s="34" t="b">
        <f t="shared" si="258"/>
        <v>1</v>
      </c>
      <c r="BU390" s="34" t="b">
        <f t="shared" si="258"/>
        <v>1</v>
      </c>
      <c r="BV390" s="34" t="b">
        <f t="shared" si="258"/>
        <v>1</v>
      </c>
      <c r="BW390" s="34" t="b">
        <f t="shared" si="258"/>
        <v>1</v>
      </c>
      <c r="BX390" s="34" t="b">
        <f t="shared" si="258"/>
        <v>1</v>
      </c>
      <c r="BY390" s="34" t="b">
        <f t="shared" si="258"/>
        <v>1</v>
      </c>
      <c r="BZ390" s="34" t="b">
        <f t="shared" si="258"/>
        <v>1</v>
      </c>
      <c r="CA390" s="34" t="b">
        <f t="shared" si="258"/>
        <v>1</v>
      </c>
      <c r="CB390" s="34" t="b">
        <f t="shared" si="258"/>
        <v>1</v>
      </c>
      <c r="CC390" s="34" t="b">
        <f t="shared" si="258"/>
        <v>1</v>
      </c>
      <c r="CD390" s="34" t="b">
        <f t="shared" si="258"/>
        <v>1</v>
      </c>
      <c r="CE390" s="34" t="b">
        <f t="shared" si="258"/>
        <v>1</v>
      </c>
      <c r="CF390" s="34" t="b">
        <f t="shared" si="258"/>
        <v>1</v>
      </c>
    </row>
    <row r="391" spans="1:84" ht="12" customHeight="1" x14ac:dyDescent="0.3">
      <c r="A391" s="765"/>
      <c r="E391" s="258" t="str">
        <f>$AX$92</f>
        <v>Telitalálat: 10 p</v>
      </c>
      <c r="H391" s="670" t="str">
        <f t="shared" ref="H391:AK391" si="259">IF(OR(BC390,NOT($AS$20)),"",IF(AND(H389=$E389,H390=$E390),"ü",""))</f>
        <v/>
      </c>
      <c r="I391" s="671" t="str">
        <f t="shared" si="259"/>
        <v/>
      </c>
      <c r="J391" s="671" t="str">
        <f t="shared" si="259"/>
        <v/>
      </c>
      <c r="K391" s="671" t="str">
        <f t="shared" si="259"/>
        <v/>
      </c>
      <c r="L391" s="671" t="str">
        <f t="shared" si="259"/>
        <v/>
      </c>
      <c r="M391" s="671" t="str">
        <f t="shared" si="259"/>
        <v/>
      </c>
      <c r="N391" s="671" t="str">
        <f t="shared" si="259"/>
        <v/>
      </c>
      <c r="O391" s="671" t="str">
        <f t="shared" si="259"/>
        <v/>
      </c>
      <c r="P391" s="671" t="str">
        <f t="shared" si="259"/>
        <v/>
      </c>
      <c r="Q391" s="671" t="str">
        <f t="shared" si="259"/>
        <v/>
      </c>
      <c r="R391" s="671" t="str">
        <f t="shared" si="259"/>
        <v/>
      </c>
      <c r="S391" s="671" t="str">
        <f t="shared" si="259"/>
        <v/>
      </c>
      <c r="T391" s="671" t="str">
        <f t="shared" si="259"/>
        <v/>
      </c>
      <c r="U391" s="671" t="str">
        <f t="shared" si="259"/>
        <v/>
      </c>
      <c r="V391" s="671" t="str">
        <f t="shared" si="259"/>
        <v/>
      </c>
      <c r="W391" s="671" t="str">
        <f t="shared" si="259"/>
        <v/>
      </c>
      <c r="X391" s="671" t="str">
        <f t="shared" si="259"/>
        <v/>
      </c>
      <c r="Y391" s="671" t="str">
        <f t="shared" si="259"/>
        <v/>
      </c>
      <c r="Z391" s="671" t="str">
        <f t="shared" si="259"/>
        <v/>
      </c>
      <c r="AA391" s="671" t="str">
        <f t="shared" si="259"/>
        <v/>
      </c>
      <c r="AB391" s="671" t="str">
        <f t="shared" si="259"/>
        <v/>
      </c>
      <c r="AC391" s="671" t="str">
        <f t="shared" si="259"/>
        <v/>
      </c>
      <c r="AD391" s="671" t="str">
        <f t="shared" si="259"/>
        <v/>
      </c>
      <c r="AE391" s="671" t="str">
        <f t="shared" si="259"/>
        <v/>
      </c>
      <c r="AF391" s="671" t="str">
        <f t="shared" si="259"/>
        <v/>
      </c>
      <c r="AG391" s="671" t="str">
        <f t="shared" si="259"/>
        <v/>
      </c>
      <c r="AH391" s="671" t="str">
        <f t="shared" si="259"/>
        <v/>
      </c>
      <c r="AI391" s="671" t="str">
        <f t="shared" si="259"/>
        <v/>
      </c>
      <c r="AJ391" s="671" t="str">
        <f t="shared" si="259"/>
        <v/>
      </c>
      <c r="AK391" s="672" t="str">
        <f t="shared" si="259"/>
        <v/>
      </c>
      <c r="AL391" s="15"/>
      <c r="AM391" s="15"/>
      <c r="AP391" s="536"/>
      <c r="AR391" s="537"/>
      <c r="AS391" s="529"/>
      <c r="AW391" s="390" t="str">
        <f>""</f>
        <v/>
      </c>
      <c r="AX391" s="531"/>
      <c r="AY391" s="390" t="str">
        <f>""</f>
        <v/>
      </c>
      <c r="BD391" s="520"/>
      <c r="BE391" s="520"/>
      <c r="BF391" s="520"/>
      <c r="BG391" s="520"/>
      <c r="BH391" s="520"/>
      <c r="BI391" s="520"/>
      <c r="BJ391" s="520"/>
      <c r="BK391" s="520"/>
      <c r="BL391" s="520"/>
      <c r="BM391" s="520"/>
      <c r="BN391" s="520"/>
      <c r="BO391" s="520"/>
      <c r="BP391" s="520"/>
      <c r="BQ391" s="520"/>
      <c r="BR391" s="520"/>
      <c r="BS391" s="520"/>
      <c r="BT391" s="520"/>
      <c r="BU391" s="520"/>
      <c r="BV391" s="520"/>
      <c r="BW391" s="520"/>
      <c r="BX391" s="520"/>
      <c r="BY391" s="520"/>
    </row>
    <row r="392" spans="1:84" ht="12" customHeight="1" x14ac:dyDescent="0.3">
      <c r="A392" s="765"/>
      <c r="E392" s="258" t="str">
        <f>$AX$93</f>
        <v>Gólkülönbség: 6 p</v>
      </c>
      <c r="H392" s="673" t="str">
        <f t="shared" ref="H392:AK392" si="260">IF(OR(BC390,NOT($AS$22)),"",IF(AND(NOT($AS$32),H391="ü"),"",IF(H389-H390=$E389-$E390,"ü"," ")))</f>
        <v/>
      </c>
      <c r="I392" s="674" t="str">
        <f t="shared" si="260"/>
        <v/>
      </c>
      <c r="J392" s="674" t="str">
        <f t="shared" si="260"/>
        <v/>
      </c>
      <c r="K392" s="674" t="str">
        <f t="shared" si="260"/>
        <v/>
      </c>
      <c r="L392" s="674" t="str">
        <f t="shared" si="260"/>
        <v/>
      </c>
      <c r="M392" s="674" t="str">
        <f t="shared" si="260"/>
        <v/>
      </c>
      <c r="N392" s="674" t="str">
        <f t="shared" si="260"/>
        <v/>
      </c>
      <c r="O392" s="674" t="str">
        <f t="shared" si="260"/>
        <v/>
      </c>
      <c r="P392" s="674" t="str">
        <f t="shared" si="260"/>
        <v/>
      </c>
      <c r="Q392" s="674" t="str">
        <f t="shared" si="260"/>
        <v/>
      </c>
      <c r="R392" s="674" t="str">
        <f t="shared" si="260"/>
        <v/>
      </c>
      <c r="S392" s="674" t="str">
        <f t="shared" si="260"/>
        <v/>
      </c>
      <c r="T392" s="674" t="str">
        <f t="shared" si="260"/>
        <v/>
      </c>
      <c r="U392" s="674" t="str">
        <f t="shared" si="260"/>
        <v/>
      </c>
      <c r="V392" s="674" t="str">
        <f t="shared" si="260"/>
        <v/>
      </c>
      <c r="W392" s="674" t="str">
        <f t="shared" si="260"/>
        <v/>
      </c>
      <c r="X392" s="674" t="str">
        <f t="shared" si="260"/>
        <v/>
      </c>
      <c r="Y392" s="674" t="str">
        <f t="shared" si="260"/>
        <v/>
      </c>
      <c r="Z392" s="674" t="str">
        <f t="shared" si="260"/>
        <v/>
      </c>
      <c r="AA392" s="674" t="str">
        <f t="shared" si="260"/>
        <v/>
      </c>
      <c r="AB392" s="674" t="str">
        <f t="shared" si="260"/>
        <v/>
      </c>
      <c r="AC392" s="674" t="str">
        <f t="shared" si="260"/>
        <v/>
      </c>
      <c r="AD392" s="674" t="str">
        <f t="shared" si="260"/>
        <v/>
      </c>
      <c r="AE392" s="674" t="str">
        <f t="shared" si="260"/>
        <v/>
      </c>
      <c r="AF392" s="674" t="str">
        <f t="shared" si="260"/>
        <v/>
      </c>
      <c r="AG392" s="674" t="str">
        <f t="shared" si="260"/>
        <v/>
      </c>
      <c r="AH392" s="674" t="str">
        <f t="shared" si="260"/>
        <v/>
      </c>
      <c r="AI392" s="674" t="str">
        <f t="shared" si="260"/>
        <v/>
      </c>
      <c r="AJ392" s="674" t="str">
        <f t="shared" si="260"/>
        <v/>
      </c>
      <c r="AK392" s="675" t="str">
        <f t="shared" si="260"/>
        <v/>
      </c>
      <c r="AL392" s="15"/>
      <c r="AM392" s="15"/>
      <c r="AP392" s="536"/>
      <c r="AR392" s="537"/>
      <c r="AS392" s="529"/>
      <c r="AW392" s="390" t="str">
        <f>""</f>
        <v/>
      </c>
      <c r="AX392" s="531"/>
      <c r="AY392" s="390" t="str">
        <f>""</f>
        <v/>
      </c>
      <c r="BD392" s="520"/>
      <c r="BE392" s="520"/>
      <c r="BF392" s="520"/>
      <c r="BG392" s="520"/>
      <c r="BH392" s="520"/>
      <c r="BI392" s="520"/>
      <c r="BJ392" s="520"/>
      <c r="BK392" s="520"/>
      <c r="BL392" s="520"/>
      <c r="BM392" s="520"/>
      <c r="BN392" s="520"/>
      <c r="BO392" s="520"/>
      <c r="BP392" s="520"/>
      <c r="BQ392" s="520"/>
      <c r="BR392" s="520"/>
      <c r="BS392" s="520"/>
      <c r="BT392" s="520"/>
      <c r="BU392" s="520"/>
      <c r="BV392" s="520"/>
      <c r="BW392" s="520"/>
      <c r="BX392" s="520"/>
      <c r="BY392" s="520"/>
    </row>
    <row r="393" spans="1:84" ht="12" customHeight="1" x14ac:dyDescent="0.3">
      <c r="A393" s="765"/>
      <c r="E393" s="258" t="str">
        <f>$AX$94</f>
        <v>Mérkőzés kimenetele: 4 p</v>
      </c>
      <c r="H393" s="673" t="str">
        <f t="shared" ref="H393:AK393" si="261">IF(OR(BC390,NOT($AS$24)),"",IF(AND(NOT($AS$32),COUNTIF(H391:H392,"ü")&gt;0),"",IF(SIGN(H389-H390)=SIGN($E389-$E390),"ü"," ")))</f>
        <v/>
      </c>
      <c r="I393" s="674" t="str">
        <f t="shared" si="261"/>
        <v/>
      </c>
      <c r="J393" s="674" t="str">
        <f t="shared" si="261"/>
        <v/>
      </c>
      <c r="K393" s="674" t="str">
        <f t="shared" si="261"/>
        <v/>
      </c>
      <c r="L393" s="674" t="str">
        <f t="shared" si="261"/>
        <v/>
      </c>
      <c r="M393" s="674" t="str">
        <f t="shared" si="261"/>
        <v/>
      </c>
      <c r="N393" s="674" t="str">
        <f t="shared" si="261"/>
        <v/>
      </c>
      <c r="O393" s="674" t="str">
        <f t="shared" si="261"/>
        <v/>
      </c>
      <c r="P393" s="674" t="str">
        <f t="shared" si="261"/>
        <v/>
      </c>
      <c r="Q393" s="674" t="str">
        <f t="shared" si="261"/>
        <v/>
      </c>
      <c r="R393" s="674" t="str">
        <f t="shared" si="261"/>
        <v/>
      </c>
      <c r="S393" s="674" t="str">
        <f t="shared" si="261"/>
        <v/>
      </c>
      <c r="T393" s="674" t="str">
        <f t="shared" si="261"/>
        <v/>
      </c>
      <c r="U393" s="674" t="str">
        <f t="shared" si="261"/>
        <v/>
      </c>
      <c r="V393" s="674" t="str">
        <f t="shared" si="261"/>
        <v/>
      </c>
      <c r="W393" s="674" t="str">
        <f t="shared" si="261"/>
        <v/>
      </c>
      <c r="X393" s="674" t="str">
        <f t="shared" si="261"/>
        <v/>
      </c>
      <c r="Y393" s="674" t="str">
        <f t="shared" si="261"/>
        <v/>
      </c>
      <c r="Z393" s="674" t="str">
        <f t="shared" si="261"/>
        <v/>
      </c>
      <c r="AA393" s="674" t="str">
        <f t="shared" si="261"/>
        <v/>
      </c>
      <c r="AB393" s="674" t="str">
        <f t="shared" si="261"/>
        <v/>
      </c>
      <c r="AC393" s="674" t="str">
        <f t="shared" si="261"/>
        <v/>
      </c>
      <c r="AD393" s="674" t="str">
        <f t="shared" si="261"/>
        <v/>
      </c>
      <c r="AE393" s="674" t="str">
        <f t="shared" si="261"/>
        <v/>
      </c>
      <c r="AF393" s="674" t="str">
        <f t="shared" si="261"/>
        <v/>
      </c>
      <c r="AG393" s="674" t="str">
        <f t="shared" si="261"/>
        <v/>
      </c>
      <c r="AH393" s="674" t="str">
        <f t="shared" si="261"/>
        <v/>
      </c>
      <c r="AI393" s="674" t="str">
        <f t="shared" si="261"/>
        <v/>
      </c>
      <c r="AJ393" s="674" t="str">
        <f t="shared" si="261"/>
        <v/>
      </c>
      <c r="AK393" s="675" t="str">
        <f t="shared" si="261"/>
        <v/>
      </c>
      <c r="AL393" s="15"/>
      <c r="AM393" s="15"/>
      <c r="AP393" s="536"/>
      <c r="AR393" s="537"/>
      <c r="AS393" s="529"/>
      <c r="AW393" s="390" t="str">
        <f>""</f>
        <v/>
      </c>
      <c r="AX393" s="531"/>
      <c r="AY393" s="390" t="str">
        <f>""</f>
        <v/>
      </c>
      <c r="BD393" s="520"/>
      <c r="BE393" s="520"/>
      <c r="BF393" s="520"/>
      <c r="BG393" s="520"/>
      <c r="BH393" s="520"/>
      <c r="BI393" s="520"/>
      <c r="BJ393" s="520"/>
      <c r="BK393" s="520"/>
      <c r="BL393" s="520"/>
      <c r="BM393" s="520"/>
      <c r="BN393" s="520"/>
      <c r="BO393" s="520"/>
      <c r="BP393" s="520"/>
      <c r="BQ393" s="520"/>
      <c r="BR393" s="520"/>
      <c r="BS393" s="520"/>
      <c r="BT393" s="520"/>
      <c r="BU393" s="520"/>
      <c r="BV393" s="520"/>
      <c r="BW393" s="520"/>
      <c r="BX393" s="520"/>
      <c r="BY393" s="520"/>
    </row>
    <row r="394" spans="1:84" ht="12" customHeight="1" x14ac:dyDescent="0.3">
      <c r="A394" s="765"/>
      <c r="E394" s="258" t="str">
        <f>$AX$95</f>
        <v>Egyik csapat góljainak száma: 3 p</v>
      </c>
      <c r="H394" s="673" t="str">
        <f t="shared" ref="H394:AK394" si="262">IF(OR(BC390,NOT($AS$26)),"",IF(AND(NOT($AS$32),COUNTIF(H391:H393,"ü")&gt;0),"",IF(OR(H389=$E389,H390=$E390),"ü"," ")))</f>
        <v/>
      </c>
      <c r="I394" s="674" t="str">
        <f t="shared" si="262"/>
        <v/>
      </c>
      <c r="J394" s="674" t="str">
        <f t="shared" si="262"/>
        <v/>
      </c>
      <c r="K394" s="674" t="str">
        <f t="shared" si="262"/>
        <v/>
      </c>
      <c r="L394" s="674" t="str">
        <f t="shared" si="262"/>
        <v/>
      </c>
      <c r="M394" s="674" t="str">
        <f t="shared" si="262"/>
        <v/>
      </c>
      <c r="N394" s="674" t="str">
        <f t="shared" si="262"/>
        <v/>
      </c>
      <c r="O394" s="674" t="str">
        <f t="shared" si="262"/>
        <v/>
      </c>
      <c r="P394" s="674" t="str">
        <f t="shared" si="262"/>
        <v/>
      </c>
      <c r="Q394" s="674" t="str">
        <f t="shared" si="262"/>
        <v/>
      </c>
      <c r="R394" s="674" t="str">
        <f t="shared" si="262"/>
        <v/>
      </c>
      <c r="S394" s="674" t="str">
        <f t="shared" si="262"/>
        <v/>
      </c>
      <c r="T394" s="674" t="str">
        <f t="shared" si="262"/>
        <v/>
      </c>
      <c r="U394" s="674" t="str">
        <f t="shared" si="262"/>
        <v/>
      </c>
      <c r="V394" s="674" t="str">
        <f t="shared" si="262"/>
        <v/>
      </c>
      <c r="W394" s="674" t="str">
        <f t="shared" si="262"/>
        <v/>
      </c>
      <c r="X394" s="674" t="str">
        <f t="shared" si="262"/>
        <v/>
      </c>
      <c r="Y394" s="674" t="str">
        <f t="shared" si="262"/>
        <v/>
      </c>
      <c r="Z394" s="674" t="str">
        <f t="shared" si="262"/>
        <v/>
      </c>
      <c r="AA394" s="674" t="str">
        <f t="shared" si="262"/>
        <v/>
      </c>
      <c r="AB394" s="674" t="str">
        <f t="shared" si="262"/>
        <v/>
      </c>
      <c r="AC394" s="674" t="str">
        <f t="shared" si="262"/>
        <v/>
      </c>
      <c r="AD394" s="674" t="str">
        <f t="shared" si="262"/>
        <v/>
      </c>
      <c r="AE394" s="674" t="str">
        <f t="shared" si="262"/>
        <v/>
      </c>
      <c r="AF394" s="674" t="str">
        <f t="shared" si="262"/>
        <v/>
      </c>
      <c r="AG394" s="674" t="str">
        <f t="shared" si="262"/>
        <v/>
      </c>
      <c r="AH394" s="674" t="str">
        <f t="shared" si="262"/>
        <v/>
      </c>
      <c r="AI394" s="674" t="str">
        <f t="shared" si="262"/>
        <v/>
      </c>
      <c r="AJ394" s="674" t="str">
        <f t="shared" si="262"/>
        <v/>
      </c>
      <c r="AK394" s="675" t="str">
        <f t="shared" si="262"/>
        <v/>
      </c>
      <c r="AL394" s="15"/>
      <c r="AM394" s="15"/>
      <c r="AP394" s="536"/>
      <c r="AR394" s="537"/>
      <c r="AS394" s="529"/>
      <c r="AW394" s="390" t="str">
        <f>""</f>
        <v/>
      </c>
      <c r="AX394" s="531"/>
      <c r="AY394" s="390" t="str">
        <f>""</f>
        <v/>
      </c>
      <c r="BD394" s="520"/>
      <c r="BE394" s="520"/>
      <c r="BF394" s="520"/>
      <c r="BG394" s="520"/>
      <c r="BH394" s="520"/>
      <c r="BI394" s="520"/>
      <c r="BJ394" s="520"/>
      <c r="BK394" s="520"/>
      <c r="BL394" s="520"/>
      <c r="BM394" s="520"/>
      <c r="BN394" s="520"/>
      <c r="BO394" s="520"/>
      <c r="BP394" s="520"/>
      <c r="BQ394" s="520"/>
      <c r="BR394" s="520"/>
      <c r="BS394" s="520"/>
      <c r="BT394" s="520"/>
      <c r="BU394" s="520"/>
      <c r="BV394" s="520"/>
      <c r="BW394" s="520"/>
      <c r="BX394" s="520"/>
      <c r="BY394" s="520"/>
    </row>
    <row r="395" spans="1:84" ht="12" customHeight="1" x14ac:dyDescent="0.3">
      <c r="A395" s="765"/>
      <c r="E395" s="258" t="str">
        <f>$AX$96</f>
        <v>Összes gól: 2 p</v>
      </c>
      <c r="H395" s="673" t="str">
        <f t="shared" ref="H395:AK395" si="263">IF(OR(BC390,NOT($AS$28)),"",IF(AND(NOT($AS$32),COUNTIF(H391:H394,"ü")&gt;0),"",IF(H389+H390=$E389+$E390,"ü"," ")))</f>
        <v/>
      </c>
      <c r="I395" s="674" t="str">
        <f t="shared" si="263"/>
        <v/>
      </c>
      <c r="J395" s="674" t="str">
        <f t="shared" si="263"/>
        <v/>
      </c>
      <c r="K395" s="674" t="str">
        <f t="shared" si="263"/>
        <v/>
      </c>
      <c r="L395" s="674" t="str">
        <f t="shared" si="263"/>
        <v/>
      </c>
      <c r="M395" s="674" t="str">
        <f t="shared" si="263"/>
        <v/>
      </c>
      <c r="N395" s="674" t="str">
        <f t="shared" si="263"/>
        <v/>
      </c>
      <c r="O395" s="674" t="str">
        <f t="shared" si="263"/>
        <v/>
      </c>
      <c r="P395" s="674" t="str">
        <f t="shared" si="263"/>
        <v/>
      </c>
      <c r="Q395" s="674" t="str">
        <f t="shared" si="263"/>
        <v/>
      </c>
      <c r="R395" s="674" t="str">
        <f t="shared" si="263"/>
        <v/>
      </c>
      <c r="S395" s="674" t="str">
        <f t="shared" si="263"/>
        <v/>
      </c>
      <c r="T395" s="674" t="str">
        <f t="shared" si="263"/>
        <v/>
      </c>
      <c r="U395" s="674" t="str">
        <f t="shared" si="263"/>
        <v/>
      </c>
      <c r="V395" s="674" t="str">
        <f t="shared" si="263"/>
        <v/>
      </c>
      <c r="W395" s="674" t="str">
        <f t="shared" si="263"/>
        <v/>
      </c>
      <c r="X395" s="674" t="str">
        <f t="shared" si="263"/>
        <v/>
      </c>
      <c r="Y395" s="674" t="str">
        <f t="shared" si="263"/>
        <v/>
      </c>
      <c r="Z395" s="674" t="str">
        <f t="shared" si="263"/>
        <v/>
      </c>
      <c r="AA395" s="674" t="str">
        <f t="shared" si="263"/>
        <v/>
      </c>
      <c r="AB395" s="674" t="str">
        <f t="shared" si="263"/>
        <v/>
      </c>
      <c r="AC395" s="674" t="str">
        <f t="shared" si="263"/>
        <v/>
      </c>
      <c r="AD395" s="674" t="str">
        <f t="shared" si="263"/>
        <v/>
      </c>
      <c r="AE395" s="674" t="str">
        <f t="shared" si="263"/>
        <v/>
      </c>
      <c r="AF395" s="674" t="str">
        <f t="shared" si="263"/>
        <v/>
      </c>
      <c r="AG395" s="674" t="str">
        <f t="shared" si="263"/>
        <v/>
      </c>
      <c r="AH395" s="674" t="str">
        <f t="shared" si="263"/>
        <v/>
      </c>
      <c r="AI395" s="674" t="str">
        <f t="shared" si="263"/>
        <v/>
      </c>
      <c r="AJ395" s="674" t="str">
        <f t="shared" si="263"/>
        <v/>
      </c>
      <c r="AK395" s="675" t="str">
        <f t="shared" si="263"/>
        <v/>
      </c>
      <c r="AL395" s="15"/>
      <c r="AM395" s="15"/>
      <c r="AP395" s="536"/>
      <c r="AR395" s="537"/>
      <c r="AS395" s="529"/>
      <c r="AW395" s="390" t="str">
        <f>""</f>
        <v/>
      </c>
      <c r="AX395" s="531"/>
      <c r="AY395" s="390" t="str">
        <f>""</f>
        <v/>
      </c>
      <c r="BD395" s="520"/>
      <c r="BE395" s="520"/>
      <c r="BF395" s="520"/>
      <c r="BG395" s="520"/>
      <c r="BH395" s="520"/>
      <c r="BI395" s="520"/>
      <c r="BJ395" s="520"/>
      <c r="BK395" s="520"/>
      <c r="BL395" s="520"/>
      <c r="BM395" s="520"/>
      <c r="BN395" s="520"/>
      <c r="BO395" s="520"/>
      <c r="BP395" s="520"/>
      <c r="BQ395" s="520"/>
      <c r="BR395" s="520"/>
      <c r="BS395" s="520"/>
      <c r="BT395" s="520"/>
      <c r="BU395" s="520"/>
      <c r="BV395" s="520"/>
      <c r="BW395" s="520"/>
      <c r="BX395" s="520"/>
      <c r="BY395" s="520"/>
    </row>
    <row r="396" spans="1:84" ht="12" customHeight="1" x14ac:dyDescent="0.3">
      <c r="A396" s="765"/>
      <c r="E396" s="258" t="str">
        <f>$AX$97</f>
        <v>Fordított gólkülönbség: 1 p</v>
      </c>
      <c r="H396" s="676" t="str">
        <f t="shared" ref="H396:AK396" si="264">IF(OR(BC390,NOT($AS$30)),"",IF(AND(NOT($AS$32),COUNTIF(H391:H395,"ü")&gt;0),"",IF(AND(H389-H390=$E390-$E389,H389&lt;&gt;H390),"ü"," ")))</f>
        <v/>
      </c>
      <c r="I396" s="677" t="str">
        <f t="shared" si="264"/>
        <v/>
      </c>
      <c r="J396" s="677" t="str">
        <f t="shared" si="264"/>
        <v/>
      </c>
      <c r="K396" s="677" t="str">
        <f t="shared" si="264"/>
        <v/>
      </c>
      <c r="L396" s="677" t="str">
        <f t="shared" si="264"/>
        <v/>
      </c>
      <c r="M396" s="677" t="str">
        <f t="shared" si="264"/>
        <v/>
      </c>
      <c r="N396" s="677" t="str">
        <f t="shared" si="264"/>
        <v/>
      </c>
      <c r="O396" s="677" t="str">
        <f t="shared" si="264"/>
        <v/>
      </c>
      <c r="P396" s="677" t="str">
        <f t="shared" si="264"/>
        <v/>
      </c>
      <c r="Q396" s="677" t="str">
        <f t="shared" si="264"/>
        <v/>
      </c>
      <c r="R396" s="677" t="str">
        <f t="shared" si="264"/>
        <v/>
      </c>
      <c r="S396" s="677" t="str">
        <f t="shared" si="264"/>
        <v/>
      </c>
      <c r="T396" s="677" t="str">
        <f t="shared" si="264"/>
        <v/>
      </c>
      <c r="U396" s="677" t="str">
        <f t="shared" si="264"/>
        <v/>
      </c>
      <c r="V396" s="677" t="str">
        <f t="shared" si="264"/>
        <v/>
      </c>
      <c r="W396" s="677" t="str">
        <f t="shared" si="264"/>
        <v/>
      </c>
      <c r="X396" s="677" t="str">
        <f t="shared" si="264"/>
        <v/>
      </c>
      <c r="Y396" s="677" t="str">
        <f t="shared" si="264"/>
        <v/>
      </c>
      <c r="Z396" s="677" t="str">
        <f t="shared" si="264"/>
        <v/>
      </c>
      <c r="AA396" s="677" t="str">
        <f t="shared" si="264"/>
        <v/>
      </c>
      <c r="AB396" s="677" t="str">
        <f t="shared" si="264"/>
        <v/>
      </c>
      <c r="AC396" s="677" t="str">
        <f t="shared" si="264"/>
        <v/>
      </c>
      <c r="AD396" s="677" t="str">
        <f t="shared" si="264"/>
        <v/>
      </c>
      <c r="AE396" s="677" t="str">
        <f t="shared" si="264"/>
        <v/>
      </c>
      <c r="AF396" s="677" t="str">
        <f t="shared" si="264"/>
        <v/>
      </c>
      <c r="AG396" s="677" t="str">
        <f t="shared" si="264"/>
        <v/>
      </c>
      <c r="AH396" s="677" t="str">
        <f t="shared" si="264"/>
        <v/>
      </c>
      <c r="AI396" s="677" t="str">
        <f t="shared" si="264"/>
        <v/>
      </c>
      <c r="AJ396" s="677" t="str">
        <f t="shared" si="264"/>
        <v/>
      </c>
      <c r="AK396" s="678" t="str">
        <f t="shared" si="264"/>
        <v/>
      </c>
      <c r="AL396" s="15"/>
      <c r="AM396" s="15"/>
      <c r="AP396" s="536"/>
      <c r="AR396" s="537"/>
      <c r="AS396" s="529"/>
      <c r="AW396" s="390" t="str">
        <f>""</f>
        <v/>
      </c>
      <c r="AX396" s="531"/>
      <c r="AY396" s="390" t="str">
        <f>""</f>
        <v/>
      </c>
      <c r="BD396" s="520"/>
      <c r="BE396" s="520"/>
      <c r="BF396" s="520"/>
      <c r="BG396" s="520"/>
      <c r="BH396" s="520"/>
      <c r="BI396" s="520"/>
      <c r="BJ396" s="520"/>
      <c r="BK396" s="520"/>
      <c r="BL396" s="520"/>
      <c r="BM396" s="520"/>
      <c r="BN396" s="520"/>
      <c r="BO396" s="520"/>
      <c r="BP396" s="520"/>
      <c r="BQ396" s="520"/>
      <c r="BR396" s="520"/>
      <c r="BS396" s="520"/>
      <c r="BT396" s="520"/>
      <c r="BU396" s="520"/>
      <c r="BV396" s="520"/>
      <c r="BW396" s="520"/>
      <c r="BX396" s="520"/>
      <c r="BY396" s="520"/>
    </row>
    <row r="397" spans="1:84" ht="15" customHeight="1" x14ac:dyDescent="0.3">
      <c r="A397" s="765"/>
      <c r="E397" s="79" t="s">
        <v>799</v>
      </c>
      <c r="H397" s="679">
        <f t="shared" ref="H397:AK397" si="265">IF(NOT(H$13),"",SUMPRODUCT((H391:H396="ü")*($AW$92:$AW$97)))</f>
        <v>0</v>
      </c>
      <c r="I397" s="680">
        <f t="shared" si="265"/>
        <v>0</v>
      </c>
      <c r="J397" s="680">
        <f t="shared" si="265"/>
        <v>0</v>
      </c>
      <c r="K397" s="680">
        <f t="shared" si="265"/>
        <v>0</v>
      </c>
      <c r="L397" s="680">
        <f t="shared" si="265"/>
        <v>0</v>
      </c>
      <c r="M397" s="680">
        <f t="shared" si="265"/>
        <v>0</v>
      </c>
      <c r="N397" s="680">
        <f t="shared" si="265"/>
        <v>0</v>
      </c>
      <c r="O397" s="680">
        <f t="shared" si="265"/>
        <v>0</v>
      </c>
      <c r="P397" s="680">
        <f t="shared" si="265"/>
        <v>0</v>
      </c>
      <c r="Q397" s="680">
        <f t="shared" si="265"/>
        <v>0</v>
      </c>
      <c r="R397" s="680">
        <f t="shared" si="265"/>
        <v>0</v>
      </c>
      <c r="S397" s="680">
        <f t="shared" si="265"/>
        <v>0</v>
      </c>
      <c r="T397" s="680">
        <f t="shared" si="265"/>
        <v>0</v>
      </c>
      <c r="U397" s="680">
        <f t="shared" si="265"/>
        <v>0</v>
      </c>
      <c r="V397" s="680">
        <f t="shared" si="265"/>
        <v>0</v>
      </c>
      <c r="W397" s="680">
        <f t="shared" si="265"/>
        <v>0</v>
      </c>
      <c r="X397" s="680">
        <f t="shared" si="265"/>
        <v>0</v>
      </c>
      <c r="Y397" s="680">
        <f t="shared" si="265"/>
        <v>0</v>
      </c>
      <c r="Z397" s="680">
        <f t="shared" si="265"/>
        <v>0</v>
      </c>
      <c r="AA397" s="680">
        <f t="shared" si="265"/>
        <v>0</v>
      </c>
      <c r="AB397" s="680">
        <f t="shared" si="265"/>
        <v>0</v>
      </c>
      <c r="AC397" s="680">
        <f t="shared" si="265"/>
        <v>0</v>
      </c>
      <c r="AD397" s="680">
        <f t="shared" si="265"/>
        <v>0</v>
      </c>
      <c r="AE397" s="680" t="str">
        <f t="shared" si="265"/>
        <v/>
      </c>
      <c r="AF397" s="680" t="str">
        <f t="shared" si="265"/>
        <v/>
      </c>
      <c r="AG397" s="680" t="str">
        <f t="shared" si="265"/>
        <v/>
      </c>
      <c r="AH397" s="680" t="str">
        <f t="shared" si="265"/>
        <v/>
      </c>
      <c r="AI397" s="680" t="str">
        <f t="shared" si="265"/>
        <v/>
      </c>
      <c r="AJ397" s="680" t="str">
        <f t="shared" si="265"/>
        <v/>
      </c>
      <c r="AK397" s="681" t="str">
        <f t="shared" si="265"/>
        <v/>
      </c>
      <c r="AP397" s="536"/>
      <c r="AR397" s="537"/>
      <c r="AS397" s="529"/>
    </row>
    <row r="398" spans="1:84" ht="9" customHeight="1" x14ac:dyDescent="0.3">
      <c r="A398" s="765"/>
      <c r="D398" s="15"/>
      <c r="E398" s="15"/>
      <c r="F398" s="15"/>
      <c r="G398" s="15"/>
      <c r="H398" s="15"/>
      <c r="I398" s="16"/>
      <c r="J398" s="15"/>
      <c r="K398" s="15"/>
      <c r="L398" s="16"/>
      <c r="M398" s="15"/>
      <c r="N398" s="15"/>
      <c r="O398" s="16"/>
      <c r="P398" s="15"/>
      <c r="Q398" s="15"/>
      <c r="R398" s="16"/>
      <c r="S398" s="15"/>
      <c r="T398" s="15"/>
      <c r="U398" s="16"/>
      <c r="V398" s="15"/>
      <c r="W398" s="15"/>
      <c r="X398" s="16"/>
      <c r="Y398" s="15"/>
      <c r="Z398" s="15"/>
      <c r="AA398" s="16"/>
      <c r="AB398" s="15"/>
      <c r="AC398" s="15"/>
      <c r="AD398" s="16"/>
      <c r="AE398" s="15"/>
      <c r="AF398" s="15"/>
      <c r="AG398" s="16"/>
      <c r="AH398" s="15"/>
      <c r="AI398" s="15"/>
      <c r="AJ398" s="16"/>
      <c r="AK398" s="15"/>
      <c r="AP398" s="536"/>
      <c r="AR398" s="537"/>
      <c r="AS398" s="529"/>
    </row>
    <row r="399" spans="1:84" ht="15" customHeight="1" x14ac:dyDescent="0.3">
      <c r="A399" s="765"/>
      <c r="C399" s="27" t="str">
        <f>" "&amp;VLOOKUP(AQ400,schedule,18,FALSE)&amp;"  ("&amp;VLOOKUP(AQ400,schedule,3,FALSE)&amp;" CSOPORT)"</f>
        <v xml:space="preserve"> JÚNIUS 21. – HÉTFŐ 18:00  (C CSOPORT)</v>
      </c>
      <c r="D399" s="27"/>
      <c r="E399" s="26"/>
      <c r="F399" s="26"/>
      <c r="G399" s="26"/>
      <c r="H399" s="26"/>
      <c r="I399" s="26"/>
      <c r="J399" s="26"/>
      <c r="AP399" s="536"/>
      <c r="AR399" s="537"/>
      <c r="AS399" s="529"/>
    </row>
    <row r="400" spans="1:84" ht="15" customHeight="1" x14ac:dyDescent="0.3">
      <c r="A400" s="765"/>
      <c r="C400" s="661"/>
      <c r="D400" s="662" t="str">
        <f>IF(INDEX(n.er,$AR400,8)="","",INDEX(n.er,$AR400,8))</f>
        <v>Észak-Macedónia</v>
      </c>
      <c r="E400" s="663" t="str">
        <f>IF(NOT($AS400),"",INDEX(n.er,$AR400,9))</f>
        <v/>
      </c>
      <c r="F400" s="662"/>
      <c r="G400" s="259"/>
      <c r="H400" s="664">
        <v>0</v>
      </c>
      <c r="I400" s="665">
        <v>2</v>
      </c>
      <c r="J400" s="665">
        <v>1</v>
      </c>
      <c r="K400" s="665">
        <v>1</v>
      </c>
      <c r="L400" s="665">
        <v>1</v>
      </c>
      <c r="M400" s="665">
        <v>0</v>
      </c>
      <c r="N400" s="665">
        <v>1</v>
      </c>
      <c r="O400" s="665">
        <v>1</v>
      </c>
      <c r="P400" s="665">
        <v>0</v>
      </c>
      <c r="Q400" s="665">
        <v>1</v>
      </c>
      <c r="R400" s="665">
        <v>0</v>
      </c>
      <c r="S400" s="665">
        <v>1</v>
      </c>
      <c r="T400" s="665">
        <v>0</v>
      </c>
      <c r="U400" s="665">
        <v>0</v>
      </c>
      <c r="V400" s="665">
        <v>2</v>
      </c>
      <c r="W400" s="665">
        <v>0</v>
      </c>
      <c r="X400" s="665">
        <v>1</v>
      </c>
      <c r="Y400" s="665">
        <v>0</v>
      </c>
      <c r="Z400" s="665">
        <v>0</v>
      </c>
      <c r="AA400" s="665">
        <v>0</v>
      </c>
      <c r="AB400" s="665">
        <v>1</v>
      </c>
      <c r="AC400" s="665">
        <v>1</v>
      </c>
      <c r="AD400" s="665">
        <v>0</v>
      </c>
      <c r="AE400" s="665"/>
      <c r="AF400" s="665"/>
      <c r="AG400" s="665"/>
      <c r="AH400" s="665"/>
      <c r="AI400" s="665"/>
      <c r="AJ400" s="665"/>
      <c r="AK400" s="666"/>
      <c r="AP400" s="52">
        <f>AP389+1</f>
        <v>27</v>
      </c>
      <c r="AQ400" s="311">
        <f>INDEX(schedule,AP400,1)</f>
        <v>27</v>
      </c>
      <c r="AR400" s="311">
        <f>MATCH(AQ400,n.er.index,0)</f>
        <v>67</v>
      </c>
      <c r="AS400" s="532" t="b">
        <f>INDEX(n.er,$AR400,3)</f>
        <v>0</v>
      </c>
      <c r="AT400" s="531"/>
      <c r="AU400" s="531"/>
      <c r="AV400" s="531"/>
      <c r="AW400" s="531"/>
      <c r="AX400" s="531"/>
      <c r="BC400" s="525" t="b">
        <f t="shared" ref="BC400:CF400" si="266">IF(AND(ISNUMBER(H400),ISNUMBER(H401),H400&lt;&gt;"",H401&lt;&gt;""),AND(H400&gt;=0,H401&gt;=0,MOD(H400+H401,1)=0),FALSE)</f>
        <v>1</v>
      </c>
      <c r="BD400" s="525" t="b">
        <f t="shared" si="266"/>
        <v>1</v>
      </c>
      <c r="BE400" s="525" t="b">
        <f t="shared" si="266"/>
        <v>1</v>
      </c>
      <c r="BF400" s="525" t="b">
        <f t="shared" si="266"/>
        <v>1</v>
      </c>
      <c r="BG400" s="525" t="b">
        <f t="shared" si="266"/>
        <v>1</v>
      </c>
      <c r="BH400" s="525" t="b">
        <f t="shared" si="266"/>
        <v>1</v>
      </c>
      <c r="BI400" s="525" t="b">
        <f t="shared" si="266"/>
        <v>1</v>
      </c>
      <c r="BJ400" s="525" t="b">
        <f t="shared" si="266"/>
        <v>1</v>
      </c>
      <c r="BK400" s="525" t="b">
        <f t="shared" si="266"/>
        <v>1</v>
      </c>
      <c r="BL400" s="525" t="b">
        <f t="shared" si="266"/>
        <v>1</v>
      </c>
      <c r="BM400" s="525" t="b">
        <f t="shared" si="266"/>
        <v>1</v>
      </c>
      <c r="BN400" s="525" t="b">
        <f t="shared" si="266"/>
        <v>1</v>
      </c>
      <c r="BO400" s="525" t="b">
        <f t="shared" si="266"/>
        <v>1</v>
      </c>
      <c r="BP400" s="525" t="b">
        <f t="shared" si="266"/>
        <v>1</v>
      </c>
      <c r="BQ400" s="525" t="b">
        <f t="shared" si="266"/>
        <v>1</v>
      </c>
      <c r="BR400" s="525" t="b">
        <f t="shared" si="266"/>
        <v>1</v>
      </c>
      <c r="BS400" s="525" t="b">
        <f t="shared" si="266"/>
        <v>1</v>
      </c>
      <c r="BT400" s="525" t="b">
        <f t="shared" si="266"/>
        <v>1</v>
      </c>
      <c r="BU400" s="525" t="b">
        <f t="shared" si="266"/>
        <v>1</v>
      </c>
      <c r="BV400" s="525" t="b">
        <f t="shared" si="266"/>
        <v>1</v>
      </c>
      <c r="BW400" s="525" t="b">
        <f t="shared" si="266"/>
        <v>1</v>
      </c>
      <c r="BX400" s="525" t="b">
        <f t="shared" si="266"/>
        <v>1</v>
      </c>
      <c r="BY400" s="525" t="b">
        <f t="shared" si="266"/>
        <v>1</v>
      </c>
      <c r="BZ400" s="525" t="b">
        <f t="shared" si="266"/>
        <v>0</v>
      </c>
      <c r="CA400" s="525" t="b">
        <f t="shared" si="266"/>
        <v>0</v>
      </c>
      <c r="CB400" s="525" t="b">
        <f t="shared" si="266"/>
        <v>0</v>
      </c>
      <c r="CC400" s="525" t="b">
        <f t="shared" si="266"/>
        <v>0</v>
      </c>
      <c r="CD400" s="525" t="b">
        <f t="shared" si="266"/>
        <v>0</v>
      </c>
      <c r="CE400" s="525" t="b">
        <f t="shared" si="266"/>
        <v>0</v>
      </c>
      <c r="CF400" s="525" t="b">
        <f t="shared" si="266"/>
        <v>0</v>
      </c>
    </row>
    <row r="401" spans="1:84" ht="15" customHeight="1" x14ac:dyDescent="0.3">
      <c r="A401" s="765"/>
      <c r="C401" s="695"/>
      <c r="D401" s="696" t="str">
        <f>IF(INDEX(n.er,$AR400,11)="","",INDEX(n.er,$AR400,11))</f>
        <v>Hollandia</v>
      </c>
      <c r="E401" s="697" t="str">
        <f>IF(NOT($AS400),"",INDEX(n.er,$AR400,10))</f>
        <v/>
      </c>
      <c r="F401" s="696"/>
      <c r="G401" s="259"/>
      <c r="H401" s="667">
        <v>3</v>
      </c>
      <c r="I401" s="668">
        <v>4</v>
      </c>
      <c r="J401" s="668">
        <v>2</v>
      </c>
      <c r="K401" s="668">
        <v>3</v>
      </c>
      <c r="L401" s="668">
        <v>0</v>
      </c>
      <c r="M401" s="668">
        <v>3</v>
      </c>
      <c r="N401" s="668">
        <v>3</v>
      </c>
      <c r="O401" s="668">
        <v>2</v>
      </c>
      <c r="P401" s="668">
        <v>2</v>
      </c>
      <c r="Q401" s="668">
        <v>2</v>
      </c>
      <c r="R401" s="668">
        <v>3</v>
      </c>
      <c r="S401" s="668">
        <v>2</v>
      </c>
      <c r="T401" s="668">
        <v>2</v>
      </c>
      <c r="U401" s="668">
        <v>3</v>
      </c>
      <c r="V401" s="668">
        <v>2</v>
      </c>
      <c r="W401" s="668">
        <v>2</v>
      </c>
      <c r="X401" s="668">
        <v>3</v>
      </c>
      <c r="Y401" s="668">
        <v>3</v>
      </c>
      <c r="Z401" s="668">
        <v>4</v>
      </c>
      <c r="AA401" s="668">
        <v>3</v>
      </c>
      <c r="AB401" s="668">
        <v>2</v>
      </c>
      <c r="AC401" s="668">
        <v>2</v>
      </c>
      <c r="AD401" s="668">
        <v>3</v>
      </c>
      <c r="AE401" s="668"/>
      <c r="AF401" s="668"/>
      <c r="AG401" s="668"/>
      <c r="AH401" s="668"/>
      <c r="AI401" s="668"/>
      <c r="AJ401" s="668"/>
      <c r="AK401" s="669"/>
      <c r="AP401" s="533"/>
      <c r="AQ401" s="577"/>
      <c r="AR401" s="534"/>
      <c r="AS401" s="535"/>
      <c r="AX401" s="531"/>
      <c r="BC401" s="34" t="b">
        <f t="shared" ref="BC401:CF401" si="267">OR(NOT(H$13),NOT($AS400),NOT(BC400))</f>
        <v>1</v>
      </c>
      <c r="BD401" s="34" t="b">
        <f t="shared" si="267"/>
        <v>1</v>
      </c>
      <c r="BE401" s="34" t="b">
        <f t="shared" si="267"/>
        <v>1</v>
      </c>
      <c r="BF401" s="34" t="b">
        <f t="shared" si="267"/>
        <v>1</v>
      </c>
      <c r="BG401" s="34" t="b">
        <f t="shared" si="267"/>
        <v>1</v>
      </c>
      <c r="BH401" s="34" t="b">
        <f t="shared" si="267"/>
        <v>1</v>
      </c>
      <c r="BI401" s="34" t="b">
        <f t="shared" si="267"/>
        <v>1</v>
      </c>
      <c r="BJ401" s="34" t="b">
        <f t="shared" si="267"/>
        <v>1</v>
      </c>
      <c r="BK401" s="34" t="b">
        <f t="shared" si="267"/>
        <v>1</v>
      </c>
      <c r="BL401" s="34" t="b">
        <f t="shared" si="267"/>
        <v>1</v>
      </c>
      <c r="BM401" s="34" t="b">
        <f t="shared" si="267"/>
        <v>1</v>
      </c>
      <c r="BN401" s="34" t="b">
        <f t="shared" si="267"/>
        <v>1</v>
      </c>
      <c r="BO401" s="34" t="b">
        <f t="shared" si="267"/>
        <v>1</v>
      </c>
      <c r="BP401" s="34" t="b">
        <f t="shared" si="267"/>
        <v>1</v>
      </c>
      <c r="BQ401" s="34" t="b">
        <f t="shared" si="267"/>
        <v>1</v>
      </c>
      <c r="BR401" s="34" t="b">
        <f t="shared" si="267"/>
        <v>1</v>
      </c>
      <c r="BS401" s="34" t="b">
        <f t="shared" si="267"/>
        <v>1</v>
      </c>
      <c r="BT401" s="34" t="b">
        <f t="shared" si="267"/>
        <v>1</v>
      </c>
      <c r="BU401" s="34" t="b">
        <f t="shared" si="267"/>
        <v>1</v>
      </c>
      <c r="BV401" s="34" t="b">
        <f t="shared" si="267"/>
        <v>1</v>
      </c>
      <c r="BW401" s="34" t="b">
        <f t="shared" si="267"/>
        <v>1</v>
      </c>
      <c r="BX401" s="34" t="b">
        <f t="shared" si="267"/>
        <v>1</v>
      </c>
      <c r="BY401" s="34" t="b">
        <f t="shared" si="267"/>
        <v>1</v>
      </c>
      <c r="BZ401" s="34" t="b">
        <f t="shared" si="267"/>
        <v>1</v>
      </c>
      <c r="CA401" s="34" t="b">
        <f t="shared" si="267"/>
        <v>1</v>
      </c>
      <c r="CB401" s="34" t="b">
        <f t="shared" si="267"/>
        <v>1</v>
      </c>
      <c r="CC401" s="34" t="b">
        <f t="shared" si="267"/>
        <v>1</v>
      </c>
      <c r="CD401" s="34" t="b">
        <f t="shared" si="267"/>
        <v>1</v>
      </c>
      <c r="CE401" s="34" t="b">
        <f t="shared" si="267"/>
        <v>1</v>
      </c>
      <c r="CF401" s="34" t="b">
        <f t="shared" si="267"/>
        <v>1</v>
      </c>
    </row>
    <row r="402" spans="1:84" ht="12" customHeight="1" x14ac:dyDescent="0.3">
      <c r="A402" s="765"/>
      <c r="E402" s="258" t="str">
        <f>$AX$92</f>
        <v>Telitalálat: 10 p</v>
      </c>
      <c r="H402" s="670" t="str">
        <f t="shared" ref="H402:AK402" si="268">IF(OR(BC401,NOT($AS$20)),"",IF(AND(H400=$E400,H401=$E401),"ü",""))</f>
        <v/>
      </c>
      <c r="I402" s="671" t="str">
        <f t="shared" si="268"/>
        <v/>
      </c>
      <c r="J402" s="671" t="str">
        <f t="shared" si="268"/>
        <v/>
      </c>
      <c r="K402" s="671" t="str">
        <f t="shared" si="268"/>
        <v/>
      </c>
      <c r="L402" s="671" t="str">
        <f t="shared" si="268"/>
        <v/>
      </c>
      <c r="M402" s="671" t="str">
        <f t="shared" si="268"/>
        <v/>
      </c>
      <c r="N402" s="671" t="str">
        <f t="shared" si="268"/>
        <v/>
      </c>
      <c r="O402" s="671" t="str">
        <f t="shared" si="268"/>
        <v/>
      </c>
      <c r="P402" s="671" t="str">
        <f t="shared" si="268"/>
        <v/>
      </c>
      <c r="Q402" s="671" t="str">
        <f t="shared" si="268"/>
        <v/>
      </c>
      <c r="R402" s="671" t="str">
        <f t="shared" si="268"/>
        <v/>
      </c>
      <c r="S402" s="671" t="str">
        <f t="shared" si="268"/>
        <v/>
      </c>
      <c r="T402" s="671" t="str">
        <f t="shared" si="268"/>
        <v/>
      </c>
      <c r="U402" s="671" t="str">
        <f t="shared" si="268"/>
        <v/>
      </c>
      <c r="V402" s="671" t="str">
        <f t="shared" si="268"/>
        <v/>
      </c>
      <c r="W402" s="671" t="str">
        <f t="shared" si="268"/>
        <v/>
      </c>
      <c r="X402" s="671" t="str">
        <f t="shared" si="268"/>
        <v/>
      </c>
      <c r="Y402" s="671" t="str">
        <f t="shared" si="268"/>
        <v/>
      </c>
      <c r="Z402" s="671" t="str">
        <f t="shared" si="268"/>
        <v/>
      </c>
      <c r="AA402" s="671" t="str">
        <f t="shared" si="268"/>
        <v/>
      </c>
      <c r="AB402" s="671" t="str">
        <f t="shared" si="268"/>
        <v/>
      </c>
      <c r="AC402" s="671" t="str">
        <f t="shared" si="268"/>
        <v/>
      </c>
      <c r="AD402" s="671" t="str">
        <f t="shared" si="268"/>
        <v/>
      </c>
      <c r="AE402" s="671" t="str">
        <f t="shared" si="268"/>
        <v/>
      </c>
      <c r="AF402" s="671" t="str">
        <f t="shared" si="268"/>
        <v/>
      </c>
      <c r="AG402" s="671" t="str">
        <f t="shared" si="268"/>
        <v/>
      </c>
      <c r="AH402" s="671" t="str">
        <f t="shared" si="268"/>
        <v/>
      </c>
      <c r="AI402" s="671" t="str">
        <f t="shared" si="268"/>
        <v/>
      </c>
      <c r="AJ402" s="671" t="str">
        <f t="shared" si="268"/>
        <v/>
      </c>
      <c r="AK402" s="672" t="str">
        <f t="shared" si="268"/>
        <v/>
      </c>
      <c r="AL402" s="15"/>
      <c r="AM402" s="15"/>
      <c r="AP402" s="536"/>
      <c r="AR402" s="537"/>
      <c r="AS402" s="529"/>
      <c r="AW402" s="390" t="str">
        <f>""</f>
        <v/>
      </c>
      <c r="AX402" s="531"/>
      <c r="AY402" s="390" t="str">
        <f>""</f>
        <v/>
      </c>
      <c r="BD402" s="520"/>
      <c r="BE402" s="520"/>
      <c r="BF402" s="520"/>
      <c r="BG402" s="520"/>
      <c r="BH402" s="520"/>
      <c r="BI402" s="520"/>
      <c r="BJ402" s="520"/>
      <c r="BK402" s="520"/>
      <c r="BL402" s="520"/>
      <c r="BM402" s="520"/>
      <c r="BN402" s="520"/>
      <c r="BO402" s="520"/>
      <c r="BP402" s="520"/>
      <c r="BQ402" s="520"/>
      <c r="BR402" s="520"/>
      <c r="BS402" s="520"/>
      <c r="BT402" s="520"/>
      <c r="BU402" s="520"/>
      <c r="BV402" s="520"/>
      <c r="BW402" s="520"/>
      <c r="BX402" s="520"/>
      <c r="BY402" s="520"/>
    </row>
    <row r="403" spans="1:84" ht="12" customHeight="1" x14ac:dyDescent="0.3">
      <c r="A403" s="765"/>
      <c r="E403" s="258" t="str">
        <f>$AX$93</f>
        <v>Gólkülönbség: 6 p</v>
      </c>
      <c r="H403" s="673" t="str">
        <f t="shared" ref="H403:AK403" si="269">IF(OR(BC401,NOT($AS$22)),"",IF(AND(NOT($AS$32),H402="ü"),"",IF(H400-H401=$E400-$E401,"ü"," ")))</f>
        <v/>
      </c>
      <c r="I403" s="674" t="str">
        <f t="shared" si="269"/>
        <v/>
      </c>
      <c r="J403" s="674" t="str">
        <f t="shared" si="269"/>
        <v/>
      </c>
      <c r="K403" s="674" t="str">
        <f t="shared" si="269"/>
        <v/>
      </c>
      <c r="L403" s="674" t="str">
        <f t="shared" si="269"/>
        <v/>
      </c>
      <c r="M403" s="674" t="str">
        <f t="shared" si="269"/>
        <v/>
      </c>
      <c r="N403" s="674" t="str">
        <f t="shared" si="269"/>
        <v/>
      </c>
      <c r="O403" s="674" t="str">
        <f t="shared" si="269"/>
        <v/>
      </c>
      <c r="P403" s="674" t="str">
        <f t="shared" si="269"/>
        <v/>
      </c>
      <c r="Q403" s="674" t="str">
        <f t="shared" si="269"/>
        <v/>
      </c>
      <c r="R403" s="674" t="str">
        <f t="shared" si="269"/>
        <v/>
      </c>
      <c r="S403" s="674" t="str">
        <f t="shared" si="269"/>
        <v/>
      </c>
      <c r="T403" s="674" t="str">
        <f t="shared" si="269"/>
        <v/>
      </c>
      <c r="U403" s="674" t="str">
        <f t="shared" si="269"/>
        <v/>
      </c>
      <c r="V403" s="674" t="str">
        <f t="shared" si="269"/>
        <v/>
      </c>
      <c r="W403" s="674" t="str">
        <f t="shared" si="269"/>
        <v/>
      </c>
      <c r="X403" s="674" t="str">
        <f t="shared" si="269"/>
        <v/>
      </c>
      <c r="Y403" s="674" t="str">
        <f t="shared" si="269"/>
        <v/>
      </c>
      <c r="Z403" s="674" t="str">
        <f t="shared" si="269"/>
        <v/>
      </c>
      <c r="AA403" s="674" t="str">
        <f t="shared" si="269"/>
        <v/>
      </c>
      <c r="AB403" s="674" t="str">
        <f t="shared" si="269"/>
        <v/>
      </c>
      <c r="AC403" s="674" t="str">
        <f t="shared" si="269"/>
        <v/>
      </c>
      <c r="AD403" s="674" t="str">
        <f t="shared" si="269"/>
        <v/>
      </c>
      <c r="AE403" s="674" t="str">
        <f t="shared" si="269"/>
        <v/>
      </c>
      <c r="AF403" s="674" t="str">
        <f t="shared" si="269"/>
        <v/>
      </c>
      <c r="AG403" s="674" t="str">
        <f t="shared" si="269"/>
        <v/>
      </c>
      <c r="AH403" s="674" t="str">
        <f t="shared" si="269"/>
        <v/>
      </c>
      <c r="AI403" s="674" t="str">
        <f t="shared" si="269"/>
        <v/>
      </c>
      <c r="AJ403" s="674" t="str">
        <f t="shared" si="269"/>
        <v/>
      </c>
      <c r="AK403" s="675" t="str">
        <f t="shared" si="269"/>
        <v/>
      </c>
      <c r="AL403" s="15"/>
      <c r="AM403" s="15"/>
      <c r="AP403" s="536"/>
      <c r="AR403" s="537"/>
      <c r="AS403" s="529"/>
      <c r="AW403" s="390" t="str">
        <f>""</f>
        <v/>
      </c>
      <c r="AX403" s="531"/>
      <c r="AY403" s="390" t="str">
        <f>""</f>
        <v/>
      </c>
      <c r="BD403" s="520"/>
      <c r="BE403" s="520"/>
      <c r="BF403" s="520"/>
      <c r="BG403" s="520"/>
      <c r="BH403" s="520"/>
      <c r="BI403" s="520"/>
      <c r="BJ403" s="520"/>
      <c r="BK403" s="520"/>
      <c r="BL403" s="520"/>
      <c r="BM403" s="520"/>
      <c r="BN403" s="520"/>
      <c r="BO403" s="520"/>
      <c r="BP403" s="520"/>
      <c r="BQ403" s="520"/>
      <c r="BR403" s="520"/>
      <c r="BS403" s="520"/>
      <c r="BT403" s="520"/>
      <c r="BU403" s="520"/>
      <c r="BV403" s="520"/>
      <c r="BW403" s="520"/>
      <c r="BX403" s="520"/>
      <c r="BY403" s="520"/>
    </row>
    <row r="404" spans="1:84" ht="12" customHeight="1" x14ac:dyDescent="0.3">
      <c r="A404" s="765"/>
      <c r="E404" s="258" t="str">
        <f>$AX$94</f>
        <v>Mérkőzés kimenetele: 4 p</v>
      </c>
      <c r="H404" s="673" t="str">
        <f t="shared" ref="H404:AK404" si="270">IF(OR(BC401,NOT($AS$24)),"",IF(AND(NOT($AS$32),COUNTIF(H402:H403,"ü")&gt;0),"",IF(SIGN(H400-H401)=SIGN($E400-$E401),"ü"," ")))</f>
        <v/>
      </c>
      <c r="I404" s="674" t="str">
        <f t="shared" si="270"/>
        <v/>
      </c>
      <c r="J404" s="674" t="str">
        <f t="shared" si="270"/>
        <v/>
      </c>
      <c r="K404" s="674" t="str">
        <f t="shared" si="270"/>
        <v/>
      </c>
      <c r="L404" s="674" t="str">
        <f t="shared" si="270"/>
        <v/>
      </c>
      <c r="M404" s="674" t="str">
        <f t="shared" si="270"/>
        <v/>
      </c>
      <c r="N404" s="674" t="str">
        <f t="shared" si="270"/>
        <v/>
      </c>
      <c r="O404" s="674" t="str">
        <f t="shared" si="270"/>
        <v/>
      </c>
      <c r="P404" s="674" t="str">
        <f t="shared" si="270"/>
        <v/>
      </c>
      <c r="Q404" s="674" t="str">
        <f t="shared" si="270"/>
        <v/>
      </c>
      <c r="R404" s="674" t="str">
        <f t="shared" si="270"/>
        <v/>
      </c>
      <c r="S404" s="674" t="str">
        <f t="shared" si="270"/>
        <v/>
      </c>
      <c r="T404" s="674" t="str">
        <f t="shared" si="270"/>
        <v/>
      </c>
      <c r="U404" s="674" t="str">
        <f t="shared" si="270"/>
        <v/>
      </c>
      <c r="V404" s="674" t="str">
        <f t="shared" si="270"/>
        <v/>
      </c>
      <c r="W404" s="674" t="str">
        <f t="shared" si="270"/>
        <v/>
      </c>
      <c r="X404" s="674" t="str">
        <f t="shared" si="270"/>
        <v/>
      </c>
      <c r="Y404" s="674" t="str">
        <f t="shared" si="270"/>
        <v/>
      </c>
      <c r="Z404" s="674" t="str">
        <f t="shared" si="270"/>
        <v/>
      </c>
      <c r="AA404" s="674" t="str">
        <f t="shared" si="270"/>
        <v/>
      </c>
      <c r="AB404" s="674" t="str">
        <f t="shared" si="270"/>
        <v/>
      </c>
      <c r="AC404" s="674" t="str">
        <f t="shared" si="270"/>
        <v/>
      </c>
      <c r="AD404" s="674" t="str">
        <f t="shared" si="270"/>
        <v/>
      </c>
      <c r="AE404" s="674" t="str">
        <f t="shared" si="270"/>
        <v/>
      </c>
      <c r="AF404" s="674" t="str">
        <f t="shared" si="270"/>
        <v/>
      </c>
      <c r="AG404" s="674" t="str">
        <f t="shared" si="270"/>
        <v/>
      </c>
      <c r="AH404" s="674" t="str">
        <f t="shared" si="270"/>
        <v/>
      </c>
      <c r="AI404" s="674" t="str">
        <f t="shared" si="270"/>
        <v/>
      </c>
      <c r="AJ404" s="674" t="str">
        <f t="shared" si="270"/>
        <v/>
      </c>
      <c r="AK404" s="675" t="str">
        <f t="shared" si="270"/>
        <v/>
      </c>
      <c r="AL404" s="15"/>
      <c r="AM404" s="15"/>
      <c r="AP404" s="536"/>
      <c r="AR404" s="537"/>
      <c r="AS404" s="529"/>
      <c r="AW404" s="390" t="str">
        <f>""</f>
        <v/>
      </c>
      <c r="AX404" s="531"/>
      <c r="AY404" s="390" t="str">
        <f>""</f>
        <v/>
      </c>
      <c r="BD404" s="520"/>
      <c r="BE404" s="520"/>
      <c r="BF404" s="520"/>
      <c r="BG404" s="520"/>
      <c r="BH404" s="520"/>
      <c r="BI404" s="520"/>
      <c r="BJ404" s="520"/>
      <c r="BK404" s="520"/>
      <c r="BL404" s="520"/>
      <c r="BM404" s="520"/>
      <c r="BN404" s="520"/>
      <c r="BO404" s="520"/>
      <c r="BP404" s="520"/>
      <c r="BQ404" s="520"/>
      <c r="BR404" s="520"/>
      <c r="BS404" s="520"/>
      <c r="BT404" s="520"/>
      <c r="BU404" s="520"/>
      <c r="BV404" s="520"/>
      <c r="BW404" s="520"/>
      <c r="BX404" s="520"/>
      <c r="BY404" s="520"/>
    </row>
    <row r="405" spans="1:84" ht="12" customHeight="1" x14ac:dyDescent="0.3">
      <c r="A405" s="765"/>
      <c r="E405" s="258" t="str">
        <f>$AX$95</f>
        <v>Egyik csapat góljainak száma: 3 p</v>
      </c>
      <c r="H405" s="673" t="str">
        <f t="shared" ref="H405:AK405" si="271">IF(OR(BC401,NOT($AS$26)),"",IF(AND(NOT($AS$32),COUNTIF(H402:H404,"ü")&gt;0),"",IF(OR(H400=$E400,H401=$E401),"ü"," ")))</f>
        <v/>
      </c>
      <c r="I405" s="674" t="str">
        <f t="shared" si="271"/>
        <v/>
      </c>
      <c r="J405" s="674" t="str">
        <f t="shared" si="271"/>
        <v/>
      </c>
      <c r="K405" s="674" t="str">
        <f t="shared" si="271"/>
        <v/>
      </c>
      <c r="L405" s="674" t="str">
        <f t="shared" si="271"/>
        <v/>
      </c>
      <c r="M405" s="674" t="str">
        <f t="shared" si="271"/>
        <v/>
      </c>
      <c r="N405" s="674" t="str">
        <f t="shared" si="271"/>
        <v/>
      </c>
      <c r="O405" s="674" t="str">
        <f t="shared" si="271"/>
        <v/>
      </c>
      <c r="P405" s="674" t="str">
        <f t="shared" si="271"/>
        <v/>
      </c>
      <c r="Q405" s="674" t="str">
        <f t="shared" si="271"/>
        <v/>
      </c>
      <c r="R405" s="674" t="str">
        <f t="shared" si="271"/>
        <v/>
      </c>
      <c r="S405" s="674" t="str">
        <f t="shared" si="271"/>
        <v/>
      </c>
      <c r="T405" s="674" t="str">
        <f t="shared" si="271"/>
        <v/>
      </c>
      <c r="U405" s="674" t="str">
        <f t="shared" si="271"/>
        <v/>
      </c>
      <c r="V405" s="674" t="str">
        <f t="shared" si="271"/>
        <v/>
      </c>
      <c r="W405" s="674" t="str">
        <f t="shared" si="271"/>
        <v/>
      </c>
      <c r="X405" s="674" t="str">
        <f t="shared" si="271"/>
        <v/>
      </c>
      <c r="Y405" s="674" t="str">
        <f t="shared" si="271"/>
        <v/>
      </c>
      <c r="Z405" s="674" t="str">
        <f t="shared" si="271"/>
        <v/>
      </c>
      <c r="AA405" s="674" t="str">
        <f t="shared" si="271"/>
        <v/>
      </c>
      <c r="AB405" s="674" t="str">
        <f t="shared" si="271"/>
        <v/>
      </c>
      <c r="AC405" s="674" t="str">
        <f t="shared" si="271"/>
        <v/>
      </c>
      <c r="AD405" s="674" t="str">
        <f t="shared" si="271"/>
        <v/>
      </c>
      <c r="AE405" s="674" t="str">
        <f t="shared" si="271"/>
        <v/>
      </c>
      <c r="AF405" s="674" t="str">
        <f t="shared" si="271"/>
        <v/>
      </c>
      <c r="AG405" s="674" t="str">
        <f t="shared" si="271"/>
        <v/>
      </c>
      <c r="AH405" s="674" t="str">
        <f t="shared" si="271"/>
        <v/>
      </c>
      <c r="AI405" s="674" t="str">
        <f t="shared" si="271"/>
        <v/>
      </c>
      <c r="AJ405" s="674" t="str">
        <f t="shared" si="271"/>
        <v/>
      </c>
      <c r="AK405" s="675" t="str">
        <f t="shared" si="271"/>
        <v/>
      </c>
      <c r="AL405" s="15"/>
      <c r="AM405" s="15"/>
      <c r="AP405" s="536"/>
      <c r="AR405" s="537"/>
      <c r="AS405" s="529"/>
      <c r="AW405" s="390" t="str">
        <f>""</f>
        <v/>
      </c>
      <c r="AX405" s="531"/>
      <c r="AY405" s="390" t="str">
        <f>""</f>
        <v/>
      </c>
      <c r="BD405" s="520"/>
      <c r="BE405" s="520"/>
      <c r="BF405" s="520"/>
      <c r="BG405" s="520"/>
      <c r="BH405" s="520"/>
      <c r="BI405" s="520"/>
      <c r="BJ405" s="520"/>
      <c r="BK405" s="520"/>
      <c r="BL405" s="520"/>
      <c r="BM405" s="520"/>
      <c r="BN405" s="520"/>
      <c r="BO405" s="520"/>
      <c r="BP405" s="520"/>
      <c r="BQ405" s="520"/>
      <c r="BR405" s="520"/>
      <c r="BS405" s="520"/>
      <c r="BT405" s="520"/>
      <c r="BU405" s="520"/>
      <c r="BV405" s="520"/>
      <c r="BW405" s="520"/>
      <c r="BX405" s="520"/>
      <c r="BY405" s="520"/>
    </row>
    <row r="406" spans="1:84" ht="12" customHeight="1" x14ac:dyDescent="0.3">
      <c r="A406" s="765"/>
      <c r="E406" s="258" t="str">
        <f>$AX$96</f>
        <v>Összes gól: 2 p</v>
      </c>
      <c r="H406" s="673" t="str">
        <f t="shared" ref="H406:AK406" si="272">IF(OR(BC401,NOT($AS$28)),"",IF(AND(NOT($AS$32),COUNTIF(H402:H405,"ü")&gt;0),"",IF(H400+H401=$E400+$E401,"ü"," ")))</f>
        <v/>
      </c>
      <c r="I406" s="674" t="str">
        <f t="shared" si="272"/>
        <v/>
      </c>
      <c r="J406" s="674" t="str">
        <f t="shared" si="272"/>
        <v/>
      </c>
      <c r="K406" s="674" t="str">
        <f t="shared" si="272"/>
        <v/>
      </c>
      <c r="L406" s="674" t="str">
        <f t="shared" si="272"/>
        <v/>
      </c>
      <c r="M406" s="674" t="str">
        <f t="shared" si="272"/>
        <v/>
      </c>
      <c r="N406" s="674" t="str">
        <f t="shared" si="272"/>
        <v/>
      </c>
      <c r="O406" s="674" t="str">
        <f t="shared" si="272"/>
        <v/>
      </c>
      <c r="P406" s="674" t="str">
        <f t="shared" si="272"/>
        <v/>
      </c>
      <c r="Q406" s="674" t="str">
        <f t="shared" si="272"/>
        <v/>
      </c>
      <c r="R406" s="674" t="str">
        <f t="shared" si="272"/>
        <v/>
      </c>
      <c r="S406" s="674" t="str">
        <f t="shared" si="272"/>
        <v/>
      </c>
      <c r="T406" s="674" t="str">
        <f t="shared" si="272"/>
        <v/>
      </c>
      <c r="U406" s="674" t="str">
        <f t="shared" si="272"/>
        <v/>
      </c>
      <c r="V406" s="674" t="str">
        <f t="shared" si="272"/>
        <v/>
      </c>
      <c r="W406" s="674" t="str">
        <f t="shared" si="272"/>
        <v/>
      </c>
      <c r="X406" s="674" t="str">
        <f t="shared" si="272"/>
        <v/>
      </c>
      <c r="Y406" s="674" t="str">
        <f t="shared" si="272"/>
        <v/>
      </c>
      <c r="Z406" s="674" t="str">
        <f t="shared" si="272"/>
        <v/>
      </c>
      <c r="AA406" s="674" t="str">
        <f t="shared" si="272"/>
        <v/>
      </c>
      <c r="AB406" s="674" t="str">
        <f t="shared" si="272"/>
        <v/>
      </c>
      <c r="AC406" s="674" t="str">
        <f t="shared" si="272"/>
        <v/>
      </c>
      <c r="AD406" s="674" t="str">
        <f t="shared" si="272"/>
        <v/>
      </c>
      <c r="AE406" s="674" t="str">
        <f t="shared" si="272"/>
        <v/>
      </c>
      <c r="AF406" s="674" t="str">
        <f t="shared" si="272"/>
        <v/>
      </c>
      <c r="AG406" s="674" t="str">
        <f t="shared" si="272"/>
        <v/>
      </c>
      <c r="AH406" s="674" t="str">
        <f t="shared" si="272"/>
        <v/>
      </c>
      <c r="AI406" s="674" t="str">
        <f t="shared" si="272"/>
        <v/>
      </c>
      <c r="AJ406" s="674" t="str">
        <f t="shared" si="272"/>
        <v/>
      </c>
      <c r="AK406" s="675" t="str">
        <f t="shared" si="272"/>
        <v/>
      </c>
      <c r="AL406" s="15"/>
      <c r="AM406" s="15"/>
      <c r="AP406" s="536"/>
      <c r="AR406" s="537"/>
      <c r="AS406" s="529"/>
      <c r="AW406" s="390" t="str">
        <f>""</f>
        <v/>
      </c>
      <c r="AX406" s="531"/>
      <c r="AY406" s="390" t="str">
        <f>""</f>
        <v/>
      </c>
      <c r="BD406" s="520"/>
      <c r="BE406" s="520"/>
      <c r="BF406" s="520"/>
      <c r="BG406" s="520"/>
      <c r="BH406" s="520"/>
      <c r="BI406" s="520"/>
      <c r="BJ406" s="520"/>
      <c r="BK406" s="520"/>
      <c r="BL406" s="520"/>
      <c r="BM406" s="520"/>
      <c r="BN406" s="520"/>
      <c r="BO406" s="520"/>
      <c r="BP406" s="520"/>
      <c r="BQ406" s="520"/>
      <c r="BR406" s="520"/>
      <c r="BS406" s="520"/>
      <c r="BT406" s="520"/>
      <c r="BU406" s="520"/>
      <c r="BV406" s="520"/>
      <c r="BW406" s="520"/>
      <c r="BX406" s="520"/>
      <c r="BY406" s="520"/>
    </row>
    <row r="407" spans="1:84" ht="12" customHeight="1" x14ac:dyDescent="0.3">
      <c r="A407" s="765"/>
      <c r="E407" s="258" t="str">
        <f>$AX$97</f>
        <v>Fordított gólkülönbség: 1 p</v>
      </c>
      <c r="H407" s="676" t="str">
        <f t="shared" ref="H407:AK407" si="273">IF(OR(BC401,NOT($AS$30)),"",IF(AND(NOT($AS$32),COUNTIF(H402:H406,"ü")&gt;0),"",IF(AND(H400-H401=$E401-$E400,H400&lt;&gt;H401),"ü"," ")))</f>
        <v/>
      </c>
      <c r="I407" s="677" t="str">
        <f t="shared" si="273"/>
        <v/>
      </c>
      <c r="J407" s="677" t="str">
        <f t="shared" si="273"/>
        <v/>
      </c>
      <c r="K407" s="677" t="str">
        <f t="shared" si="273"/>
        <v/>
      </c>
      <c r="L407" s="677" t="str">
        <f t="shared" si="273"/>
        <v/>
      </c>
      <c r="M407" s="677" t="str">
        <f t="shared" si="273"/>
        <v/>
      </c>
      <c r="N407" s="677" t="str">
        <f t="shared" si="273"/>
        <v/>
      </c>
      <c r="O407" s="677" t="str">
        <f t="shared" si="273"/>
        <v/>
      </c>
      <c r="P407" s="677" t="str">
        <f t="shared" si="273"/>
        <v/>
      </c>
      <c r="Q407" s="677" t="str">
        <f t="shared" si="273"/>
        <v/>
      </c>
      <c r="R407" s="677" t="str">
        <f t="shared" si="273"/>
        <v/>
      </c>
      <c r="S407" s="677" t="str">
        <f t="shared" si="273"/>
        <v/>
      </c>
      <c r="T407" s="677" t="str">
        <f t="shared" si="273"/>
        <v/>
      </c>
      <c r="U407" s="677" t="str">
        <f t="shared" si="273"/>
        <v/>
      </c>
      <c r="V407" s="677" t="str">
        <f t="shared" si="273"/>
        <v/>
      </c>
      <c r="W407" s="677" t="str">
        <f t="shared" si="273"/>
        <v/>
      </c>
      <c r="X407" s="677" t="str">
        <f t="shared" si="273"/>
        <v/>
      </c>
      <c r="Y407" s="677" t="str">
        <f t="shared" si="273"/>
        <v/>
      </c>
      <c r="Z407" s="677" t="str">
        <f t="shared" si="273"/>
        <v/>
      </c>
      <c r="AA407" s="677" t="str">
        <f t="shared" si="273"/>
        <v/>
      </c>
      <c r="AB407" s="677" t="str">
        <f t="shared" si="273"/>
        <v/>
      </c>
      <c r="AC407" s="677" t="str">
        <f t="shared" si="273"/>
        <v/>
      </c>
      <c r="AD407" s="677" t="str">
        <f t="shared" si="273"/>
        <v/>
      </c>
      <c r="AE407" s="677" t="str">
        <f t="shared" si="273"/>
        <v/>
      </c>
      <c r="AF407" s="677" t="str">
        <f t="shared" si="273"/>
        <v/>
      </c>
      <c r="AG407" s="677" t="str">
        <f t="shared" si="273"/>
        <v/>
      </c>
      <c r="AH407" s="677" t="str">
        <f t="shared" si="273"/>
        <v/>
      </c>
      <c r="AI407" s="677" t="str">
        <f t="shared" si="273"/>
        <v/>
      </c>
      <c r="AJ407" s="677" t="str">
        <f t="shared" si="273"/>
        <v/>
      </c>
      <c r="AK407" s="678" t="str">
        <f t="shared" si="273"/>
        <v/>
      </c>
      <c r="AL407" s="15"/>
      <c r="AM407" s="15"/>
      <c r="AP407" s="536"/>
      <c r="AR407" s="537"/>
      <c r="AS407" s="529"/>
      <c r="AW407" s="390" t="str">
        <f>""</f>
        <v/>
      </c>
      <c r="AX407" s="531"/>
      <c r="AY407" s="390" t="str">
        <f>""</f>
        <v/>
      </c>
      <c r="BD407" s="520"/>
      <c r="BE407" s="520"/>
      <c r="BF407" s="520"/>
      <c r="BG407" s="520"/>
      <c r="BH407" s="520"/>
      <c r="BI407" s="520"/>
      <c r="BJ407" s="520"/>
      <c r="BK407" s="520"/>
      <c r="BL407" s="520"/>
      <c r="BM407" s="520"/>
      <c r="BN407" s="520"/>
      <c r="BO407" s="520"/>
      <c r="BP407" s="520"/>
      <c r="BQ407" s="520"/>
      <c r="BR407" s="520"/>
      <c r="BS407" s="520"/>
      <c r="BT407" s="520"/>
      <c r="BU407" s="520"/>
      <c r="BV407" s="520"/>
      <c r="BW407" s="520"/>
      <c r="BX407" s="520"/>
      <c r="BY407" s="520"/>
    </row>
    <row r="408" spans="1:84" ht="15" customHeight="1" x14ac:dyDescent="0.3">
      <c r="A408" s="765"/>
      <c r="E408" s="79" t="s">
        <v>799</v>
      </c>
      <c r="H408" s="679">
        <f t="shared" ref="H408:AK408" si="274">IF(NOT(H$13),"",SUMPRODUCT((H402:H407="ü")*($AW$92:$AW$97)))</f>
        <v>0</v>
      </c>
      <c r="I408" s="680">
        <f t="shared" si="274"/>
        <v>0</v>
      </c>
      <c r="J408" s="680">
        <f t="shared" si="274"/>
        <v>0</v>
      </c>
      <c r="K408" s="680">
        <f t="shared" si="274"/>
        <v>0</v>
      </c>
      <c r="L408" s="680">
        <f t="shared" si="274"/>
        <v>0</v>
      </c>
      <c r="M408" s="680">
        <f t="shared" si="274"/>
        <v>0</v>
      </c>
      <c r="N408" s="680">
        <f t="shared" si="274"/>
        <v>0</v>
      </c>
      <c r="O408" s="680">
        <f t="shared" si="274"/>
        <v>0</v>
      </c>
      <c r="P408" s="680">
        <f t="shared" si="274"/>
        <v>0</v>
      </c>
      <c r="Q408" s="680">
        <f t="shared" si="274"/>
        <v>0</v>
      </c>
      <c r="R408" s="680">
        <f t="shared" si="274"/>
        <v>0</v>
      </c>
      <c r="S408" s="680">
        <f t="shared" si="274"/>
        <v>0</v>
      </c>
      <c r="T408" s="680">
        <f t="shared" si="274"/>
        <v>0</v>
      </c>
      <c r="U408" s="680">
        <f t="shared" si="274"/>
        <v>0</v>
      </c>
      <c r="V408" s="680">
        <f t="shared" si="274"/>
        <v>0</v>
      </c>
      <c r="W408" s="680">
        <f t="shared" si="274"/>
        <v>0</v>
      </c>
      <c r="X408" s="680">
        <f t="shared" si="274"/>
        <v>0</v>
      </c>
      <c r="Y408" s="680">
        <f t="shared" si="274"/>
        <v>0</v>
      </c>
      <c r="Z408" s="680">
        <f t="shared" si="274"/>
        <v>0</v>
      </c>
      <c r="AA408" s="680">
        <f t="shared" si="274"/>
        <v>0</v>
      </c>
      <c r="AB408" s="680">
        <f t="shared" si="274"/>
        <v>0</v>
      </c>
      <c r="AC408" s="680">
        <f t="shared" si="274"/>
        <v>0</v>
      </c>
      <c r="AD408" s="680">
        <f t="shared" si="274"/>
        <v>0</v>
      </c>
      <c r="AE408" s="680" t="str">
        <f t="shared" si="274"/>
        <v/>
      </c>
      <c r="AF408" s="680" t="str">
        <f t="shared" si="274"/>
        <v/>
      </c>
      <c r="AG408" s="680" t="str">
        <f t="shared" si="274"/>
        <v/>
      </c>
      <c r="AH408" s="680" t="str">
        <f t="shared" si="274"/>
        <v/>
      </c>
      <c r="AI408" s="680" t="str">
        <f t="shared" si="274"/>
        <v/>
      </c>
      <c r="AJ408" s="680" t="str">
        <f t="shared" si="274"/>
        <v/>
      </c>
      <c r="AK408" s="681" t="str">
        <f t="shared" si="274"/>
        <v/>
      </c>
      <c r="AP408" s="536"/>
      <c r="AR408" s="537"/>
      <c r="AS408" s="529"/>
    </row>
    <row r="409" spans="1:84" ht="9" customHeight="1" x14ac:dyDescent="0.3">
      <c r="A409" s="765"/>
      <c r="D409" s="15"/>
      <c r="E409" s="15"/>
      <c r="F409" s="15"/>
      <c r="G409" s="15"/>
      <c r="H409" s="15"/>
      <c r="I409" s="16"/>
      <c r="J409" s="15"/>
      <c r="K409" s="15"/>
      <c r="L409" s="16"/>
      <c r="M409" s="15"/>
      <c r="N409" s="15"/>
      <c r="O409" s="16"/>
      <c r="P409" s="15"/>
      <c r="Q409" s="15"/>
      <c r="R409" s="16"/>
      <c r="S409" s="15"/>
      <c r="T409" s="15"/>
      <c r="U409" s="16"/>
      <c r="V409" s="15"/>
      <c r="W409" s="15"/>
      <c r="X409" s="16"/>
      <c r="Y409" s="15"/>
      <c r="Z409" s="15"/>
      <c r="AA409" s="16"/>
      <c r="AB409" s="15"/>
      <c r="AC409" s="15"/>
      <c r="AD409" s="16"/>
      <c r="AE409" s="15"/>
      <c r="AF409" s="15"/>
      <c r="AG409" s="16"/>
      <c r="AH409" s="15"/>
      <c r="AI409" s="15"/>
      <c r="AJ409" s="16"/>
      <c r="AK409" s="15"/>
      <c r="AP409" s="536"/>
      <c r="AR409" s="537"/>
      <c r="AS409" s="529"/>
    </row>
    <row r="410" spans="1:84" ht="15" customHeight="1" x14ac:dyDescent="0.3">
      <c r="A410" s="765"/>
      <c r="C410" s="27" t="str">
        <f>" "&amp;VLOOKUP(AQ411,schedule,18,FALSE)&amp;"  ("&amp;VLOOKUP(AQ411,schedule,3,FALSE)&amp;" CSOPORT)"</f>
        <v xml:space="preserve"> JÚNIUS 21. – HÉTFŐ 18:00  (C CSOPORT)</v>
      </c>
      <c r="D410" s="27"/>
      <c r="E410" s="26"/>
      <c r="F410" s="26"/>
      <c r="G410" s="26"/>
      <c r="H410" s="26"/>
      <c r="I410" s="26"/>
      <c r="J410" s="26"/>
      <c r="AP410" s="536"/>
      <c r="AR410" s="537"/>
      <c r="AS410" s="529"/>
    </row>
    <row r="411" spans="1:84" ht="15" customHeight="1" x14ac:dyDescent="0.3">
      <c r="A411" s="765"/>
      <c r="C411" s="661"/>
      <c r="D411" s="662" t="str">
        <f>IF(INDEX(n.er,$AR411,8)="","",INDEX(n.er,$AR411,8))</f>
        <v>Ukrajna</v>
      </c>
      <c r="E411" s="663" t="str">
        <f>IF(NOT($AS411),"",INDEX(n.er,$AR411,9))</f>
        <v/>
      </c>
      <c r="F411" s="662"/>
      <c r="G411" s="259"/>
      <c r="H411" s="664">
        <v>1</v>
      </c>
      <c r="I411" s="665">
        <v>1</v>
      </c>
      <c r="J411" s="665">
        <v>1</v>
      </c>
      <c r="K411" s="665">
        <v>0</v>
      </c>
      <c r="L411" s="665">
        <v>0</v>
      </c>
      <c r="M411" s="665">
        <v>0</v>
      </c>
      <c r="N411" s="665">
        <v>1</v>
      </c>
      <c r="O411" s="665">
        <v>0</v>
      </c>
      <c r="P411" s="665">
        <v>0</v>
      </c>
      <c r="Q411" s="665">
        <v>2</v>
      </c>
      <c r="R411" s="665">
        <v>3</v>
      </c>
      <c r="S411" s="665">
        <v>2</v>
      </c>
      <c r="T411" s="665">
        <v>2</v>
      </c>
      <c r="U411" s="665">
        <v>0</v>
      </c>
      <c r="V411" s="665">
        <v>1</v>
      </c>
      <c r="W411" s="665">
        <v>2</v>
      </c>
      <c r="X411" s="665">
        <v>1</v>
      </c>
      <c r="Y411" s="665">
        <v>1</v>
      </c>
      <c r="Z411" s="665">
        <v>1</v>
      </c>
      <c r="AA411" s="665">
        <v>1</v>
      </c>
      <c r="AB411" s="665">
        <v>2</v>
      </c>
      <c r="AC411" s="665">
        <v>1</v>
      </c>
      <c r="AD411" s="665">
        <v>1</v>
      </c>
      <c r="AE411" s="665"/>
      <c r="AF411" s="665"/>
      <c r="AG411" s="665"/>
      <c r="AH411" s="665"/>
      <c r="AI411" s="665"/>
      <c r="AJ411" s="665"/>
      <c r="AK411" s="666"/>
      <c r="AP411" s="52">
        <f>AP400+1</f>
        <v>28</v>
      </c>
      <c r="AQ411" s="311">
        <f>INDEX(schedule,AP411,1)</f>
        <v>28</v>
      </c>
      <c r="AR411" s="311">
        <f>MATCH(AQ411,n.er.index,0)</f>
        <v>68</v>
      </c>
      <c r="AS411" s="532" t="b">
        <f>INDEX(n.er,$AR411,3)</f>
        <v>0</v>
      </c>
      <c r="AT411" s="531"/>
      <c r="AU411" s="531"/>
      <c r="AV411" s="531"/>
      <c r="AW411" s="531"/>
      <c r="AX411" s="531"/>
      <c r="BC411" s="525" t="b">
        <f t="shared" ref="BC411:CF411" si="275">IF(AND(ISNUMBER(H411),ISNUMBER(H412),H411&lt;&gt;"",H412&lt;&gt;""),AND(H411&gt;=0,H412&gt;=0,MOD(H411+H412,1)=0),FALSE)</f>
        <v>1</v>
      </c>
      <c r="BD411" s="525" t="b">
        <f t="shared" si="275"/>
        <v>1</v>
      </c>
      <c r="BE411" s="525" t="b">
        <f t="shared" si="275"/>
        <v>1</v>
      </c>
      <c r="BF411" s="525" t="b">
        <f t="shared" si="275"/>
        <v>1</v>
      </c>
      <c r="BG411" s="525" t="b">
        <f t="shared" si="275"/>
        <v>1</v>
      </c>
      <c r="BH411" s="525" t="b">
        <f t="shared" si="275"/>
        <v>1</v>
      </c>
      <c r="BI411" s="525" t="b">
        <f t="shared" si="275"/>
        <v>1</v>
      </c>
      <c r="BJ411" s="525" t="b">
        <f t="shared" si="275"/>
        <v>1</v>
      </c>
      <c r="BK411" s="525" t="b">
        <f t="shared" si="275"/>
        <v>1</v>
      </c>
      <c r="BL411" s="525" t="b">
        <f t="shared" si="275"/>
        <v>1</v>
      </c>
      <c r="BM411" s="525" t="b">
        <f t="shared" si="275"/>
        <v>1</v>
      </c>
      <c r="BN411" s="525" t="b">
        <f t="shared" si="275"/>
        <v>1</v>
      </c>
      <c r="BO411" s="525" t="b">
        <f t="shared" si="275"/>
        <v>1</v>
      </c>
      <c r="BP411" s="525" t="b">
        <f t="shared" si="275"/>
        <v>1</v>
      </c>
      <c r="BQ411" s="525" t="b">
        <f t="shared" si="275"/>
        <v>1</v>
      </c>
      <c r="BR411" s="525" t="b">
        <f t="shared" si="275"/>
        <v>1</v>
      </c>
      <c r="BS411" s="525" t="b">
        <f t="shared" si="275"/>
        <v>1</v>
      </c>
      <c r="BT411" s="525" t="b">
        <f t="shared" si="275"/>
        <v>1</v>
      </c>
      <c r="BU411" s="525" t="b">
        <f t="shared" si="275"/>
        <v>1</v>
      </c>
      <c r="BV411" s="525" t="b">
        <f t="shared" si="275"/>
        <v>1</v>
      </c>
      <c r="BW411" s="525" t="b">
        <f t="shared" si="275"/>
        <v>1</v>
      </c>
      <c r="BX411" s="525" t="b">
        <f t="shared" si="275"/>
        <v>1</v>
      </c>
      <c r="BY411" s="525" t="b">
        <f t="shared" si="275"/>
        <v>1</v>
      </c>
      <c r="BZ411" s="525" t="b">
        <f t="shared" si="275"/>
        <v>0</v>
      </c>
      <c r="CA411" s="525" t="b">
        <f t="shared" si="275"/>
        <v>0</v>
      </c>
      <c r="CB411" s="525" t="b">
        <f t="shared" si="275"/>
        <v>0</v>
      </c>
      <c r="CC411" s="525" t="b">
        <f t="shared" si="275"/>
        <v>0</v>
      </c>
      <c r="CD411" s="525" t="b">
        <f t="shared" si="275"/>
        <v>0</v>
      </c>
      <c r="CE411" s="525" t="b">
        <f t="shared" si="275"/>
        <v>0</v>
      </c>
      <c r="CF411" s="525" t="b">
        <f t="shared" si="275"/>
        <v>0</v>
      </c>
    </row>
    <row r="412" spans="1:84" ht="15" customHeight="1" x14ac:dyDescent="0.3">
      <c r="A412" s="765"/>
      <c r="C412" s="695"/>
      <c r="D412" s="696" t="str">
        <f>IF(INDEX(n.er,$AR411,11)="","",INDEX(n.er,$AR411,11))</f>
        <v>Ausztria</v>
      </c>
      <c r="E412" s="697" t="str">
        <f>IF(NOT($AS411),"",INDEX(n.er,$AR411,10))</f>
        <v/>
      </c>
      <c r="F412" s="696"/>
      <c r="G412" s="259"/>
      <c r="H412" s="667">
        <v>2</v>
      </c>
      <c r="I412" s="668">
        <v>3</v>
      </c>
      <c r="J412" s="668">
        <v>2</v>
      </c>
      <c r="K412" s="668">
        <v>0</v>
      </c>
      <c r="L412" s="668">
        <v>0</v>
      </c>
      <c r="M412" s="668">
        <v>2</v>
      </c>
      <c r="N412" s="668">
        <v>1</v>
      </c>
      <c r="O412" s="668">
        <v>1</v>
      </c>
      <c r="P412" s="668">
        <v>1</v>
      </c>
      <c r="Q412" s="668">
        <v>1</v>
      </c>
      <c r="R412" s="668">
        <v>1</v>
      </c>
      <c r="S412" s="668">
        <v>0</v>
      </c>
      <c r="T412" s="668">
        <v>0</v>
      </c>
      <c r="U412" s="668">
        <v>1</v>
      </c>
      <c r="V412" s="668">
        <v>1</v>
      </c>
      <c r="W412" s="668">
        <v>1</v>
      </c>
      <c r="X412" s="668">
        <v>1</v>
      </c>
      <c r="Y412" s="668">
        <v>0</v>
      </c>
      <c r="Z412" s="668">
        <v>1</v>
      </c>
      <c r="AA412" s="668">
        <v>1</v>
      </c>
      <c r="AB412" s="668">
        <v>2</v>
      </c>
      <c r="AC412" s="668">
        <v>0</v>
      </c>
      <c r="AD412" s="668">
        <v>1</v>
      </c>
      <c r="AE412" s="668"/>
      <c r="AF412" s="668"/>
      <c r="AG412" s="668"/>
      <c r="AH412" s="668"/>
      <c r="AI412" s="668"/>
      <c r="AJ412" s="668"/>
      <c r="AK412" s="669"/>
      <c r="AP412" s="533"/>
      <c r="AQ412" s="577"/>
      <c r="AR412" s="534"/>
      <c r="AS412" s="535"/>
      <c r="AX412" s="531"/>
      <c r="BC412" s="34" t="b">
        <f t="shared" ref="BC412:CF412" si="276">OR(NOT(H$13),NOT($AS411),NOT(BC411))</f>
        <v>1</v>
      </c>
      <c r="BD412" s="34" t="b">
        <f t="shared" si="276"/>
        <v>1</v>
      </c>
      <c r="BE412" s="34" t="b">
        <f t="shared" si="276"/>
        <v>1</v>
      </c>
      <c r="BF412" s="34" t="b">
        <f t="shared" si="276"/>
        <v>1</v>
      </c>
      <c r="BG412" s="34" t="b">
        <f t="shared" si="276"/>
        <v>1</v>
      </c>
      <c r="BH412" s="34" t="b">
        <f t="shared" si="276"/>
        <v>1</v>
      </c>
      <c r="BI412" s="34" t="b">
        <f t="shared" si="276"/>
        <v>1</v>
      </c>
      <c r="BJ412" s="34" t="b">
        <f t="shared" si="276"/>
        <v>1</v>
      </c>
      <c r="BK412" s="34" t="b">
        <f t="shared" si="276"/>
        <v>1</v>
      </c>
      <c r="BL412" s="34" t="b">
        <f t="shared" si="276"/>
        <v>1</v>
      </c>
      <c r="BM412" s="34" t="b">
        <f t="shared" si="276"/>
        <v>1</v>
      </c>
      <c r="BN412" s="34" t="b">
        <f t="shared" si="276"/>
        <v>1</v>
      </c>
      <c r="BO412" s="34" t="b">
        <f t="shared" si="276"/>
        <v>1</v>
      </c>
      <c r="BP412" s="34" t="b">
        <f t="shared" si="276"/>
        <v>1</v>
      </c>
      <c r="BQ412" s="34" t="b">
        <f t="shared" si="276"/>
        <v>1</v>
      </c>
      <c r="BR412" s="34" t="b">
        <f t="shared" si="276"/>
        <v>1</v>
      </c>
      <c r="BS412" s="34" t="b">
        <f t="shared" si="276"/>
        <v>1</v>
      </c>
      <c r="BT412" s="34" t="b">
        <f t="shared" si="276"/>
        <v>1</v>
      </c>
      <c r="BU412" s="34" t="b">
        <f t="shared" si="276"/>
        <v>1</v>
      </c>
      <c r="BV412" s="34" t="b">
        <f t="shared" si="276"/>
        <v>1</v>
      </c>
      <c r="BW412" s="34" t="b">
        <f t="shared" si="276"/>
        <v>1</v>
      </c>
      <c r="BX412" s="34" t="b">
        <f t="shared" si="276"/>
        <v>1</v>
      </c>
      <c r="BY412" s="34" t="b">
        <f t="shared" si="276"/>
        <v>1</v>
      </c>
      <c r="BZ412" s="34" t="b">
        <f t="shared" si="276"/>
        <v>1</v>
      </c>
      <c r="CA412" s="34" t="b">
        <f t="shared" si="276"/>
        <v>1</v>
      </c>
      <c r="CB412" s="34" t="b">
        <f t="shared" si="276"/>
        <v>1</v>
      </c>
      <c r="CC412" s="34" t="b">
        <f t="shared" si="276"/>
        <v>1</v>
      </c>
      <c r="CD412" s="34" t="b">
        <f t="shared" si="276"/>
        <v>1</v>
      </c>
      <c r="CE412" s="34" t="b">
        <f t="shared" si="276"/>
        <v>1</v>
      </c>
      <c r="CF412" s="34" t="b">
        <f t="shared" si="276"/>
        <v>1</v>
      </c>
    </row>
    <row r="413" spans="1:84" ht="12" customHeight="1" x14ac:dyDescent="0.3">
      <c r="A413" s="765"/>
      <c r="E413" s="258" t="str">
        <f>$AX$92</f>
        <v>Telitalálat: 10 p</v>
      </c>
      <c r="H413" s="670" t="str">
        <f t="shared" ref="H413:AK413" si="277">IF(OR(BC412,NOT($AS$20)),"",IF(AND(H411=$E411,H412=$E412),"ü",""))</f>
        <v/>
      </c>
      <c r="I413" s="671" t="str">
        <f t="shared" si="277"/>
        <v/>
      </c>
      <c r="J413" s="671" t="str">
        <f t="shared" si="277"/>
        <v/>
      </c>
      <c r="K413" s="671" t="str">
        <f t="shared" si="277"/>
        <v/>
      </c>
      <c r="L413" s="671" t="str">
        <f t="shared" si="277"/>
        <v/>
      </c>
      <c r="M413" s="671" t="str">
        <f t="shared" si="277"/>
        <v/>
      </c>
      <c r="N413" s="671" t="str">
        <f t="shared" si="277"/>
        <v/>
      </c>
      <c r="O413" s="671" t="str">
        <f t="shared" si="277"/>
        <v/>
      </c>
      <c r="P413" s="671" t="str">
        <f t="shared" si="277"/>
        <v/>
      </c>
      <c r="Q413" s="671" t="str">
        <f t="shared" si="277"/>
        <v/>
      </c>
      <c r="R413" s="671" t="str">
        <f t="shared" si="277"/>
        <v/>
      </c>
      <c r="S413" s="671" t="str">
        <f t="shared" si="277"/>
        <v/>
      </c>
      <c r="T413" s="671" t="str">
        <f t="shared" si="277"/>
        <v/>
      </c>
      <c r="U413" s="671" t="str">
        <f t="shared" si="277"/>
        <v/>
      </c>
      <c r="V413" s="671" t="str">
        <f t="shared" si="277"/>
        <v/>
      </c>
      <c r="W413" s="671" t="str">
        <f t="shared" si="277"/>
        <v/>
      </c>
      <c r="X413" s="671" t="str">
        <f t="shared" si="277"/>
        <v/>
      </c>
      <c r="Y413" s="671" t="str">
        <f t="shared" si="277"/>
        <v/>
      </c>
      <c r="Z413" s="671" t="str">
        <f t="shared" si="277"/>
        <v/>
      </c>
      <c r="AA413" s="671" t="str">
        <f t="shared" si="277"/>
        <v/>
      </c>
      <c r="AB413" s="671" t="str">
        <f t="shared" si="277"/>
        <v/>
      </c>
      <c r="AC413" s="671" t="str">
        <f t="shared" si="277"/>
        <v/>
      </c>
      <c r="AD413" s="671" t="str">
        <f t="shared" si="277"/>
        <v/>
      </c>
      <c r="AE413" s="671" t="str">
        <f t="shared" si="277"/>
        <v/>
      </c>
      <c r="AF413" s="671" t="str">
        <f t="shared" si="277"/>
        <v/>
      </c>
      <c r="AG413" s="671" t="str">
        <f t="shared" si="277"/>
        <v/>
      </c>
      <c r="AH413" s="671" t="str">
        <f t="shared" si="277"/>
        <v/>
      </c>
      <c r="AI413" s="671" t="str">
        <f t="shared" si="277"/>
        <v/>
      </c>
      <c r="AJ413" s="671" t="str">
        <f t="shared" si="277"/>
        <v/>
      </c>
      <c r="AK413" s="672" t="str">
        <f t="shared" si="277"/>
        <v/>
      </c>
      <c r="AL413" s="15"/>
      <c r="AM413" s="15"/>
      <c r="AP413" s="536"/>
      <c r="AR413" s="537"/>
      <c r="AS413" s="529"/>
      <c r="AW413" s="390" t="str">
        <f>""</f>
        <v/>
      </c>
      <c r="AX413" s="531"/>
      <c r="AY413" s="390" t="str">
        <f>""</f>
        <v/>
      </c>
      <c r="BD413" s="520"/>
      <c r="BE413" s="520"/>
      <c r="BF413" s="520"/>
      <c r="BG413" s="520"/>
      <c r="BH413" s="520"/>
      <c r="BI413" s="520"/>
      <c r="BJ413" s="520"/>
      <c r="BK413" s="520"/>
      <c r="BL413" s="520"/>
      <c r="BM413" s="520"/>
      <c r="BN413" s="520"/>
      <c r="BO413" s="520"/>
      <c r="BP413" s="520"/>
      <c r="BQ413" s="520"/>
      <c r="BR413" s="520"/>
      <c r="BS413" s="520"/>
      <c r="BT413" s="520"/>
      <c r="BU413" s="520"/>
      <c r="BV413" s="520"/>
      <c r="BW413" s="520"/>
      <c r="BX413" s="520"/>
      <c r="BY413" s="520"/>
    </row>
    <row r="414" spans="1:84" ht="12" customHeight="1" x14ac:dyDescent="0.3">
      <c r="A414" s="765"/>
      <c r="E414" s="258" t="str">
        <f>$AX$93</f>
        <v>Gólkülönbség: 6 p</v>
      </c>
      <c r="H414" s="673" t="str">
        <f t="shared" ref="H414:AK414" si="278">IF(OR(BC412,NOT($AS$22)),"",IF(AND(NOT($AS$32),H413="ü"),"",IF(H411-H412=$E411-$E412,"ü"," ")))</f>
        <v/>
      </c>
      <c r="I414" s="674" t="str">
        <f t="shared" si="278"/>
        <v/>
      </c>
      <c r="J414" s="674" t="str">
        <f t="shared" si="278"/>
        <v/>
      </c>
      <c r="K414" s="674" t="str">
        <f t="shared" si="278"/>
        <v/>
      </c>
      <c r="L414" s="674" t="str">
        <f t="shared" si="278"/>
        <v/>
      </c>
      <c r="M414" s="674" t="str">
        <f t="shared" si="278"/>
        <v/>
      </c>
      <c r="N414" s="674" t="str">
        <f t="shared" si="278"/>
        <v/>
      </c>
      <c r="O414" s="674" t="str">
        <f t="shared" si="278"/>
        <v/>
      </c>
      <c r="P414" s="674" t="str">
        <f t="shared" si="278"/>
        <v/>
      </c>
      <c r="Q414" s="674" t="str">
        <f t="shared" si="278"/>
        <v/>
      </c>
      <c r="R414" s="674" t="str">
        <f t="shared" si="278"/>
        <v/>
      </c>
      <c r="S414" s="674" t="str">
        <f t="shared" si="278"/>
        <v/>
      </c>
      <c r="T414" s="674" t="str">
        <f t="shared" si="278"/>
        <v/>
      </c>
      <c r="U414" s="674" t="str">
        <f t="shared" si="278"/>
        <v/>
      </c>
      <c r="V414" s="674" t="str">
        <f t="shared" si="278"/>
        <v/>
      </c>
      <c r="W414" s="674" t="str">
        <f t="shared" si="278"/>
        <v/>
      </c>
      <c r="X414" s="674" t="str">
        <f t="shared" si="278"/>
        <v/>
      </c>
      <c r="Y414" s="674" t="str">
        <f t="shared" si="278"/>
        <v/>
      </c>
      <c r="Z414" s="674" t="str">
        <f t="shared" si="278"/>
        <v/>
      </c>
      <c r="AA414" s="674" t="str">
        <f t="shared" si="278"/>
        <v/>
      </c>
      <c r="AB414" s="674" t="str">
        <f t="shared" si="278"/>
        <v/>
      </c>
      <c r="AC414" s="674" t="str">
        <f t="shared" si="278"/>
        <v/>
      </c>
      <c r="AD414" s="674" t="str">
        <f t="shared" si="278"/>
        <v/>
      </c>
      <c r="AE414" s="674" t="str">
        <f t="shared" si="278"/>
        <v/>
      </c>
      <c r="AF414" s="674" t="str">
        <f t="shared" si="278"/>
        <v/>
      </c>
      <c r="AG414" s="674" t="str">
        <f t="shared" si="278"/>
        <v/>
      </c>
      <c r="AH414" s="674" t="str">
        <f t="shared" si="278"/>
        <v/>
      </c>
      <c r="AI414" s="674" t="str">
        <f t="shared" si="278"/>
        <v/>
      </c>
      <c r="AJ414" s="674" t="str">
        <f t="shared" si="278"/>
        <v/>
      </c>
      <c r="AK414" s="675" t="str">
        <f t="shared" si="278"/>
        <v/>
      </c>
      <c r="AL414" s="15"/>
      <c r="AM414" s="15"/>
      <c r="AP414" s="536"/>
      <c r="AR414" s="537"/>
      <c r="AS414" s="529"/>
      <c r="AW414" s="390" t="str">
        <f>""</f>
        <v/>
      </c>
      <c r="AX414" s="531"/>
      <c r="AY414" s="390" t="str">
        <f>""</f>
        <v/>
      </c>
      <c r="BD414" s="520"/>
      <c r="BE414" s="520"/>
      <c r="BF414" s="520"/>
      <c r="BG414" s="520"/>
      <c r="BH414" s="520"/>
      <c r="BI414" s="520"/>
      <c r="BJ414" s="520"/>
      <c r="BK414" s="520"/>
      <c r="BL414" s="520"/>
      <c r="BM414" s="520"/>
      <c r="BN414" s="520"/>
      <c r="BO414" s="520"/>
      <c r="BP414" s="520"/>
      <c r="BQ414" s="520"/>
      <c r="BR414" s="520"/>
      <c r="BS414" s="520"/>
      <c r="BT414" s="520"/>
      <c r="BU414" s="520"/>
      <c r="BV414" s="520"/>
      <c r="BW414" s="520"/>
      <c r="BX414" s="520"/>
      <c r="BY414" s="520"/>
    </row>
    <row r="415" spans="1:84" ht="12" customHeight="1" x14ac:dyDescent="0.3">
      <c r="A415" s="765"/>
      <c r="E415" s="258" t="str">
        <f>$AX$94</f>
        <v>Mérkőzés kimenetele: 4 p</v>
      </c>
      <c r="H415" s="673" t="str">
        <f t="shared" ref="H415:AK415" si="279">IF(OR(BC412,NOT($AS$24)),"",IF(AND(NOT($AS$32),COUNTIF(H413:H414,"ü")&gt;0),"",IF(SIGN(H411-H412)=SIGN($E411-$E412),"ü"," ")))</f>
        <v/>
      </c>
      <c r="I415" s="674" t="str">
        <f t="shared" si="279"/>
        <v/>
      </c>
      <c r="J415" s="674" t="str">
        <f t="shared" si="279"/>
        <v/>
      </c>
      <c r="K415" s="674" t="str">
        <f t="shared" si="279"/>
        <v/>
      </c>
      <c r="L415" s="674" t="str">
        <f t="shared" si="279"/>
        <v/>
      </c>
      <c r="M415" s="674" t="str">
        <f t="shared" si="279"/>
        <v/>
      </c>
      <c r="N415" s="674" t="str">
        <f t="shared" si="279"/>
        <v/>
      </c>
      <c r="O415" s="674" t="str">
        <f t="shared" si="279"/>
        <v/>
      </c>
      <c r="P415" s="674" t="str">
        <f t="shared" si="279"/>
        <v/>
      </c>
      <c r="Q415" s="674" t="str">
        <f t="shared" si="279"/>
        <v/>
      </c>
      <c r="R415" s="674" t="str">
        <f t="shared" si="279"/>
        <v/>
      </c>
      <c r="S415" s="674" t="str">
        <f t="shared" si="279"/>
        <v/>
      </c>
      <c r="T415" s="674" t="str">
        <f t="shared" si="279"/>
        <v/>
      </c>
      <c r="U415" s="674" t="str">
        <f t="shared" si="279"/>
        <v/>
      </c>
      <c r="V415" s="674" t="str">
        <f t="shared" si="279"/>
        <v/>
      </c>
      <c r="W415" s="674" t="str">
        <f t="shared" si="279"/>
        <v/>
      </c>
      <c r="X415" s="674" t="str">
        <f t="shared" si="279"/>
        <v/>
      </c>
      <c r="Y415" s="674" t="str">
        <f t="shared" si="279"/>
        <v/>
      </c>
      <c r="Z415" s="674" t="str">
        <f t="shared" si="279"/>
        <v/>
      </c>
      <c r="AA415" s="674" t="str">
        <f t="shared" si="279"/>
        <v/>
      </c>
      <c r="AB415" s="674" t="str">
        <f t="shared" si="279"/>
        <v/>
      </c>
      <c r="AC415" s="674" t="str">
        <f t="shared" si="279"/>
        <v/>
      </c>
      <c r="AD415" s="674" t="str">
        <f t="shared" si="279"/>
        <v/>
      </c>
      <c r="AE415" s="674" t="str">
        <f t="shared" si="279"/>
        <v/>
      </c>
      <c r="AF415" s="674" t="str">
        <f t="shared" si="279"/>
        <v/>
      </c>
      <c r="AG415" s="674" t="str">
        <f t="shared" si="279"/>
        <v/>
      </c>
      <c r="AH415" s="674" t="str">
        <f t="shared" si="279"/>
        <v/>
      </c>
      <c r="AI415" s="674" t="str">
        <f t="shared" si="279"/>
        <v/>
      </c>
      <c r="AJ415" s="674" t="str">
        <f t="shared" si="279"/>
        <v/>
      </c>
      <c r="AK415" s="675" t="str">
        <f t="shared" si="279"/>
        <v/>
      </c>
      <c r="AL415" s="15"/>
      <c r="AM415" s="15"/>
      <c r="AP415" s="536"/>
      <c r="AR415" s="537"/>
      <c r="AS415" s="529"/>
      <c r="AW415" s="390" t="str">
        <f>""</f>
        <v/>
      </c>
      <c r="AX415" s="531"/>
      <c r="AY415" s="390" t="str">
        <f>""</f>
        <v/>
      </c>
      <c r="BD415" s="520"/>
      <c r="BE415" s="520"/>
      <c r="BF415" s="520"/>
      <c r="BG415" s="520"/>
      <c r="BH415" s="520"/>
      <c r="BI415" s="520"/>
      <c r="BJ415" s="520"/>
      <c r="BK415" s="520"/>
      <c r="BL415" s="520"/>
      <c r="BM415" s="520"/>
      <c r="BN415" s="520"/>
      <c r="BO415" s="520"/>
      <c r="BP415" s="520"/>
      <c r="BQ415" s="520"/>
      <c r="BR415" s="520"/>
      <c r="BS415" s="520"/>
      <c r="BT415" s="520"/>
      <c r="BU415" s="520"/>
      <c r="BV415" s="520"/>
      <c r="BW415" s="520"/>
      <c r="BX415" s="520"/>
      <c r="BY415" s="520"/>
    </row>
    <row r="416" spans="1:84" ht="12" customHeight="1" x14ac:dyDescent="0.3">
      <c r="A416" s="765"/>
      <c r="E416" s="258" t="str">
        <f>$AX$95</f>
        <v>Egyik csapat góljainak száma: 3 p</v>
      </c>
      <c r="H416" s="673" t="str">
        <f t="shared" ref="H416:AK416" si="280">IF(OR(BC412,NOT($AS$26)),"",IF(AND(NOT($AS$32),COUNTIF(H413:H415,"ü")&gt;0),"",IF(OR(H411=$E411,H412=$E412),"ü"," ")))</f>
        <v/>
      </c>
      <c r="I416" s="674" t="str">
        <f t="shared" si="280"/>
        <v/>
      </c>
      <c r="J416" s="674" t="str">
        <f t="shared" si="280"/>
        <v/>
      </c>
      <c r="K416" s="674" t="str">
        <f t="shared" si="280"/>
        <v/>
      </c>
      <c r="L416" s="674" t="str">
        <f t="shared" si="280"/>
        <v/>
      </c>
      <c r="M416" s="674" t="str">
        <f t="shared" si="280"/>
        <v/>
      </c>
      <c r="N416" s="674" t="str">
        <f t="shared" si="280"/>
        <v/>
      </c>
      <c r="O416" s="674" t="str">
        <f t="shared" si="280"/>
        <v/>
      </c>
      <c r="P416" s="674" t="str">
        <f t="shared" si="280"/>
        <v/>
      </c>
      <c r="Q416" s="674" t="str">
        <f t="shared" si="280"/>
        <v/>
      </c>
      <c r="R416" s="674" t="str">
        <f t="shared" si="280"/>
        <v/>
      </c>
      <c r="S416" s="674" t="str">
        <f t="shared" si="280"/>
        <v/>
      </c>
      <c r="T416" s="674" t="str">
        <f t="shared" si="280"/>
        <v/>
      </c>
      <c r="U416" s="674" t="str">
        <f t="shared" si="280"/>
        <v/>
      </c>
      <c r="V416" s="674" t="str">
        <f t="shared" si="280"/>
        <v/>
      </c>
      <c r="W416" s="674" t="str">
        <f t="shared" si="280"/>
        <v/>
      </c>
      <c r="X416" s="674" t="str">
        <f t="shared" si="280"/>
        <v/>
      </c>
      <c r="Y416" s="674" t="str">
        <f t="shared" si="280"/>
        <v/>
      </c>
      <c r="Z416" s="674" t="str">
        <f t="shared" si="280"/>
        <v/>
      </c>
      <c r="AA416" s="674" t="str">
        <f t="shared" si="280"/>
        <v/>
      </c>
      <c r="AB416" s="674" t="str">
        <f t="shared" si="280"/>
        <v/>
      </c>
      <c r="AC416" s="674" t="str">
        <f t="shared" si="280"/>
        <v/>
      </c>
      <c r="AD416" s="674" t="str">
        <f t="shared" si="280"/>
        <v/>
      </c>
      <c r="AE416" s="674" t="str">
        <f t="shared" si="280"/>
        <v/>
      </c>
      <c r="AF416" s="674" t="str">
        <f t="shared" si="280"/>
        <v/>
      </c>
      <c r="AG416" s="674" t="str">
        <f t="shared" si="280"/>
        <v/>
      </c>
      <c r="AH416" s="674" t="str">
        <f t="shared" si="280"/>
        <v/>
      </c>
      <c r="AI416" s="674" t="str">
        <f t="shared" si="280"/>
        <v/>
      </c>
      <c r="AJ416" s="674" t="str">
        <f t="shared" si="280"/>
        <v/>
      </c>
      <c r="AK416" s="675" t="str">
        <f t="shared" si="280"/>
        <v/>
      </c>
      <c r="AL416" s="15"/>
      <c r="AM416" s="15"/>
      <c r="AP416" s="536"/>
      <c r="AR416" s="537"/>
      <c r="AS416" s="529"/>
      <c r="AW416" s="390" t="str">
        <f>""</f>
        <v/>
      </c>
      <c r="AX416" s="531"/>
      <c r="AY416" s="390" t="str">
        <f>""</f>
        <v/>
      </c>
      <c r="BD416" s="520"/>
      <c r="BE416" s="520"/>
      <c r="BF416" s="520"/>
      <c r="BG416" s="520"/>
      <c r="BH416" s="520"/>
      <c r="BI416" s="520"/>
      <c r="BJ416" s="520"/>
      <c r="BK416" s="520"/>
      <c r="BL416" s="520"/>
      <c r="BM416" s="520"/>
      <c r="BN416" s="520"/>
      <c r="BO416" s="520"/>
      <c r="BP416" s="520"/>
      <c r="BQ416" s="520"/>
      <c r="BR416" s="520"/>
      <c r="BS416" s="520"/>
      <c r="BT416" s="520"/>
      <c r="BU416" s="520"/>
      <c r="BV416" s="520"/>
      <c r="BW416" s="520"/>
      <c r="BX416" s="520"/>
      <c r="BY416" s="520"/>
    </row>
    <row r="417" spans="1:84" ht="12" customHeight="1" x14ac:dyDescent="0.3">
      <c r="A417" s="765"/>
      <c r="E417" s="258" t="str">
        <f>$AX$96</f>
        <v>Összes gól: 2 p</v>
      </c>
      <c r="H417" s="673" t="str">
        <f t="shared" ref="H417:AK417" si="281">IF(OR(BC412,NOT($AS$28)),"",IF(AND(NOT($AS$32),COUNTIF(H413:H416,"ü")&gt;0),"",IF(H411+H412=$E411+$E412,"ü"," ")))</f>
        <v/>
      </c>
      <c r="I417" s="674" t="str">
        <f t="shared" si="281"/>
        <v/>
      </c>
      <c r="J417" s="674" t="str">
        <f t="shared" si="281"/>
        <v/>
      </c>
      <c r="K417" s="674" t="str">
        <f t="shared" si="281"/>
        <v/>
      </c>
      <c r="L417" s="674" t="str">
        <f t="shared" si="281"/>
        <v/>
      </c>
      <c r="M417" s="674" t="str">
        <f t="shared" si="281"/>
        <v/>
      </c>
      <c r="N417" s="674" t="str">
        <f t="shared" si="281"/>
        <v/>
      </c>
      <c r="O417" s="674" t="str">
        <f t="shared" si="281"/>
        <v/>
      </c>
      <c r="P417" s="674" t="str">
        <f t="shared" si="281"/>
        <v/>
      </c>
      <c r="Q417" s="674" t="str">
        <f t="shared" si="281"/>
        <v/>
      </c>
      <c r="R417" s="674" t="str">
        <f t="shared" si="281"/>
        <v/>
      </c>
      <c r="S417" s="674" t="str">
        <f t="shared" si="281"/>
        <v/>
      </c>
      <c r="T417" s="674" t="str">
        <f t="shared" si="281"/>
        <v/>
      </c>
      <c r="U417" s="674" t="str">
        <f t="shared" si="281"/>
        <v/>
      </c>
      <c r="V417" s="674" t="str">
        <f t="shared" si="281"/>
        <v/>
      </c>
      <c r="W417" s="674" t="str">
        <f t="shared" si="281"/>
        <v/>
      </c>
      <c r="X417" s="674" t="str">
        <f t="shared" si="281"/>
        <v/>
      </c>
      <c r="Y417" s="674" t="str">
        <f t="shared" si="281"/>
        <v/>
      </c>
      <c r="Z417" s="674" t="str">
        <f t="shared" si="281"/>
        <v/>
      </c>
      <c r="AA417" s="674" t="str">
        <f t="shared" si="281"/>
        <v/>
      </c>
      <c r="AB417" s="674" t="str">
        <f t="shared" si="281"/>
        <v/>
      </c>
      <c r="AC417" s="674" t="str">
        <f t="shared" si="281"/>
        <v/>
      </c>
      <c r="AD417" s="674" t="str">
        <f t="shared" si="281"/>
        <v/>
      </c>
      <c r="AE417" s="674" t="str">
        <f t="shared" si="281"/>
        <v/>
      </c>
      <c r="AF417" s="674" t="str">
        <f t="shared" si="281"/>
        <v/>
      </c>
      <c r="AG417" s="674" t="str">
        <f t="shared" si="281"/>
        <v/>
      </c>
      <c r="AH417" s="674" t="str">
        <f t="shared" si="281"/>
        <v/>
      </c>
      <c r="AI417" s="674" t="str">
        <f t="shared" si="281"/>
        <v/>
      </c>
      <c r="AJ417" s="674" t="str">
        <f t="shared" si="281"/>
        <v/>
      </c>
      <c r="AK417" s="675" t="str">
        <f t="shared" si="281"/>
        <v/>
      </c>
      <c r="AL417" s="15"/>
      <c r="AM417" s="15"/>
      <c r="AP417" s="536"/>
      <c r="AR417" s="537"/>
      <c r="AS417" s="529"/>
      <c r="AW417" s="390" t="str">
        <f>""</f>
        <v/>
      </c>
      <c r="AX417" s="531"/>
      <c r="AY417" s="390" t="str">
        <f>""</f>
        <v/>
      </c>
      <c r="BD417" s="520"/>
      <c r="BE417" s="520"/>
      <c r="BF417" s="520"/>
      <c r="BG417" s="520"/>
      <c r="BH417" s="520"/>
      <c r="BI417" s="520"/>
      <c r="BJ417" s="520"/>
      <c r="BK417" s="520"/>
      <c r="BL417" s="520"/>
      <c r="BM417" s="520"/>
      <c r="BN417" s="520"/>
      <c r="BO417" s="520"/>
      <c r="BP417" s="520"/>
      <c r="BQ417" s="520"/>
      <c r="BR417" s="520"/>
      <c r="BS417" s="520"/>
      <c r="BT417" s="520"/>
      <c r="BU417" s="520"/>
      <c r="BV417" s="520"/>
      <c r="BW417" s="520"/>
      <c r="BX417" s="520"/>
      <c r="BY417" s="520"/>
    </row>
    <row r="418" spans="1:84" ht="12" customHeight="1" x14ac:dyDescent="0.3">
      <c r="A418" s="765"/>
      <c r="E418" s="258" t="str">
        <f>$AX$97</f>
        <v>Fordított gólkülönbség: 1 p</v>
      </c>
      <c r="H418" s="676" t="str">
        <f t="shared" ref="H418:AK418" si="282">IF(OR(BC412,NOT($AS$30)),"",IF(AND(NOT($AS$32),COUNTIF(H413:H417,"ü")&gt;0),"",IF(AND(H411-H412=$E412-$E411,H411&lt;&gt;H412),"ü"," ")))</f>
        <v/>
      </c>
      <c r="I418" s="677" t="str">
        <f t="shared" si="282"/>
        <v/>
      </c>
      <c r="J418" s="677" t="str">
        <f t="shared" si="282"/>
        <v/>
      </c>
      <c r="K418" s="677" t="str">
        <f t="shared" si="282"/>
        <v/>
      </c>
      <c r="L418" s="677" t="str">
        <f t="shared" si="282"/>
        <v/>
      </c>
      <c r="M418" s="677" t="str">
        <f t="shared" si="282"/>
        <v/>
      </c>
      <c r="N418" s="677" t="str">
        <f t="shared" si="282"/>
        <v/>
      </c>
      <c r="O418" s="677" t="str">
        <f t="shared" si="282"/>
        <v/>
      </c>
      <c r="P418" s="677" t="str">
        <f t="shared" si="282"/>
        <v/>
      </c>
      <c r="Q418" s="677" t="str">
        <f t="shared" si="282"/>
        <v/>
      </c>
      <c r="R418" s="677" t="str">
        <f t="shared" si="282"/>
        <v/>
      </c>
      <c r="S418" s="677" t="str">
        <f t="shared" si="282"/>
        <v/>
      </c>
      <c r="T418" s="677" t="str">
        <f t="shared" si="282"/>
        <v/>
      </c>
      <c r="U418" s="677" t="str">
        <f t="shared" si="282"/>
        <v/>
      </c>
      <c r="V418" s="677" t="str">
        <f t="shared" si="282"/>
        <v/>
      </c>
      <c r="W418" s="677" t="str">
        <f t="shared" si="282"/>
        <v/>
      </c>
      <c r="X418" s="677" t="str">
        <f t="shared" si="282"/>
        <v/>
      </c>
      <c r="Y418" s="677" t="str">
        <f t="shared" si="282"/>
        <v/>
      </c>
      <c r="Z418" s="677" t="str">
        <f t="shared" si="282"/>
        <v/>
      </c>
      <c r="AA418" s="677" t="str">
        <f t="shared" si="282"/>
        <v/>
      </c>
      <c r="AB418" s="677" t="str">
        <f t="shared" si="282"/>
        <v/>
      </c>
      <c r="AC418" s="677" t="str">
        <f t="shared" si="282"/>
        <v/>
      </c>
      <c r="AD418" s="677" t="str">
        <f t="shared" si="282"/>
        <v/>
      </c>
      <c r="AE418" s="677" t="str">
        <f t="shared" si="282"/>
        <v/>
      </c>
      <c r="AF418" s="677" t="str">
        <f t="shared" si="282"/>
        <v/>
      </c>
      <c r="AG418" s="677" t="str">
        <f t="shared" si="282"/>
        <v/>
      </c>
      <c r="AH418" s="677" t="str">
        <f t="shared" si="282"/>
        <v/>
      </c>
      <c r="AI418" s="677" t="str">
        <f t="shared" si="282"/>
        <v/>
      </c>
      <c r="AJ418" s="677" t="str">
        <f t="shared" si="282"/>
        <v/>
      </c>
      <c r="AK418" s="678" t="str">
        <f t="shared" si="282"/>
        <v/>
      </c>
      <c r="AL418" s="15"/>
      <c r="AM418" s="15"/>
      <c r="AP418" s="536"/>
      <c r="AR418" s="537"/>
      <c r="AS418" s="529"/>
      <c r="AW418" s="390" t="str">
        <f>""</f>
        <v/>
      </c>
      <c r="AX418" s="531"/>
      <c r="AY418" s="390" t="str">
        <f>""</f>
        <v/>
      </c>
      <c r="BD418" s="520"/>
      <c r="BE418" s="520"/>
      <c r="BF418" s="520"/>
      <c r="BG418" s="520"/>
      <c r="BH418" s="520"/>
      <c r="BI418" s="520"/>
      <c r="BJ418" s="520"/>
      <c r="BK418" s="520"/>
      <c r="BL418" s="520"/>
      <c r="BM418" s="520"/>
      <c r="BN418" s="520"/>
      <c r="BO418" s="520"/>
      <c r="BP418" s="520"/>
      <c r="BQ418" s="520"/>
      <c r="BR418" s="520"/>
      <c r="BS418" s="520"/>
      <c r="BT418" s="520"/>
      <c r="BU418" s="520"/>
      <c r="BV418" s="520"/>
      <c r="BW418" s="520"/>
      <c r="BX418" s="520"/>
      <c r="BY418" s="520"/>
    </row>
    <row r="419" spans="1:84" ht="15" customHeight="1" x14ac:dyDescent="0.3">
      <c r="A419" s="765"/>
      <c r="E419" s="79" t="s">
        <v>799</v>
      </c>
      <c r="H419" s="679">
        <f t="shared" ref="H419:AK419" si="283">IF(NOT(H$13),"",SUMPRODUCT((H413:H418="ü")*($AW$92:$AW$97)))</f>
        <v>0</v>
      </c>
      <c r="I419" s="680">
        <f t="shared" si="283"/>
        <v>0</v>
      </c>
      <c r="J419" s="680">
        <f t="shared" si="283"/>
        <v>0</v>
      </c>
      <c r="K419" s="680">
        <f t="shared" si="283"/>
        <v>0</v>
      </c>
      <c r="L419" s="680">
        <f t="shared" si="283"/>
        <v>0</v>
      </c>
      <c r="M419" s="680">
        <f t="shared" si="283"/>
        <v>0</v>
      </c>
      <c r="N419" s="680">
        <f t="shared" si="283"/>
        <v>0</v>
      </c>
      <c r="O419" s="680">
        <f t="shared" si="283"/>
        <v>0</v>
      </c>
      <c r="P419" s="680">
        <f t="shared" si="283"/>
        <v>0</v>
      </c>
      <c r="Q419" s="680">
        <f t="shared" si="283"/>
        <v>0</v>
      </c>
      <c r="R419" s="680">
        <f t="shared" si="283"/>
        <v>0</v>
      </c>
      <c r="S419" s="680">
        <f t="shared" si="283"/>
        <v>0</v>
      </c>
      <c r="T419" s="680">
        <f t="shared" si="283"/>
        <v>0</v>
      </c>
      <c r="U419" s="680">
        <f t="shared" si="283"/>
        <v>0</v>
      </c>
      <c r="V419" s="680">
        <f t="shared" si="283"/>
        <v>0</v>
      </c>
      <c r="W419" s="680">
        <f t="shared" si="283"/>
        <v>0</v>
      </c>
      <c r="X419" s="680">
        <f t="shared" si="283"/>
        <v>0</v>
      </c>
      <c r="Y419" s="680">
        <f t="shared" si="283"/>
        <v>0</v>
      </c>
      <c r="Z419" s="680">
        <f t="shared" si="283"/>
        <v>0</v>
      </c>
      <c r="AA419" s="680">
        <f t="shared" si="283"/>
        <v>0</v>
      </c>
      <c r="AB419" s="680">
        <f t="shared" si="283"/>
        <v>0</v>
      </c>
      <c r="AC419" s="680">
        <f t="shared" si="283"/>
        <v>0</v>
      </c>
      <c r="AD419" s="680">
        <f t="shared" si="283"/>
        <v>0</v>
      </c>
      <c r="AE419" s="680" t="str">
        <f t="shared" si="283"/>
        <v/>
      </c>
      <c r="AF419" s="680" t="str">
        <f t="shared" si="283"/>
        <v/>
      </c>
      <c r="AG419" s="680" t="str">
        <f t="shared" si="283"/>
        <v/>
      </c>
      <c r="AH419" s="680" t="str">
        <f t="shared" si="283"/>
        <v/>
      </c>
      <c r="AI419" s="680" t="str">
        <f t="shared" si="283"/>
        <v/>
      </c>
      <c r="AJ419" s="680" t="str">
        <f t="shared" si="283"/>
        <v/>
      </c>
      <c r="AK419" s="681" t="str">
        <f t="shared" si="283"/>
        <v/>
      </c>
      <c r="AP419" s="536"/>
      <c r="AR419" s="537"/>
      <c r="AS419" s="529"/>
    </row>
    <row r="420" spans="1:84" ht="9" customHeight="1" x14ac:dyDescent="0.3">
      <c r="A420" s="765"/>
      <c r="D420" s="15"/>
      <c r="E420" s="15"/>
      <c r="F420" s="15"/>
      <c r="G420" s="15"/>
      <c r="H420" s="15"/>
      <c r="I420" s="16"/>
      <c r="J420" s="15"/>
      <c r="K420" s="15"/>
      <c r="L420" s="16"/>
      <c r="M420" s="15"/>
      <c r="N420" s="15"/>
      <c r="O420" s="16"/>
      <c r="P420" s="15"/>
      <c r="Q420" s="15"/>
      <c r="R420" s="16"/>
      <c r="S420" s="15"/>
      <c r="T420" s="15"/>
      <c r="U420" s="16"/>
      <c r="V420" s="15"/>
      <c r="W420" s="15"/>
      <c r="X420" s="16"/>
      <c r="Y420" s="15"/>
      <c r="Z420" s="15"/>
      <c r="AA420" s="16"/>
      <c r="AB420" s="15"/>
      <c r="AC420" s="15"/>
      <c r="AD420" s="16"/>
      <c r="AE420" s="15"/>
      <c r="AF420" s="15"/>
      <c r="AG420" s="16"/>
      <c r="AH420" s="15"/>
      <c r="AI420" s="15"/>
      <c r="AJ420" s="16"/>
      <c r="AK420" s="15"/>
      <c r="AP420" s="536"/>
      <c r="AR420" s="537"/>
      <c r="AS420" s="529"/>
    </row>
    <row r="421" spans="1:84" ht="15" customHeight="1" x14ac:dyDescent="0.3">
      <c r="A421" s="765"/>
      <c r="C421" s="27" t="str">
        <f>" "&amp;VLOOKUP(AQ422,schedule,18,FALSE)&amp;"  ("&amp;VLOOKUP(AQ422,schedule,3,FALSE)&amp;" CSOPORT)"</f>
        <v xml:space="preserve"> JÚNIUS 21. – HÉTFŐ 21:00  (B CSOPORT)</v>
      </c>
      <c r="D421" s="27"/>
      <c r="E421" s="26"/>
      <c r="F421" s="26"/>
      <c r="G421" s="26"/>
      <c r="H421" s="26"/>
      <c r="I421" s="26"/>
      <c r="J421" s="26"/>
      <c r="AP421" s="536"/>
      <c r="AR421" s="537"/>
      <c r="AS421" s="529"/>
    </row>
    <row r="422" spans="1:84" ht="15" customHeight="1" x14ac:dyDescent="0.3">
      <c r="A422" s="765"/>
      <c r="C422" s="661"/>
      <c r="D422" s="662" t="str">
        <f>IF(INDEX(n.er,$AR422,8)="","",INDEX(n.er,$AR422,8))</f>
        <v>Finnország</v>
      </c>
      <c r="E422" s="663" t="str">
        <f>IF(NOT($AS422),"",INDEX(n.er,$AR422,9))</f>
        <v/>
      </c>
      <c r="F422" s="662"/>
      <c r="G422" s="259"/>
      <c r="H422" s="664">
        <v>0</v>
      </c>
      <c r="I422" s="665">
        <v>1</v>
      </c>
      <c r="J422" s="665">
        <v>1</v>
      </c>
      <c r="K422" s="665">
        <v>1</v>
      </c>
      <c r="L422" s="665">
        <v>0</v>
      </c>
      <c r="M422" s="665">
        <v>1</v>
      </c>
      <c r="N422" s="665">
        <v>1</v>
      </c>
      <c r="O422" s="665">
        <v>0</v>
      </c>
      <c r="P422" s="665">
        <v>1</v>
      </c>
      <c r="Q422" s="665">
        <v>1</v>
      </c>
      <c r="R422" s="665">
        <v>0</v>
      </c>
      <c r="S422" s="665">
        <v>1</v>
      </c>
      <c r="T422" s="665">
        <v>0</v>
      </c>
      <c r="U422" s="665">
        <v>1</v>
      </c>
      <c r="V422" s="665">
        <v>1</v>
      </c>
      <c r="W422" s="665">
        <v>0</v>
      </c>
      <c r="X422" s="665">
        <v>0</v>
      </c>
      <c r="Y422" s="665">
        <v>0</v>
      </c>
      <c r="Z422" s="665">
        <v>0</v>
      </c>
      <c r="AA422" s="665">
        <v>0</v>
      </c>
      <c r="AB422" s="665">
        <v>0</v>
      </c>
      <c r="AC422" s="665">
        <v>0</v>
      </c>
      <c r="AD422" s="665">
        <v>1</v>
      </c>
      <c r="AE422" s="665"/>
      <c r="AF422" s="665"/>
      <c r="AG422" s="665"/>
      <c r="AH422" s="665"/>
      <c r="AI422" s="665"/>
      <c r="AJ422" s="665"/>
      <c r="AK422" s="666"/>
      <c r="AP422" s="52">
        <f>AP411+1</f>
        <v>29</v>
      </c>
      <c r="AQ422" s="311">
        <f>INDEX(schedule,AP422,1)</f>
        <v>29</v>
      </c>
      <c r="AR422" s="311">
        <f>MATCH(AQ422,n.er.index,0)</f>
        <v>69</v>
      </c>
      <c r="AS422" s="532" t="b">
        <f>INDEX(n.er,$AR422,3)</f>
        <v>0</v>
      </c>
      <c r="AT422" s="531"/>
      <c r="AU422" s="531"/>
      <c r="AV422" s="531"/>
      <c r="AW422" s="531"/>
      <c r="AX422" s="531"/>
      <c r="BC422" s="525" t="b">
        <f t="shared" ref="BC422:CF422" si="284">IF(AND(ISNUMBER(H422),ISNUMBER(H423),H422&lt;&gt;"",H423&lt;&gt;""),AND(H422&gt;=0,H423&gt;=0,MOD(H422+H423,1)=0),FALSE)</f>
        <v>1</v>
      </c>
      <c r="BD422" s="525" t="b">
        <f t="shared" si="284"/>
        <v>1</v>
      </c>
      <c r="BE422" s="525" t="b">
        <f t="shared" si="284"/>
        <v>1</v>
      </c>
      <c r="BF422" s="525" t="b">
        <f t="shared" si="284"/>
        <v>1</v>
      </c>
      <c r="BG422" s="525" t="b">
        <f t="shared" si="284"/>
        <v>1</v>
      </c>
      <c r="BH422" s="525" t="b">
        <f t="shared" si="284"/>
        <v>1</v>
      </c>
      <c r="BI422" s="525" t="b">
        <f t="shared" si="284"/>
        <v>1</v>
      </c>
      <c r="BJ422" s="525" t="b">
        <f t="shared" si="284"/>
        <v>1</v>
      </c>
      <c r="BK422" s="525" t="b">
        <f t="shared" si="284"/>
        <v>1</v>
      </c>
      <c r="BL422" s="525" t="b">
        <f t="shared" si="284"/>
        <v>1</v>
      </c>
      <c r="BM422" s="525" t="b">
        <f t="shared" si="284"/>
        <v>1</v>
      </c>
      <c r="BN422" s="525" t="b">
        <f t="shared" si="284"/>
        <v>1</v>
      </c>
      <c r="BO422" s="525" t="b">
        <f t="shared" si="284"/>
        <v>1</v>
      </c>
      <c r="BP422" s="525" t="b">
        <f t="shared" si="284"/>
        <v>1</v>
      </c>
      <c r="BQ422" s="525" t="b">
        <f t="shared" si="284"/>
        <v>1</v>
      </c>
      <c r="BR422" s="525" t="b">
        <f t="shared" si="284"/>
        <v>1</v>
      </c>
      <c r="BS422" s="525" t="b">
        <f t="shared" si="284"/>
        <v>1</v>
      </c>
      <c r="BT422" s="525" t="b">
        <f t="shared" si="284"/>
        <v>1</v>
      </c>
      <c r="BU422" s="525" t="b">
        <f t="shared" si="284"/>
        <v>1</v>
      </c>
      <c r="BV422" s="525" t="b">
        <f t="shared" si="284"/>
        <v>1</v>
      </c>
      <c r="BW422" s="525" t="b">
        <f t="shared" si="284"/>
        <v>1</v>
      </c>
      <c r="BX422" s="525" t="b">
        <f t="shared" si="284"/>
        <v>1</v>
      </c>
      <c r="BY422" s="525" t="b">
        <f t="shared" si="284"/>
        <v>1</v>
      </c>
      <c r="BZ422" s="525" t="b">
        <f t="shared" si="284"/>
        <v>0</v>
      </c>
      <c r="CA422" s="525" t="b">
        <f t="shared" si="284"/>
        <v>0</v>
      </c>
      <c r="CB422" s="525" t="b">
        <f t="shared" si="284"/>
        <v>0</v>
      </c>
      <c r="CC422" s="525" t="b">
        <f t="shared" si="284"/>
        <v>0</v>
      </c>
      <c r="CD422" s="525" t="b">
        <f t="shared" si="284"/>
        <v>0</v>
      </c>
      <c r="CE422" s="525" t="b">
        <f t="shared" si="284"/>
        <v>0</v>
      </c>
      <c r="CF422" s="525" t="b">
        <f t="shared" si="284"/>
        <v>0</v>
      </c>
    </row>
    <row r="423" spans="1:84" ht="15" customHeight="1" x14ac:dyDescent="0.3">
      <c r="A423" s="765"/>
      <c r="C423" s="695"/>
      <c r="D423" s="696" t="str">
        <f>IF(INDEX(n.er,$AR422,11)="","",INDEX(n.er,$AR422,11))</f>
        <v>Belgium</v>
      </c>
      <c r="E423" s="697" t="str">
        <f>IF(NOT($AS422),"",INDEX(n.er,$AR422,10))</f>
        <v/>
      </c>
      <c r="F423" s="696"/>
      <c r="G423" s="259"/>
      <c r="H423" s="667">
        <v>2</v>
      </c>
      <c r="I423" s="668">
        <v>1</v>
      </c>
      <c r="J423" s="668">
        <v>2</v>
      </c>
      <c r="K423" s="668">
        <v>3</v>
      </c>
      <c r="L423" s="668">
        <v>2</v>
      </c>
      <c r="M423" s="668">
        <v>3</v>
      </c>
      <c r="N423" s="668">
        <v>3</v>
      </c>
      <c r="O423" s="668">
        <v>2</v>
      </c>
      <c r="P423" s="668">
        <v>3</v>
      </c>
      <c r="Q423" s="668">
        <v>3</v>
      </c>
      <c r="R423" s="668">
        <v>4</v>
      </c>
      <c r="S423" s="668">
        <v>3</v>
      </c>
      <c r="T423" s="668">
        <v>2</v>
      </c>
      <c r="U423" s="668">
        <v>2</v>
      </c>
      <c r="V423" s="668">
        <v>2</v>
      </c>
      <c r="W423" s="668">
        <v>2</v>
      </c>
      <c r="X423" s="668">
        <v>3</v>
      </c>
      <c r="Y423" s="668">
        <v>3</v>
      </c>
      <c r="Z423" s="668">
        <v>0</v>
      </c>
      <c r="AA423" s="668">
        <v>3</v>
      </c>
      <c r="AB423" s="668">
        <v>4</v>
      </c>
      <c r="AC423" s="668">
        <v>0</v>
      </c>
      <c r="AD423" s="668">
        <v>3</v>
      </c>
      <c r="AE423" s="668"/>
      <c r="AF423" s="668"/>
      <c r="AG423" s="668"/>
      <c r="AH423" s="668"/>
      <c r="AI423" s="668"/>
      <c r="AJ423" s="668"/>
      <c r="AK423" s="669"/>
      <c r="AP423" s="533"/>
      <c r="AQ423" s="577"/>
      <c r="AR423" s="534"/>
      <c r="AS423" s="535"/>
      <c r="AX423" s="531"/>
      <c r="BC423" s="34" t="b">
        <f t="shared" ref="BC423:CF423" si="285">OR(NOT(H$13),NOT($AS422),NOT(BC422))</f>
        <v>1</v>
      </c>
      <c r="BD423" s="34" t="b">
        <f t="shared" si="285"/>
        <v>1</v>
      </c>
      <c r="BE423" s="34" t="b">
        <f t="shared" si="285"/>
        <v>1</v>
      </c>
      <c r="BF423" s="34" t="b">
        <f t="shared" si="285"/>
        <v>1</v>
      </c>
      <c r="BG423" s="34" t="b">
        <f t="shared" si="285"/>
        <v>1</v>
      </c>
      <c r="BH423" s="34" t="b">
        <f t="shared" si="285"/>
        <v>1</v>
      </c>
      <c r="BI423" s="34" t="b">
        <f t="shared" si="285"/>
        <v>1</v>
      </c>
      <c r="BJ423" s="34" t="b">
        <f t="shared" si="285"/>
        <v>1</v>
      </c>
      <c r="BK423" s="34" t="b">
        <f t="shared" si="285"/>
        <v>1</v>
      </c>
      <c r="BL423" s="34" t="b">
        <f t="shared" si="285"/>
        <v>1</v>
      </c>
      <c r="BM423" s="34" t="b">
        <f t="shared" si="285"/>
        <v>1</v>
      </c>
      <c r="BN423" s="34" t="b">
        <f t="shared" si="285"/>
        <v>1</v>
      </c>
      <c r="BO423" s="34" t="b">
        <f t="shared" si="285"/>
        <v>1</v>
      </c>
      <c r="BP423" s="34" t="b">
        <f t="shared" si="285"/>
        <v>1</v>
      </c>
      <c r="BQ423" s="34" t="b">
        <f t="shared" si="285"/>
        <v>1</v>
      </c>
      <c r="BR423" s="34" t="b">
        <f t="shared" si="285"/>
        <v>1</v>
      </c>
      <c r="BS423" s="34" t="b">
        <f t="shared" si="285"/>
        <v>1</v>
      </c>
      <c r="BT423" s="34" t="b">
        <f t="shared" si="285"/>
        <v>1</v>
      </c>
      <c r="BU423" s="34" t="b">
        <f t="shared" si="285"/>
        <v>1</v>
      </c>
      <c r="BV423" s="34" t="b">
        <f t="shared" si="285"/>
        <v>1</v>
      </c>
      <c r="BW423" s="34" t="b">
        <f t="shared" si="285"/>
        <v>1</v>
      </c>
      <c r="BX423" s="34" t="b">
        <f t="shared" si="285"/>
        <v>1</v>
      </c>
      <c r="BY423" s="34" t="b">
        <f t="shared" si="285"/>
        <v>1</v>
      </c>
      <c r="BZ423" s="34" t="b">
        <f t="shared" si="285"/>
        <v>1</v>
      </c>
      <c r="CA423" s="34" t="b">
        <f t="shared" si="285"/>
        <v>1</v>
      </c>
      <c r="CB423" s="34" t="b">
        <f t="shared" si="285"/>
        <v>1</v>
      </c>
      <c r="CC423" s="34" t="b">
        <f t="shared" si="285"/>
        <v>1</v>
      </c>
      <c r="CD423" s="34" t="b">
        <f t="shared" si="285"/>
        <v>1</v>
      </c>
      <c r="CE423" s="34" t="b">
        <f t="shared" si="285"/>
        <v>1</v>
      </c>
      <c r="CF423" s="34" t="b">
        <f t="shared" si="285"/>
        <v>1</v>
      </c>
    </row>
    <row r="424" spans="1:84" ht="12" customHeight="1" x14ac:dyDescent="0.3">
      <c r="A424" s="765"/>
      <c r="E424" s="258" t="str">
        <f>$AX$92</f>
        <v>Telitalálat: 10 p</v>
      </c>
      <c r="H424" s="670" t="str">
        <f t="shared" ref="H424:AK424" si="286">IF(OR(BC423,NOT($AS$20)),"",IF(AND(H422=$E422,H423=$E423),"ü",""))</f>
        <v/>
      </c>
      <c r="I424" s="671" t="str">
        <f t="shared" si="286"/>
        <v/>
      </c>
      <c r="J424" s="671" t="str">
        <f t="shared" si="286"/>
        <v/>
      </c>
      <c r="K424" s="671" t="str">
        <f t="shared" si="286"/>
        <v/>
      </c>
      <c r="L424" s="671" t="str">
        <f t="shared" si="286"/>
        <v/>
      </c>
      <c r="M424" s="671" t="str">
        <f t="shared" si="286"/>
        <v/>
      </c>
      <c r="N424" s="671" t="str">
        <f t="shared" si="286"/>
        <v/>
      </c>
      <c r="O424" s="671" t="str">
        <f t="shared" si="286"/>
        <v/>
      </c>
      <c r="P424" s="671" t="str">
        <f t="shared" si="286"/>
        <v/>
      </c>
      <c r="Q424" s="671" t="str">
        <f t="shared" si="286"/>
        <v/>
      </c>
      <c r="R424" s="671" t="str">
        <f t="shared" si="286"/>
        <v/>
      </c>
      <c r="S424" s="671" t="str">
        <f t="shared" si="286"/>
        <v/>
      </c>
      <c r="T424" s="671" t="str">
        <f t="shared" si="286"/>
        <v/>
      </c>
      <c r="U424" s="671" t="str">
        <f t="shared" si="286"/>
        <v/>
      </c>
      <c r="V424" s="671" t="str">
        <f t="shared" si="286"/>
        <v/>
      </c>
      <c r="W424" s="671" t="str">
        <f t="shared" si="286"/>
        <v/>
      </c>
      <c r="X424" s="671" t="str">
        <f t="shared" si="286"/>
        <v/>
      </c>
      <c r="Y424" s="671" t="str">
        <f t="shared" si="286"/>
        <v/>
      </c>
      <c r="Z424" s="671" t="str">
        <f t="shared" si="286"/>
        <v/>
      </c>
      <c r="AA424" s="671" t="str">
        <f t="shared" si="286"/>
        <v/>
      </c>
      <c r="AB424" s="671" t="str">
        <f t="shared" si="286"/>
        <v/>
      </c>
      <c r="AC424" s="671" t="str">
        <f t="shared" si="286"/>
        <v/>
      </c>
      <c r="AD424" s="671" t="str">
        <f t="shared" si="286"/>
        <v/>
      </c>
      <c r="AE424" s="671" t="str">
        <f t="shared" si="286"/>
        <v/>
      </c>
      <c r="AF424" s="671" t="str">
        <f t="shared" si="286"/>
        <v/>
      </c>
      <c r="AG424" s="671" t="str">
        <f t="shared" si="286"/>
        <v/>
      </c>
      <c r="AH424" s="671" t="str">
        <f t="shared" si="286"/>
        <v/>
      </c>
      <c r="AI424" s="671" t="str">
        <f t="shared" si="286"/>
        <v/>
      </c>
      <c r="AJ424" s="671" t="str">
        <f t="shared" si="286"/>
        <v/>
      </c>
      <c r="AK424" s="672" t="str">
        <f t="shared" si="286"/>
        <v/>
      </c>
      <c r="AL424" s="15"/>
      <c r="AM424" s="15"/>
      <c r="AP424" s="536"/>
      <c r="AR424" s="537"/>
      <c r="AS424" s="529"/>
      <c r="AW424" s="390" t="str">
        <f>""</f>
        <v/>
      </c>
      <c r="AX424" s="531"/>
      <c r="AY424" s="390" t="str">
        <f>""</f>
        <v/>
      </c>
      <c r="BD424" s="520"/>
      <c r="BE424" s="520"/>
      <c r="BF424" s="520"/>
      <c r="BG424" s="520"/>
      <c r="BH424" s="520"/>
      <c r="BI424" s="520"/>
      <c r="BJ424" s="520"/>
      <c r="BK424" s="520"/>
      <c r="BL424" s="520"/>
      <c r="BM424" s="520"/>
      <c r="BN424" s="520"/>
      <c r="BO424" s="520"/>
      <c r="BP424" s="520"/>
      <c r="BQ424" s="520"/>
      <c r="BR424" s="520"/>
      <c r="BS424" s="520"/>
      <c r="BT424" s="520"/>
      <c r="BU424" s="520"/>
      <c r="BV424" s="520"/>
      <c r="BW424" s="520"/>
      <c r="BX424" s="520"/>
      <c r="BY424" s="520"/>
    </row>
    <row r="425" spans="1:84" ht="12" customHeight="1" x14ac:dyDescent="0.3">
      <c r="A425" s="765"/>
      <c r="E425" s="258" t="str">
        <f>$AX$93</f>
        <v>Gólkülönbség: 6 p</v>
      </c>
      <c r="H425" s="673" t="str">
        <f t="shared" ref="H425:AK425" si="287">IF(OR(BC423,NOT($AS$22)),"",IF(AND(NOT($AS$32),H424="ü"),"",IF(H422-H423=$E422-$E423,"ü"," ")))</f>
        <v/>
      </c>
      <c r="I425" s="674" t="str">
        <f t="shared" si="287"/>
        <v/>
      </c>
      <c r="J425" s="674" t="str">
        <f t="shared" si="287"/>
        <v/>
      </c>
      <c r="K425" s="674" t="str">
        <f t="shared" si="287"/>
        <v/>
      </c>
      <c r="L425" s="674" t="str">
        <f t="shared" si="287"/>
        <v/>
      </c>
      <c r="M425" s="674" t="str">
        <f t="shared" si="287"/>
        <v/>
      </c>
      <c r="N425" s="674" t="str">
        <f t="shared" si="287"/>
        <v/>
      </c>
      <c r="O425" s="674" t="str">
        <f t="shared" si="287"/>
        <v/>
      </c>
      <c r="P425" s="674" t="str">
        <f t="shared" si="287"/>
        <v/>
      </c>
      <c r="Q425" s="674" t="str">
        <f t="shared" si="287"/>
        <v/>
      </c>
      <c r="R425" s="674" t="str">
        <f t="shared" si="287"/>
        <v/>
      </c>
      <c r="S425" s="674" t="str">
        <f t="shared" si="287"/>
        <v/>
      </c>
      <c r="T425" s="674" t="str">
        <f t="shared" si="287"/>
        <v/>
      </c>
      <c r="U425" s="674" t="str">
        <f t="shared" si="287"/>
        <v/>
      </c>
      <c r="V425" s="674" t="str">
        <f t="shared" si="287"/>
        <v/>
      </c>
      <c r="W425" s="674" t="str">
        <f t="shared" si="287"/>
        <v/>
      </c>
      <c r="X425" s="674" t="str">
        <f t="shared" si="287"/>
        <v/>
      </c>
      <c r="Y425" s="674" t="str">
        <f t="shared" si="287"/>
        <v/>
      </c>
      <c r="Z425" s="674" t="str">
        <f t="shared" si="287"/>
        <v/>
      </c>
      <c r="AA425" s="674" t="str">
        <f t="shared" si="287"/>
        <v/>
      </c>
      <c r="AB425" s="674" t="str">
        <f t="shared" si="287"/>
        <v/>
      </c>
      <c r="AC425" s="674" t="str">
        <f t="shared" si="287"/>
        <v/>
      </c>
      <c r="AD425" s="674" t="str">
        <f t="shared" si="287"/>
        <v/>
      </c>
      <c r="AE425" s="674" t="str">
        <f t="shared" si="287"/>
        <v/>
      </c>
      <c r="AF425" s="674" t="str">
        <f t="shared" si="287"/>
        <v/>
      </c>
      <c r="AG425" s="674" t="str">
        <f t="shared" si="287"/>
        <v/>
      </c>
      <c r="AH425" s="674" t="str">
        <f t="shared" si="287"/>
        <v/>
      </c>
      <c r="AI425" s="674" t="str">
        <f t="shared" si="287"/>
        <v/>
      </c>
      <c r="AJ425" s="674" t="str">
        <f t="shared" si="287"/>
        <v/>
      </c>
      <c r="AK425" s="675" t="str">
        <f t="shared" si="287"/>
        <v/>
      </c>
      <c r="AL425" s="15"/>
      <c r="AM425" s="15"/>
      <c r="AP425" s="536"/>
      <c r="AR425" s="537"/>
      <c r="AS425" s="529"/>
      <c r="AW425" s="390" t="str">
        <f>""</f>
        <v/>
      </c>
      <c r="AX425" s="531"/>
      <c r="AY425" s="390" t="str">
        <f>""</f>
        <v/>
      </c>
      <c r="BD425" s="520"/>
      <c r="BE425" s="520"/>
      <c r="BF425" s="520"/>
      <c r="BG425" s="520"/>
      <c r="BH425" s="520"/>
      <c r="BI425" s="520"/>
      <c r="BJ425" s="520"/>
      <c r="BK425" s="520"/>
      <c r="BL425" s="520"/>
      <c r="BM425" s="520"/>
      <c r="BN425" s="520"/>
      <c r="BO425" s="520"/>
      <c r="BP425" s="520"/>
      <c r="BQ425" s="520"/>
      <c r="BR425" s="520"/>
      <c r="BS425" s="520"/>
      <c r="BT425" s="520"/>
      <c r="BU425" s="520"/>
      <c r="BV425" s="520"/>
      <c r="BW425" s="520"/>
      <c r="BX425" s="520"/>
      <c r="BY425" s="520"/>
    </row>
    <row r="426" spans="1:84" ht="12" customHeight="1" x14ac:dyDescent="0.3">
      <c r="A426" s="765"/>
      <c r="E426" s="258" t="str">
        <f>$AX$94</f>
        <v>Mérkőzés kimenetele: 4 p</v>
      </c>
      <c r="H426" s="673" t="str">
        <f t="shared" ref="H426:AK426" si="288">IF(OR(BC423,NOT($AS$24)),"",IF(AND(NOT($AS$32),COUNTIF(H424:H425,"ü")&gt;0),"",IF(SIGN(H422-H423)=SIGN($E422-$E423),"ü"," ")))</f>
        <v/>
      </c>
      <c r="I426" s="674" t="str">
        <f t="shared" si="288"/>
        <v/>
      </c>
      <c r="J426" s="674" t="str">
        <f t="shared" si="288"/>
        <v/>
      </c>
      <c r="K426" s="674" t="str">
        <f t="shared" si="288"/>
        <v/>
      </c>
      <c r="L426" s="674" t="str">
        <f t="shared" si="288"/>
        <v/>
      </c>
      <c r="M426" s="674" t="str">
        <f t="shared" si="288"/>
        <v/>
      </c>
      <c r="N426" s="674" t="str">
        <f t="shared" si="288"/>
        <v/>
      </c>
      <c r="O426" s="674" t="str">
        <f t="shared" si="288"/>
        <v/>
      </c>
      <c r="P426" s="674" t="str">
        <f t="shared" si="288"/>
        <v/>
      </c>
      <c r="Q426" s="674" t="str">
        <f t="shared" si="288"/>
        <v/>
      </c>
      <c r="R426" s="674" t="str">
        <f t="shared" si="288"/>
        <v/>
      </c>
      <c r="S426" s="674" t="str">
        <f t="shared" si="288"/>
        <v/>
      </c>
      <c r="T426" s="674" t="str">
        <f t="shared" si="288"/>
        <v/>
      </c>
      <c r="U426" s="674" t="str">
        <f t="shared" si="288"/>
        <v/>
      </c>
      <c r="V426" s="674" t="str">
        <f t="shared" si="288"/>
        <v/>
      </c>
      <c r="W426" s="674" t="str">
        <f t="shared" si="288"/>
        <v/>
      </c>
      <c r="X426" s="674" t="str">
        <f t="shared" si="288"/>
        <v/>
      </c>
      <c r="Y426" s="674" t="str">
        <f t="shared" si="288"/>
        <v/>
      </c>
      <c r="Z426" s="674" t="str">
        <f t="shared" si="288"/>
        <v/>
      </c>
      <c r="AA426" s="674" t="str">
        <f t="shared" si="288"/>
        <v/>
      </c>
      <c r="AB426" s="674" t="str">
        <f t="shared" si="288"/>
        <v/>
      </c>
      <c r="AC426" s="674" t="str">
        <f t="shared" si="288"/>
        <v/>
      </c>
      <c r="AD426" s="674" t="str">
        <f t="shared" si="288"/>
        <v/>
      </c>
      <c r="AE426" s="674" t="str">
        <f t="shared" si="288"/>
        <v/>
      </c>
      <c r="AF426" s="674" t="str">
        <f t="shared" si="288"/>
        <v/>
      </c>
      <c r="AG426" s="674" t="str">
        <f t="shared" si="288"/>
        <v/>
      </c>
      <c r="AH426" s="674" t="str">
        <f t="shared" si="288"/>
        <v/>
      </c>
      <c r="AI426" s="674" t="str">
        <f t="shared" si="288"/>
        <v/>
      </c>
      <c r="AJ426" s="674" t="str">
        <f t="shared" si="288"/>
        <v/>
      </c>
      <c r="AK426" s="675" t="str">
        <f t="shared" si="288"/>
        <v/>
      </c>
      <c r="AL426" s="15"/>
      <c r="AM426" s="15"/>
      <c r="AP426" s="536"/>
      <c r="AR426" s="537"/>
      <c r="AS426" s="529"/>
      <c r="AW426" s="390" t="str">
        <f>""</f>
        <v/>
      </c>
      <c r="AX426" s="531"/>
      <c r="AY426" s="390" t="str">
        <f>""</f>
        <v/>
      </c>
      <c r="BD426" s="520"/>
      <c r="BE426" s="520"/>
      <c r="BF426" s="520"/>
      <c r="BG426" s="520"/>
      <c r="BH426" s="520"/>
      <c r="BI426" s="520"/>
      <c r="BJ426" s="520"/>
      <c r="BK426" s="520"/>
      <c r="BL426" s="520"/>
      <c r="BM426" s="520"/>
      <c r="BN426" s="520"/>
      <c r="BO426" s="520"/>
      <c r="BP426" s="520"/>
      <c r="BQ426" s="520"/>
      <c r="BR426" s="520"/>
      <c r="BS426" s="520"/>
      <c r="BT426" s="520"/>
      <c r="BU426" s="520"/>
      <c r="BV426" s="520"/>
      <c r="BW426" s="520"/>
      <c r="BX426" s="520"/>
      <c r="BY426" s="520"/>
    </row>
    <row r="427" spans="1:84" ht="12" customHeight="1" x14ac:dyDescent="0.3">
      <c r="A427" s="765"/>
      <c r="E427" s="258" t="str">
        <f>$AX$95</f>
        <v>Egyik csapat góljainak száma: 3 p</v>
      </c>
      <c r="H427" s="673" t="str">
        <f t="shared" ref="H427:AK427" si="289">IF(OR(BC423,NOT($AS$26)),"",IF(AND(NOT($AS$32),COUNTIF(H424:H426,"ü")&gt;0),"",IF(OR(H422=$E422,H423=$E423),"ü"," ")))</f>
        <v/>
      </c>
      <c r="I427" s="674" t="str">
        <f t="shared" si="289"/>
        <v/>
      </c>
      <c r="J427" s="674" t="str">
        <f t="shared" si="289"/>
        <v/>
      </c>
      <c r="K427" s="674" t="str">
        <f t="shared" si="289"/>
        <v/>
      </c>
      <c r="L427" s="674" t="str">
        <f t="shared" si="289"/>
        <v/>
      </c>
      <c r="M427" s="674" t="str">
        <f t="shared" si="289"/>
        <v/>
      </c>
      <c r="N427" s="674" t="str">
        <f t="shared" si="289"/>
        <v/>
      </c>
      <c r="O427" s="674" t="str">
        <f t="shared" si="289"/>
        <v/>
      </c>
      <c r="P427" s="674" t="str">
        <f t="shared" si="289"/>
        <v/>
      </c>
      <c r="Q427" s="674" t="str">
        <f t="shared" si="289"/>
        <v/>
      </c>
      <c r="R427" s="674" t="str">
        <f t="shared" si="289"/>
        <v/>
      </c>
      <c r="S427" s="674" t="str">
        <f t="shared" si="289"/>
        <v/>
      </c>
      <c r="T427" s="674" t="str">
        <f t="shared" si="289"/>
        <v/>
      </c>
      <c r="U427" s="674" t="str">
        <f t="shared" si="289"/>
        <v/>
      </c>
      <c r="V427" s="674" t="str">
        <f t="shared" si="289"/>
        <v/>
      </c>
      <c r="W427" s="674" t="str">
        <f t="shared" si="289"/>
        <v/>
      </c>
      <c r="X427" s="674" t="str">
        <f t="shared" si="289"/>
        <v/>
      </c>
      <c r="Y427" s="674" t="str">
        <f t="shared" si="289"/>
        <v/>
      </c>
      <c r="Z427" s="674" t="str">
        <f t="shared" si="289"/>
        <v/>
      </c>
      <c r="AA427" s="674" t="str">
        <f t="shared" si="289"/>
        <v/>
      </c>
      <c r="AB427" s="674" t="str">
        <f t="shared" si="289"/>
        <v/>
      </c>
      <c r="AC427" s="674" t="str">
        <f t="shared" si="289"/>
        <v/>
      </c>
      <c r="AD427" s="674" t="str">
        <f t="shared" si="289"/>
        <v/>
      </c>
      <c r="AE427" s="674" t="str">
        <f t="shared" si="289"/>
        <v/>
      </c>
      <c r="AF427" s="674" t="str">
        <f t="shared" si="289"/>
        <v/>
      </c>
      <c r="AG427" s="674" t="str">
        <f t="shared" si="289"/>
        <v/>
      </c>
      <c r="AH427" s="674" t="str">
        <f t="shared" si="289"/>
        <v/>
      </c>
      <c r="AI427" s="674" t="str">
        <f t="shared" si="289"/>
        <v/>
      </c>
      <c r="AJ427" s="674" t="str">
        <f t="shared" si="289"/>
        <v/>
      </c>
      <c r="AK427" s="675" t="str">
        <f t="shared" si="289"/>
        <v/>
      </c>
      <c r="AL427" s="15"/>
      <c r="AM427" s="15"/>
      <c r="AP427" s="536"/>
      <c r="AR427" s="537"/>
      <c r="AS427" s="529"/>
      <c r="AW427" s="390" t="str">
        <f>""</f>
        <v/>
      </c>
      <c r="AX427" s="531"/>
      <c r="AY427" s="390" t="str">
        <f>""</f>
        <v/>
      </c>
      <c r="BD427" s="520"/>
      <c r="BE427" s="520"/>
      <c r="BF427" s="520"/>
      <c r="BG427" s="520"/>
      <c r="BH427" s="520"/>
      <c r="BI427" s="520"/>
      <c r="BJ427" s="520"/>
      <c r="BK427" s="520"/>
      <c r="BL427" s="520"/>
      <c r="BM427" s="520"/>
      <c r="BN427" s="520"/>
      <c r="BO427" s="520"/>
      <c r="BP427" s="520"/>
      <c r="BQ427" s="520"/>
      <c r="BR427" s="520"/>
      <c r="BS427" s="520"/>
      <c r="BT427" s="520"/>
      <c r="BU427" s="520"/>
      <c r="BV427" s="520"/>
      <c r="BW427" s="520"/>
      <c r="BX427" s="520"/>
      <c r="BY427" s="520"/>
    </row>
    <row r="428" spans="1:84" ht="12" customHeight="1" x14ac:dyDescent="0.3">
      <c r="A428" s="765"/>
      <c r="E428" s="258" t="str">
        <f>$AX$96</f>
        <v>Összes gól: 2 p</v>
      </c>
      <c r="H428" s="673" t="str">
        <f t="shared" ref="H428:AK428" si="290">IF(OR(BC423,NOT($AS$28)),"",IF(AND(NOT($AS$32),COUNTIF(H424:H427,"ü")&gt;0),"",IF(H422+H423=$E422+$E423,"ü"," ")))</f>
        <v/>
      </c>
      <c r="I428" s="674" t="str">
        <f t="shared" si="290"/>
        <v/>
      </c>
      <c r="J428" s="674" t="str">
        <f t="shared" si="290"/>
        <v/>
      </c>
      <c r="K428" s="674" t="str">
        <f t="shared" si="290"/>
        <v/>
      </c>
      <c r="L428" s="674" t="str">
        <f t="shared" si="290"/>
        <v/>
      </c>
      <c r="M428" s="674" t="str">
        <f t="shared" si="290"/>
        <v/>
      </c>
      <c r="N428" s="674" t="str">
        <f t="shared" si="290"/>
        <v/>
      </c>
      <c r="O428" s="674" t="str">
        <f t="shared" si="290"/>
        <v/>
      </c>
      <c r="P428" s="674" t="str">
        <f t="shared" si="290"/>
        <v/>
      </c>
      <c r="Q428" s="674" t="str">
        <f t="shared" si="290"/>
        <v/>
      </c>
      <c r="R428" s="674" t="str">
        <f t="shared" si="290"/>
        <v/>
      </c>
      <c r="S428" s="674" t="str">
        <f t="shared" si="290"/>
        <v/>
      </c>
      <c r="T428" s="674" t="str">
        <f t="shared" si="290"/>
        <v/>
      </c>
      <c r="U428" s="674" t="str">
        <f t="shared" si="290"/>
        <v/>
      </c>
      <c r="V428" s="674" t="str">
        <f t="shared" si="290"/>
        <v/>
      </c>
      <c r="W428" s="674" t="str">
        <f t="shared" si="290"/>
        <v/>
      </c>
      <c r="X428" s="674" t="str">
        <f t="shared" si="290"/>
        <v/>
      </c>
      <c r="Y428" s="674" t="str">
        <f t="shared" si="290"/>
        <v/>
      </c>
      <c r="Z428" s="674" t="str">
        <f t="shared" si="290"/>
        <v/>
      </c>
      <c r="AA428" s="674" t="str">
        <f t="shared" si="290"/>
        <v/>
      </c>
      <c r="AB428" s="674" t="str">
        <f t="shared" si="290"/>
        <v/>
      </c>
      <c r="AC428" s="674" t="str">
        <f t="shared" si="290"/>
        <v/>
      </c>
      <c r="AD428" s="674" t="str">
        <f t="shared" si="290"/>
        <v/>
      </c>
      <c r="AE428" s="674" t="str">
        <f t="shared" si="290"/>
        <v/>
      </c>
      <c r="AF428" s="674" t="str">
        <f t="shared" si="290"/>
        <v/>
      </c>
      <c r="AG428" s="674" t="str">
        <f t="shared" si="290"/>
        <v/>
      </c>
      <c r="AH428" s="674" t="str">
        <f t="shared" si="290"/>
        <v/>
      </c>
      <c r="AI428" s="674" t="str">
        <f t="shared" si="290"/>
        <v/>
      </c>
      <c r="AJ428" s="674" t="str">
        <f t="shared" si="290"/>
        <v/>
      </c>
      <c r="AK428" s="675" t="str">
        <f t="shared" si="290"/>
        <v/>
      </c>
      <c r="AL428" s="15"/>
      <c r="AM428" s="15"/>
      <c r="AP428" s="536"/>
      <c r="AR428" s="537"/>
      <c r="AS428" s="529"/>
      <c r="AW428" s="390" t="str">
        <f>""</f>
        <v/>
      </c>
      <c r="AX428" s="531"/>
      <c r="AY428" s="390" t="str">
        <f>""</f>
        <v/>
      </c>
      <c r="BD428" s="520"/>
      <c r="BE428" s="520"/>
      <c r="BF428" s="520"/>
      <c r="BG428" s="520"/>
      <c r="BH428" s="520"/>
      <c r="BI428" s="520"/>
      <c r="BJ428" s="520"/>
      <c r="BK428" s="520"/>
      <c r="BL428" s="520"/>
      <c r="BM428" s="520"/>
      <c r="BN428" s="520"/>
      <c r="BO428" s="520"/>
      <c r="BP428" s="520"/>
      <c r="BQ428" s="520"/>
      <c r="BR428" s="520"/>
      <c r="BS428" s="520"/>
      <c r="BT428" s="520"/>
      <c r="BU428" s="520"/>
      <c r="BV428" s="520"/>
      <c r="BW428" s="520"/>
      <c r="BX428" s="520"/>
      <c r="BY428" s="520"/>
    </row>
    <row r="429" spans="1:84" ht="12" customHeight="1" x14ac:dyDescent="0.3">
      <c r="A429" s="765"/>
      <c r="E429" s="258" t="str">
        <f>$AX$97</f>
        <v>Fordított gólkülönbség: 1 p</v>
      </c>
      <c r="H429" s="676" t="str">
        <f t="shared" ref="H429:AK429" si="291">IF(OR(BC423,NOT($AS$30)),"",IF(AND(NOT($AS$32),COUNTIF(H424:H428,"ü")&gt;0),"",IF(AND(H422-H423=$E423-$E422,H422&lt;&gt;H423),"ü"," ")))</f>
        <v/>
      </c>
      <c r="I429" s="677" t="str">
        <f t="shared" si="291"/>
        <v/>
      </c>
      <c r="J429" s="677" t="str">
        <f t="shared" si="291"/>
        <v/>
      </c>
      <c r="K429" s="677" t="str">
        <f t="shared" si="291"/>
        <v/>
      </c>
      <c r="L429" s="677" t="str">
        <f t="shared" si="291"/>
        <v/>
      </c>
      <c r="M429" s="677" t="str">
        <f t="shared" si="291"/>
        <v/>
      </c>
      <c r="N429" s="677" t="str">
        <f t="shared" si="291"/>
        <v/>
      </c>
      <c r="O429" s="677" t="str">
        <f t="shared" si="291"/>
        <v/>
      </c>
      <c r="P429" s="677" t="str">
        <f t="shared" si="291"/>
        <v/>
      </c>
      <c r="Q429" s="677" t="str">
        <f t="shared" si="291"/>
        <v/>
      </c>
      <c r="R429" s="677" t="str">
        <f t="shared" si="291"/>
        <v/>
      </c>
      <c r="S429" s="677" t="str">
        <f t="shared" si="291"/>
        <v/>
      </c>
      <c r="T429" s="677" t="str">
        <f t="shared" si="291"/>
        <v/>
      </c>
      <c r="U429" s="677" t="str">
        <f t="shared" si="291"/>
        <v/>
      </c>
      <c r="V429" s="677" t="str">
        <f t="shared" si="291"/>
        <v/>
      </c>
      <c r="W429" s="677" t="str">
        <f t="shared" si="291"/>
        <v/>
      </c>
      <c r="X429" s="677" t="str">
        <f t="shared" si="291"/>
        <v/>
      </c>
      <c r="Y429" s="677" t="str">
        <f t="shared" si="291"/>
        <v/>
      </c>
      <c r="Z429" s="677" t="str">
        <f t="shared" si="291"/>
        <v/>
      </c>
      <c r="AA429" s="677" t="str">
        <f t="shared" si="291"/>
        <v/>
      </c>
      <c r="AB429" s="677" t="str">
        <f t="shared" si="291"/>
        <v/>
      </c>
      <c r="AC429" s="677" t="str">
        <f t="shared" si="291"/>
        <v/>
      </c>
      <c r="AD429" s="677" t="str">
        <f t="shared" si="291"/>
        <v/>
      </c>
      <c r="AE429" s="677" t="str">
        <f t="shared" si="291"/>
        <v/>
      </c>
      <c r="AF429" s="677" t="str">
        <f t="shared" si="291"/>
        <v/>
      </c>
      <c r="AG429" s="677" t="str">
        <f t="shared" si="291"/>
        <v/>
      </c>
      <c r="AH429" s="677" t="str">
        <f t="shared" si="291"/>
        <v/>
      </c>
      <c r="AI429" s="677" t="str">
        <f t="shared" si="291"/>
        <v/>
      </c>
      <c r="AJ429" s="677" t="str">
        <f t="shared" si="291"/>
        <v/>
      </c>
      <c r="AK429" s="678" t="str">
        <f t="shared" si="291"/>
        <v/>
      </c>
      <c r="AL429" s="15"/>
      <c r="AM429" s="15"/>
      <c r="AP429" s="536"/>
      <c r="AR429" s="537"/>
      <c r="AS429" s="529"/>
      <c r="AW429" s="390" t="str">
        <f>""</f>
        <v/>
      </c>
      <c r="AX429" s="531"/>
      <c r="AY429" s="390" t="str">
        <f>""</f>
        <v/>
      </c>
      <c r="BD429" s="520"/>
      <c r="BE429" s="520"/>
      <c r="BF429" s="520"/>
      <c r="BG429" s="520"/>
      <c r="BH429" s="520"/>
      <c r="BI429" s="520"/>
      <c r="BJ429" s="520"/>
      <c r="BK429" s="520"/>
      <c r="BL429" s="520"/>
      <c r="BM429" s="520"/>
      <c r="BN429" s="520"/>
      <c r="BO429" s="520"/>
      <c r="BP429" s="520"/>
      <c r="BQ429" s="520"/>
      <c r="BR429" s="520"/>
      <c r="BS429" s="520"/>
      <c r="BT429" s="520"/>
      <c r="BU429" s="520"/>
      <c r="BV429" s="520"/>
      <c r="BW429" s="520"/>
      <c r="BX429" s="520"/>
      <c r="BY429" s="520"/>
    </row>
    <row r="430" spans="1:84" ht="15" customHeight="1" x14ac:dyDescent="0.3">
      <c r="A430" s="765"/>
      <c r="E430" s="79" t="s">
        <v>799</v>
      </c>
      <c r="H430" s="679">
        <f t="shared" ref="H430:AK430" si="292">IF(NOT(H$13),"",SUMPRODUCT((H424:H429="ü")*($AW$92:$AW$97)))</f>
        <v>0</v>
      </c>
      <c r="I430" s="680">
        <f t="shared" si="292"/>
        <v>0</v>
      </c>
      <c r="J430" s="680">
        <f t="shared" si="292"/>
        <v>0</v>
      </c>
      <c r="K430" s="680">
        <f t="shared" si="292"/>
        <v>0</v>
      </c>
      <c r="L430" s="680">
        <f t="shared" si="292"/>
        <v>0</v>
      </c>
      <c r="M430" s="680">
        <f t="shared" si="292"/>
        <v>0</v>
      </c>
      <c r="N430" s="680">
        <f t="shared" si="292"/>
        <v>0</v>
      </c>
      <c r="O430" s="680">
        <f t="shared" si="292"/>
        <v>0</v>
      </c>
      <c r="P430" s="680">
        <f t="shared" si="292"/>
        <v>0</v>
      </c>
      <c r="Q430" s="680">
        <f t="shared" si="292"/>
        <v>0</v>
      </c>
      <c r="R430" s="680">
        <f t="shared" si="292"/>
        <v>0</v>
      </c>
      <c r="S430" s="680">
        <f t="shared" si="292"/>
        <v>0</v>
      </c>
      <c r="T430" s="680">
        <f t="shared" si="292"/>
        <v>0</v>
      </c>
      <c r="U430" s="680">
        <f t="shared" si="292"/>
        <v>0</v>
      </c>
      <c r="V430" s="680">
        <f t="shared" si="292"/>
        <v>0</v>
      </c>
      <c r="W430" s="680">
        <f t="shared" si="292"/>
        <v>0</v>
      </c>
      <c r="X430" s="680">
        <f t="shared" si="292"/>
        <v>0</v>
      </c>
      <c r="Y430" s="680">
        <f t="shared" si="292"/>
        <v>0</v>
      </c>
      <c r="Z430" s="680">
        <f t="shared" si="292"/>
        <v>0</v>
      </c>
      <c r="AA430" s="680">
        <f t="shared" si="292"/>
        <v>0</v>
      </c>
      <c r="AB430" s="680">
        <f t="shared" si="292"/>
        <v>0</v>
      </c>
      <c r="AC430" s="680">
        <f t="shared" si="292"/>
        <v>0</v>
      </c>
      <c r="AD430" s="680">
        <f t="shared" si="292"/>
        <v>0</v>
      </c>
      <c r="AE430" s="680" t="str">
        <f t="shared" si="292"/>
        <v/>
      </c>
      <c r="AF430" s="680" t="str">
        <f t="shared" si="292"/>
        <v/>
      </c>
      <c r="AG430" s="680" t="str">
        <f t="shared" si="292"/>
        <v/>
      </c>
      <c r="AH430" s="680" t="str">
        <f t="shared" si="292"/>
        <v/>
      </c>
      <c r="AI430" s="680" t="str">
        <f t="shared" si="292"/>
        <v/>
      </c>
      <c r="AJ430" s="680" t="str">
        <f t="shared" si="292"/>
        <v/>
      </c>
      <c r="AK430" s="681" t="str">
        <f t="shared" si="292"/>
        <v/>
      </c>
      <c r="AP430" s="536"/>
      <c r="AR430" s="537"/>
      <c r="AS430" s="529"/>
    </row>
    <row r="431" spans="1:84" ht="9" customHeight="1" x14ac:dyDescent="0.3">
      <c r="A431" s="765"/>
      <c r="D431" s="15"/>
      <c r="E431" s="15"/>
      <c r="F431" s="15"/>
      <c r="G431" s="15"/>
      <c r="H431" s="15"/>
      <c r="I431" s="16"/>
      <c r="J431" s="15"/>
      <c r="K431" s="15"/>
      <c r="L431" s="16"/>
      <c r="M431" s="15"/>
      <c r="N431" s="15"/>
      <c r="O431" s="16"/>
      <c r="P431" s="15"/>
      <c r="Q431" s="15"/>
      <c r="R431" s="16"/>
      <c r="S431" s="15"/>
      <c r="T431" s="15"/>
      <c r="U431" s="16"/>
      <c r="V431" s="15"/>
      <c r="W431" s="15"/>
      <c r="X431" s="16"/>
      <c r="Y431" s="15"/>
      <c r="Z431" s="15"/>
      <c r="AA431" s="16"/>
      <c r="AB431" s="15"/>
      <c r="AC431" s="15"/>
      <c r="AD431" s="16"/>
      <c r="AE431" s="15"/>
      <c r="AF431" s="15"/>
      <c r="AG431" s="16"/>
      <c r="AH431" s="15"/>
      <c r="AI431" s="15"/>
      <c r="AJ431" s="16"/>
      <c r="AK431" s="15"/>
      <c r="AP431" s="536"/>
      <c r="AR431" s="537"/>
      <c r="AS431" s="529"/>
    </row>
    <row r="432" spans="1:84" ht="15" customHeight="1" x14ac:dyDescent="0.3">
      <c r="A432" s="765"/>
      <c r="C432" s="27" t="str">
        <f>" "&amp;VLOOKUP(AQ433,schedule,18,FALSE)&amp;"  ("&amp;VLOOKUP(AQ433,schedule,3,FALSE)&amp;" CSOPORT)"</f>
        <v xml:space="preserve"> JÚNIUS 21. – HÉTFŐ 21:00  (B CSOPORT)</v>
      </c>
      <c r="D432" s="27"/>
      <c r="E432" s="26"/>
      <c r="F432" s="26"/>
      <c r="G432" s="26"/>
      <c r="H432" s="26"/>
      <c r="I432" s="26"/>
      <c r="J432" s="26"/>
      <c r="AP432" s="536"/>
      <c r="AR432" s="537"/>
      <c r="AS432" s="529"/>
    </row>
    <row r="433" spans="1:84" ht="15" customHeight="1" x14ac:dyDescent="0.3">
      <c r="A433" s="765"/>
      <c r="C433" s="661"/>
      <c r="D433" s="662" t="str">
        <f>IF(INDEX(n.er,$AR433,8)="","",INDEX(n.er,$AR433,8))</f>
        <v>Oroszország</v>
      </c>
      <c r="E433" s="663" t="str">
        <f>IF(NOT($AS433),"",INDEX(n.er,$AR433,9))</f>
        <v/>
      </c>
      <c r="F433" s="662"/>
      <c r="G433" s="259"/>
      <c r="H433" s="664">
        <v>1</v>
      </c>
      <c r="I433" s="665">
        <v>2</v>
      </c>
      <c r="J433" s="665">
        <v>2</v>
      </c>
      <c r="K433" s="665">
        <v>3</v>
      </c>
      <c r="L433" s="665">
        <v>3</v>
      </c>
      <c r="M433" s="665">
        <v>1</v>
      </c>
      <c r="N433" s="665">
        <v>2</v>
      </c>
      <c r="O433" s="665">
        <v>1</v>
      </c>
      <c r="P433" s="665">
        <v>1</v>
      </c>
      <c r="Q433" s="665">
        <v>1</v>
      </c>
      <c r="R433" s="665">
        <v>1</v>
      </c>
      <c r="S433" s="665">
        <v>1</v>
      </c>
      <c r="T433" s="665">
        <v>1</v>
      </c>
      <c r="U433" s="665">
        <v>2</v>
      </c>
      <c r="V433" s="665">
        <v>1</v>
      </c>
      <c r="W433" s="665">
        <v>1</v>
      </c>
      <c r="X433" s="665">
        <v>1</v>
      </c>
      <c r="Y433" s="665">
        <v>3</v>
      </c>
      <c r="Z433" s="665">
        <v>1</v>
      </c>
      <c r="AA433" s="665">
        <v>2</v>
      </c>
      <c r="AB433" s="665">
        <v>1</v>
      </c>
      <c r="AC433" s="665">
        <v>1</v>
      </c>
      <c r="AD433" s="665">
        <v>0</v>
      </c>
      <c r="AE433" s="665"/>
      <c r="AF433" s="665"/>
      <c r="AG433" s="665"/>
      <c r="AH433" s="665"/>
      <c r="AI433" s="665"/>
      <c r="AJ433" s="665"/>
      <c r="AK433" s="666"/>
      <c r="AP433" s="52">
        <f>AP422+1</f>
        <v>30</v>
      </c>
      <c r="AQ433" s="311">
        <f>INDEX(schedule,AP433,1)</f>
        <v>30</v>
      </c>
      <c r="AR433" s="311">
        <f>MATCH(AQ433,n.er.index,0)</f>
        <v>70</v>
      </c>
      <c r="AS433" s="532" t="b">
        <f>INDEX(n.er,$AR433,3)</f>
        <v>0</v>
      </c>
      <c r="AT433" s="531"/>
      <c r="AU433" s="531"/>
      <c r="AV433" s="531"/>
      <c r="AW433" s="531"/>
      <c r="AX433" s="531"/>
      <c r="BC433" s="525" t="b">
        <f t="shared" ref="BC433:CF433" si="293">IF(AND(ISNUMBER(H433),ISNUMBER(H434),H433&lt;&gt;"",H434&lt;&gt;""),AND(H433&gt;=0,H434&gt;=0,MOD(H433+H434,1)=0),FALSE)</f>
        <v>1</v>
      </c>
      <c r="BD433" s="525" t="b">
        <f t="shared" si="293"/>
        <v>1</v>
      </c>
      <c r="BE433" s="525" t="b">
        <f t="shared" si="293"/>
        <v>1</v>
      </c>
      <c r="BF433" s="525" t="b">
        <f t="shared" si="293"/>
        <v>1</v>
      </c>
      <c r="BG433" s="525" t="b">
        <f t="shared" si="293"/>
        <v>1</v>
      </c>
      <c r="BH433" s="525" t="b">
        <f t="shared" si="293"/>
        <v>1</v>
      </c>
      <c r="BI433" s="525" t="b">
        <f t="shared" si="293"/>
        <v>1</v>
      </c>
      <c r="BJ433" s="525" t="b">
        <f t="shared" si="293"/>
        <v>1</v>
      </c>
      <c r="BK433" s="525" t="b">
        <f t="shared" si="293"/>
        <v>1</v>
      </c>
      <c r="BL433" s="525" t="b">
        <f t="shared" si="293"/>
        <v>1</v>
      </c>
      <c r="BM433" s="525" t="b">
        <f t="shared" si="293"/>
        <v>1</v>
      </c>
      <c r="BN433" s="525" t="b">
        <f t="shared" si="293"/>
        <v>1</v>
      </c>
      <c r="BO433" s="525" t="b">
        <f t="shared" si="293"/>
        <v>1</v>
      </c>
      <c r="BP433" s="525" t="b">
        <f t="shared" si="293"/>
        <v>1</v>
      </c>
      <c r="BQ433" s="525" t="b">
        <f t="shared" si="293"/>
        <v>1</v>
      </c>
      <c r="BR433" s="525" t="b">
        <f t="shared" si="293"/>
        <v>1</v>
      </c>
      <c r="BS433" s="525" t="b">
        <f t="shared" si="293"/>
        <v>1</v>
      </c>
      <c r="BT433" s="525" t="b">
        <f t="shared" si="293"/>
        <v>1</v>
      </c>
      <c r="BU433" s="525" t="b">
        <f t="shared" si="293"/>
        <v>1</v>
      </c>
      <c r="BV433" s="525" t="b">
        <f t="shared" si="293"/>
        <v>1</v>
      </c>
      <c r="BW433" s="525" t="b">
        <f t="shared" si="293"/>
        <v>1</v>
      </c>
      <c r="BX433" s="525" t="b">
        <f t="shared" si="293"/>
        <v>1</v>
      </c>
      <c r="BY433" s="525" t="b">
        <f t="shared" si="293"/>
        <v>1</v>
      </c>
      <c r="BZ433" s="525" t="b">
        <f t="shared" si="293"/>
        <v>0</v>
      </c>
      <c r="CA433" s="525" t="b">
        <f t="shared" si="293"/>
        <v>0</v>
      </c>
      <c r="CB433" s="525" t="b">
        <f t="shared" si="293"/>
        <v>0</v>
      </c>
      <c r="CC433" s="525" t="b">
        <f t="shared" si="293"/>
        <v>0</v>
      </c>
      <c r="CD433" s="525" t="b">
        <f t="shared" si="293"/>
        <v>0</v>
      </c>
      <c r="CE433" s="525" t="b">
        <f t="shared" si="293"/>
        <v>0</v>
      </c>
      <c r="CF433" s="525" t="b">
        <f t="shared" si="293"/>
        <v>0</v>
      </c>
    </row>
    <row r="434" spans="1:84" ht="15" customHeight="1" x14ac:dyDescent="0.3">
      <c r="A434" s="765"/>
      <c r="C434" s="695"/>
      <c r="D434" s="696" t="str">
        <f>IF(INDEX(n.er,$AR433,11)="","",INDEX(n.er,$AR433,11))</f>
        <v>Dánia</v>
      </c>
      <c r="E434" s="697" t="str">
        <f>IF(NOT($AS433),"",INDEX(n.er,$AR433,10))</f>
        <v/>
      </c>
      <c r="F434" s="696"/>
      <c r="G434" s="259"/>
      <c r="H434" s="667">
        <v>2</v>
      </c>
      <c r="I434" s="668">
        <v>4</v>
      </c>
      <c r="J434" s="668">
        <v>1</v>
      </c>
      <c r="K434" s="668">
        <v>1</v>
      </c>
      <c r="L434" s="668">
        <v>2</v>
      </c>
      <c r="M434" s="668">
        <v>2</v>
      </c>
      <c r="N434" s="668">
        <v>0</v>
      </c>
      <c r="O434" s="668">
        <v>1</v>
      </c>
      <c r="P434" s="668">
        <v>2</v>
      </c>
      <c r="Q434" s="668">
        <v>2</v>
      </c>
      <c r="R434" s="668">
        <v>2</v>
      </c>
      <c r="S434" s="668">
        <v>1</v>
      </c>
      <c r="T434" s="668">
        <v>2</v>
      </c>
      <c r="U434" s="668">
        <v>2</v>
      </c>
      <c r="V434" s="668">
        <v>3</v>
      </c>
      <c r="W434" s="668">
        <v>2</v>
      </c>
      <c r="X434" s="668">
        <v>2</v>
      </c>
      <c r="Y434" s="668">
        <v>1</v>
      </c>
      <c r="Z434" s="668">
        <v>1</v>
      </c>
      <c r="AA434" s="668">
        <v>2</v>
      </c>
      <c r="AB434" s="668">
        <v>1</v>
      </c>
      <c r="AC434" s="668">
        <v>3</v>
      </c>
      <c r="AD434" s="668">
        <v>3</v>
      </c>
      <c r="AE434" s="668"/>
      <c r="AF434" s="668"/>
      <c r="AG434" s="668"/>
      <c r="AH434" s="668"/>
      <c r="AI434" s="668"/>
      <c r="AJ434" s="668"/>
      <c r="AK434" s="669"/>
      <c r="AP434" s="533"/>
      <c r="AQ434" s="577"/>
      <c r="AR434" s="534"/>
      <c r="AS434" s="535"/>
      <c r="AX434" s="531"/>
      <c r="BC434" s="34" t="b">
        <f t="shared" ref="BC434:CF434" si="294">OR(NOT(H$13),NOT($AS433),NOT(BC433))</f>
        <v>1</v>
      </c>
      <c r="BD434" s="34" t="b">
        <f t="shared" si="294"/>
        <v>1</v>
      </c>
      <c r="BE434" s="34" t="b">
        <f t="shared" si="294"/>
        <v>1</v>
      </c>
      <c r="BF434" s="34" t="b">
        <f t="shared" si="294"/>
        <v>1</v>
      </c>
      <c r="BG434" s="34" t="b">
        <f t="shared" si="294"/>
        <v>1</v>
      </c>
      <c r="BH434" s="34" t="b">
        <f t="shared" si="294"/>
        <v>1</v>
      </c>
      <c r="BI434" s="34" t="b">
        <f t="shared" si="294"/>
        <v>1</v>
      </c>
      <c r="BJ434" s="34" t="b">
        <f t="shared" si="294"/>
        <v>1</v>
      </c>
      <c r="BK434" s="34" t="b">
        <f t="shared" si="294"/>
        <v>1</v>
      </c>
      <c r="BL434" s="34" t="b">
        <f t="shared" si="294"/>
        <v>1</v>
      </c>
      <c r="BM434" s="34" t="b">
        <f t="shared" si="294"/>
        <v>1</v>
      </c>
      <c r="BN434" s="34" t="b">
        <f t="shared" si="294"/>
        <v>1</v>
      </c>
      <c r="BO434" s="34" t="b">
        <f t="shared" si="294"/>
        <v>1</v>
      </c>
      <c r="BP434" s="34" t="b">
        <f t="shared" si="294"/>
        <v>1</v>
      </c>
      <c r="BQ434" s="34" t="b">
        <f t="shared" si="294"/>
        <v>1</v>
      </c>
      <c r="BR434" s="34" t="b">
        <f t="shared" si="294"/>
        <v>1</v>
      </c>
      <c r="BS434" s="34" t="b">
        <f t="shared" si="294"/>
        <v>1</v>
      </c>
      <c r="BT434" s="34" t="b">
        <f t="shared" si="294"/>
        <v>1</v>
      </c>
      <c r="BU434" s="34" t="b">
        <f t="shared" si="294"/>
        <v>1</v>
      </c>
      <c r="BV434" s="34" t="b">
        <f t="shared" si="294"/>
        <v>1</v>
      </c>
      <c r="BW434" s="34" t="b">
        <f t="shared" si="294"/>
        <v>1</v>
      </c>
      <c r="BX434" s="34" t="b">
        <f t="shared" si="294"/>
        <v>1</v>
      </c>
      <c r="BY434" s="34" t="b">
        <f t="shared" si="294"/>
        <v>1</v>
      </c>
      <c r="BZ434" s="34" t="b">
        <f t="shared" si="294"/>
        <v>1</v>
      </c>
      <c r="CA434" s="34" t="b">
        <f t="shared" si="294"/>
        <v>1</v>
      </c>
      <c r="CB434" s="34" t="b">
        <f t="shared" si="294"/>
        <v>1</v>
      </c>
      <c r="CC434" s="34" t="b">
        <f t="shared" si="294"/>
        <v>1</v>
      </c>
      <c r="CD434" s="34" t="b">
        <f t="shared" si="294"/>
        <v>1</v>
      </c>
      <c r="CE434" s="34" t="b">
        <f t="shared" si="294"/>
        <v>1</v>
      </c>
      <c r="CF434" s="34" t="b">
        <f t="shared" si="294"/>
        <v>1</v>
      </c>
    </row>
    <row r="435" spans="1:84" ht="12" customHeight="1" x14ac:dyDescent="0.3">
      <c r="A435" s="765"/>
      <c r="E435" s="258" t="str">
        <f>$AX$92</f>
        <v>Telitalálat: 10 p</v>
      </c>
      <c r="H435" s="670" t="str">
        <f t="shared" ref="H435:AK435" si="295">IF(OR(BC434,NOT($AS$20)),"",IF(AND(H433=$E433,H434=$E434),"ü",""))</f>
        <v/>
      </c>
      <c r="I435" s="671" t="str">
        <f t="shared" si="295"/>
        <v/>
      </c>
      <c r="J435" s="671" t="str">
        <f t="shared" si="295"/>
        <v/>
      </c>
      <c r="K435" s="671" t="str">
        <f t="shared" si="295"/>
        <v/>
      </c>
      <c r="L435" s="671" t="str">
        <f t="shared" si="295"/>
        <v/>
      </c>
      <c r="M435" s="671" t="str">
        <f t="shared" si="295"/>
        <v/>
      </c>
      <c r="N435" s="671" t="str">
        <f t="shared" si="295"/>
        <v/>
      </c>
      <c r="O435" s="671" t="str">
        <f t="shared" si="295"/>
        <v/>
      </c>
      <c r="P435" s="671" t="str">
        <f t="shared" si="295"/>
        <v/>
      </c>
      <c r="Q435" s="671" t="str">
        <f t="shared" si="295"/>
        <v/>
      </c>
      <c r="R435" s="671" t="str">
        <f t="shared" si="295"/>
        <v/>
      </c>
      <c r="S435" s="671" t="str">
        <f t="shared" si="295"/>
        <v/>
      </c>
      <c r="T435" s="671" t="str">
        <f t="shared" si="295"/>
        <v/>
      </c>
      <c r="U435" s="671" t="str">
        <f t="shared" si="295"/>
        <v/>
      </c>
      <c r="V435" s="671" t="str">
        <f t="shared" si="295"/>
        <v/>
      </c>
      <c r="W435" s="671" t="str">
        <f t="shared" si="295"/>
        <v/>
      </c>
      <c r="X435" s="671" t="str">
        <f t="shared" si="295"/>
        <v/>
      </c>
      <c r="Y435" s="671" t="str">
        <f t="shared" si="295"/>
        <v/>
      </c>
      <c r="Z435" s="671" t="str">
        <f t="shared" si="295"/>
        <v/>
      </c>
      <c r="AA435" s="671" t="str">
        <f t="shared" si="295"/>
        <v/>
      </c>
      <c r="AB435" s="671" t="str">
        <f t="shared" si="295"/>
        <v/>
      </c>
      <c r="AC435" s="671" t="str">
        <f t="shared" si="295"/>
        <v/>
      </c>
      <c r="AD435" s="671" t="str">
        <f t="shared" si="295"/>
        <v/>
      </c>
      <c r="AE435" s="671" t="str">
        <f t="shared" si="295"/>
        <v/>
      </c>
      <c r="AF435" s="671" t="str">
        <f t="shared" si="295"/>
        <v/>
      </c>
      <c r="AG435" s="671" t="str">
        <f t="shared" si="295"/>
        <v/>
      </c>
      <c r="AH435" s="671" t="str">
        <f t="shared" si="295"/>
        <v/>
      </c>
      <c r="AI435" s="671" t="str">
        <f t="shared" si="295"/>
        <v/>
      </c>
      <c r="AJ435" s="671" t="str">
        <f t="shared" si="295"/>
        <v/>
      </c>
      <c r="AK435" s="672" t="str">
        <f t="shared" si="295"/>
        <v/>
      </c>
      <c r="AL435" s="15"/>
      <c r="AM435" s="15"/>
      <c r="AP435" s="536"/>
      <c r="AR435" s="537"/>
      <c r="AS435" s="529"/>
      <c r="AW435" s="390" t="str">
        <f>""</f>
        <v/>
      </c>
      <c r="AX435" s="531"/>
      <c r="AY435" s="390" t="str">
        <f>""</f>
        <v/>
      </c>
      <c r="BD435" s="520"/>
      <c r="BE435" s="520"/>
      <c r="BF435" s="520"/>
      <c r="BG435" s="520"/>
      <c r="BH435" s="520"/>
      <c r="BI435" s="520"/>
      <c r="BJ435" s="520"/>
      <c r="BK435" s="520"/>
      <c r="BL435" s="520"/>
      <c r="BM435" s="520"/>
      <c r="BN435" s="520"/>
      <c r="BO435" s="520"/>
      <c r="BP435" s="520"/>
      <c r="BQ435" s="520"/>
      <c r="BR435" s="520"/>
      <c r="BS435" s="520"/>
      <c r="BT435" s="520"/>
      <c r="BU435" s="520"/>
      <c r="BV435" s="520"/>
      <c r="BW435" s="520"/>
      <c r="BX435" s="520"/>
      <c r="BY435" s="520"/>
    </row>
    <row r="436" spans="1:84" ht="12" customHeight="1" x14ac:dyDescent="0.3">
      <c r="A436" s="765"/>
      <c r="E436" s="258" t="str">
        <f>$AX$93</f>
        <v>Gólkülönbség: 6 p</v>
      </c>
      <c r="H436" s="673" t="str">
        <f t="shared" ref="H436:AK436" si="296">IF(OR(BC434,NOT($AS$22)),"",IF(AND(NOT($AS$32),H435="ü"),"",IF(H433-H434=$E433-$E434,"ü"," ")))</f>
        <v/>
      </c>
      <c r="I436" s="674" t="str">
        <f t="shared" si="296"/>
        <v/>
      </c>
      <c r="J436" s="674" t="str">
        <f t="shared" si="296"/>
        <v/>
      </c>
      <c r="K436" s="674" t="str">
        <f t="shared" si="296"/>
        <v/>
      </c>
      <c r="L436" s="674" t="str">
        <f t="shared" si="296"/>
        <v/>
      </c>
      <c r="M436" s="674" t="str">
        <f t="shared" si="296"/>
        <v/>
      </c>
      <c r="N436" s="674" t="str">
        <f t="shared" si="296"/>
        <v/>
      </c>
      <c r="O436" s="674" t="str">
        <f t="shared" si="296"/>
        <v/>
      </c>
      <c r="P436" s="674" t="str">
        <f t="shared" si="296"/>
        <v/>
      </c>
      <c r="Q436" s="674" t="str">
        <f t="shared" si="296"/>
        <v/>
      </c>
      <c r="R436" s="674" t="str">
        <f t="shared" si="296"/>
        <v/>
      </c>
      <c r="S436" s="674" t="str">
        <f t="shared" si="296"/>
        <v/>
      </c>
      <c r="T436" s="674" t="str">
        <f t="shared" si="296"/>
        <v/>
      </c>
      <c r="U436" s="674" t="str">
        <f t="shared" si="296"/>
        <v/>
      </c>
      <c r="V436" s="674" t="str">
        <f t="shared" si="296"/>
        <v/>
      </c>
      <c r="W436" s="674" t="str">
        <f t="shared" si="296"/>
        <v/>
      </c>
      <c r="X436" s="674" t="str">
        <f t="shared" si="296"/>
        <v/>
      </c>
      <c r="Y436" s="674" t="str">
        <f t="shared" si="296"/>
        <v/>
      </c>
      <c r="Z436" s="674" t="str">
        <f t="shared" si="296"/>
        <v/>
      </c>
      <c r="AA436" s="674" t="str">
        <f t="shared" si="296"/>
        <v/>
      </c>
      <c r="AB436" s="674" t="str">
        <f t="shared" si="296"/>
        <v/>
      </c>
      <c r="AC436" s="674" t="str">
        <f t="shared" si="296"/>
        <v/>
      </c>
      <c r="AD436" s="674" t="str">
        <f t="shared" si="296"/>
        <v/>
      </c>
      <c r="AE436" s="674" t="str">
        <f t="shared" si="296"/>
        <v/>
      </c>
      <c r="AF436" s="674" t="str">
        <f t="shared" si="296"/>
        <v/>
      </c>
      <c r="AG436" s="674" t="str">
        <f t="shared" si="296"/>
        <v/>
      </c>
      <c r="AH436" s="674" t="str">
        <f t="shared" si="296"/>
        <v/>
      </c>
      <c r="AI436" s="674" t="str">
        <f t="shared" si="296"/>
        <v/>
      </c>
      <c r="AJ436" s="674" t="str">
        <f t="shared" si="296"/>
        <v/>
      </c>
      <c r="AK436" s="675" t="str">
        <f t="shared" si="296"/>
        <v/>
      </c>
      <c r="AL436" s="15"/>
      <c r="AM436" s="15"/>
      <c r="AP436" s="536"/>
      <c r="AR436" s="537"/>
      <c r="AS436" s="529"/>
      <c r="AW436" s="390" t="str">
        <f>""</f>
        <v/>
      </c>
      <c r="AX436" s="531"/>
      <c r="AY436" s="390" t="str">
        <f>""</f>
        <v/>
      </c>
      <c r="BD436" s="520"/>
      <c r="BE436" s="520"/>
      <c r="BF436" s="520"/>
      <c r="BG436" s="520"/>
      <c r="BH436" s="520"/>
      <c r="BI436" s="520"/>
      <c r="BJ436" s="520"/>
      <c r="BK436" s="520"/>
      <c r="BL436" s="520"/>
      <c r="BM436" s="520"/>
      <c r="BN436" s="520"/>
      <c r="BO436" s="520"/>
      <c r="BP436" s="520"/>
      <c r="BQ436" s="520"/>
      <c r="BR436" s="520"/>
      <c r="BS436" s="520"/>
      <c r="BT436" s="520"/>
      <c r="BU436" s="520"/>
      <c r="BV436" s="520"/>
      <c r="BW436" s="520"/>
      <c r="BX436" s="520"/>
      <c r="BY436" s="520"/>
    </row>
    <row r="437" spans="1:84" ht="12" customHeight="1" x14ac:dyDescent="0.3">
      <c r="A437" s="765"/>
      <c r="E437" s="258" t="str">
        <f>$AX$94</f>
        <v>Mérkőzés kimenetele: 4 p</v>
      </c>
      <c r="H437" s="673" t="str">
        <f t="shared" ref="H437:AK437" si="297">IF(OR(BC434,NOT($AS$24)),"",IF(AND(NOT($AS$32),COUNTIF(H435:H436,"ü")&gt;0),"",IF(SIGN(H433-H434)=SIGN($E433-$E434),"ü"," ")))</f>
        <v/>
      </c>
      <c r="I437" s="674" t="str">
        <f t="shared" si="297"/>
        <v/>
      </c>
      <c r="J437" s="674" t="str">
        <f t="shared" si="297"/>
        <v/>
      </c>
      <c r="K437" s="674" t="str">
        <f t="shared" si="297"/>
        <v/>
      </c>
      <c r="L437" s="674" t="str">
        <f t="shared" si="297"/>
        <v/>
      </c>
      <c r="M437" s="674" t="str">
        <f t="shared" si="297"/>
        <v/>
      </c>
      <c r="N437" s="674" t="str">
        <f t="shared" si="297"/>
        <v/>
      </c>
      <c r="O437" s="674" t="str">
        <f t="shared" si="297"/>
        <v/>
      </c>
      <c r="P437" s="674" t="str">
        <f t="shared" si="297"/>
        <v/>
      </c>
      <c r="Q437" s="674" t="str">
        <f t="shared" si="297"/>
        <v/>
      </c>
      <c r="R437" s="674" t="str">
        <f t="shared" si="297"/>
        <v/>
      </c>
      <c r="S437" s="674" t="str">
        <f t="shared" si="297"/>
        <v/>
      </c>
      <c r="T437" s="674" t="str">
        <f t="shared" si="297"/>
        <v/>
      </c>
      <c r="U437" s="674" t="str">
        <f t="shared" si="297"/>
        <v/>
      </c>
      <c r="V437" s="674" t="str">
        <f t="shared" si="297"/>
        <v/>
      </c>
      <c r="W437" s="674" t="str">
        <f t="shared" si="297"/>
        <v/>
      </c>
      <c r="X437" s="674" t="str">
        <f t="shared" si="297"/>
        <v/>
      </c>
      <c r="Y437" s="674" t="str">
        <f t="shared" si="297"/>
        <v/>
      </c>
      <c r="Z437" s="674" t="str">
        <f t="shared" si="297"/>
        <v/>
      </c>
      <c r="AA437" s="674" t="str">
        <f t="shared" si="297"/>
        <v/>
      </c>
      <c r="AB437" s="674" t="str">
        <f t="shared" si="297"/>
        <v/>
      </c>
      <c r="AC437" s="674" t="str">
        <f t="shared" si="297"/>
        <v/>
      </c>
      <c r="AD437" s="674" t="str">
        <f t="shared" si="297"/>
        <v/>
      </c>
      <c r="AE437" s="674" t="str">
        <f t="shared" si="297"/>
        <v/>
      </c>
      <c r="AF437" s="674" t="str">
        <f t="shared" si="297"/>
        <v/>
      </c>
      <c r="AG437" s="674" t="str">
        <f t="shared" si="297"/>
        <v/>
      </c>
      <c r="AH437" s="674" t="str">
        <f t="shared" si="297"/>
        <v/>
      </c>
      <c r="AI437" s="674" t="str">
        <f t="shared" si="297"/>
        <v/>
      </c>
      <c r="AJ437" s="674" t="str">
        <f t="shared" si="297"/>
        <v/>
      </c>
      <c r="AK437" s="675" t="str">
        <f t="shared" si="297"/>
        <v/>
      </c>
      <c r="AL437" s="15"/>
      <c r="AM437" s="15"/>
      <c r="AP437" s="536"/>
      <c r="AR437" s="537"/>
      <c r="AS437" s="529"/>
      <c r="AW437" s="390" t="str">
        <f>""</f>
        <v/>
      </c>
      <c r="AX437" s="531"/>
      <c r="AY437" s="390" t="str">
        <f>""</f>
        <v/>
      </c>
      <c r="BD437" s="520"/>
      <c r="BE437" s="520"/>
      <c r="BF437" s="520"/>
      <c r="BG437" s="520"/>
      <c r="BH437" s="520"/>
      <c r="BI437" s="520"/>
      <c r="BJ437" s="520"/>
      <c r="BK437" s="520"/>
      <c r="BL437" s="520"/>
      <c r="BM437" s="520"/>
      <c r="BN437" s="520"/>
      <c r="BO437" s="520"/>
      <c r="BP437" s="520"/>
      <c r="BQ437" s="520"/>
      <c r="BR437" s="520"/>
      <c r="BS437" s="520"/>
      <c r="BT437" s="520"/>
      <c r="BU437" s="520"/>
      <c r="BV437" s="520"/>
      <c r="BW437" s="520"/>
      <c r="BX437" s="520"/>
      <c r="BY437" s="520"/>
    </row>
    <row r="438" spans="1:84" ht="12" customHeight="1" x14ac:dyDescent="0.3">
      <c r="A438" s="765"/>
      <c r="E438" s="258" t="str">
        <f>$AX$95</f>
        <v>Egyik csapat góljainak száma: 3 p</v>
      </c>
      <c r="H438" s="673" t="str">
        <f t="shared" ref="H438:AK438" si="298">IF(OR(BC434,NOT($AS$26)),"",IF(AND(NOT($AS$32),COUNTIF(H435:H437,"ü")&gt;0),"",IF(OR(H433=$E433,H434=$E434),"ü"," ")))</f>
        <v/>
      </c>
      <c r="I438" s="674" t="str">
        <f t="shared" si="298"/>
        <v/>
      </c>
      <c r="J438" s="674" t="str">
        <f t="shared" si="298"/>
        <v/>
      </c>
      <c r="K438" s="674" t="str">
        <f t="shared" si="298"/>
        <v/>
      </c>
      <c r="L438" s="674" t="str">
        <f t="shared" si="298"/>
        <v/>
      </c>
      <c r="M438" s="674" t="str">
        <f t="shared" si="298"/>
        <v/>
      </c>
      <c r="N438" s="674" t="str">
        <f t="shared" si="298"/>
        <v/>
      </c>
      <c r="O438" s="674" t="str">
        <f t="shared" si="298"/>
        <v/>
      </c>
      <c r="P438" s="674" t="str">
        <f t="shared" si="298"/>
        <v/>
      </c>
      <c r="Q438" s="674" t="str">
        <f t="shared" si="298"/>
        <v/>
      </c>
      <c r="R438" s="674" t="str">
        <f t="shared" si="298"/>
        <v/>
      </c>
      <c r="S438" s="674" t="str">
        <f t="shared" si="298"/>
        <v/>
      </c>
      <c r="T438" s="674" t="str">
        <f t="shared" si="298"/>
        <v/>
      </c>
      <c r="U438" s="674" t="str">
        <f t="shared" si="298"/>
        <v/>
      </c>
      <c r="V438" s="674" t="str">
        <f t="shared" si="298"/>
        <v/>
      </c>
      <c r="W438" s="674" t="str">
        <f t="shared" si="298"/>
        <v/>
      </c>
      <c r="X438" s="674" t="str">
        <f t="shared" si="298"/>
        <v/>
      </c>
      <c r="Y438" s="674" t="str">
        <f t="shared" si="298"/>
        <v/>
      </c>
      <c r="Z438" s="674" t="str">
        <f t="shared" si="298"/>
        <v/>
      </c>
      <c r="AA438" s="674" t="str">
        <f t="shared" si="298"/>
        <v/>
      </c>
      <c r="AB438" s="674" t="str">
        <f t="shared" si="298"/>
        <v/>
      </c>
      <c r="AC438" s="674" t="str">
        <f t="shared" si="298"/>
        <v/>
      </c>
      <c r="AD438" s="674" t="str">
        <f t="shared" si="298"/>
        <v/>
      </c>
      <c r="AE438" s="674" t="str">
        <f t="shared" si="298"/>
        <v/>
      </c>
      <c r="AF438" s="674" t="str">
        <f t="shared" si="298"/>
        <v/>
      </c>
      <c r="AG438" s="674" t="str">
        <f t="shared" si="298"/>
        <v/>
      </c>
      <c r="AH438" s="674" t="str">
        <f t="shared" si="298"/>
        <v/>
      </c>
      <c r="AI438" s="674" t="str">
        <f t="shared" si="298"/>
        <v/>
      </c>
      <c r="AJ438" s="674" t="str">
        <f t="shared" si="298"/>
        <v/>
      </c>
      <c r="AK438" s="675" t="str">
        <f t="shared" si="298"/>
        <v/>
      </c>
      <c r="AL438" s="15"/>
      <c r="AM438" s="15"/>
      <c r="AP438" s="536"/>
      <c r="AR438" s="537"/>
      <c r="AS438" s="529"/>
      <c r="AW438" s="390" t="str">
        <f>""</f>
        <v/>
      </c>
      <c r="AX438" s="531"/>
      <c r="AY438" s="390" t="str">
        <f>""</f>
        <v/>
      </c>
      <c r="BD438" s="520"/>
      <c r="BE438" s="520"/>
      <c r="BF438" s="520"/>
      <c r="BG438" s="520"/>
      <c r="BH438" s="520"/>
      <c r="BI438" s="520"/>
      <c r="BJ438" s="520"/>
      <c r="BK438" s="520"/>
      <c r="BL438" s="520"/>
      <c r="BM438" s="520"/>
      <c r="BN438" s="520"/>
      <c r="BO438" s="520"/>
      <c r="BP438" s="520"/>
      <c r="BQ438" s="520"/>
      <c r="BR438" s="520"/>
      <c r="BS438" s="520"/>
      <c r="BT438" s="520"/>
      <c r="BU438" s="520"/>
      <c r="BV438" s="520"/>
      <c r="BW438" s="520"/>
      <c r="BX438" s="520"/>
      <c r="BY438" s="520"/>
    </row>
    <row r="439" spans="1:84" ht="12" customHeight="1" x14ac:dyDescent="0.3">
      <c r="A439" s="765"/>
      <c r="E439" s="258" t="str">
        <f>$AX$96</f>
        <v>Összes gól: 2 p</v>
      </c>
      <c r="H439" s="673" t="str">
        <f t="shared" ref="H439:AK439" si="299">IF(OR(BC434,NOT($AS$28)),"",IF(AND(NOT($AS$32),COUNTIF(H435:H438,"ü")&gt;0),"",IF(H433+H434=$E433+$E434,"ü"," ")))</f>
        <v/>
      </c>
      <c r="I439" s="674" t="str">
        <f t="shared" si="299"/>
        <v/>
      </c>
      <c r="J439" s="674" t="str">
        <f t="shared" si="299"/>
        <v/>
      </c>
      <c r="K439" s="674" t="str">
        <f t="shared" si="299"/>
        <v/>
      </c>
      <c r="L439" s="674" t="str">
        <f t="shared" si="299"/>
        <v/>
      </c>
      <c r="M439" s="674" t="str">
        <f t="shared" si="299"/>
        <v/>
      </c>
      <c r="N439" s="674" t="str">
        <f t="shared" si="299"/>
        <v/>
      </c>
      <c r="O439" s="674" t="str">
        <f t="shared" si="299"/>
        <v/>
      </c>
      <c r="P439" s="674" t="str">
        <f t="shared" si="299"/>
        <v/>
      </c>
      <c r="Q439" s="674" t="str">
        <f t="shared" si="299"/>
        <v/>
      </c>
      <c r="R439" s="674" t="str">
        <f t="shared" si="299"/>
        <v/>
      </c>
      <c r="S439" s="674" t="str">
        <f t="shared" si="299"/>
        <v/>
      </c>
      <c r="T439" s="674" t="str">
        <f t="shared" si="299"/>
        <v/>
      </c>
      <c r="U439" s="674" t="str">
        <f t="shared" si="299"/>
        <v/>
      </c>
      <c r="V439" s="674" t="str">
        <f t="shared" si="299"/>
        <v/>
      </c>
      <c r="W439" s="674" t="str">
        <f t="shared" si="299"/>
        <v/>
      </c>
      <c r="X439" s="674" t="str">
        <f t="shared" si="299"/>
        <v/>
      </c>
      <c r="Y439" s="674" t="str">
        <f t="shared" si="299"/>
        <v/>
      </c>
      <c r="Z439" s="674" t="str">
        <f t="shared" si="299"/>
        <v/>
      </c>
      <c r="AA439" s="674" t="str">
        <f t="shared" si="299"/>
        <v/>
      </c>
      <c r="AB439" s="674" t="str">
        <f t="shared" si="299"/>
        <v/>
      </c>
      <c r="AC439" s="674" t="str">
        <f t="shared" si="299"/>
        <v/>
      </c>
      <c r="AD439" s="674" t="str">
        <f t="shared" si="299"/>
        <v/>
      </c>
      <c r="AE439" s="674" t="str">
        <f t="shared" si="299"/>
        <v/>
      </c>
      <c r="AF439" s="674" t="str">
        <f t="shared" si="299"/>
        <v/>
      </c>
      <c r="AG439" s="674" t="str">
        <f t="shared" si="299"/>
        <v/>
      </c>
      <c r="AH439" s="674" t="str">
        <f t="shared" si="299"/>
        <v/>
      </c>
      <c r="AI439" s="674" t="str">
        <f t="shared" si="299"/>
        <v/>
      </c>
      <c r="AJ439" s="674" t="str">
        <f t="shared" si="299"/>
        <v/>
      </c>
      <c r="AK439" s="675" t="str">
        <f t="shared" si="299"/>
        <v/>
      </c>
      <c r="AL439" s="15"/>
      <c r="AM439" s="15"/>
      <c r="AP439" s="536"/>
      <c r="AR439" s="537"/>
      <c r="AS439" s="529"/>
      <c r="AW439" s="390" t="str">
        <f>""</f>
        <v/>
      </c>
      <c r="AX439" s="531"/>
      <c r="AY439" s="390" t="str">
        <f>""</f>
        <v/>
      </c>
      <c r="BD439" s="520"/>
      <c r="BE439" s="520"/>
      <c r="BF439" s="520"/>
      <c r="BG439" s="520"/>
      <c r="BH439" s="520"/>
      <c r="BI439" s="520"/>
      <c r="BJ439" s="520"/>
      <c r="BK439" s="520"/>
      <c r="BL439" s="520"/>
      <c r="BM439" s="520"/>
      <c r="BN439" s="520"/>
      <c r="BO439" s="520"/>
      <c r="BP439" s="520"/>
      <c r="BQ439" s="520"/>
      <c r="BR439" s="520"/>
      <c r="BS439" s="520"/>
      <c r="BT439" s="520"/>
      <c r="BU439" s="520"/>
      <c r="BV439" s="520"/>
      <c r="BW439" s="520"/>
      <c r="BX439" s="520"/>
      <c r="BY439" s="520"/>
    </row>
    <row r="440" spans="1:84" ht="12" customHeight="1" x14ac:dyDescent="0.3">
      <c r="A440" s="765"/>
      <c r="E440" s="258" t="str">
        <f>$AX$97</f>
        <v>Fordított gólkülönbség: 1 p</v>
      </c>
      <c r="H440" s="676" t="str">
        <f t="shared" ref="H440:AK440" si="300">IF(OR(BC434,NOT($AS$30)),"",IF(AND(NOT($AS$32),COUNTIF(H435:H439,"ü")&gt;0),"",IF(AND(H433-H434=$E434-$E433,H433&lt;&gt;H434),"ü"," ")))</f>
        <v/>
      </c>
      <c r="I440" s="677" t="str">
        <f t="shared" si="300"/>
        <v/>
      </c>
      <c r="J440" s="677" t="str">
        <f t="shared" si="300"/>
        <v/>
      </c>
      <c r="K440" s="677" t="str">
        <f t="shared" si="300"/>
        <v/>
      </c>
      <c r="L440" s="677" t="str">
        <f t="shared" si="300"/>
        <v/>
      </c>
      <c r="M440" s="677" t="str">
        <f t="shared" si="300"/>
        <v/>
      </c>
      <c r="N440" s="677" t="str">
        <f t="shared" si="300"/>
        <v/>
      </c>
      <c r="O440" s="677" t="str">
        <f t="shared" si="300"/>
        <v/>
      </c>
      <c r="P440" s="677" t="str">
        <f t="shared" si="300"/>
        <v/>
      </c>
      <c r="Q440" s="677" t="str">
        <f t="shared" si="300"/>
        <v/>
      </c>
      <c r="R440" s="677" t="str">
        <f t="shared" si="300"/>
        <v/>
      </c>
      <c r="S440" s="677" t="str">
        <f t="shared" si="300"/>
        <v/>
      </c>
      <c r="T440" s="677" t="str">
        <f t="shared" si="300"/>
        <v/>
      </c>
      <c r="U440" s="677" t="str">
        <f t="shared" si="300"/>
        <v/>
      </c>
      <c r="V440" s="677" t="str">
        <f t="shared" si="300"/>
        <v/>
      </c>
      <c r="W440" s="677" t="str">
        <f t="shared" si="300"/>
        <v/>
      </c>
      <c r="X440" s="677" t="str">
        <f t="shared" si="300"/>
        <v/>
      </c>
      <c r="Y440" s="677" t="str">
        <f t="shared" si="300"/>
        <v/>
      </c>
      <c r="Z440" s="677" t="str">
        <f t="shared" si="300"/>
        <v/>
      </c>
      <c r="AA440" s="677" t="str">
        <f t="shared" si="300"/>
        <v/>
      </c>
      <c r="AB440" s="677" t="str">
        <f t="shared" si="300"/>
        <v/>
      </c>
      <c r="AC440" s="677" t="str">
        <f t="shared" si="300"/>
        <v/>
      </c>
      <c r="AD440" s="677" t="str">
        <f t="shared" si="300"/>
        <v/>
      </c>
      <c r="AE440" s="677" t="str">
        <f t="shared" si="300"/>
        <v/>
      </c>
      <c r="AF440" s="677" t="str">
        <f t="shared" si="300"/>
        <v/>
      </c>
      <c r="AG440" s="677" t="str">
        <f t="shared" si="300"/>
        <v/>
      </c>
      <c r="AH440" s="677" t="str">
        <f t="shared" si="300"/>
        <v/>
      </c>
      <c r="AI440" s="677" t="str">
        <f t="shared" si="300"/>
        <v/>
      </c>
      <c r="AJ440" s="677" t="str">
        <f t="shared" si="300"/>
        <v/>
      </c>
      <c r="AK440" s="678" t="str">
        <f t="shared" si="300"/>
        <v/>
      </c>
      <c r="AL440" s="15"/>
      <c r="AM440" s="15"/>
      <c r="AP440" s="536"/>
      <c r="AR440" s="537"/>
      <c r="AS440" s="529"/>
      <c r="AW440" s="390" t="str">
        <f>""</f>
        <v/>
      </c>
      <c r="AX440" s="531"/>
      <c r="AY440" s="390" t="str">
        <f>""</f>
        <v/>
      </c>
      <c r="BD440" s="520"/>
      <c r="BE440" s="520"/>
      <c r="BF440" s="520"/>
      <c r="BG440" s="520"/>
      <c r="BH440" s="520"/>
      <c r="BI440" s="520"/>
      <c r="BJ440" s="520"/>
      <c r="BK440" s="520"/>
      <c r="BL440" s="520"/>
      <c r="BM440" s="520"/>
      <c r="BN440" s="520"/>
      <c r="BO440" s="520"/>
      <c r="BP440" s="520"/>
      <c r="BQ440" s="520"/>
      <c r="BR440" s="520"/>
      <c r="BS440" s="520"/>
      <c r="BT440" s="520"/>
      <c r="BU440" s="520"/>
      <c r="BV440" s="520"/>
      <c r="BW440" s="520"/>
      <c r="BX440" s="520"/>
      <c r="BY440" s="520"/>
    </row>
    <row r="441" spans="1:84" ht="15" customHeight="1" x14ac:dyDescent="0.3">
      <c r="A441" s="765"/>
      <c r="E441" s="79" t="s">
        <v>799</v>
      </c>
      <c r="H441" s="679">
        <f t="shared" ref="H441:AK441" si="301">IF(NOT(H$13),"",SUMPRODUCT((H435:H440="ü")*($AW$92:$AW$97)))</f>
        <v>0</v>
      </c>
      <c r="I441" s="680">
        <f t="shared" si="301"/>
        <v>0</v>
      </c>
      <c r="J441" s="680">
        <f t="shared" si="301"/>
        <v>0</v>
      </c>
      <c r="K441" s="680">
        <f t="shared" si="301"/>
        <v>0</v>
      </c>
      <c r="L441" s="680">
        <f t="shared" si="301"/>
        <v>0</v>
      </c>
      <c r="M441" s="680">
        <f t="shared" si="301"/>
        <v>0</v>
      </c>
      <c r="N441" s="680">
        <f t="shared" si="301"/>
        <v>0</v>
      </c>
      <c r="O441" s="680">
        <f t="shared" si="301"/>
        <v>0</v>
      </c>
      <c r="P441" s="680">
        <f t="shared" si="301"/>
        <v>0</v>
      </c>
      <c r="Q441" s="680">
        <f t="shared" si="301"/>
        <v>0</v>
      </c>
      <c r="R441" s="680">
        <f t="shared" si="301"/>
        <v>0</v>
      </c>
      <c r="S441" s="680">
        <f t="shared" si="301"/>
        <v>0</v>
      </c>
      <c r="T441" s="680">
        <f t="shared" si="301"/>
        <v>0</v>
      </c>
      <c r="U441" s="680">
        <f t="shared" si="301"/>
        <v>0</v>
      </c>
      <c r="V441" s="680">
        <f t="shared" si="301"/>
        <v>0</v>
      </c>
      <c r="W441" s="680">
        <f t="shared" si="301"/>
        <v>0</v>
      </c>
      <c r="X441" s="680">
        <f t="shared" si="301"/>
        <v>0</v>
      </c>
      <c r="Y441" s="680">
        <f t="shared" si="301"/>
        <v>0</v>
      </c>
      <c r="Z441" s="680">
        <f t="shared" si="301"/>
        <v>0</v>
      </c>
      <c r="AA441" s="680">
        <f t="shared" si="301"/>
        <v>0</v>
      </c>
      <c r="AB441" s="680">
        <f t="shared" si="301"/>
        <v>0</v>
      </c>
      <c r="AC441" s="680">
        <f t="shared" si="301"/>
        <v>0</v>
      </c>
      <c r="AD441" s="680">
        <f t="shared" si="301"/>
        <v>0</v>
      </c>
      <c r="AE441" s="680" t="str">
        <f t="shared" si="301"/>
        <v/>
      </c>
      <c r="AF441" s="680" t="str">
        <f t="shared" si="301"/>
        <v/>
      </c>
      <c r="AG441" s="680" t="str">
        <f t="shared" si="301"/>
        <v/>
      </c>
      <c r="AH441" s="680" t="str">
        <f t="shared" si="301"/>
        <v/>
      </c>
      <c r="AI441" s="680" t="str">
        <f t="shared" si="301"/>
        <v/>
      </c>
      <c r="AJ441" s="680" t="str">
        <f t="shared" si="301"/>
        <v/>
      </c>
      <c r="AK441" s="681" t="str">
        <f t="shared" si="301"/>
        <v/>
      </c>
      <c r="AP441" s="536"/>
      <c r="AR441" s="537"/>
      <c r="AS441" s="529"/>
    </row>
    <row r="442" spans="1:84" ht="9" customHeight="1" x14ac:dyDescent="0.3">
      <c r="A442" s="765"/>
      <c r="D442" s="15"/>
      <c r="E442" s="15"/>
      <c r="F442" s="15"/>
      <c r="G442" s="15"/>
      <c r="H442" s="15"/>
      <c r="I442" s="16"/>
      <c r="J442" s="15"/>
      <c r="K442" s="15"/>
      <c r="L442" s="16"/>
      <c r="M442" s="15"/>
      <c r="N442" s="15"/>
      <c r="O442" s="16"/>
      <c r="P442" s="15"/>
      <c r="Q442" s="15"/>
      <c r="R442" s="16"/>
      <c r="S442" s="15"/>
      <c r="T442" s="15"/>
      <c r="U442" s="16"/>
      <c r="V442" s="15"/>
      <c r="W442" s="15"/>
      <c r="X442" s="16"/>
      <c r="Y442" s="15"/>
      <c r="Z442" s="15"/>
      <c r="AA442" s="16"/>
      <c r="AB442" s="15"/>
      <c r="AC442" s="15"/>
      <c r="AD442" s="16"/>
      <c r="AE442" s="15"/>
      <c r="AF442" s="15"/>
      <c r="AG442" s="16"/>
      <c r="AH442" s="15"/>
      <c r="AI442" s="15"/>
      <c r="AJ442" s="16"/>
      <c r="AK442" s="15"/>
      <c r="AP442" s="536"/>
      <c r="AR442" s="537"/>
      <c r="AS442" s="529"/>
    </row>
    <row r="443" spans="1:84" ht="15" customHeight="1" x14ac:dyDescent="0.3">
      <c r="A443" s="765"/>
      <c r="C443" s="27" t="str">
        <f>" "&amp;VLOOKUP(AQ444,schedule,18,FALSE)&amp;"  ("&amp;VLOOKUP(AQ444,schedule,3,FALSE)&amp;" CSOPORT)"</f>
        <v xml:space="preserve"> JÚNIUS 22. – KEDD 21:00  (D CSOPORT)</v>
      </c>
      <c r="D443" s="27"/>
      <c r="E443" s="26"/>
      <c r="F443" s="26"/>
      <c r="G443" s="26"/>
      <c r="H443" s="26"/>
      <c r="I443" s="26"/>
      <c r="J443" s="26"/>
      <c r="AP443" s="536"/>
      <c r="AR443" s="537"/>
      <c r="AS443" s="529"/>
    </row>
    <row r="444" spans="1:84" ht="15" customHeight="1" x14ac:dyDescent="0.3">
      <c r="A444" s="765"/>
      <c r="C444" s="661"/>
      <c r="D444" s="662" t="str">
        <f>IF(INDEX(n.er,$AR444,8)="","",INDEX(n.er,$AR444,8))</f>
        <v>Csehország</v>
      </c>
      <c r="E444" s="663" t="str">
        <f>IF(NOT($AS444),"",INDEX(n.er,$AR444,9))</f>
        <v/>
      </c>
      <c r="F444" s="662"/>
      <c r="G444" s="259"/>
      <c r="H444" s="664">
        <v>0</v>
      </c>
      <c r="I444" s="665">
        <v>0</v>
      </c>
      <c r="J444" s="665">
        <v>1</v>
      </c>
      <c r="K444" s="665">
        <v>1</v>
      </c>
      <c r="L444" s="665">
        <v>0</v>
      </c>
      <c r="M444" s="665">
        <v>0</v>
      </c>
      <c r="N444" s="665">
        <v>0</v>
      </c>
      <c r="O444" s="665">
        <v>2</v>
      </c>
      <c r="P444" s="665">
        <v>1</v>
      </c>
      <c r="Q444" s="665">
        <v>1</v>
      </c>
      <c r="R444" s="665">
        <v>0</v>
      </c>
      <c r="S444" s="665">
        <v>0</v>
      </c>
      <c r="T444" s="665">
        <v>0</v>
      </c>
      <c r="U444" s="665">
        <v>1</v>
      </c>
      <c r="V444" s="665">
        <v>1</v>
      </c>
      <c r="W444" s="665">
        <v>1</v>
      </c>
      <c r="X444" s="665">
        <v>1</v>
      </c>
      <c r="Y444" s="665">
        <v>0</v>
      </c>
      <c r="Z444" s="665">
        <v>0</v>
      </c>
      <c r="AA444" s="665">
        <v>1</v>
      </c>
      <c r="AB444" s="665">
        <v>1</v>
      </c>
      <c r="AC444" s="665">
        <v>0</v>
      </c>
      <c r="AD444" s="665">
        <v>1</v>
      </c>
      <c r="AE444" s="665"/>
      <c r="AF444" s="665"/>
      <c r="AG444" s="665"/>
      <c r="AH444" s="665"/>
      <c r="AI444" s="665"/>
      <c r="AJ444" s="665"/>
      <c r="AK444" s="666"/>
      <c r="AP444" s="52">
        <f>AP433+1</f>
        <v>31</v>
      </c>
      <c r="AQ444" s="311">
        <f>INDEX(schedule,AP444,1)</f>
        <v>31</v>
      </c>
      <c r="AR444" s="311">
        <f>MATCH(AQ444,n.er.index,0)</f>
        <v>75</v>
      </c>
      <c r="AS444" s="532" t="b">
        <f>INDEX(n.er,$AR444,3)</f>
        <v>0</v>
      </c>
      <c r="AT444" s="531"/>
      <c r="AU444" s="531"/>
      <c r="AV444" s="531"/>
      <c r="AW444" s="531"/>
      <c r="AX444" s="531"/>
      <c r="BC444" s="525" t="b">
        <f t="shared" ref="BC444:CF444" si="302">IF(AND(ISNUMBER(H444),ISNUMBER(H445),H444&lt;&gt;"",H445&lt;&gt;""),AND(H444&gt;=0,H445&gt;=0,MOD(H444+H445,1)=0),FALSE)</f>
        <v>1</v>
      </c>
      <c r="BD444" s="525" t="b">
        <f t="shared" si="302"/>
        <v>1</v>
      </c>
      <c r="BE444" s="525" t="b">
        <f t="shared" si="302"/>
        <v>1</v>
      </c>
      <c r="BF444" s="525" t="b">
        <f t="shared" si="302"/>
        <v>1</v>
      </c>
      <c r="BG444" s="525" t="b">
        <f t="shared" si="302"/>
        <v>1</v>
      </c>
      <c r="BH444" s="525" t="b">
        <f t="shared" si="302"/>
        <v>1</v>
      </c>
      <c r="BI444" s="525" t="b">
        <f t="shared" si="302"/>
        <v>1</v>
      </c>
      <c r="BJ444" s="525" t="b">
        <f t="shared" si="302"/>
        <v>1</v>
      </c>
      <c r="BK444" s="525" t="b">
        <f t="shared" si="302"/>
        <v>1</v>
      </c>
      <c r="BL444" s="525" t="b">
        <f t="shared" si="302"/>
        <v>1</v>
      </c>
      <c r="BM444" s="525" t="b">
        <f t="shared" si="302"/>
        <v>1</v>
      </c>
      <c r="BN444" s="525" t="b">
        <f t="shared" si="302"/>
        <v>1</v>
      </c>
      <c r="BO444" s="525" t="b">
        <f t="shared" si="302"/>
        <v>1</v>
      </c>
      <c r="BP444" s="525" t="b">
        <f t="shared" si="302"/>
        <v>1</v>
      </c>
      <c r="BQ444" s="525" t="b">
        <f t="shared" si="302"/>
        <v>1</v>
      </c>
      <c r="BR444" s="525" t="b">
        <f t="shared" si="302"/>
        <v>1</v>
      </c>
      <c r="BS444" s="525" t="b">
        <f t="shared" si="302"/>
        <v>1</v>
      </c>
      <c r="BT444" s="525" t="b">
        <f t="shared" si="302"/>
        <v>1</v>
      </c>
      <c r="BU444" s="525" t="b">
        <f t="shared" si="302"/>
        <v>1</v>
      </c>
      <c r="BV444" s="525" t="b">
        <f t="shared" si="302"/>
        <v>1</v>
      </c>
      <c r="BW444" s="525" t="b">
        <f t="shared" si="302"/>
        <v>1</v>
      </c>
      <c r="BX444" s="525" t="b">
        <f t="shared" si="302"/>
        <v>1</v>
      </c>
      <c r="BY444" s="525" t="b">
        <f t="shared" si="302"/>
        <v>1</v>
      </c>
      <c r="BZ444" s="525" t="b">
        <f t="shared" si="302"/>
        <v>0</v>
      </c>
      <c r="CA444" s="525" t="b">
        <f t="shared" si="302"/>
        <v>0</v>
      </c>
      <c r="CB444" s="525" t="b">
        <f t="shared" si="302"/>
        <v>0</v>
      </c>
      <c r="CC444" s="525" t="b">
        <f t="shared" si="302"/>
        <v>0</v>
      </c>
      <c r="CD444" s="525" t="b">
        <f t="shared" si="302"/>
        <v>0</v>
      </c>
      <c r="CE444" s="525" t="b">
        <f t="shared" si="302"/>
        <v>0</v>
      </c>
      <c r="CF444" s="525" t="b">
        <f t="shared" si="302"/>
        <v>0</v>
      </c>
    </row>
    <row r="445" spans="1:84" ht="15" customHeight="1" x14ac:dyDescent="0.3">
      <c r="A445" s="765"/>
      <c r="C445" s="695"/>
      <c r="D445" s="696" t="str">
        <f>IF(INDEX(n.er,$AR444,11)="","",INDEX(n.er,$AR444,11))</f>
        <v>Anglia</v>
      </c>
      <c r="E445" s="697" t="str">
        <f>IF(NOT($AS444),"",INDEX(n.er,$AR444,10))</f>
        <v/>
      </c>
      <c r="F445" s="696"/>
      <c r="G445" s="259"/>
      <c r="H445" s="667">
        <v>2</v>
      </c>
      <c r="I445" s="668">
        <v>3</v>
      </c>
      <c r="J445" s="668">
        <v>2</v>
      </c>
      <c r="K445" s="668">
        <v>2</v>
      </c>
      <c r="L445" s="668">
        <v>2</v>
      </c>
      <c r="M445" s="668">
        <v>4</v>
      </c>
      <c r="N445" s="668">
        <v>2</v>
      </c>
      <c r="O445" s="668">
        <v>3</v>
      </c>
      <c r="P445" s="668">
        <v>2</v>
      </c>
      <c r="Q445" s="668">
        <v>2</v>
      </c>
      <c r="R445" s="668">
        <v>0</v>
      </c>
      <c r="S445" s="668">
        <v>0</v>
      </c>
      <c r="T445" s="668">
        <v>2</v>
      </c>
      <c r="U445" s="668">
        <v>3</v>
      </c>
      <c r="V445" s="668">
        <v>2</v>
      </c>
      <c r="W445" s="668">
        <v>3</v>
      </c>
      <c r="X445" s="668">
        <v>2</v>
      </c>
      <c r="Y445" s="668">
        <v>2</v>
      </c>
      <c r="Z445" s="668">
        <v>3</v>
      </c>
      <c r="AA445" s="668">
        <v>2</v>
      </c>
      <c r="AB445" s="668">
        <v>3</v>
      </c>
      <c r="AC445" s="668">
        <v>1</v>
      </c>
      <c r="AD445" s="668">
        <v>4</v>
      </c>
      <c r="AE445" s="668"/>
      <c r="AF445" s="668"/>
      <c r="AG445" s="668"/>
      <c r="AH445" s="668"/>
      <c r="AI445" s="668"/>
      <c r="AJ445" s="668"/>
      <c r="AK445" s="669"/>
      <c r="AP445" s="533"/>
      <c r="AQ445" s="577"/>
      <c r="AR445" s="534"/>
      <c r="AS445" s="535"/>
      <c r="AX445" s="531"/>
      <c r="BC445" s="34" t="b">
        <f t="shared" ref="BC445:CF445" si="303">OR(NOT(H$13),NOT($AS444),NOT(BC444))</f>
        <v>1</v>
      </c>
      <c r="BD445" s="34" t="b">
        <f t="shared" si="303"/>
        <v>1</v>
      </c>
      <c r="BE445" s="34" t="b">
        <f t="shared" si="303"/>
        <v>1</v>
      </c>
      <c r="BF445" s="34" t="b">
        <f t="shared" si="303"/>
        <v>1</v>
      </c>
      <c r="BG445" s="34" t="b">
        <f t="shared" si="303"/>
        <v>1</v>
      </c>
      <c r="BH445" s="34" t="b">
        <f t="shared" si="303"/>
        <v>1</v>
      </c>
      <c r="BI445" s="34" t="b">
        <f t="shared" si="303"/>
        <v>1</v>
      </c>
      <c r="BJ445" s="34" t="b">
        <f t="shared" si="303"/>
        <v>1</v>
      </c>
      <c r="BK445" s="34" t="b">
        <f t="shared" si="303"/>
        <v>1</v>
      </c>
      <c r="BL445" s="34" t="b">
        <f t="shared" si="303"/>
        <v>1</v>
      </c>
      <c r="BM445" s="34" t="b">
        <f t="shared" si="303"/>
        <v>1</v>
      </c>
      <c r="BN445" s="34" t="b">
        <f t="shared" si="303"/>
        <v>1</v>
      </c>
      <c r="BO445" s="34" t="b">
        <f t="shared" si="303"/>
        <v>1</v>
      </c>
      <c r="BP445" s="34" t="b">
        <f t="shared" si="303"/>
        <v>1</v>
      </c>
      <c r="BQ445" s="34" t="b">
        <f t="shared" si="303"/>
        <v>1</v>
      </c>
      <c r="BR445" s="34" t="b">
        <f t="shared" si="303"/>
        <v>1</v>
      </c>
      <c r="BS445" s="34" t="b">
        <f t="shared" si="303"/>
        <v>1</v>
      </c>
      <c r="BT445" s="34" t="b">
        <f t="shared" si="303"/>
        <v>1</v>
      </c>
      <c r="BU445" s="34" t="b">
        <f t="shared" si="303"/>
        <v>1</v>
      </c>
      <c r="BV445" s="34" t="b">
        <f t="shared" si="303"/>
        <v>1</v>
      </c>
      <c r="BW445" s="34" t="b">
        <f t="shared" si="303"/>
        <v>1</v>
      </c>
      <c r="BX445" s="34" t="b">
        <f t="shared" si="303"/>
        <v>1</v>
      </c>
      <c r="BY445" s="34" t="b">
        <f t="shared" si="303"/>
        <v>1</v>
      </c>
      <c r="BZ445" s="34" t="b">
        <f t="shared" si="303"/>
        <v>1</v>
      </c>
      <c r="CA445" s="34" t="b">
        <f t="shared" si="303"/>
        <v>1</v>
      </c>
      <c r="CB445" s="34" t="b">
        <f t="shared" si="303"/>
        <v>1</v>
      </c>
      <c r="CC445" s="34" t="b">
        <f t="shared" si="303"/>
        <v>1</v>
      </c>
      <c r="CD445" s="34" t="b">
        <f t="shared" si="303"/>
        <v>1</v>
      </c>
      <c r="CE445" s="34" t="b">
        <f t="shared" si="303"/>
        <v>1</v>
      </c>
      <c r="CF445" s="34" t="b">
        <f t="shared" si="303"/>
        <v>1</v>
      </c>
    </row>
    <row r="446" spans="1:84" ht="12" customHeight="1" x14ac:dyDescent="0.3">
      <c r="A446" s="765"/>
      <c r="E446" s="258" t="str">
        <f>$AX$92</f>
        <v>Telitalálat: 10 p</v>
      </c>
      <c r="H446" s="670" t="str">
        <f t="shared" ref="H446:AK446" si="304">IF(OR(BC445,NOT($AS$20)),"",IF(AND(H444=$E444,H445=$E445),"ü",""))</f>
        <v/>
      </c>
      <c r="I446" s="671" t="str">
        <f t="shared" si="304"/>
        <v/>
      </c>
      <c r="J446" s="671" t="str">
        <f t="shared" si="304"/>
        <v/>
      </c>
      <c r="K446" s="671" t="str">
        <f t="shared" si="304"/>
        <v/>
      </c>
      <c r="L446" s="671" t="str">
        <f t="shared" si="304"/>
        <v/>
      </c>
      <c r="M446" s="671" t="str">
        <f t="shared" si="304"/>
        <v/>
      </c>
      <c r="N446" s="671" t="str">
        <f t="shared" si="304"/>
        <v/>
      </c>
      <c r="O446" s="671" t="str">
        <f t="shared" si="304"/>
        <v/>
      </c>
      <c r="P446" s="671" t="str">
        <f t="shared" si="304"/>
        <v/>
      </c>
      <c r="Q446" s="671" t="str">
        <f t="shared" si="304"/>
        <v/>
      </c>
      <c r="R446" s="671" t="str">
        <f t="shared" si="304"/>
        <v/>
      </c>
      <c r="S446" s="671" t="str">
        <f t="shared" si="304"/>
        <v/>
      </c>
      <c r="T446" s="671" t="str">
        <f t="shared" si="304"/>
        <v/>
      </c>
      <c r="U446" s="671" t="str">
        <f t="shared" si="304"/>
        <v/>
      </c>
      <c r="V446" s="671" t="str">
        <f t="shared" si="304"/>
        <v/>
      </c>
      <c r="W446" s="671" t="str">
        <f t="shared" si="304"/>
        <v/>
      </c>
      <c r="X446" s="671" t="str">
        <f t="shared" si="304"/>
        <v/>
      </c>
      <c r="Y446" s="671" t="str">
        <f t="shared" si="304"/>
        <v/>
      </c>
      <c r="Z446" s="671" t="str">
        <f t="shared" si="304"/>
        <v/>
      </c>
      <c r="AA446" s="671" t="str">
        <f t="shared" si="304"/>
        <v/>
      </c>
      <c r="AB446" s="671" t="str">
        <f t="shared" si="304"/>
        <v/>
      </c>
      <c r="AC446" s="671" t="str">
        <f t="shared" si="304"/>
        <v/>
      </c>
      <c r="AD446" s="671" t="str">
        <f t="shared" si="304"/>
        <v/>
      </c>
      <c r="AE446" s="671" t="str">
        <f t="shared" si="304"/>
        <v/>
      </c>
      <c r="AF446" s="671" t="str">
        <f t="shared" si="304"/>
        <v/>
      </c>
      <c r="AG446" s="671" t="str">
        <f t="shared" si="304"/>
        <v/>
      </c>
      <c r="AH446" s="671" t="str">
        <f t="shared" si="304"/>
        <v/>
      </c>
      <c r="AI446" s="671" t="str">
        <f t="shared" si="304"/>
        <v/>
      </c>
      <c r="AJ446" s="671" t="str">
        <f t="shared" si="304"/>
        <v/>
      </c>
      <c r="AK446" s="672" t="str">
        <f t="shared" si="304"/>
        <v/>
      </c>
      <c r="AL446" s="15"/>
      <c r="AM446" s="15"/>
      <c r="AP446" s="536"/>
      <c r="AR446" s="537"/>
      <c r="AS446" s="529"/>
      <c r="AW446" s="390" t="str">
        <f>""</f>
        <v/>
      </c>
      <c r="AX446" s="531"/>
      <c r="AY446" s="390" t="str">
        <f>""</f>
        <v/>
      </c>
      <c r="BD446" s="520"/>
      <c r="BE446" s="520"/>
      <c r="BF446" s="520"/>
      <c r="BG446" s="520"/>
      <c r="BH446" s="520"/>
      <c r="BI446" s="520"/>
      <c r="BJ446" s="520"/>
      <c r="BK446" s="520"/>
      <c r="BL446" s="520"/>
      <c r="BM446" s="520"/>
      <c r="BN446" s="520"/>
      <c r="BO446" s="520"/>
      <c r="BP446" s="520"/>
      <c r="BQ446" s="520"/>
      <c r="BR446" s="520"/>
      <c r="BS446" s="520"/>
      <c r="BT446" s="520"/>
      <c r="BU446" s="520"/>
      <c r="BV446" s="520"/>
      <c r="BW446" s="520"/>
      <c r="BX446" s="520"/>
      <c r="BY446" s="520"/>
    </row>
    <row r="447" spans="1:84" ht="12" customHeight="1" x14ac:dyDescent="0.3">
      <c r="A447" s="765"/>
      <c r="E447" s="258" t="str">
        <f>$AX$93</f>
        <v>Gólkülönbség: 6 p</v>
      </c>
      <c r="H447" s="673" t="str">
        <f t="shared" ref="H447:AK447" si="305">IF(OR(BC445,NOT($AS$22)),"",IF(AND(NOT($AS$32),H446="ü"),"",IF(H444-H445=$E444-$E445,"ü"," ")))</f>
        <v/>
      </c>
      <c r="I447" s="674" t="str">
        <f t="shared" si="305"/>
        <v/>
      </c>
      <c r="J447" s="674" t="str">
        <f t="shared" si="305"/>
        <v/>
      </c>
      <c r="K447" s="674" t="str">
        <f t="shared" si="305"/>
        <v/>
      </c>
      <c r="L447" s="674" t="str">
        <f t="shared" si="305"/>
        <v/>
      </c>
      <c r="M447" s="674" t="str">
        <f t="shared" si="305"/>
        <v/>
      </c>
      <c r="N447" s="674" t="str">
        <f t="shared" si="305"/>
        <v/>
      </c>
      <c r="O447" s="674" t="str">
        <f t="shared" si="305"/>
        <v/>
      </c>
      <c r="P447" s="674" t="str">
        <f t="shared" si="305"/>
        <v/>
      </c>
      <c r="Q447" s="674" t="str">
        <f t="shared" si="305"/>
        <v/>
      </c>
      <c r="R447" s="674" t="str">
        <f t="shared" si="305"/>
        <v/>
      </c>
      <c r="S447" s="674" t="str">
        <f t="shared" si="305"/>
        <v/>
      </c>
      <c r="T447" s="674" t="str">
        <f t="shared" si="305"/>
        <v/>
      </c>
      <c r="U447" s="674" t="str">
        <f t="shared" si="305"/>
        <v/>
      </c>
      <c r="V447" s="674" t="str">
        <f t="shared" si="305"/>
        <v/>
      </c>
      <c r="W447" s="674" t="str">
        <f t="shared" si="305"/>
        <v/>
      </c>
      <c r="X447" s="674" t="str">
        <f t="shared" si="305"/>
        <v/>
      </c>
      <c r="Y447" s="674" t="str">
        <f t="shared" si="305"/>
        <v/>
      </c>
      <c r="Z447" s="674" t="str">
        <f t="shared" si="305"/>
        <v/>
      </c>
      <c r="AA447" s="674" t="str">
        <f t="shared" si="305"/>
        <v/>
      </c>
      <c r="AB447" s="674" t="str">
        <f t="shared" si="305"/>
        <v/>
      </c>
      <c r="AC447" s="674" t="str">
        <f t="shared" si="305"/>
        <v/>
      </c>
      <c r="AD447" s="674" t="str">
        <f t="shared" si="305"/>
        <v/>
      </c>
      <c r="AE447" s="674" t="str">
        <f t="shared" si="305"/>
        <v/>
      </c>
      <c r="AF447" s="674" t="str">
        <f t="shared" si="305"/>
        <v/>
      </c>
      <c r="AG447" s="674" t="str">
        <f t="shared" si="305"/>
        <v/>
      </c>
      <c r="AH447" s="674" t="str">
        <f t="shared" si="305"/>
        <v/>
      </c>
      <c r="AI447" s="674" t="str">
        <f t="shared" si="305"/>
        <v/>
      </c>
      <c r="AJ447" s="674" t="str">
        <f t="shared" si="305"/>
        <v/>
      </c>
      <c r="AK447" s="675" t="str">
        <f t="shared" si="305"/>
        <v/>
      </c>
      <c r="AL447" s="15"/>
      <c r="AM447" s="15"/>
      <c r="AP447" s="536"/>
      <c r="AR447" s="537"/>
      <c r="AS447" s="529"/>
      <c r="AW447" s="390" t="str">
        <f>""</f>
        <v/>
      </c>
      <c r="AX447" s="531"/>
      <c r="AY447" s="390" t="str">
        <f>""</f>
        <v/>
      </c>
      <c r="BD447" s="520"/>
      <c r="BE447" s="520"/>
      <c r="BF447" s="520"/>
      <c r="BG447" s="520"/>
      <c r="BH447" s="520"/>
      <c r="BI447" s="520"/>
      <c r="BJ447" s="520"/>
      <c r="BK447" s="520"/>
      <c r="BL447" s="520"/>
      <c r="BM447" s="520"/>
      <c r="BN447" s="520"/>
      <c r="BO447" s="520"/>
      <c r="BP447" s="520"/>
      <c r="BQ447" s="520"/>
      <c r="BR447" s="520"/>
      <c r="BS447" s="520"/>
      <c r="BT447" s="520"/>
      <c r="BU447" s="520"/>
      <c r="BV447" s="520"/>
      <c r="BW447" s="520"/>
      <c r="BX447" s="520"/>
      <c r="BY447" s="520"/>
    </row>
    <row r="448" spans="1:84" ht="12" customHeight="1" x14ac:dyDescent="0.3">
      <c r="A448" s="765"/>
      <c r="E448" s="258" t="str">
        <f>$AX$94</f>
        <v>Mérkőzés kimenetele: 4 p</v>
      </c>
      <c r="H448" s="673" t="str">
        <f t="shared" ref="H448:AK448" si="306">IF(OR(BC445,NOT($AS$24)),"",IF(AND(NOT($AS$32),COUNTIF(H446:H447,"ü")&gt;0),"",IF(SIGN(H444-H445)=SIGN($E444-$E445),"ü"," ")))</f>
        <v/>
      </c>
      <c r="I448" s="674" t="str">
        <f t="shared" si="306"/>
        <v/>
      </c>
      <c r="J448" s="674" t="str">
        <f t="shared" si="306"/>
        <v/>
      </c>
      <c r="K448" s="674" t="str">
        <f t="shared" si="306"/>
        <v/>
      </c>
      <c r="L448" s="674" t="str">
        <f t="shared" si="306"/>
        <v/>
      </c>
      <c r="M448" s="674" t="str">
        <f t="shared" si="306"/>
        <v/>
      </c>
      <c r="N448" s="674" t="str">
        <f t="shared" si="306"/>
        <v/>
      </c>
      <c r="O448" s="674" t="str">
        <f t="shared" si="306"/>
        <v/>
      </c>
      <c r="P448" s="674" t="str">
        <f t="shared" si="306"/>
        <v/>
      </c>
      <c r="Q448" s="674" t="str">
        <f t="shared" si="306"/>
        <v/>
      </c>
      <c r="R448" s="674" t="str">
        <f t="shared" si="306"/>
        <v/>
      </c>
      <c r="S448" s="674" t="str">
        <f t="shared" si="306"/>
        <v/>
      </c>
      <c r="T448" s="674" t="str">
        <f t="shared" si="306"/>
        <v/>
      </c>
      <c r="U448" s="674" t="str">
        <f t="shared" si="306"/>
        <v/>
      </c>
      <c r="V448" s="674" t="str">
        <f t="shared" si="306"/>
        <v/>
      </c>
      <c r="W448" s="674" t="str">
        <f t="shared" si="306"/>
        <v/>
      </c>
      <c r="X448" s="674" t="str">
        <f t="shared" si="306"/>
        <v/>
      </c>
      <c r="Y448" s="674" t="str">
        <f t="shared" si="306"/>
        <v/>
      </c>
      <c r="Z448" s="674" t="str">
        <f t="shared" si="306"/>
        <v/>
      </c>
      <c r="AA448" s="674" t="str">
        <f t="shared" si="306"/>
        <v/>
      </c>
      <c r="AB448" s="674" t="str">
        <f t="shared" si="306"/>
        <v/>
      </c>
      <c r="AC448" s="674" t="str">
        <f t="shared" si="306"/>
        <v/>
      </c>
      <c r="AD448" s="674" t="str">
        <f t="shared" si="306"/>
        <v/>
      </c>
      <c r="AE448" s="674" t="str">
        <f t="shared" si="306"/>
        <v/>
      </c>
      <c r="AF448" s="674" t="str">
        <f t="shared" si="306"/>
        <v/>
      </c>
      <c r="AG448" s="674" t="str">
        <f t="shared" si="306"/>
        <v/>
      </c>
      <c r="AH448" s="674" t="str">
        <f t="shared" si="306"/>
        <v/>
      </c>
      <c r="AI448" s="674" t="str">
        <f t="shared" si="306"/>
        <v/>
      </c>
      <c r="AJ448" s="674" t="str">
        <f t="shared" si="306"/>
        <v/>
      </c>
      <c r="AK448" s="675" t="str">
        <f t="shared" si="306"/>
        <v/>
      </c>
      <c r="AL448" s="15"/>
      <c r="AM448" s="15"/>
      <c r="AP448" s="536"/>
      <c r="AR448" s="537"/>
      <c r="AS448" s="529"/>
      <c r="AW448" s="390" t="str">
        <f>""</f>
        <v/>
      </c>
      <c r="AX448" s="531"/>
      <c r="AY448" s="390" t="str">
        <f>""</f>
        <v/>
      </c>
      <c r="BD448" s="520"/>
      <c r="BE448" s="520"/>
      <c r="BF448" s="520"/>
      <c r="BG448" s="520"/>
      <c r="BH448" s="520"/>
      <c r="BI448" s="520"/>
      <c r="BJ448" s="520"/>
      <c r="BK448" s="520"/>
      <c r="BL448" s="520"/>
      <c r="BM448" s="520"/>
      <c r="BN448" s="520"/>
      <c r="BO448" s="520"/>
      <c r="BP448" s="520"/>
      <c r="BQ448" s="520"/>
      <c r="BR448" s="520"/>
      <c r="BS448" s="520"/>
      <c r="BT448" s="520"/>
      <c r="BU448" s="520"/>
      <c r="BV448" s="520"/>
      <c r="BW448" s="520"/>
      <c r="BX448" s="520"/>
      <c r="BY448" s="520"/>
    </row>
    <row r="449" spans="1:84" ht="12" customHeight="1" x14ac:dyDescent="0.3">
      <c r="A449" s="765"/>
      <c r="E449" s="258" t="str">
        <f>$AX$95</f>
        <v>Egyik csapat góljainak száma: 3 p</v>
      </c>
      <c r="H449" s="673" t="str">
        <f t="shared" ref="H449:AK449" si="307">IF(OR(BC445,NOT($AS$26)),"",IF(AND(NOT($AS$32),COUNTIF(H446:H448,"ü")&gt;0),"",IF(OR(H444=$E444,H445=$E445),"ü"," ")))</f>
        <v/>
      </c>
      <c r="I449" s="674" t="str">
        <f t="shared" si="307"/>
        <v/>
      </c>
      <c r="J449" s="674" t="str">
        <f t="shared" si="307"/>
        <v/>
      </c>
      <c r="K449" s="674" t="str">
        <f t="shared" si="307"/>
        <v/>
      </c>
      <c r="L449" s="674" t="str">
        <f t="shared" si="307"/>
        <v/>
      </c>
      <c r="M449" s="674" t="str">
        <f t="shared" si="307"/>
        <v/>
      </c>
      <c r="N449" s="674" t="str">
        <f t="shared" si="307"/>
        <v/>
      </c>
      <c r="O449" s="674" t="str">
        <f t="shared" si="307"/>
        <v/>
      </c>
      <c r="P449" s="674" t="str">
        <f t="shared" si="307"/>
        <v/>
      </c>
      <c r="Q449" s="674" t="str">
        <f t="shared" si="307"/>
        <v/>
      </c>
      <c r="R449" s="674" t="str">
        <f t="shared" si="307"/>
        <v/>
      </c>
      <c r="S449" s="674" t="str">
        <f t="shared" si="307"/>
        <v/>
      </c>
      <c r="T449" s="674" t="str">
        <f t="shared" si="307"/>
        <v/>
      </c>
      <c r="U449" s="674" t="str">
        <f t="shared" si="307"/>
        <v/>
      </c>
      <c r="V449" s="674" t="str">
        <f t="shared" si="307"/>
        <v/>
      </c>
      <c r="W449" s="674" t="str">
        <f t="shared" si="307"/>
        <v/>
      </c>
      <c r="X449" s="674" t="str">
        <f t="shared" si="307"/>
        <v/>
      </c>
      <c r="Y449" s="674" t="str">
        <f t="shared" si="307"/>
        <v/>
      </c>
      <c r="Z449" s="674" t="str">
        <f t="shared" si="307"/>
        <v/>
      </c>
      <c r="AA449" s="674" t="str">
        <f t="shared" si="307"/>
        <v/>
      </c>
      <c r="AB449" s="674" t="str">
        <f t="shared" si="307"/>
        <v/>
      </c>
      <c r="AC449" s="674" t="str">
        <f t="shared" si="307"/>
        <v/>
      </c>
      <c r="AD449" s="674" t="str">
        <f t="shared" si="307"/>
        <v/>
      </c>
      <c r="AE449" s="674" t="str">
        <f t="shared" si="307"/>
        <v/>
      </c>
      <c r="AF449" s="674" t="str">
        <f t="shared" si="307"/>
        <v/>
      </c>
      <c r="AG449" s="674" t="str">
        <f t="shared" si="307"/>
        <v/>
      </c>
      <c r="AH449" s="674" t="str">
        <f t="shared" si="307"/>
        <v/>
      </c>
      <c r="AI449" s="674" t="str">
        <f t="shared" si="307"/>
        <v/>
      </c>
      <c r="AJ449" s="674" t="str">
        <f t="shared" si="307"/>
        <v/>
      </c>
      <c r="AK449" s="675" t="str">
        <f t="shared" si="307"/>
        <v/>
      </c>
      <c r="AL449" s="15"/>
      <c r="AM449" s="15"/>
      <c r="AP449" s="536"/>
      <c r="AR449" s="537"/>
      <c r="AS449" s="529"/>
      <c r="AW449" s="390" t="str">
        <f>""</f>
        <v/>
      </c>
      <c r="AX449" s="531"/>
      <c r="AY449" s="390" t="str">
        <f>""</f>
        <v/>
      </c>
      <c r="BD449" s="520"/>
      <c r="BE449" s="520"/>
      <c r="BF449" s="520"/>
      <c r="BG449" s="520"/>
      <c r="BH449" s="520"/>
      <c r="BI449" s="520"/>
      <c r="BJ449" s="520"/>
      <c r="BK449" s="520"/>
      <c r="BL449" s="520"/>
      <c r="BM449" s="520"/>
      <c r="BN449" s="520"/>
      <c r="BO449" s="520"/>
      <c r="BP449" s="520"/>
      <c r="BQ449" s="520"/>
      <c r="BR449" s="520"/>
      <c r="BS449" s="520"/>
      <c r="BT449" s="520"/>
      <c r="BU449" s="520"/>
      <c r="BV449" s="520"/>
      <c r="BW449" s="520"/>
      <c r="BX449" s="520"/>
      <c r="BY449" s="520"/>
    </row>
    <row r="450" spans="1:84" ht="12" customHeight="1" x14ac:dyDescent="0.3">
      <c r="A450" s="765"/>
      <c r="E450" s="258" t="str">
        <f>$AX$96</f>
        <v>Összes gól: 2 p</v>
      </c>
      <c r="H450" s="673" t="str">
        <f t="shared" ref="H450:AK450" si="308">IF(OR(BC445,NOT($AS$28)),"",IF(AND(NOT($AS$32),COUNTIF(H446:H449,"ü")&gt;0),"",IF(H444+H445=$E444+$E445,"ü"," ")))</f>
        <v/>
      </c>
      <c r="I450" s="674" t="str">
        <f t="shared" si="308"/>
        <v/>
      </c>
      <c r="J450" s="674" t="str">
        <f t="shared" si="308"/>
        <v/>
      </c>
      <c r="K450" s="674" t="str">
        <f t="shared" si="308"/>
        <v/>
      </c>
      <c r="L450" s="674" t="str">
        <f t="shared" si="308"/>
        <v/>
      </c>
      <c r="M450" s="674" t="str">
        <f t="shared" si="308"/>
        <v/>
      </c>
      <c r="N450" s="674" t="str">
        <f t="shared" si="308"/>
        <v/>
      </c>
      <c r="O450" s="674" t="str">
        <f t="shared" si="308"/>
        <v/>
      </c>
      <c r="P450" s="674" t="str">
        <f t="shared" si="308"/>
        <v/>
      </c>
      <c r="Q450" s="674" t="str">
        <f t="shared" si="308"/>
        <v/>
      </c>
      <c r="R450" s="674" t="str">
        <f t="shared" si="308"/>
        <v/>
      </c>
      <c r="S450" s="674" t="str">
        <f t="shared" si="308"/>
        <v/>
      </c>
      <c r="T450" s="674" t="str">
        <f t="shared" si="308"/>
        <v/>
      </c>
      <c r="U450" s="674" t="str">
        <f t="shared" si="308"/>
        <v/>
      </c>
      <c r="V450" s="674" t="str">
        <f t="shared" si="308"/>
        <v/>
      </c>
      <c r="W450" s="674" t="str">
        <f t="shared" si="308"/>
        <v/>
      </c>
      <c r="X450" s="674" t="str">
        <f t="shared" si="308"/>
        <v/>
      </c>
      <c r="Y450" s="674" t="str">
        <f t="shared" si="308"/>
        <v/>
      </c>
      <c r="Z450" s="674" t="str">
        <f t="shared" si="308"/>
        <v/>
      </c>
      <c r="AA450" s="674" t="str">
        <f t="shared" si="308"/>
        <v/>
      </c>
      <c r="AB450" s="674" t="str">
        <f t="shared" si="308"/>
        <v/>
      </c>
      <c r="AC450" s="674" t="str">
        <f t="shared" si="308"/>
        <v/>
      </c>
      <c r="AD450" s="674" t="str">
        <f t="shared" si="308"/>
        <v/>
      </c>
      <c r="AE450" s="674" t="str">
        <f t="shared" si="308"/>
        <v/>
      </c>
      <c r="AF450" s="674" t="str">
        <f t="shared" si="308"/>
        <v/>
      </c>
      <c r="AG450" s="674" t="str">
        <f t="shared" si="308"/>
        <v/>
      </c>
      <c r="AH450" s="674" t="str">
        <f t="shared" si="308"/>
        <v/>
      </c>
      <c r="AI450" s="674" t="str">
        <f t="shared" si="308"/>
        <v/>
      </c>
      <c r="AJ450" s="674" t="str">
        <f t="shared" si="308"/>
        <v/>
      </c>
      <c r="AK450" s="675" t="str">
        <f t="shared" si="308"/>
        <v/>
      </c>
      <c r="AL450" s="15"/>
      <c r="AM450" s="15"/>
      <c r="AP450" s="536"/>
      <c r="AR450" s="537"/>
      <c r="AS450" s="529"/>
      <c r="AW450" s="390" t="str">
        <f>""</f>
        <v/>
      </c>
      <c r="AX450" s="531"/>
      <c r="AY450" s="390" t="str">
        <f>""</f>
        <v/>
      </c>
      <c r="BD450" s="520"/>
      <c r="BE450" s="520"/>
      <c r="BF450" s="520"/>
      <c r="BG450" s="520"/>
      <c r="BH450" s="520"/>
      <c r="BI450" s="520"/>
      <c r="BJ450" s="520"/>
      <c r="BK450" s="520"/>
      <c r="BL450" s="520"/>
      <c r="BM450" s="520"/>
      <c r="BN450" s="520"/>
      <c r="BO450" s="520"/>
      <c r="BP450" s="520"/>
      <c r="BQ450" s="520"/>
      <c r="BR450" s="520"/>
      <c r="BS450" s="520"/>
      <c r="BT450" s="520"/>
      <c r="BU450" s="520"/>
      <c r="BV450" s="520"/>
      <c r="BW450" s="520"/>
      <c r="BX450" s="520"/>
      <c r="BY450" s="520"/>
    </row>
    <row r="451" spans="1:84" ht="12" customHeight="1" x14ac:dyDescent="0.3">
      <c r="A451" s="765"/>
      <c r="E451" s="258" t="str">
        <f>$AX$97</f>
        <v>Fordított gólkülönbség: 1 p</v>
      </c>
      <c r="H451" s="676" t="str">
        <f t="shared" ref="H451:AK451" si="309">IF(OR(BC445,NOT($AS$30)),"",IF(AND(NOT($AS$32),COUNTIF(H446:H450,"ü")&gt;0),"",IF(AND(H444-H445=$E445-$E444,H444&lt;&gt;H445),"ü"," ")))</f>
        <v/>
      </c>
      <c r="I451" s="677" t="str">
        <f t="shared" si="309"/>
        <v/>
      </c>
      <c r="J451" s="677" t="str">
        <f t="shared" si="309"/>
        <v/>
      </c>
      <c r="K451" s="677" t="str">
        <f t="shared" si="309"/>
        <v/>
      </c>
      <c r="L451" s="677" t="str">
        <f t="shared" si="309"/>
        <v/>
      </c>
      <c r="M451" s="677" t="str">
        <f t="shared" si="309"/>
        <v/>
      </c>
      <c r="N451" s="677" t="str">
        <f t="shared" si="309"/>
        <v/>
      </c>
      <c r="O451" s="677" t="str">
        <f t="shared" si="309"/>
        <v/>
      </c>
      <c r="P451" s="677" t="str">
        <f t="shared" si="309"/>
        <v/>
      </c>
      <c r="Q451" s="677" t="str">
        <f t="shared" si="309"/>
        <v/>
      </c>
      <c r="R451" s="677" t="str">
        <f t="shared" si="309"/>
        <v/>
      </c>
      <c r="S451" s="677" t="str">
        <f t="shared" si="309"/>
        <v/>
      </c>
      <c r="T451" s="677" t="str">
        <f t="shared" si="309"/>
        <v/>
      </c>
      <c r="U451" s="677" t="str">
        <f t="shared" si="309"/>
        <v/>
      </c>
      <c r="V451" s="677" t="str">
        <f t="shared" si="309"/>
        <v/>
      </c>
      <c r="W451" s="677" t="str">
        <f t="shared" si="309"/>
        <v/>
      </c>
      <c r="X451" s="677" t="str">
        <f t="shared" si="309"/>
        <v/>
      </c>
      <c r="Y451" s="677" t="str">
        <f t="shared" si="309"/>
        <v/>
      </c>
      <c r="Z451" s="677" t="str">
        <f t="shared" si="309"/>
        <v/>
      </c>
      <c r="AA451" s="677" t="str">
        <f t="shared" si="309"/>
        <v/>
      </c>
      <c r="AB451" s="677" t="str">
        <f t="shared" si="309"/>
        <v/>
      </c>
      <c r="AC451" s="677" t="str">
        <f t="shared" si="309"/>
        <v/>
      </c>
      <c r="AD451" s="677" t="str">
        <f t="shared" si="309"/>
        <v/>
      </c>
      <c r="AE451" s="677" t="str">
        <f t="shared" si="309"/>
        <v/>
      </c>
      <c r="AF451" s="677" t="str">
        <f t="shared" si="309"/>
        <v/>
      </c>
      <c r="AG451" s="677" t="str">
        <f t="shared" si="309"/>
        <v/>
      </c>
      <c r="AH451" s="677" t="str">
        <f t="shared" si="309"/>
        <v/>
      </c>
      <c r="AI451" s="677" t="str">
        <f t="shared" si="309"/>
        <v/>
      </c>
      <c r="AJ451" s="677" t="str">
        <f t="shared" si="309"/>
        <v/>
      </c>
      <c r="AK451" s="678" t="str">
        <f t="shared" si="309"/>
        <v/>
      </c>
      <c r="AL451" s="15"/>
      <c r="AM451" s="15"/>
      <c r="AP451" s="536"/>
      <c r="AR451" s="537"/>
      <c r="AS451" s="529"/>
      <c r="AW451" s="390" t="str">
        <f>""</f>
        <v/>
      </c>
      <c r="AX451" s="531"/>
      <c r="AY451" s="390" t="str">
        <f>""</f>
        <v/>
      </c>
      <c r="BD451" s="520"/>
      <c r="BE451" s="520"/>
      <c r="BF451" s="520"/>
      <c r="BG451" s="520"/>
      <c r="BH451" s="520"/>
      <c r="BI451" s="520"/>
      <c r="BJ451" s="520"/>
      <c r="BK451" s="520"/>
      <c r="BL451" s="520"/>
      <c r="BM451" s="520"/>
      <c r="BN451" s="520"/>
      <c r="BO451" s="520"/>
      <c r="BP451" s="520"/>
      <c r="BQ451" s="520"/>
      <c r="BR451" s="520"/>
      <c r="BS451" s="520"/>
      <c r="BT451" s="520"/>
      <c r="BU451" s="520"/>
      <c r="BV451" s="520"/>
      <c r="BW451" s="520"/>
      <c r="BX451" s="520"/>
      <c r="BY451" s="520"/>
    </row>
    <row r="452" spans="1:84" ht="15" customHeight="1" x14ac:dyDescent="0.3">
      <c r="A452" s="765"/>
      <c r="E452" s="79" t="s">
        <v>799</v>
      </c>
      <c r="H452" s="679">
        <f t="shared" ref="H452:AK452" si="310">IF(NOT(H$13),"",SUMPRODUCT((H446:H451="ü")*($AW$92:$AW$97)))</f>
        <v>0</v>
      </c>
      <c r="I452" s="680">
        <f t="shared" si="310"/>
        <v>0</v>
      </c>
      <c r="J452" s="680">
        <f t="shared" si="310"/>
        <v>0</v>
      </c>
      <c r="K452" s="680">
        <f t="shared" si="310"/>
        <v>0</v>
      </c>
      <c r="L452" s="680">
        <f t="shared" si="310"/>
        <v>0</v>
      </c>
      <c r="M452" s="680">
        <f t="shared" si="310"/>
        <v>0</v>
      </c>
      <c r="N452" s="680">
        <f t="shared" si="310"/>
        <v>0</v>
      </c>
      <c r="O452" s="680">
        <f t="shared" si="310"/>
        <v>0</v>
      </c>
      <c r="P452" s="680">
        <f t="shared" si="310"/>
        <v>0</v>
      </c>
      <c r="Q452" s="680">
        <f t="shared" si="310"/>
        <v>0</v>
      </c>
      <c r="R452" s="680">
        <f t="shared" si="310"/>
        <v>0</v>
      </c>
      <c r="S452" s="680">
        <f t="shared" si="310"/>
        <v>0</v>
      </c>
      <c r="T452" s="680">
        <f t="shared" si="310"/>
        <v>0</v>
      </c>
      <c r="U452" s="680">
        <f t="shared" si="310"/>
        <v>0</v>
      </c>
      <c r="V452" s="680">
        <f t="shared" si="310"/>
        <v>0</v>
      </c>
      <c r="W452" s="680">
        <f t="shared" si="310"/>
        <v>0</v>
      </c>
      <c r="X452" s="680">
        <f t="shared" si="310"/>
        <v>0</v>
      </c>
      <c r="Y452" s="680">
        <f t="shared" si="310"/>
        <v>0</v>
      </c>
      <c r="Z452" s="680">
        <f t="shared" si="310"/>
        <v>0</v>
      </c>
      <c r="AA452" s="680">
        <f t="shared" si="310"/>
        <v>0</v>
      </c>
      <c r="AB452" s="680">
        <f t="shared" si="310"/>
        <v>0</v>
      </c>
      <c r="AC452" s="680">
        <f t="shared" si="310"/>
        <v>0</v>
      </c>
      <c r="AD452" s="680">
        <f t="shared" si="310"/>
        <v>0</v>
      </c>
      <c r="AE452" s="680" t="str">
        <f t="shared" si="310"/>
        <v/>
      </c>
      <c r="AF452" s="680" t="str">
        <f t="shared" si="310"/>
        <v/>
      </c>
      <c r="AG452" s="680" t="str">
        <f t="shared" si="310"/>
        <v/>
      </c>
      <c r="AH452" s="680" t="str">
        <f t="shared" si="310"/>
        <v/>
      </c>
      <c r="AI452" s="680" t="str">
        <f t="shared" si="310"/>
        <v/>
      </c>
      <c r="AJ452" s="680" t="str">
        <f t="shared" si="310"/>
        <v/>
      </c>
      <c r="AK452" s="681" t="str">
        <f t="shared" si="310"/>
        <v/>
      </c>
      <c r="AP452" s="536"/>
      <c r="AR452" s="537"/>
      <c r="AS452" s="529"/>
    </row>
    <row r="453" spans="1:84" ht="9" customHeight="1" x14ac:dyDescent="0.3">
      <c r="A453" s="765"/>
      <c r="D453" s="15"/>
      <c r="E453" s="15"/>
      <c r="F453" s="15"/>
      <c r="G453" s="15"/>
      <c r="H453" s="15"/>
      <c r="I453" s="16"/>
      <c r="J453" s="15"/>
      <c r="K453" s="15"/>
      <c r="L453" s="16"/>
      <c r="M453" s="15"/>
      <c r="N453" s="15"/>
      <c r="O453" s="16"/>
      <c r="P453" s="15"/>
      <c r="Q453" s="15"/>
      <c r="R453" s="16"/>
      <c r="S453" s="15"/>
      <c r="T453" s="15"/>
      <c r="U453" s="16"/>
      <c r="V453" s="15"/>
      <c r="W453" s="15"/>
      <c r="X453" s="16"/>
      <c r="Y453" s="15"/>
      <c r="Z453" s="15"/>
      <c r="AA453" s="16"/>
      <c r="AB453" s="15"/>
      <c r="AC453" s="15"/>
      <c r="AD453" s="16"/>
      <c r="AE453" s="15"/>
      <c r="AF453" s="15"/>
      <c r="AG453" s="16"/>
      <c r="AH453" s="15"/>
      <c r="AI453" s="15"/>
      <c r="AJ453" s="16"/>
      <c r="AK453" s="15"/>
      <c r="AP453" s="536"/>
      <c r="AR453" s="537"/>
      <c r="AS453" s="529"/>
    </row>
    <row r="454" spans="1:84" ht="15" customHeight="1" x14ac:dyDescent="0.3">
      <c r="A454" s="765"/>
      <c r="C454" s="27" t="str">
        <f>" "&amp;VLOOKUP(AQ455,schedule,18,FALSE)&amp;"  ("&amp;VLOOKUP(AQ455,schedule,3,FALSE)&amp;" CSOPORT)"</f>
        <v xml:space="preserve"> JÚNIUS 22. – KEDD 21:00  (D CSOPORT)</v>
      </c>
      <c r="D454" s="27"/>
      <c r="E454" s="26"/>
      <c r="F454" s="26"/>
      <c r="G454" s="26"/>
      <c r="H454" s="26"/>
      <c r="I454" s="26"/>
      <c r="J454" s="26"/>
      <c r="AP454" s="536"/>
      <c r="AR454" s="537"/>
      <c r="AS454" s="529"/>
    </row>
    <row r="455" spans="1:84" ht="15" customHeight="1" x14ac:dyDescent="0.3">
      <c r="A455" s="765"/>
      <c r="C455" s="661"/>
      <c r="D455" s="662" t="str">
        <f>IF(INDEX(n.er,$AR455,8)="","",INDEX(n.er,$AR455,8))</f>
        <v>Horvátország</v>
      </c>
      <c r="E455" s="663" t="str">
        <f>IF(NOT($AS455),"",INDEX(n.er,$AR455,9))</f>
        <v/>
      </c>
      <c r="F455" s="662"/>
      <c r="G455" s="259"/>
      <c r="H455" s="664">
        <v>3</v>
      </c>
      <c r="I455" s="665">
        <v>3</v>
      </c>
      <c r="J455" s="665">
        <v>2</v>
      </c>
      <c r="K455" s="665">
        <v>2</v>
      </c>
      <c r="L455" s="665">
        <v>2</v>
      </c>
      <c r="M455" s="665">
        <v>2</v>
      </c>
      <c r="N455" s="665">
        <v>1</v>
      </c>
      <c r="O455" s="665">
        <v>3</v>
      </c>
      <c r="P455" s="665">
        <v>2</v>
      </c>
      <c r="Q455" s="665">
        <v>2</v>
      </c>
      <c r="R455" s="665">
        <v>2</v>
      </c>
      <c r="S455" s="665">
        <v>0</v>
      </c>
      <c r="T455" s="665">
        <v>3</v>
      </c>
      <c r="U455" s="665">
        <v>2</v>
      </c>
      <c r="V455" s="665">
        <v>2</v>
      </c>
      <c r="W455" s="665">
        <v>3</v>
      </c>
      <c r="X455" s="665">
        <v>1</v>
      </c>
      <c r="Y455" s="665">
        <v>1</v>
      </c>
      <c r="Z455" s="665">
        <v>2</v>
      </c>
      <c r="AA455" s="665">
        <v>2</v>
      </c>
      <c r="AB455" s="665">
        <v>2</v>
      </c>
      <c r="AC455" s="665">
        <v>2</v>
      </c>
      <c r="AD455" s="665">
        <v>2</v>
      </c>
      <c r="AE455" s="665"/>
      <c r="AF455" s="665"/>
      <c r="AG455" s="665"/>
      <c r="AH455" s="665"/>
      <c r="AI455" s="665"/>
      <c r="AJ455" s="665"/>
      <c r="AK455" s="666"/>
      <c r="AP455" s="52">
        <f>AP444+1</f>
        <v>32</v>
      </c>
      <c r="AQ455" s="311">
        <f>INDEX(schedule,AP455,1)</f>
        <v>32</v>
      </c>
      <c r="AR455" s="311">
        <f>MATCH(AQ455,n.er.index,0)</f>
        <v>76</v>
      </c>
      <c r="AS455" s="532" t="b">
        <f>INDEX(n.er,$AR455,3)</f>
        <v>0</v>
      </c>
      <c r="AT455" s="531"/>
      <c r="AU455" s="531"/>
      <c r="AV455" s="531"/>
      <c r="AW455" s="531"/>
      <c r="AX455" s="531"/>
      <c r="BC455" s="525" t="b">
        <f t="shared" ref="BC455:CF455" si="311">IF(AND(ISNUMBER(H455),ISNUMBER(H456),H455&lt;&gt;"",H456&lt;&gt;""),AND(H455&gt;=0,H456&gt;=0,MOD(H455+H456,1)=0),FALSE)</f>
        <v>1</v>
      </c>
      <c r="BD455" s="525" t="b">
        <f t="shared" si="311"/>
        <v>1</v>
      </c>
      <c r="BE455" s="525" t="b">
        <f t="shared" si="311"/>
        <v>1</v>
      </c>
      <c r="BF455" s="525" t="b">
        <f t="shared" si="311"/>
        <v>1</v>
      </c>
      <c r="BG455" s="525" t="b">
        <f t="shared" si="311"/>
        <v>1</v>
      </c>
      <c r="BH455" s="525" t="b">
        <f t="shared" si="311"/>
        <v>1</v>
      </c>
      <c r="BI455" s="525" t="b">
        <f t="shared" si="311"/>
        <v>1</v>
      </c>
      <c r="BJ455" s="525" t="b">
        <f t="shared" si="311"/>
        <v>1</v>
      </c>
      <c r="BK455" s="525" t="b">
        <f t="shared" si="311"/>
        <v>1</v>
      </c>
      <c r="BL455" s="525" t="b">
        <f t="shared" si="311"/>
        <v>1</v>
      </c>
      <c r="BM455" s="525" t="b">
        <f t="shared" si="311"/>
        <v>1</v>
      </c>
      <c r="BN455" s="525" t="b">
        <f t="shared" si="311"/>
        <v>1</v>
      </c>
      <c r="BO455" s="525" t="b">
        <f t="shared" si="311"/>
        <v>1</v>
      </c>
      <c r="BP455" s="525" t="b">
        <f t="shared" si="311"/>
        <v>1</v>
      </c>
      <c r="BQ455" s="525" t="b">
        <f t="shared" si="311"/>
        <v>1</v>
      </c>
      <c r="BR455" s="525" t="b">
        <f t="shared" si="311"/>
        <v>1</v>
      </c>
      <c r="BS455" s="525" t="b">
        <f t="shared" si="311"/>
        <v>1</v>
      </c>
      <c r="BT455" s="525" t="b">
        <f t="shared" si="311"/>
        <v>1</v>
      </c>
      <c r="BU455" s="525" t="b">
        <f t="shared" si="311"/>
        <v>1</v>
      </c>
      <c r="BV455" s="525" t="b">
        <f t="shared" si="311"/>
        <v>1</v>
      </c>
      <c r="BW455" s="525" t="b">
        <f t="shared" si="311"/>
        <v>1</v>
      </c>
      <c r="BX455" s="525" t="b">
        <f t="shared" si="311"/>
        <v>1</v>
      </c>
      <c r="BY455" s="525" t="b">
        <f t="shared" si="311"/>
        <v>1</v>
      </c>
      <c r="BZ455" s="525" t="b">
        <f t="shared" si="311"/>
        <v>0</v>
      </c>
      <c r="CA455" s="525" t="b">
        <f t="shared" si="311"/>
        <v>0</v>
      </c>
      <c r="CB455" s="525" t="b">
        <f t="shared" si="311"/>
        <v>0</v>
      </c>
      <c r="CC455" s="525" t="b">
        <f t="shared" si="311"/>
        <v>0</v>
      </c>
      <c r="CD455" s="525" t="b">
        <f t="shared" si="311"/>
        <v>0</v>
      </c>
      <c r="CE455" s="525" t="b">
        <f t="shared" si="311"/>
        <v>0</v>
      </c>
      <c r="CF455" s="525" t="b">
        <f t="shared" si="311"/>
        <v>0</v>
      </c>
    </row>
    <row r="456" spans="1:84" ht="15" customHeight="1" x14ac:dyDescent="0.3">
      <c r="A456" s="765"/>
      <c r="C456" s="695"/>
      <c r="D456" s="696" t="str">
        <f>IF(INDEX(n.er,$AR455,11)="","",INDEX(n.er,$AR455,11))</f>
        <v>Skócia</v>
      </c>
      <c r="E456" s="697" t="str">
        <f>IF(NOT($AS455),"",INDEX(n.er,$AR455,10))</f>
        <v/>
      </c>
      <c r="F456" s="696"/>
      <c r="G456" s="259"/>
      <c r="H456" s="667">
        <v>1</v>
      </c>
      <c r="I456" s="668">
        <v>3</v>
      </c>
      <c r="J456" s="668">
        <v>1</v>
      </c>
      <c r="K456" s="668">
        <v>2</v>
      </c>
      <c r="L456" s="668">
        <v>0</v>
      </c>
      <c r="M456" s="668">
        <v>2</v>
      </c>
      <c r="N456" s="668">
        <v>0</v>
      </c>
      <c r="O456" s="668">
        <v>2</v>
      </c>
      <c r="P456" s="668">
        <v>0</v>
      </c>
      <c r="Q456" s="668">
        <v>1</v>
      </c>
      <c r="R456" s="668">
        <v>0</v>
      </c>
      <c r="S456" s="668">
        <v>0</v>
      </c>
      <c r="T456" s="668">
        <v>0</v>
      </c>
      <c r="U456" s="668">
        <v>1</v>
      </c>
      <c r="V456" s="668">
        <v>1</v>
      </c>
      <c r="W456" s="668">
        <v>2</v>
      </c>
      <c r="X456" s="668">
        <v>0</v>
      </c>
      <c r="Y456" s="668">
        <v>0</v>
      </c>
      <c r="Z456" s="668">
        <v>2</v>
      </c>
      <c r="AA456" s="668">
        <v>0</v>
      </c>
      <c r="AB456" s="668">
        <v>0</v>
      </c>
      <c r="AC456" s="668">
        <v>0</v>
      </c>
      <c r="AD456" s="668">
        <v>0</v>
      </c>
      <c r="AE456" s="668"/>
      <c r="AF456" s="668"/>
      <c r="AG456" s="668"/>
      <c r="AH456" s="668"/>
      <c r="AI456" s="668"/>
      <c r="AJ456" s="668"/>
      <c r="AK456" s="669"/>
      <c r="AP456" s="533"/>
      <c r="AQ456" s="577"/>
      <c r="AR456" s="534"/>
      <c r="AS456" s="535"/>
      <c r="AX456" s="531"/>
      <c r="BC456" s="34" t="b">
        <f t="shared" ref="BC456:CF456" si="312">OR(NOT(H$13),NOT($AS455),NOT(BC455))</f>
        <v>1</v>
      </c>
      <c r="BD456" s="34" t="b">
        <f t="shared" si="312"/>
        <v>1</v>
      </c>
      <c r="BE456" s="34" t="b">
        <f t="shared" si="312"/>
        <v>1</v>
      </c>
      <c r="BF456" s="34" t="b">
        <f t="shared" si="312"/>
        <v>1</v>
      </c>
      <c r="BG456" s="34" t="b">
        <f t="shared" si="312"/>
        <v>1</v>
      </c>
      <c r="BH456" s="34" t="b">
        <f t="shared" si="312"/>
        <v>1</v>
      </c>
      <c r="BI456" s="34" t="b">
        <f t="shared" si="312"/>
        <v>1</v>
      </c>
      <c r="BJ456" s="34" t="b">
        <f t="shared" si="312"/>
        <v>1</v>
      </c>
      <c r="BK456" s="34" t="b">
        <f t="shared" si="312"/>
        <v>1</v>
      </c>
      <c r="BL456" s="34" t="b">
        <f t="shared" si="312"/>
        <v>1</v>
      </c>
      <c r="BM456" s="34" t="b">
        <f t="shared" si="312"/>
        <v>1</v>
      </c>
      <c r="BN456" s="34" t="b">
        <f t="shared" si="312"/>
        <v>1</v>
      </c>
      <c r="BO456" s="34" t="b">
        <f t="shared" si="312"/>
        <v>1</v>
      </c>
      <c r="BP456" s="34" t="b">
        <f t="shared" si="312"/>
        <v>1</v>
      </c>
      <c r="BQ456" s="34" t="b">
        <f t="shared" si="312"/>
        <v>1</v>
      </c>
      <c r="BR456" s="34" t="b">
        <f t="shared" si="312"/>
        <v>1</v>
      </c>
      <c r="BS456" s="34" t="b">
        <f t="shared" si="312"/>
        <v>1</v>
      </c>
      <c r="BT456" s="34" t="b">
        <f t="shared" si="312"/>
        <v>1</v>
      </c>
      <c r="BU456" s="34" t="b">
        <f t="shared" si="312"/>
        <v>1</v>
      </c>
      <c r="BV456" s="34" t="b">
        <f t="shared" si="312"/>
        <v>1</v>
      </c>
      <c r="BW456" s="34" t="b">
        <f t="shared" si="312"/>
        <v>1</v>
      </c>
      <c r="BX456" s="34" t="b">
        <f t="shared" si="312"/>
        <v>1</v>
      </c>
      <c r="BY456" s="34" t="b">
        <f t="shared" si="312"/>
        <v>1</v>
      </c>
      <c r="BZ456" s="34" t="b">
        <f t="shared" si="312"/>
        <v>1</v>
      </c>
      <c r="CA456" s="34" t="b">
        <f t="shared" si="312"/>
        <v>1</v>
      </c>
      <c r="CB456" s="34" t="b">
        <f t="shared" si="312"/>
        <v>1</v>
      </c>
      <c r="CC456" s="34" t="b">
        <f t="shared" si="312"/>
        <v>1</v>
      </c>
      <c r="CD456" s="34" t="b">
        <f t="shared" si="312"/>
        <v>1</v>
      </c>
      <c r="CE456" s="34" t="b">
        <f t="shared" si="312"/>
        <v>1</v>
      </c>
      <c r="CF456" s="34" t="b">
        <f t="shared" si="312"/>
        <v>1</v>
      </c>
    </row>
    <row r="457" spans="1:84" ht="12" customHeight="1" x14ac:dyDescent="0.3">
      <c r="A457" s="765"/>
      <c r="E457" s="258" t="str">
        <f>$AX$92</f>
        <v>Telitalálat: 10 p</v>
      </c>
      <c r="H457" s="670" t="str">
        <f t="shared" ref="H457:AK457" si="313">IF(OR(BC456,NOT($AS$20)),"",IF(AND(H455=$E455,H456=$E456),"ü",""))</f>
        <v/>
      </c>
      <c r="I457" s="671" t="str">
        <f t="shared" si="313"/>
        <v/>
      </c>
      <c r="J457" s="671" t="str">
        <f t="shared" si="313"/>
        <v/>
      </c>
      <c r="K457" s="671" t="str">
        <f t="shared" si="313"/>
        <v/>
      </c>
      <c r="L457" s="671" t="str">
        <f t="shared" si="313"/>
        <v/>
      </c>
      <c r="M457" s="671" t="str">
        <f t="shared" si="313"/>
        <v/>
      </c>
      <c r="N457" s="671" t="str">
        <f t="shared" si="313"/>
        <v/>
      </c>
      <c r="O457" s="671" t="str">
        <f t="shared" si="313"/>
        <v/>
      </c>
      <c r="P457" s="671" t="str">
        <f t="shared" si="313"/>
        <v/>
      </c>
      <c r="Q457" s="671" t="str">
        <f t="shared" si="313"/>
        <v/>
      </c>
      <c r="R457" s="671" t="str">
        <f t="shared" si="313"/>
        <v/>
      </c>
      <c r="S457" s="671" t="str">
        <f t="shared" si="313"/>
        <v/>
      </c>
      <c r="T457" s="671" t="str">
        <f t="shared" si="313"/>
        <v/>
      </c>
      <c r="U457" s="671" t="str">
        <f t="shared" si="313"/>
        <v/>
      </c>
      <c r="V457" s="671" t="str">
        <f t="shared" si="313"/>
        <v/>
      </c>
      <c r="W457" s="671" t="str">
        <f t="shared" si="313"/>
        <v/>
      </c>
      <c r="X457" s="671" t="str">
        <f t="shared" si="313"/>
        <v/>
      </c>
      <c r="Y457" s="671" t="str">
        <f t="shared" si="313"/>
        <v/>
      </c>
      <c r="Z457" s="671" t="str">
        <f t="shared" si="313"/>
        <v/>
      </c>
      <c r="AA457" s="671" t="str">
        <f t="shared" si="313"/>
        <v/>
      </c>
      <c r="AB457" s="671" t="str">
        <f t="shared" si="313"/>
        <v/>
      </c>
      <c r="AC457" s="671" t="str">
        <f t="shared" si="313"/>
        <v/>
      </c>
      <c r="AD457" s="671" t="str">
        <f t="shared" si="313"/>
        <v/>
      </c>
      <c r="AE457" s="671" t="str">
        <f t="shared" si="313"/>
        <v/>
      </c>
      <c r="AF457" s="671" t="str">
        <f t="shared" si="313"/>
        <v/>
      </c>
      <c r="AG457" s="671" t="str">
        <f t="shared" si="313"/>
        <v/>
      </c>
      <c r="AH457" s="671" t="str">
        <f t="shared" si="313"/>
        <v/>
      </c>
      <c r="AI457" s="671" t="str">
        <f t="shared" si="313"/>
        <v/>
      </c>
      <c r="AJ457" s="671" t="str">
        <f t="shared" si="313"/>
        <v/>
      </c>
      <c r="AK457" s="672" t="str">
        <f t="shared" si="313"/>
        <v/>
      </c>
      <c r="AL457" s="15"/>
      <c r="AM457" s="15"/>
      <c r="AP457" s="536"/>
      <c r="AR457" s="537"/>
      <c r="AS457" s="529"/>
      <c r="AW457" s="390" t="str">
        <f>""</f>
        <v/>
      </c>
      <c r="AX457" s="531"/>
      <c r="AY457" s="390" t="str">
        <f>""</f>
        <v/>
      </c>
      <c r="BD457" s="520"/>
      <c r="BE457" s="520"/>
      <c r="BF457" s="520"/>
      <c r="BG457" s="520"/>
      <c r="BH457" s="520"/>
      <c r="BI457" s="520"/>
      <c r="BJ457" s="520"/>
      <c r="BK457" s="520"/>
      <c r="BL457" s="520"/>
      <c r="BM457" s="520"/>
      <c r="BN457" s="520"/>
      <c r="BO457" s="520"/>
      <c r="BP457" s="520"/>
      <c r="BQ457" s="520"/>
      <c r="BR457" s="520"/>
      <c r="BS457" s="520"/>
      <c r="BT457" s="520"/>
      <c r="BU457" s="520"/>
      <c r="BV457" s="520"/>
      <c r="BW457" s="520"/>
      <c r="BX457" s="520"/>
      <c r="BY457" s="520"/>
    </row>
    <row r="458" spans="1:84" ht="12" customHeight="1" x14ac:dyDescent="0.3">
      <c r="A458" s="765"/>
      <c r="E458" s="258" t="str">
        <f>$AX$93</f>
        <v>Gólkülönbség: 6 p</v>
      </c>
      <c r="H458" s="673" t="str">
        <f t="shared" ref="H458:AK458" si="314">IF(OR(BC456,NOT($AS$22)),"",IF(AND(NOT($AS$32),H457="ü"),"",IF(H455-H456=$E455-$E456,"ü"," ")))</f>
        <v/>
      </c>
      <c r="I458" s="674" t="str">
        <f t="shared" si="314"/>
        <v/>
      </c>
      <c r="J458" s="674" t="str">
        <f t="shared" si="314"/>
        <v/>
      </c>
      <c r="K458" s="674" t="str">
        <f t="shared" si="314"/>
        <v/>
      </c>
      <c r="L458" s="674" t="str">
        <f t="shared" si="314"/>
        <v/>
      </c>
      <c r="M458" s="674" t="str">
        <f t="shared" si="314"/>
        <v/>
      </c>
      <c r="N458" s="674" t="str">
        <f t="shared" si="314"/>
        <v/>
      </c>
      <c r="O458" s="674" t="str">
        <f t="shared" si="314"/>
        <v/>
      </c>
      <c r="P458" s="674" t="str">
        <f t="shared" si="314"/>
        <v/>
      </c>
      <c r="Q458" s="674" t="str">
        <f t="shared" si="314"/>
        <v/>
      </c>
      <c r="R458" s="674" t="str">
        <f t="shared" si="314"/>
        <v/>
      </c>
      <c r="S458" s="674" t="str">
        <f t="shared" si="314"/>
        <v/>
      </c>
      <c r="T458" s="674" t="str">
        <f t="shared" si="314"/>
        <v/>
      </c>
      <c r="U458" s="674" t="str">
        <f t="shared" si="314"/>
        <v/>
      </c>
      <c r="V458" s="674" t="str">
        <f t="shared" si="314"/>
        <v/>
      </c>
      <c r="W458" s="674" t="str">
        <f t="shared" si="314"/>
        <v/>
      </c>
      <c r="X458" s="674" t="str">
        <f t="shared" si="314"/>
        <v/>
      </c>
      <c r="Y458" s="674" t="str">
        <f t="shared" si="314"/>
        <v/>
      </c>
      <c r="Z458" s="674" t="str">
        <f t="shared" si="314"/>
        <v/>
      </c>
      <c r="AA458" s="674" t="str">
        <f t="shared" si="314"/>
        <v/>
      </c>
      <c r="AB458" s="674" t="str">
        <f t="shared" si="314"/>
        <v/>
      </c>
      <c r="AC458" s="674" t="str">
        <f t="shared" si="314"/>
        <v/>
      </c>
      <c r="AD458" s="674" t="str">
        <f t="shared" si="314"/>
        <v/>
      </c>
      <c r="AE458" s="674" t="str">
        <f t="shared" si="314"/>
        <v/>
      </c>
      <c r="AF458" s="674" t="str">
        <f t="shared" si="314"/>
        <v/>
      </c>
      <c r="AG458" s="674" t="str">
        <f t="shared" si="314"/>
        <v/>
      </c>
      <c r="AH458" s="674" t="str">
        <f t="shared" si="314"/>
        <v/>
      </c>
      <c r="AI458" s="674" t="str">
        <f t="shared" si="314"/>
        <v/>
      </c>
      <c r="AJ458" s="674" t="str">
        <f t="shared" si="314"/>
        <v/>
      </c>
      <c r="AK458" s="675" t="str">
        <f t="shared" si="314"/>
        <v/>
      </c>
      <c r="AL458" s="15"/>
      <c r="AM458" s="15"/>
      <c r="AP458" s="536"/>
      <c r="AR458" s="537"/>
      <c r="AS458" s="529"/>
      <c r="AW458" s="390" t="str">
        <f>""</f>
        <v/>
      </c>
      <c r="AX458" s="531"/>
      <c r="AY458" s="390" t="str">
        <f>""</f>
        <v/>
      </c>
      <c r="BD458" s="520"/>
      <c r="BE458" s="520"/>
      <c r="BF458" s="520"/>
      <c r="BG458" s="520"/>
      <c r="BH458" s="520"/>
      <c r="BI458" s="520"/>
      <c r="BJ458" s="520"/>
      <c r="BK458" s="520"/>
      <c r="BL458" s="520"/>
      <c r="BM458" s="520"/>
      <c r="BN458" s="520"/>
      <c r="BO458" s="520"/>
      <c r="BP458" s="520"/>
      <c r="BQ458" s="520"/>
      <c r="BR458" s="520"/>
      <c r="BS458" s="520"/>
      <c r="BT458" s="520"/>
      <c r="BU458" s="520"/>
      <c r="BV458" s="520"/>
      <c r="BW458" s="520"/>
      <c r="BX458" s="520"/>
      <c r="BY458" s="520"/>
    </row>
    <row r="459" spans="1:84" ht="12" customHeight="1" x14ac:dyDescent="0.3">
      <c r="A459" s="765"/>
      <c r="E459" s="258" t="str">
        <f>$AX$94</f>
        <v>Mérkőzés kimenetele: 4 p</v>
      </c>
      <c r="H459" s="673" t="str">
        <f t="shared" ref="H459:AK459" si="315">IF(OR(BC456,NOT($AS$24)),"",IF(AND(NOT($AS$32),COUNTIF(H457:H458,"ü")&gt;0),"",IF(SIGN(H455-H456)=SIGN($E455-$E456),"ü"," ")))</f>
        <v/>
      </c>
      <c r="I459" s="674" t="str">
        <f t="shared" si="315"/>
        <v/>
      </c>
      <c r="J459" s="674" t="str">
        <f t="shared" si="315"/>
        <v/>
      </c>
      <c r="K459" s="674" t="str">
        <f t="shared" si="315"/>
        <v/>
      </c>
      <c r="L459" s="674" t="str">
        <f t="shared" si="315"/>
        <v/>
      </c>
      <c r="M459" s="674" t="str">
        <f t="shared" si="315"/>
        <v/>
      </c>
      <c r="N459" s="674" t="str">
        <f t="shared" si="315"/>
        <v/>
      </c>
      <c r="O459" s="674" t="str">
        <f t="shared" si="315"/>
        <v/>
      </c>
      <c r="P459" s="674" t="str">
        <f t="shared" si="315"/>
        <v/>
      </c>
      <c r="Q459" s="674" t="str">
        <f t="shared" si="315"/>
        <v/>
      </c>
      <c r="R459" s="674" t="str">
        <f t="shared" si="315"/>
        <v/>
      </c>
      <c r="S459" s="674" t="str">
        <f t="shared" si="315"/>
        <v/>
      </c>
      <c r="T459" s="674" t="str">
        <f t="shared" si="315"/>
        <v/>
      </c>
      <c r="U459" s="674" t="str">
        <f t="shared" si="315"/>
        <v/>
      </c>
      <c r="V459" s="674" t="str">
        <f t="shared" si="315"/>
        <v/>
      </c>
      <c r="W459" s="674" t="str">
        <f t="shared" si="315"/>
        <v/>
      </c>
      <c r="X459" s="674" t="str">
        <f t="shared" si="315"/>
        <v/>
      </c>
      <c r="Y459" s="674" t="str">
        <f t="shared" si="315"/>
        <v/>
      </c>
      <c r="Z459" s="674" t="str">
        <f t="shared" si="315"/>
        <v/>
      </c>
      <c r="AA459" s="674" t="str">
        <f t="shared" si="315"/>
        <v/>
      </c>
      <c r="AB459" s="674" t="str">
        <f t="shared" si="315"/>
        <v/>
      </c>
      <c r="AC459" s="674" t="str">
        <f t="shared" si="315"/>
        <v/>
      </c>
      <c r="AD459" s="674" t="str">
        <f t="shared" si="315"/>
        <v/>
      </c>
      <c r="AE459" s="674" t="str">
        <f t="shared" si="315"/>
        <v/>
      </c>
      <c r="AF459" s="674" t="str">
        <f t="shared" si="315"/>
        <v/>
      </c>
      <c r="AG459" s="674" t="str">
        <f t="shared" si="315"/>
        <v/>
      </c>
      <c r="AH459" s="674" t="str">
        <f t="shared" si="315"/>
        <v/>
      </c>
      <c r="AI459" s="674" t="str">
        <f t="shared" si="315"/>
        <v/>
      </c>
      <c r="AJ459" s="674" t="str">
        <f t="shared" si="315"/>
        <v/>
      </c>
      <c r="AK459" s="675" t="str">
        <f t="shared" si="315"/>
        <v/>
      </c>
      <c r="AL459" s="15"/>
      <c r="AM459" s="15"/>
      <c r="AP459" s="536"/>
      <c r="AR459" s="537"/>
      <c r="AS459" s="529"/>
      <c r="AW459" s="390" t="str">
        <f>""</f>
        <v/>
      </c>
      <c r="AX459" s="531"/>
      <c r="AY459" s="390" t="str">
        <f>""</f>
        <v/>
      </c>
      <c r="BD459" s="520"/>
      <c r="BE459" s="520"/>
      <c r="BF459" s="520"/>
      <c r="BG459" s="520"/>
      <c r="BH459" s="520"/>
      <c r="BI459" s="520"/>
      <c r="BJ459" s="520"/>
      <c r="BK459" s="520"/>
      <c r="BL459" s="520"/>
      <c r="BM459" s="520"/>
      <c r="BN459" s="520"/>
      <c r="BO459" s="520"/>
      <c r="BP459" s="520"/>
      <c r="BQ459" s="520"/>
      <c r="BR459" s="520"/>
      <c r="BS459" s="520"/>
      <c r="BT459" s="520"/>
      <c r="BU459" s="520"/>
      <c r="BV459" s="520"/>
      <c r="BW459" s="520"/>
      <c r="BX459" s="520"/>
      <c r="BY459" s="520"/>
    </row>
    <row r="460" spans="1:84" ht="12" customHeight="1" x14ac:dyDescent="0.3">
      <c r="A460" s="765"/>
      <c r="E460" s="258" t="str">
        <f>$AX$95</f>
        <v>Egyik csapat góljainak száma: 3 p</v>
      </c>
      <c r="H460" s="673" t="str">
        <f t="shared" ref="H460:AK460" si="316">IF(OR(BC456,NOT($AS$26)),"",IF(AND(NOT($AS$32),COUNTIF(H457:H459,"ü")&gt;0),"",IF(OR(H455=$E455,H456=$E456),"ü"," ")))</f>
        <v/>
      </c>
      <c r="I460" s="674" t="str">
        <f t="shared" si="316"/>
        <v/>
      </c>
      <c r="J460" s="674" t="str">
        <f t="shared" si="316"/>
        <v/>
      </c>
      <c r="K460" s="674" t="str">
        <f t="shared" si="316"/>
        <v/>
      </c>
      <c r="L460" s="674" t="str">
        <f t="shared" si="316"/>
        <v/>
      </c>
      <c r="M460" s="674" t="str">
        <f t="shared" si="316"/>
        <v/>
      </c>
      <c r="N460" s="674" t="str">
        <f t="shared" si="316"/>
        <v/>
      </c>
      <c r="O460" s="674" t="str">
        <f t="shared" si="316"/>
        <v/>
      </c>
      <c r="P460" s="674" t="str">
        <f t="shared" si="316"/>
        <v/>
      </c>
      <c r="Q460" s="674" t="str">
        <f t="shared" si="316"/>
        <v/>
      </c>
      <c r="R460" s="674" t="str">
        <f t="shared" si="316"/>
        <v/>
      </c>
      <c r="S460" s="674" t="str">
        <f t="shared" si="316"/>
        <v/>
      </c>
      <c r="T460" s="674" t="str">
        <f t="shared" si="316"/>
        <v/>
      </c>
      <c r="U460" s="674" t="str">
        <f t="shared" si="316"/>
        <v/>
      </c>
      <c r="V460" s="674" t="str">
        <f t="shared" si="316"/>
        <v/>
      </c>
      <c r="W460" s="674" t="str">
        <f t="shared" si="316"/>
        <v/>
      </c>
      <c r="X460" s="674" t="str">
        <f t="shared" si="316"/>
        <v/>
      </c>
      <c r="Y460" s="674" t="str">
        <f t="shared" si="316"/>
        <v/>
      </c>
      <c r="Z460" s="674" t="str">
        <f t="shared" si="316"/>
        <v/>
      </c>
      <c r="AA460" s="674" t="str">
        <f t="shared" si="316"/>
        <v/>
      </c>
      <c r="AB460" s="674" t="str">
        <f t="shared" si="316"/>
        <v/>
      </c>
      <c r="AC460" s="674" t="str">
        <f t="shared" si="316"/>
        <v/>
      </c>
      <c r="AD460" s="674" t="str">
        <f t="shared" si="316"/>
        <v/>
      </c>
      <c r="AE460" s="674" t="str">
        <f t="shared" si="316"/>
        <v/>
      </c>
      <c r="AF460" s="674" t="str">
        <f t="shared" si="316"/>
        <v/>
      </c>
      <c r="AG460" s="674" t="str">
        <f t="shared" si="316"/>
        <v/>
      </c>
      <c r="AH460" s="674" t="str">
        <f t="shared" si="316"/>
        <v/>
      </c>
      <c r="AI460" s="674" t="str">
        <f t="shared" si="316"/>
        <v/>
      </c>
      <c r="AJ460" s="674" t="str">
        <f t="shared" si="316"/>
        <v/>
      </c>
      <c r="AK460" s="675" t="str">
        <f t="shared" si="316"/>
        <v/>
      </c>
      <c r="AL460" s="15"/>
      <c r="AM460" s="15"/>
      <c r="AP460" s="536"/>
      <c r="AR460" s="537"/>
      <c r="AS460" s="529"/>
      <c r="AW460" s="390" t="str">
        <f>""</f>
        <v/>
      </c>
      <c r="AX460" s="531"/>
      <c r="AY460" s="390" t="str">
        <f>""</f>
        <v/>
      </c>
      <c r="BD460" s="520"/>
      <c r="BE460" s="520"/>
      <c r="BF460" s="520"/>
      <c r="BG460" s="520"/>
      <c r="BH460" s="520"/>
      <c r="BI460" s="520"/>
      <c r="BJ460" s="520"/>
      <c r="BK460" s="520"/>
      <c r="BL460" s="520"/>
      <c r="BM460" s="520"/>
      <c r="BN460" s="520"/>
      <c r="BO460" s="520"/>
      <c r="BP460" s="520"/>
      <c r="BQ460" s="520"/>
      <c r="BR460" s="520"/>
      <c r="BS460" s="520"/>
      <c r="BT460" s="520"/>
      <c r="BU460" s="520"/>
      <c r="BV460" s="520"/>
      <c r="BW460" s="520"/>
      <c r="BX460" s="520"/>
      <c r="BY460" s="520"/>
    </row>
    <row r="461" spans="1:84" ht="12" customHeight="1" x14ac:dyDescent="0.3">
      <c r="A461" s="765"/>
      <c r="E461" s="258" t="str">
        <f>$AX$96</f>
        <v>Összes gól: 2 p</v>
      </c>
      <c r="H461" s="673" t="str">
        <f t="shared" ref="H461:AK461" si="317">IF(OR(BC456,NOT($AS$28)),"",IF(AND(NOT($AS$32),COUNTIF(H457:H460,"ü")&gt;0),"",IF(H455+H456=$E455+$E456,"ü"," ")))</f>
        <v/>
      </c>
      <c r="I461" s="674" t="str">
        <f t="shared" si="317"/>
        <v/>
      </c>
      <c r="J461" s="674" t="str">
        <f t="shared" si="317"/>
        <v/>
      </c>
      <c r="K461" s="674" t="str">
        <f t="shared" si="317"/>
        <v/>
      </c>
      <c r="L461" s="674" t="str">
        <f t="shared" si="317"/>
        <v/>
      </c>
      <c r="M461" s="674" t="str">
        <f t="shared" si="317"/>
        <v/>
      </c>
      <c r="N461" s="674" t="str">
        <f t="shared" si="317"/>
        <v/>
      </c>
      <c r="O461" s="674" t="str">
        <f t="shared" si="317"/>
        <v/>
      </c>
      <c r="P461" s="674" t="str">
        <f t="shared" si="317"/>
        <v/>
      </c>
      <c r="Q461" s="674" t="str">
        <f t="shared" si="317"/>
        <v/>
      </c>
      <c r="R461" s="674" t="str">
        <f t="shared" si="317"/>
        <v/>
      </c>
      <c r="S461" s="674" t="str">
        <f t="shared" si="317"/>
        <v/>
      </c>
      <c r="T461" s="674" t="str">
        <f t="shared" si="317"/>
        <v/>
      </c>
      <c r="U461" s="674" t="str">
        <f t="shared" si="317"/>
        <v/>
      </c>
      <c r="V461" s="674" t="str">
        <f t="shared" si="317"/>
        <v/>
      </c>
      <c r="W461" s="674" t="str">
        <f t="shared" si="317"/>
        <v/>
      </c>
      <c r="X461" s="674" t="str">
        <f t="shared" si="317"/>
        <v/>
      </c>
      <c r="Y461" s="674" t="str">
        <f t="shared" si="317"/>
        <v/>
      </c>
      <c r="Z461" s="674" t="str">
        <f t="shared" si="317"/>
        <v/>
      </c>
      <c r="AA461" s="674" t="str">
        <f t="shared" si="317"/>
        <v/>
      </c>
      <c r="AB461" s="674" t="str">
        <f t="shared" si="317"/>
        <v/>
      </c>
      <c r="AC461" s="674" t="str">
        <f t="shared" si="317"/>
        <v/>
      </c>
      <c r="AD461" s="674" t="str">
        <f t="shared" si="317"/>
        <v/>
      </c>
      <c r="AE461" s="674" t="str">
        <f t="shared" si="317"/>
        <v/>
      </c>
      <c r="AF461" s="674" t="str">
        <f t="shared" si="317"/>
        <v/>
      </c>
      <c r="AG461" s="674" t="str">
        <f t="shared" si="317"/>
        <v/>
      </c>
      <c r="AH461" s="674" t="str">
        <f t="shared" si="317"/>
        <v/>
      </c>
      <c r="AI461" s="674" t="str">
        <f t="shared" si="317"/>
        <v/>
      </c>
      <c r="AJ461" s="674" t="str">
        <f t="shared" si="317"/>
        <v/>
      </c>
      <c r="AK461" s="675" t="str">
        <f t="shared" si="317"/>
        <v/>
      </c>
      <c r="AL461" s="15"/>
      <c r="AM461" s="15"/>
      <c r="AP461" s="536"/>
      <c r="AR461" s="537"/>
      <c r="AS461" s="529"/>
      <c r="AW461" s="390" t="str">
        <f>""</f>
        <v/>
      </c>
      <c r="AX461" s="531"/>
      <c r="AY461" s="390" t="str">
        <f>""</f>
        <v/>
      </c>
      <c r="BD461" s="520"/>
      <c r="BE461" s="520"/>
      <c r="BF461" s="520"/>
      <c r="BG461" s="520"/>
      <c r="BH461" s="520"/>
      <c r="BI461" s="520"/>
      <c r="BJ461" s="520"/>
      <c r="BK461" s="520"/>
      <c r="BL461" s="520"/>
      <c r="BM461" s="520"/>
      <c r="BN461" s="520"/>
      <c r="BO461" s="520"/>
      <c r="BP461" s="520"/>
      <c r="BQ461" s="520"/>
      <c r="BR461" s="520"/>
      <c r="BS461" s="520"/>
      <c r="BT461" s="520"/>
      <c r="BU461" s="520"/>
      <c r="BV461" s="520"/>
      <c r="BW461" s="520"/>
      <c r="BX461" s="520"/>
      <c r="BY461" s="520"/>
    </row>
    <row r="462" spans="1:84" ht="12" customHeight="1" x14ac:dyDescent="0.3">
      <c r="A462" s="765"/>
      <c r="E462" s="258" t="str">
        <f>$AX$97</f>
        <v>Fordított gólkülönbség: 1 p</v>
      </c>
      <c r="H462" s="676" t="str">
        <f t="shared" ref="H462:AK462" si="318">IF(OR(BC456,NOT($AS$30)),"",IF(AND(NOT($AS$32),COUNTIF(H457:H461,"ü")&gt;0),"",IF(AND(H455-H456=$E456-$E455,H455&lt;&gt;H456),"ü"," ")))</f>
        <v/>
      </c>
      <c r="I462" s="677" t="str">
        <f t="shared" si="318"/>
        <v/>
      </c>
      <c r="J462" s="677" t="str">
        <f t="shared" si="318"/>
        <v/>
      </c>
      <c r="K462" s="677" t="str">
        <f t="shared" si="318"/>
        <v/>
      </c>
      <c r="L462" s="677" t="str">
        <f t="shared" si="318"/>
        <v/>
      </c>
      <c r="M462" s="677" t="str">
        <f t="shared" si="318"/>
        <v/>
      </c>
      <c r="N462" s="677" t="str">
        <f t="shared" si="318"/>
        <v/>
      </c>
      <c r="O462" s="677" t="str">
        <f t="shared" si="318"/>
        <v/>
      </c>
      <c r="P462" s="677" t="str">
        <f t="shared" si="318"/>
        <v/>
      </c>
      <c r="Q462" s="677" t="str">
        <f t="shared" si="318"/>
        <v/>
      </c>
      <c r="R462" s="677" t="str">
        <f t="shared" si="318"/>
        <v/>
      </c>
      <c r="S462" s="677" t="str">
        <f t="shared" si="318"/>
        <v/>
      </c>
      <c r="T462" s="677" t="str">
        <f t="shared" si="318"/>
        <v/>
      </c>
      <c r="U462" s="677" t="str">
        <f t="shared" si="318"/>
        <v/>
      </c>
      <c r="V462" s="677" t="str">
        <f t="shared" si="318"/>
        <v/>
      </c>
      <c r="W462" s="677" t="str">
        <f t="shared" si="318"/>
        <v/>
      </c>
      <c r="X462" s="677" t="str">
        <f t="shared" si="318"/>
        <v/>
      </c>
      <c r="Y462" s="677" t="str">
        <f t="shared" si="318"/>
        <v/>
      </c>
      <c r="Z462" s="677" t="str">
        <f t="shared" si="318"/>
        <v/>
      </c>
      <c r="AA462" s="677" t="str">
        <f t="shared" si="318"/>
        <v/>
      </c>
      <c r="AB462" s="677" t="str">
        <f t="shared" si="318"/>
        <v/>
      </c>
      <c r="AC462" s="677" t="str">
        <f t="shared" si="318"/>
        <v/>
      </c>
      <c r="AD462" s="677" t="str">
        <f t="shared" si="318"/>
        <v/>
      </c>
      <c r="AE462" s="677" t="str">
        <f t="shared" si="318"/>
        <v/>
      </c>
      <c r="AF462" s="677" t="str">
        <f t="shared" si="318"/>
        <v/>
      </c>
      <c r="AG462" s="677" t="str">
        <f t="shared" si="318"/>
        <v/>
      </c>
      <c r="AH462" s="677" t="str">
        <f t="shared" si="318"/>
        <v/>
      </c>
      <c r="AI462" s="677" t="str">
        <f t="shared" si="318"/>
        <v/>
      </c>
      <c r="AJ462" s="677" t="str">
        <f t="shared" si="318"/>
        <v/>
      </c>
      <c r="AK462" s="678" t="str">
        <f t="shared" si="318"/>
        <v/>
      </c>
      <c r="AL462" s="15"/>
      <c r="AM462" s="15"/>
      <c r="AP462" s="536"/>
      <c r="AR462" s="537"/>
      <c r="AS462" s="529"/>
      <c r="AW462" s="390" t="str">
        <f>""</f>
        <v/>
      </c>
      <c r="AX462" s="531"/>
      <c r="AY462" s="390" t="str">
        <f>""</f>
        <v/>
      </c>
      <c r="BD462" s="520"/>
      <c r="BE462" s="520"/>
      <c r="BF462" s="520"/>
      <c r="BG462" s="520"/>
      <c r="BH462" s="520"/>
      <c r="BI462" s="520"/>
      <c r="BJ462" s="520"/>
      <c r="BK462" s="520"/>
      <c r="BL462" s="520"/>
      <c r="BM462" s="520"/>
      <c r="BN462" s="520"/>
      <c r="BO462" s="520"/>
      <c r="BP462" s="520"/>
      <c r="BQ462" s="520"/>
      <c r="BR462" s="520"/>
      <c r="BS462" s="520"/>
      <c r="BT462" s="520"/>
      <c r="BU462" s="520"/>
      <c r="BV462" s="520"/>
      <c r="BW462" s="520"/>
      <c r="BX462" s="520"/>
      <c r="BY462" s="520"/>
    </row>
    <row r="463" spans="1:84" ht="15" customHeight="1" x14ac:dyDescent="0.3">
      <c r="A463" s="765"/>
      <c r="E463" s="79" t="s">
        <v>799</v>
      </c>
      <c r="H463" s="679">
        <f t="shared" ref="H463:AK463" si="319">IF(NOT(H$13),"",SUMPRODUCT((H457:H462="ü")*($AW$92:$AW$97)))</f>
        <v>0</v>
      </c>
      <c r="I463" s="680">
        <f t="shared" si="319"/>
        <v>0</v>
      </c>
      <c r="J463" s="680">
        <f t="shared" si="319"/>
        <v>0</v>
      </c>
      <c r="K463" s="680">
        <f t="shared" si="319"/>
        <v>0</v>
      </c>
      <c r="L463" s="680">
        <f t="shared" si="319"/>
        <v>0</v>
      </c>
      <c r="M463" s="680">
        <f t="shared" si="319"/>
        <v>0</v>
      </c>
      <c r="N463" s="680">
        <f t="shared" si="319"/>
        <v>0</v>
      </c>
      <c r="O463" s="680">
        <f t="shared" si="319"/>
        <v>0</v>
      </c>
      <c r="P463" s="680">
        <f t="shared" si="319"/>
        <v>0</v>
      </c>
      <c r="Q463" s="680">
        <f t="shared" si="319"/>
        <v>0</v>
      </c>
      <c r="R463" s="680">
        <f t="shared" si="319"/>
        <v>0</v>
      </c>
      <c r="S463" s="680">
        <f t="shared" si="319"/>
        <v>0</v>
      </c>
      <c r="T463" s="680">
        <f t="shared" si="319"/>
        <v>0</v>
      </c>
      <c r="U463" s="680">
        <f t="shared" si="319"/>
        <v>0</v>
      </c>
      <c r="V463" s="680">
        <f t="shared" si="319"/>
        <v>0</v>
      </c>
      <c r="W463" s="680">
        <f t="shared" si="319"/>
        <v>0</v>
      </c>
      <c r="X463" s="680">
        <f t="shared" si="319"/>
        <v>0</v>
      </c>
      <c r="Y463" s="680">
        <f t="shared" si="319"/>
        <v>0</v>
      </c>
      <c r="Z463" s="680">
        <f t="shared" si="319"/>
        <v>0</v>
      </c>
      <c r="AA463" s="680">
        <f t="shared" si="319"/>
        <v>0</v>
      </c>
      <c r="AB463" s="680">
        <f t="shared" si="319"/>
        <v>0</v>
      </c>
      <c r="AC463" s="680">
        <f t="shared" si="319"/>
        <v>0</v>
      </c>
      <c r="AD463" s="680">
        <f t="shared" si="319"/>
        <v>0</v>
      </c>
      <c r="AE463" s="680" t="str">
        <f t="shared" si="319"/>
        <v/>
      </c>
      <c r="AF463" s="680" t="str">
        <f t="shared" si="319"/>
        <v/>
      </c>
      <c r="AG463" s="680" t="str">
        <f t="shared" si="319"/>
        <v/>
      </c>
      <c r="AH463" s="680" t="str">
        <f t="shared" si="319"/>
        <v/>
      </c>
      <c r="AI463" s="680" t="str">
        <f t="shared" si="319"/>
        <v/>
      </c>
      <c r="AJ463" s="680" t="str">
        <f t="shared" si="319"/>
        <v/>
      </c>
      <c r="AK463" s="681" t="str">
        <f t="shared" si="319"/>
        <v/>
      </c>
      <c r="AP463" s="536"/>
      <c r="AR463" s="537"/>
      <c r="AS463" s="529"/>
    </row>
    <row r="464" spans="1:84" ht="9" customHeight="1" x14ac:dyDescent="0.3">
      <c r="A464" s="765"/>
      <c r="D464" s="15"/>
      <c r="E464" s="15"/>
      <c r="F464" s="15"/>
      <c r="G464" s="15"/>
      <c r="H464" s="15"/>
      <c r="I464" s="16"/>
      <c r="J464" s="15"/>
      <c r="K464" s="15"/>
      <c r="L464" s="16"/>
      <c r="M464" s="15"/>
      <c r="N464" s="15"/>
      <c r="O464" s="16"/>
      <c r="P464" s="15"/>
      <c r="Q464" s="15"/>
      <c r="R464" s="16"/>
      <c r="S464" s="15"/>
      <c r="T464" s="15"/>
      <c r="U464" s="16"/>
      <c r="V464" s="15"/>
      <c r="W464" s="15"/>
      <c r="X464" s="16"/>
      <c r="Y464" s="15"/>
      <c r="Z464" s="15"/>
      <c r="AA464" s="16"/>
      <c r="AB464" s="15"/>
      <c r="AC464" s="15"/>
      <c r="AD464" s="16"/>
      <c r="AE464" s="15"/>
      <c r="AF464" s="15"/>
      <c r="AG464" s="16"/>
      <c r="AH464" s="15"/>
      <c r="AI464" s="15"/>
      <c r="AJ464" s="16"/>
      <c r="AK464" s="15"/>
      <c r="AP464" s="536"/>
      <c r="AR464" s="537"/>
      <c r="AS464" s="529"/>
    </row>
    <row r="465" spans="1:84" ht="15" customHeight="1" x14ac:dyDescent="0.3">
      <c r="A465" s="765"/>
      <c r="C465" s="27" t="str">
        <f>" "&amp;VLOOKUP(AQ466,schedule,18,FALSE)&amp;"  ("&amp;VLOOKUP(AQ466,schedule,3,FALSE)&amp;" CSOPORT)"</f>
        <v xml:space="preserve"> JÚNIUS 23. – SZERDA 18:00  (E CSOPORT)</v>
      </c>
      <c r="D465" s="27"/>
      <c r="E465" s="26"/>
      <c r="F465" s="26"/>
      <c r="G465" s="26"/>
      <c r="H465" s="26"/>
      <c r="I465" s="26"/>
      <c r="J465" s="26"/>
      <c r="AP465" s="536"/>
      <c r="AR465" s="537"/>
      <c r="AS465" s="529"/>
    </row>
    <row r="466" spans="1:84" ht="15" customHeight="1" x14ac:dyDescent="0.3">
      <c r="A466" s="765"/>
      <c r="C466" s="661"/>
      <c r="D466" s="662" t="str">
        <f>IF(INDEX(n.er,$AR466,8)="","",INDEX(n.er,$AR466,8))</f>
        <v>Szlovákia</v>
      </c>
      <c r="E466" s="663" t="str">
        <f>IF(NOT($AS466),"",INDEX(n.er,$AR466,9))</f>
        <v/>
      </c>
      <c r="F466" s="662"/>
      <c r="G466" s="259"/>
      <c r="H466" s="664">
        <v>0</v>
      </c>
      <c r="I466" s="665">
        <v>4</v>
      </c>
      <c r="J466" s="665">
        <v>1</v>
      </c>
      <c r="K466" s="665">
        <v>1</v>
      </c>
      <c r="L466" s="665">
        <v>0</v>
      </c>
      <c r="M466" s="665">
        <v>0</v>
      </c>
      <c r="N466" s="665">
        <v>0</v>
      </c>
      <c r="O466" s="665">
        <v>2</v>
      </c>
      <c r="P466" s="665">
        <v>1</v>
      </c>
      <c r="Q466" s="665">
        <v>1</v>
      </c>
      <c r="R466" s="665">
        <v>0</v>
      </c>
      <c r="S466" s="665">
        <v>1</v>
      </c>
      <c r="T466" s="665">
        <v>1</v>
      </c>
      <c r="U466" s="665">
        <v>1</v>
      </c>
      <c r="V466" s="665">
        <v>1</v>
      </c>
      <c r="W466" s="665">
        <v>0</v>
      </c>
      <c r="X466" s="665">
        <v>1</v>
      </c>
      <c r="Y466" s="665">
        <v>0</v>
      </c>
      <c r="Z466" s="665">
        <v>0</v>
      </c>
      <c r="AA466" s="665">
        <v>0</v>
      </c>
      <c r="AB466" s="665">
        <v>1</v>
      </c>
      <c r="AC466" s="665">
        <v>0</v>
      </c>
      <c r="AD466" s="665">
        <v>1</v>
      </c>
      <c r="AE466" s="665"/>
      <c r="AF466" s="665"/>
      <c r="AG466" s="665"/>
      <c r="AH466" s="665"/>
      <c r="AI466" s="665"/>
      <c r="AJ466" s="665"/>
      <c r="AK466" s="666"/>
      <c r="AP466" s="52">
        <f>AP455+1</f>
        <v>33</v>
      </c>
      <c r="AQ466" s="311">
        <f>INDEX(schedule,AP466,1)</f>
        <v>33</v>
      </c>
      <c r="AR466" s="311">
        <f>MATCH(AQ466,n.er.index,0)</f>
        <v>81</v>
      </c>
      <c r="AS466" s="532" t="b">
        <f>INDEX(n.er,$AR466,3)</f>
        <v>0</v>
      </c>
      <c r="AT466" s="531"/>
      <c r="AU466" s="531"/>
      <c r="AV466" s="531"/>
      <c r="AW466" s="531"/>
      <c r="AX466" s="531"/>
      <c r="BC466" s="525" t="b">
        <f t="shared" ref="BC466:CF466" si="320">IF(AND(ISNUMBER(H466),ISNUMBER(H467),H466&lt;&gt;"",H467&lt;&gt;""),AND(H466&gt;=0,H467&gt;=0,MOD(H466+H467,1)=0),FALSE)</f>
        <v>1</v>
      </c>
      <c r="BD466" s="525" t="b">
        <f t="shared" si="320"/>
        <v>1</v>
      </c>
      <c r="BE466" s="525" t="b">
        <f t="shared" si="320"/>
        <v>1</v>
      </c>
      <c r="BF466" s="525" t="b">
        <f t="shared" si="320"/>
        <v>1</v>
      </c>
      <c r="BG466" s="525" t="b">
        <f t="shared" si="320"/>
        <v>1</v>
      </c>
      <c r="BH466" s="525" t="b">
        <f t="shared" si="320"/>
        <v>1</v>
      </c>
      <c r="BI466" s="525" t="b">
        <f t="shared" si="320"/>
        <v>1</v>
      </c>
      <c r="BJ466" s="525" t="b">
        <f t="shared" si="320"/>
        <v>1</v>
      </c>
      <c r="BK466" s="525" t="b">
        <f t="shared" si="320"/>
        <v>1</v>
      </c>
      <c r="BL466" s="525" t="b">
        <f t="shared" si="320"/>
        <v>1</v>
      </c>
      <c r="BM466" s="525" t="b">
        <f t="shared" si="320"/>
        <v>1</v>
      </c>
      <c r="BN466" s="525" t="b">
        <f t="shared" si="320"/>
        <v>1</v>
      </c>
      <c r="BO466" s="525" t="b">
        <f t="shared" si="320"/>
        <v>1</v>
      </c>
      <c r="BP466" s="525" t="b">
        <f t="shared" si="320"/>
        <v>1</v>
      </c>
      <c r="BQ466" s="525" t="b">
        <f t="shared" si="320"/>
        <v>1</v>
      </c>
      <c r="BR466" s="525" t="b">
        <f t="shared" si="320"/>
        <v>1</v>
      </c>
      <c r="BS466" s="525" t="b">
        <f t="shared" si="320"/>
        <v>1</v>
      </c>
      <c r="BT466" s="525" t="b">
        <f t="shared" si="320"/>
        <v>1</v>
      </c>
      <c r="BU466" s="525" t="b">
        <f t="shared" si="320"/>
        <v>1</v>
      </c>
      <c r="BV466" s="525" t="b">
        <f t="shared" si="320"/>
        <v>1</v>
      </c>
      <c r="BW466" s="525" t="b">
        <f t="shared" si="320"/>
        <v>1</v>
      </c>
      <c r="BX466" s="525" t="b">
        <f t="shared" si="320"/>
        <v>1</v>
      </c>
      <c r="BY466" s="525" t="b">
        <f t="shared" si="320"/>
        <v>1</v>
      </c>
      <c r="BZ466" s="525" t="b">
        <f t="shared" si="320"/>
        <v>0</v>
      </c>
      <c r="CA466" s="525" t="b">
        <f t="shared" si="320"/>
        <v>0</v>
      </c>
      <c r="CB466" s="525" t="b">
        <f t="shared" si="320"/>
        <v>0</v>
      </c>
      <c r="CC466" s="525" t="b">
        <f t="shared" si="320"/>
        <v>0</v>
      </c>
      <c r="CD466" s="525" t="b">
        <f t="shared" si="320"/>
        <v>0</v>
      </c>
      <c r="CE466" s="525" t="b">
        <f t="shared" si="320"/>
        <v>0</v>
      </c>
      <c r="CF466" s="525" t="b">
        <f t="shared" si="320"/>
        <v>0</v>
      </c>
    </row>
    <row r="467" spans="1:84" ht="15" customHeight="1" x14ac:dyDescent="0.3">
      <c r="A467" s="765"/>
      <c r="C467" s="695"/>
      <c r="D467" s="696" t="str">
        <f>IF(INDEX(n.er,$AR466,11)="","",INDEX(n.er,$AR466,11))</f>
        <v>Spanyolország</v>
      </c>
      <c r="E467" s="697" t="str">
        <f>IF(NOT($AS466),"",INDEX(n.er,$AR466,10))</f>
        <v/>
      </c>
      <c r="F467" s="696"/>
      <c r="G467" s="259"/>
      <c r="H467" s="667">
        <v>3</v>
      </c>
      <c r="I467" s="668">
        <v>3</v>
      </c>
      <c r="J467" s="668">
        <v>2</v>
      </c>
      <c r="K467" s="668">
        <v>3</v>
      </c>
      <c r="L467" s="668">
        <v>2</v>
      </c>
      <c r="M467" s="668">
        <v>4</v>
      </c>
      <c r="N467" s="668">
        <v>2</v>
      </c>
      <c r="O467" s="668">
        <v>4</v>
      </c>
      <c r="P467" s="668">
        <v>3</v>
      </c>
      <c r="Q467" s="668">
        <v>2</v>
      </c>
      <c r="R467" s="668">
        <v>2</v>
      </c>
      <c r="S467" s="668">
        <v>2</v>
      </c>
      <c r="T467" s="668">
        <v>2</v>
      </c>
      <c r="U467" s="668">
        <v>3</v>
      </c>
      <c r="V467" s="668">
        <v>2</v>
      </c>
      <c r="W467" s="668">
        <v>2</v>
      </c>
      <c r="X467" s="668">
        <v>3</v>
      </c>
      <c r="Y467" s="668">
        <v>1</v>
      </c>
      <c r="Z467" s="668">
        <v>2</v>
      </c>
      <c r="AA467" s="668">
        <v>2</v>
      </c>
      <c r="AB467" s="668">
        <v>2</v>
      </c>
      <c r="AC467" s="668">
        <v>2</v>
      </c>
      <c r="AD467" s="668">
        <v>4</v>
      </c>
      <c r="AE467" s="668"/>
      <c r="AF467" s="668"/>
      <c r="AG467" s="668"/>
      <c r="AH467" s="668"/>
      <c r="AI467" s="668"/>
      <c r="AJ467" s="668"/>
      <c r="AK467" s="669"/>
      <c r="AP467" s="533"/>
      <c r="AQ467" s="577"/>
      <c r="AR467" s="534"/>
      <c r="AS467" s="535"/>
      <c r="AX467" s="531"/>
      <c r="BC467" s="34" t="b">
        <f t="shared" ref="BC467:CF467" si="321">OR(NOT(H$13),NOT($AS466),NOT(BC466))</f>
        <v>1</v>
      </c>
      <c r="BD467" s="34" t="b">
        <f t="shared" si="321"/>
        <v>1</v>
      </c>
      <c r="BE467" s="34" t="b">
        <f t="shared" si="321"/>
        <v>1</v>
      </c>
      <c r="BF467" s="34" t="b">
        <f t="shared" si="321"/>
        <v>1</v>
      </c>
      <c r="BG467" s="34" t="b">
        <f t="shared" si="321"/>
        <v>1</v>
      </c>
      <c r="BH467" s="34" t="b">
        <f t="shared" si="321"/>
        <v>1</v>
      </c>
      <c r="BI467" s="34" t="b">
        <f t="shared" si="321"/>
        <v>1</v>
      </c>
      <c r="BJ467" s="34" t="b">
        <f t="shared" si="321"/>
        <v>1</v>
      </c>
      <c r="BK467" s="34" t="b">
        <f t="shared" si="321"/>
        <v>1</v>
      </c>
      <c r="BL467" s="34" t="b">
        <f t="shared" si="321"/>
        <v>1</v>
      </c>
      <c r="BM467" s="34" t="b">
        <f t="shared" si="321"/>
        <v>1</v>
      </c>
      <c r="BN467" s="34" t="b">
        <f t="shared" si="321"/>
        <v>1</v>
      </c>
      <c r="BO467" s="34" t="b">
        <f t="shared" si="321"/>
        <v>1</v>
      </c>
      <c r="BP467" s="34" t="b">
        <f t="shared" si="321"/>
        <v>1</v>
      </c>
      <c r="BQ467" s="34" t="b">
        <f t="shared" si="321"/>
        <v>1</v>
      </c>
      <c r="BR467" s="34" t="b">
        <f t="shared" si="321"/>
        <v>1</v>
      </c>
      <c r="BS467" s="34" t="b">
        <f t="shared" si="321"/>
        <v>1</v>
      </c>
      <c r="BT467" s="34" t="b">
        <f t="shared" si="321"/>
        <v>1</v>
      </c>
      <c r="BU467" s="34" t="b">
        <f t="shared" si="321"/>
        <v>1</v>
      </c>
      <c r="BV467" s="34" t="b">
        <f t="shared" si="321"/>
        <v>1</v>
      </c>
      <c r="BW467" s="34" t="b">
        <f t="shared" si="321"/>
        <v>1</v>
      </c>
      <c r="BX467" s="34" t="b">
        <f t="shared" si="321"/>
        <v>1</v>
      </c>
      <c r="BY467" s="34" t="b">
        <f t="shared" si="321"/>
        <v>1</v>
      </c>
      <c r="BZ467" s="34" t="b">
        <f t="shared" si="321"/>
        <v>1</v>
      </c>
      <c r="CA467" s="34" t="b">
        <f t="shared" si="321"/>
        <v>1</v>
      </c>
      <c r="CB467" s="34" t="b">
        <f t="shared" si="321"/>
        <v>1</v>
      </c>
      <c r="CC467" s="34" t="b">
        <f t="shared" si="321"/>
        <v>1</v>
      </c>
      <c r="CD467" s="34" t="b">
        <f t="shared" si="321"/>
        <v>1</v>
      </c>
      <c r="CE467" s="34" t="b">
        <f t="shared" si="321"/>
        <v>1</v>
      </c>
      <c r="CF467" s="34" t="b">
        <f t="shared" si="321"/>
        <v>1</v>
      </c>
    </row>
    <row r="468" spans="1:84" ht="12" customHeight="1" x14ac:dyDescent="0.3">
      <c r="A468" s="765"/>
      <c r="E468" s="258" t="str">
        <f>$AX$92</f>
        <v>Telitalálat: 10 p</v>
      </c>
      <c r="H468" s="670" t="str">
        <f t="shared" ref="H468:AK468" si="322">IF(OR(BC467,NOT($AS$20)),"",IF(AND(H466=$E466,H467=$E467),"ü",""))</f>
        <v/>
      </c>
      <c r="I468" s="671" t="str">
        <f t="shared" si="322"/>
        <v/>
      </c>
      <c r="J468" s="671" t="str">
        <f t="shared" si="322"/>
        <v/>
      </c>
      <c r="K468" s="671" t="str">
        <f t="shared" si="322"/>
        <v/>
      </c>
      <c r="L468" s="671" t="str">
        <f t="shared" si="322"/>
        <v/>
      </c>
      <c r="M468" s="671" t="str">
        <f t="shared" si="322"/>
        <v/>
      </c>
      <c r="N468" s="671" t="str">
        <f t="shared" si="322"/>
        <v/>
      </c>
      <c r="O468" s="671" t="str">
        <f t="shared" si="322"/>
        <v/>
      </c>
      <c r="P468" s="671" t="str">
        <f t="shared" si="322"/>
        <v/>
      </c>
      <c r="Q468" s="671" t="str">
        <f t="shared" si="322"/>
        <v/>
      </c>
      <c r="R468" s="671" t="str">
        <f t="shared" si="322"/>
        <v/>
      </c>
      <c r="S468" s="671" t="str">
        <f t="shared" si="322"/>
        <v/>
      </c>
      <c r="T468" s="671" t="str">
        <f t="shared" si="322"/>
        <v/>
      </c>
      <c r="U468" s="671" t="str">
        <f t="shared" si="322"/>
        <v/>
      </c>
      <c r="V468" s="671" t="str">
        <f t="shared" si="322"/>
        <v/>
      </c>
      <c r="W468" s="671" t="str">
        <f t="shared" si="322"/>
        <v/>
      </c>
      <c r="X468" s="671" t="str">
        <f t="shared" si="322"/>
        <v/>
      </c>
      <c r="Y468" s="671" t="str">
        <f t="shared" si="322"/>
        <v/>
      </c>
      <c r="Z468" s="671" t="str">
        <f t="shared" si="322"/>
        <v/>
      </c>
      <c r="AA468" s="671" t="str">
        <f t="shared" si="322"/>
        <v/>
      </c>
      <c r="AB468" s="671" t="str">
        <f t="shared" si="322"/>
        <v/>
      </c>
      <c r="AC468" s="671" t="str">
        <f t="shared" si="322"/>
        <v/>
      </c>
      <c r="AD468" s="671" t="str">
        <f t="shared" si="322"/>
        <v/>
      </c>
      <c r="AE468" s="671" t="str">
        <f t="shared" si="322"/>
        <v/>
      </c>
      <c r="AF468" s="671" t="str">
        <f t="shared" si="322"/>
        <v/>
      </c>
      <c r="AG468" s="671" t="str">
        <f t="shared" si="322"/>
        <v/>
      </c>
      <c r="AH468" s="671" t="str">
        <f t="shared" si="322"/>
        <v/>
      </c>
      <c r="AI468" s="671" t="str">
        <f t="shared" si="322"/>
        <v/>
      </c>
      <c r="AJ468" s="671" t="str">
        <f t="shared" si="322"/>
        <v/>
      </c>
      <c r="AK468" s="672" t="str">
        <f t="shared" si="322"/>
        <v/>
      </c>
      <c r="AL468" s="15"/>
      <c r="AM468" s="15"/>
      <c r="AP468" s="536"/>
      <c r="AR468" s="537"/>
      <c r="AS468" s="529"/>
      <c r="AW468" s="390" t="str">
        <f>""</f>
        <v/>
      </c>
      <c r="AX468" s="531"/>
      <c r="AY468" s="390" t="str">
        <f>""</f>
        <v/>
      </c>
      <c r="BD468" s="520"/>
      <c r="BE468" s="520"/>
      <c r="BF468" s="520"/>
      <c r="BG468" s="520"/>
      <c r="BH468" s="520"/>
      <c r="BI468" s="520"/>
      <c r="BJ468" s="520"/>
      <c r="BK468" s="520"/>
      <c r="BL468" s="520"/>
      <c r="BM468" s="520"/>
      <c r="BN468" s="520"/>
      <c r="BO468" s="520"/>
      <c r="BP468" s="520"/>
      <c r="BQ468" s="520"/>
      <c r="BR468" s="520"/>
      <c r="BS468" s="520"/>
      <c r="BT468" s="520"/>
      <c r="BU468" s="520"/>
      <c r="BV468" s="520"/>
      <c r="BW468" s="520"/>
      <c r="BX468" s="520"/>
      <c r="BY468" s="520"/>
    </row>
    <row r="469" spans="1:84" ht="12" customHeight="1" x14ac:dyDescent="0.3">
      <c r="A469" s="765"/>
      <c r="E469" s="258" t="str">
        <f>$AX$93</f>
        <v>Gólkülönbség: 6 p</v>
      </c>
      <c r="H469" s="673" t="str">
        <f t="shared" ref="H469:AK469" si="323">IF(OR(BC467,NOT($AS$22)),"",IF(AND(NOT($AS$32),H468="ü"),"",IF(H466-H467=$E466-$E467,"ü"," ")))</f>
        <v/>
      </c>
      <c r="I469" s="674" t="str">
        <f t="shared" si="323"/>
        <v/>
      </c>
      <c r="J469" s="674" t="str">
        <f t="shared" si="323"/>
        <v/>
      </c>
      <c r="K469" s="674" t="str">
        <f t="shared" si="323"/>
        <v/>
      </c>
      <c r="L469" s="674" t="str">
        <f t="shared" si="323"/>
        <v/>
      </c>
      <c r="M469" s="674" t="str">
        <f t="shared" si="323"/>
        <v/>
      </c>
      <c r="N469" s="674" t="str">
        <f t="shared" si="323"/>
        <v/>
      </c>
      <c r="O469" s="674" t="str">
        <f t="shared" si="323"/>
        <v/>
      </c>
      <c r="P469" s="674" t="str">
        <f t="shared" si="323"/>
        <v/>
      </c>
      <c r="Q469" s="674" t="str">
        <f t="shared" si="323"/>
        <v/>
      </c>
      <c r="R469" s="674" t="str">
        <f t="shared" si="323"/>
        <v/>
      </c>
      <c r="S469" s="674" t="str">
        <f t="shared" si="323"/>
        <v/>
      </c>
      <c r="T469" s="674" t="str">
        <f t="shared" si="323"/>
        <v/>
      </c>
      <c r="U469" s="674" t="str">
        <f t="shared" si="323"/>
        <v/>
      </c>
      <c r="V469" s="674" t="str">
        <f t="shared" si="323"/>
        <v/>
      </c>
      <c r="W469" s="674" t="str">
        <f t="shared" si="323"/>
        <v/>
      </c>
      <c r="X469" s="674" t="str">
        <f t="shared" si="323"/>
        <v/>
      </c>
      <c r="Y469" s="674" t="str">
        <f t="shared" si="323"/>
        <v/>
      </c>
      <c r="Z469" s="674" t="str">
        <f t="shared" si="323"/>
        <v/>
      </c>
      <c r="AA469" s="674" t="str">
        <f t="shared" si="323"/>
        <v/>
      </c>
      <c r="AB469" s="674" t="str">
        <f t="shared" si="323"/>
        <v/>
      </c>
      <c r="AC469" s="674" t="str">
        <f t="shared" si="323"/>
        <v/>
      </c>
      <c r="AD469" s="674" t="str">
        <f t="shared" si="323"/>
        <v/>
      </c>
      <c r="AE469" s="674" t="str">
        <f t="shared" si="323"/>
        <v/>
      </c>
      <c r="AF469" s="674" t="str">
        <f t="shared" si="323"/>
        <v/>
      </c>
      <c r="AG469" s="674" t="str">
        <f t="shared" si="323"/>
        <v/>
      </c>
      <c r="AH469" s="674" t="str">
        <f t="shared" si="323"/>
        <v/>
      </c>
      <c r="AI469" s="674" t="str">
        <f t="shared" si="323"/>
        <v/>
      </c>
      <c r="AJ469" s="674" t="str">
        <f t="shared" si="323"/>
        <v/>
      </c>
      <c r="AK469" s="675" t="str">
        <f t="shared" si="323"/>
        <v/>
      </c>
      <c r="AL469" s="15"/>
      <c r="AM469" s="15"/>
      <c r="AP469" s="536"/>
      <c r="AR469" s="537"/>
      <c r="AS469" s="529"/>
      <c r="AW469" s="390" t="str">
        <f>""</f>
        <v/>
      </c>
      <c r="AX469" s="531"/>
      <c r="AY469" s="390" t="str">
        <f>""</f>
        <v/>
      </c>
      <c r="BD469" s="520"/>
      <c r="BE469" s="520"/>
      <c r="BF469" s="520"/>
      <c r="BG469" s="520"/>
      <c r="BH469" s="520"/>
      <c r="BI469" s="520"/>
      <c r="BJ469" s="520"/>
      <c r="BK469" s="520"/>
      <c r="BL469" s="520"/>
      <c r="BM469" s="520"/>
      <c r="BN469" s="520"/>
      <c r="BO469" s="520"/>
      <c r="BP469" s="520"/>
      <c r="BQ469" s="520"/>
      <c r="BR469" s="520"/>
      <c r="BS469" s="520"/>
      <c r="BT469" s="520"/>
      <c r="BU469" s="520"/>
      <c r="BV469" s="520"/>
      <c r="BW469" s="520"/>
      <c r="BX469" s="520"/>
      <c r="BY469" s="520"/>
    </row>
    <row r="470" spans="1:84" ht="12" customHeight="1" x14ac:dyDescent="0.3">
      <c r="A470" s="765"/>
      <c r="E470" s="258" t="str">
        <f>$AX$94</f>
        <v>Mérkőzés kimenetele: 4 p</v>
      </c>
      <c r="H470" s="673" t="str">
        <f t="shared" ref="H470:AK470" si="324">IF(OR(BC467,NOT($AS$24)),"",IF(AND(NOT($AS$32),COUNTIF(H468:H469,"ü")&gt;0),"",IF(SIGN(H466-H467)=SIGN($E466-$E467),"ü"," ")))</f>
        <v/>
      </c>
      <c r="I470" s="674" t="str">
        <f t="shared" si="324"/>
        <v/>
      </c>
      <c r="J470" s="674" t="str">
        <f t="shared" si="324"/>
        <v/>
      </c>
      <c r="K470" s="674" t="str">
        <f t="shared" si="324"/>
        <v/>
      </c>
      <c r="L470" s="674" t="str">
        <f t="shared" si="324"/>
        <v/>
      </c>
      <c r="M470" s="674" t="str">
        <f t="shared" si="324"/>
        <v/>
      </c>
      <c r="N470" s="674" t="str">
        <f t="shared" si="324"/>
        <v/>
      </c>
      <c r="O470" s="674" t="str">
        <f t="shared" si="324"/>
        <v/>
      </c>
      <c r="P470" s="674" t="str">
        <f t="shared" si="324"/>
        <v/>
      </c>
      <c r="Q470" s="674" t="str">
        <f t="shared" si="324"/>
        <v/>
      </c>
      <c r="R470" s="674" t="str">
        <f t="shared" si="324"/>
        <v/>
      </c>
      <c r="S470" s="674" t="str">
        <f t="shared" si="324"/>
        <v/>
      </c>
      <c r="T470" s="674" t="str">
        <f t="shared" si="324"/>
        <v/>
      </c>
      <c r="U470" s="674" t="str">
        <f t="shared" si="324"/>
        <v/>
      </c>
      <c r="V470" s="674" t="str">
        <f t="shared" si="324"/>
        <v/>
      </c>
      <c r="W470" s="674" t="str">
        <f t="shared" si="324"/>
        <v/>
      </c>
      <c r="X470" s="674" t="str">
        <f t="shared" si="324"/>
        <v/>
      </c>
      <c r="Y470" s="674" t="str">
        <f t="shared" si="324"/>
        <v/>
      </c>
      <c r="Z470" s="674" t="str">
        <f t="shared" si="324"/>
        <v/>
      </c>
      <c r="AA470" s="674" t="str">
        <f t="shared" si="324"/>
        <v/>
      </c>
      <c r="AB470" s="674" t="str">
        <f t="shared" si="324"/>
        <v/>
      </c>
      <c r="AC470" s="674" t="str">
        <f t="shared" si="324"/>
        <v/>
      </c>
      <c r="AD470" s="674" t="str">
        <f t="shared" si="324"/>
        <v/>
      </c>
      <c r="AE470" s="674" t="str">
        <f t="shared" si="324"/>
        <v/>
      </c>
      <c r="AF470" s="674" t="str">
        <f t="shared" si="324"/>
        <v/>
      </c>
      <c r="AG470" s="674" t="str">
        <f t="shared" si="324"/>
        <v/>
      </c>
      <c r="AH470" s="674" t="str">
        <f t="shared" si="324"/>
        <v/>
      </c>
      <c r="AI470" s="674" t="str">
        <f t="shared" si="324"/>
        <v/>
      </c>
      <c r="AJ470" s="674" t="str">
        <f t="shared" si="324"/>
        <v/>
      </c>
      <c r="AK470" s="675" t="str">
        <f t="shared" si="324"/>
        <v/>
      </c>
      <c r="AL470" s="15"/>
      <c r="AM470" s="15"/>
      <c r="AP470" s="536"/>
      <c r="AR470" s="537"/>
      <c r="AS470" s="529"/>
      <c r="AW470" s="390" t="str">
        <f>""</f>
        <v/>
      </c>
      <c r="AX470" s="531"/>
      <c r="AY470" s="390" t="str">
        <f>""</f>
        <v/>
      </c>
      <c r="BD470" s="520"/>
      <c r="BE470" s="520"/>
      <c r="BF470" s="520"/>
      <c r="BG470" s="520"/>
      <c r="BH470" s="520"/>
      <c r="BI470" s="520"/>
      <c r="BJ470" s="520"/>
      <c r="BK470" s="520"/>
      <c r="BL470" s="520"/>
      <c r="BM470" s="520"/>
      <c r="BN470" s="520"/>
      <c r="BO470" s="520"/>
      <c r="BP470" s="520"/>
      <c r="BQ470" s="520"/>
      <c r="BR470" s="520"/>
      <c r="BS470" s="520"/>
      <c r="BT470" s="520"/>
      <c r="BU470" s="520"/>
      <c r="BV470" s="520"/>
      <c r="BW470" s="520"/>
      <c r="BX470" s="520"/>
      <c r="BY470" s="520"/>
    </row>
    <row r="471" spans="1:84" ht="12" customHeight="1" x14ac:dyDescent="0.3">
      <c r="A471" s="765"/>
      <c r="E471" s="258" t="str">
        <f>$AX$95</f>
        <v>Egyik csapat góljainak száma: 3 p</v>
      </c>
      <c r="H471" s="673" t="str">
        <f t="shared" ref="H471:AK471" si="325">IF(OR(BC467,NOT($AS$26)),"",IF(AND(NOT($AS$32),COUNTIF(H468:H470,"ü")&gt;0),"",IF(OR(H466=$E466,H467=$E467),"ü"," ")))</f>
        <v/>
      </c>
      <c r="I471" s="674" t="str">
        <f t="shared" si="325"/>
        <v/>
      </c>
      <c r="J471" s="674" t="str">
        <f t="shared" si="325"/>
        <v/>
      </c>
      <c r="K471" s="674" t="str">
        <f t="shared" si="325"/>
        <v/>
      </c>
      <c r="L471" s="674" t="str">
        <f t="shared" si="325"/>
        <v/>
      </c>
      <c r="M471" s="674" t="str">
        <f t="shared" si="325"/>
        <v/>
      </c>
      <c r="N471" s="674" t="str">
        <f t="shared" si="325"/>
        <v/>
      </c>
      <c r="O471" s="674" t="str">
        <f t="shared" si="325"/>
        <v/>
      </c>
      <c r="P471" s="674" t="str">
        <f t="shared" si="325"/>
        <v/>
      </c>
      <c r="Q471" s="674" t="str">
        <f t="shared" si="325"/>
        <v/>
      </c>
      <c r="R471" s="674" t="str">
        <f t="shared" si="325"/>
        <v/>
      </c>
      <c r="S471" s="674" t="str">
        <f t="shared" si="325"/>
        <v/>
      </c>
      <c r="T471" s="674" t="str">
        <f t="shared" si="325"/>
        <v/>
      </c>
      <c r="U471" s="674" t="str">
        <f t="shared" si="325"/>
        <v/>
      </c>
      <c r="V471" s="674" t="str">
        <f t="shared" si="325"/>
        <v/>
      </c>
      <c r="W471" s="674" t="str">
        <f t="shared" si="325"/>
        <v/>
      </c>
      <c r="X471" s="674" t="str">
        <f t="shared" si="325"/>
        <v/>
      </c>
      <c r="Y471" s="674" t="str">
        <f t="shared" si="325"/>
        <v/>
      </c>
      <c r="Z471" s="674" t="str">
        <f t="shared" si="325"/>
        <v/>
      </c>
      <c r="AA471" s="674" t="str">
        <f t="shared" si="325"/>
        <v/>
      </c>
      <c r="AB471" s="674" t="str">
        <f t="shared" si="325"/>
        <v/>
      </c>
      <c r="AC471" s="674" t="str">
        <f t="shared" si="325"/>
        <v/>
      </c>
      <c r="AD471" s="674" t="str">
        <f t="shared" si="325"/>
        <v/>
      </c>
      <c r="AE471" s="674" t="str">
        <f t="shared" si="325"/>
        <v/>
      </c>
      <c r="AF471" s="674" t="str">
        <f t="shared" si="325"/>
        <v/>
      </c>
      <c r="AG471" s="674" t="str">
        <f t="shared" si="325"/>
        <v/>
      </c>
      <c r="AH471" s="674" t="str">
        <f t="shared" si="325"/>
        <v/>
      </c>
      <c r="AI471" s="674" t="str">
        <f t="shared" si="325"/>
        <v/>
      </c>
      <c r="AJ471" s="674" t="str">
        <f t="shared" si="325"/>
        <v/>
      </c>
      <c r="AK471" s="675" t="str">
        <f t="shared" si="325"/>
        <v/>
      </c>
      <c r="AL471" s="15"/>
      <c r="AM471" s="15"/>
      <c r="AP471" s="536"/>
      <c r="AR471" s="537"/>
      <c r="AS471" s="529"/>
      <c r="AW471" s="390" t="str">
        <f>""</f>
        <v/>
      </c>
      <c r="AX471" s="531"/>
      <c r="AY471" s="390" t="str">
        <f>""</f>
        <v/>
      </c>
      <c r="BD471" s="520"/>
      <c r="BE471" s="520"/>
      <c r="BF471" s="520"/>
      <c r="BG471" s="520"/>
      <c r="BH471" s="520"/>
      <c r="BI471" s="520"/>
      <c r="BJ471" s="520"/>
      <c r="BK471" s="520"/>
      <c r="BL471" s="520"/>
      <c r="BM471" s="520"/>
      <c r="BN471" s="520"/>
      <c r="BO471" s="520"/>
      <c r="BP471" s="520"/>
      <c r="BQ471" s="520"/>
      <c r="BR471" s="520"/>
      <c r="BS471" s="520"/>
      <c r="BT471" s="520"/>
      <c r="BU471" s="520"/>
      <c r="BV471" s="520"/>
      <c r="BW471" s="520"/>
      <c r="BX471" s="520"/>
      <c r="BY471" s="520"/>
    </row>
    <row r="472" spans="1:84" ht="12" customHeight="1" x14ac:dyDescent="0.3">
      <c r="A472" s="765"/>
      <c r="E472" s="258" t="str">
        <f>$AX$96</f>
        <v>Összes gól: 2 p</v>
      </c>
      <c r="H472" s="673" t="str">
        <f t="shared" ref="H472:AK472" si="326">IF(OR(BC467,NOT($AS$28)),"",IF(AND(NOT($AS$32),COUNTIF(H468:H471,"ü")&gt;0),"",IF(H466+H467=$E466+$E467,"ü"," ")))</f>
        <v/>
      </c>
      <c r="I472" s="674" t="str">
        <f t="shared" si="326"/>
        <v/>
      </c>
      <c r="J472" s="674" t="str">
        <f t="shared" si="326"/>
        <v/>
      </c>
      <c r="K472" s="674" t="str">
        <f t="shared" si="326"/>
        <v/>
      </c>
      <c r="L472" s="674" t="str">
        <f t="shared" si="326"/>
        <v/>
      </c>
      <c r="M472" s="674" t="str">
        <f t="shared" si="326"/>
        <v/>
      </c>
      <c r="N472" s="674" t="str">
        <f t="shared" si="326"/>
        <v/>
      </c>
      <c r="O472" s="674" t="str">
        <f t="shared" si="326"/>
        <v/>
      </c>
      <c r="P472" s="674" t="str">
        <f t="shared" si="326"/>
        <v/>
      </c>
      <c r="Q472" s="674" t="str">
        <f t="shared" si="326"/>
        <v/>
      </c>
      <c r="R472" s="674" t="str">
        <f t="shared" si="326"/>
        <v/>
      </c>
      <c r="S472" s="674" t="str">
        <f t="shared" si="326"/>
        <v/>
      </c>
      <c r="T472" s="674" t="str">
        <f t="shared" si="326"/>
        <v/>
      </c>
      <c r="U472" s="674" t="str">
        <f t="shared" si="326"/>
        <v/>
      </c>
      <c r="V472" s="674" t="str">
        <f t="shared" si="326"/>
        <v/>
      </c>
      <c r="W472" s="674" t="str">
        <f t="shared" si="326"/>
        <v/>
      </c>
      <c r="X472" s="674" t="str">
        <f t="shared" si="326"/>
        <v/>
      </c>
      <c r="Y472" s="674" t="str">
        <f t="shared" si="326"/>
        <v/>
      </c>
      <c r="Z472" s="674" t="str">
        <f t="shared" si="326"/>
        <v/>
      </c>
      <c r="AA472" s="674" t="str">
        <f t="shared" si="326"/>
        <v/>
      </c>
      <c r="AB472" s="674" t="str">
        <f t="shared" si="326"/>
        <v/>
      </c>
      <c r="AC472" s="674" t="str">
        <f t="shared" si="326"/>
        <v/>
      </c>
      <c r="AD472" s="674" t="str">
        <f t="shared" si="326"/>
        <v/>
      </c>
      <c r="AE472" s="674" t="str">
        <f t="shared" si="326"/>
        <v/>
      </c>
      <c r="AF472" s="674" t="str">
        <f t="shared" si="326"/>
        <v/>
      </c>
      <c r="AG472" s="674" t="str">
        <f t="shared" si="326"/>
        <v/>
      </c>
      <c r="AH472" s="674" t="str">
        <f t="shared" si="326"/>
        <v/>
      </c>
      <c r="AI472" s="674" t="str">
        <f t="shared" si="326"/>
        <v/>
      </c>
      <c r="AJ472" s="674" t="str">
        <f t="shared" si="326"/>
        <v/>
      </c>
      <c r="AK472" s="675" t="str">
        <f t="shared" si="326"/>
        <v/>
      </c>
      <c r="AL472" s="15"/>
      <c r="AM472" s="15"/>
      <c r="AP472" s="536"/>
      <c r="AR472" s="537"/>
      <c r="AS472" s="529"/>
      <c r="AW472" s="390" t="str">
        <f>""</f>
        <v/>
      </c>
      <c r="AX472" s="531"/>
      <c r="AY472" s="390" t="str">
        <f>""</f>
        <v/>
      </c>
      <c r="BD472" s="520"/>
      <c r="BE472" s="520"/>
      <c r="BF472" s="520"/>
      <c r="BG472" s="520"/>
      <c r="BH472" s="520"/>
      <c r="BI472" s="520"/>
      <c r="BJ472" s="520"/>
      <c r="BK472" s="520"/>
      <c r="BL472" s="520"/>
      <c r="BM472" s="520"/>
      <c r="BN472" s="520"/>
      <c r="BO472" s="520"/>
      <c r="BP472" s="520"/>
      <c r="BQ472" s="520"/>
      <c r="BR472" s="520"/>
      <c r="BS472" s="520"/>
      <c r="BT472" s="520"/>
      <c r="BU472" s="520"/>
      <c r="BV472" s="520"/>
      <c r="BW472" s="520"/>
      <c r="BX472" s="520"/>
      <c r="BY472" s="520"/>
    </row>
    <row r="473" spans="1:84" ht="12" customHeight="1" x14ac:dyDescent="0.3">
      <c r="A473" s="765"/>
      <c r="E473" s="258" t="str">
        <f>$AX$97</f>
        <v>Fordított gólkülönbség: 1 p</v>
      </c>
      <c r="H473" s="676" t="str">
        <f t="shared" ref="H473:AK473" si="327">IF(OR(BC467,NOT($AS$30)),"",IF(AND(NOT($AS$32),COUNTIF(H468:H472,"ü")&gt;0),"",IF(AND(H466-H467=$E467-$E466,H466&lt;&gt;H467),"ü"," ")))</f>
        <v/>
      </c>
      <c r="I473" s="677" t="str">
        <f t="shared" si="327"/>
        <v/>
      </c>
      <c r="J473" s="677" t="str">
        <f t="shared" si="327"/>
        <v/>
      </c>
      <c r="K473" s="677" t="str">
        <f t="shared" si="327"/>
        <v/>
      </c>
      <c r="L473" s="677" t="str">
        <f t="shared" si="327"/>
        <v/>
      </c>
      <c r="M473" s="677" t="str">
        <f t="shared" si="327"/>
        <v/>
      </c>
      <c r="N473" s="677" t="str">
        <f t="shared" si="327"/>
        <v/>
      </c>
      <c r="O473" s="677" t="str">
        <f t="shared" si="327"/>
        <v/>
      </c>
      <c r="P473" s="677" t="str">
        <f t="shared" si="327"/>
        <v/>
      </c>
      <c r="Q473" s="677" t="str">
        <f t="shared" si="327"/>
        <v/>
      </c>
      <c r="R473" s="677" t="str">
        <f t="shared" si="327"/>
        <v/>
      </c>
      <c r="S473" s="677" t="str">
        <f t="shared" si="327"/>
        <v/>
      </c>
      <c r="T473" s="677" t="str">
        <f t="shared" si="327"/>
        <v/>
      </c>
      <c r="U473" s="677" t="str">
        <f t="shared" si="327"/>
        <v/>
      </c>
      <c r="V473" s="677" t="str">
        <f t="shared" si="327"/>
        <v/>
      </c>
      <c r="W473" s="677" t="str">
        <f t="shared" si="327"/>
        <v/>
      </c>
      <c r="X473" s="677" t="str">
        <f t="shared" si="327"/>
        <v/>
      </c>
      <c r="Y473" s="677" t="str">
        <f t="shared" si="327"/>
        <v/>
      </c>
      <c r="Z473" s="677" t="str">
        <f t="shared" si="327"/>
        <v/>
      </c>
      <c r="AA473" s="677" t="str">
        <f t="shared" si="327"/>
        <v/>
      </c>
      <c r="AB473" s="677" t="str">
        <f t="shared" si="327"/>
        <v/>
      </c>
      <c r="AC473" s="677" t="str">
        <f t="shared" si="327"/>
        <v/>
      </c>
      <c r="AD473" s="677" t="str">
        <f t="shared" si="327"/>
        <v/>
      </c>
      <c r="AE473" s="677" t="str">
        <f t="shared" si="327"/>
        <v/>
      </c>
      <c r="AF473" s="677" t="str">
        <f t="shared" si="327"/>
        <v/>
      </c>
      <c r="AG473" s="677" t="str">
        <f t="shared" si="327"/>
        <v/>
      </c>
      <c r="AH473" s="677" t="str">
        <f t="shared" si="327"/>
        <v/>
      </c>
      <c r="AI473" s="677" t="str">
        <f t="shared" si="327"/>
        <v/>
      </c>
      <c r="AJ473" s="677" t="str">
        <f t="shared" si="327"/>
        <v/>
      </c>
      <c r="AK473" s="678" t="str">
        <f t="shared" si="327"/>
        <v/>
      </c>
      <c r="AL473" s="15"/>
      <c r="AM473" s="15"/>
      <c r="AP473" s="536"/>
      <c r="AR473" s="537"/>
      <c r="AS473" s="529"/>
      <c r="AW473" s="390" t="str">
        <f>""</f>
        <v/>
      </c>
      <c r="AX473" s="531"/>
      <c r="AY473" s="390" t="str">
        <f>""</f>
        <v/>
      </c>
      <c r="BD473" s="520"/>
      <c r="BE473" s="520"/>
      <c r="BF473" s="520"/>
      <c r="BG473" s="520"/>
      <c r="BH473" s="520"/>
      <c r="BI473" s="520"/>
      <c r="BJ473" s="520"/>
      <c r="BK473" s="520"/>
      <c r="BL473" s="520"/>
      <c r="BM473" s="520"/>
      <c r="BN473" s="520"/>
      <c r="BO473" s="520"/>
      <c r="BP473" s="520"/>
      <c r="BQ473" s="520"/>
      <c r="BR473" s="520"/>
      <c r="BS473" s="520"/>
      <c r="BT473" s="520"/>
      <c r="BU473" s="520"/>
      <c r="BV473" s="520"/>
      <c r="BW473" s="520"/>
      <c r="BX473" s="520"/>
      <c r="BY473" s="520"/>
    </row>
    <row r="474" spans="1:84" ht="15" customHeight="1" x14ac:dyDescent="0.3">
      <c r="A474" s="765"/>
      <c r="E474" s="79" t="s">
        <v>799</v>
      </c>
      <c r="H474" s="679">
        <f t="shared" ref="H474:AK474" si="328">IF(NOT(H$13),"",SUMPRODUCT((H468:H473="ü")*($AW$92:$AW$97)))</f>
        <v>0</v>
      </c>
      <c r="I474" s="680">
        <f t="shared" si="328"/>
        <v>0</v>
      </c>
      <c r="J474" s="680">
        <f t="shared" si="328"/>
        <v>0</v>
      </c>
      <c r="K474" s="680">
        <f t="shared" si="328"/>
        <v>0</v>
      </c>
      <c r="L474" s="680">
        <f t="shared" si="328"/>
        <v>0</v>
      </c>
      <c r="M474" s="680">
        <f t="shared" si="328"/>
        <v>0</v>
      </c>
      <c r="N474" s="680">
        <f t="shared" si="328"/>
        <v>0</v>
      </c>
      <c r="O474" s="680">
        <f t="shared" si="328"/>
        <v>0</v>
      </c>
      <c r="P474" s="680">
        <f t="shared" si="328"/>
        <v>0</v>
      </c>
      <c r="Q474" s="680">
        <f t="shared" si="328"/>
        <v>0</v>
      </c>
      <c r="R474" s="680">
        <f t="shared" si="328"/>
        <v>0</v>
      </c>
      <c r="S474" s="680">
        <f t="shared" si="328"/>
        <v>0</v>
      </c>
      <c r="T474" s="680">
        <f t="shared" si="328"/>
        <v>0</v>
      </c>
      <c r="U474" s="680">
        <f t="shared" si="328"/>
        <v>0</v>
      </c>
      <c r="V474" s="680">
        <f t="shared" si="328"/>
        <v>0</v>
      </c>
      <c r="W474" s="680">
        <f t="shared" si="328"/>
        <v>0</v>
      </c>
      <c r="X474" s="680">
        <f t="shared" si="328"/>
        <v>0</v>
      </c>
      <c r="Y474" s="680">
        <f t="shared" si="328"/>
        <v>0</v>
      </c>
      <c r="Z474" s="680">
        <f t="shared" si="328"/>
        <v>0</v>
      </c>
      <c r="AA474" s="680">
        <f t="shared" si="328"/>
        <v>0</v>
      </c>
      <c r="AB474" s="680">
        <f t="shared" si="328"/>
        <v>0</v>
      </c>
      <c r="AC474" s="680">
        <f t="shared" si="328"/>
        <v>0</v>
      </c>
      <c r="AD474" s="680">
        <f t="shared" si="328"/>
        <v>0</v>
      </c>
      <c r="AE474" s="680" t="str">
        <f t="shared" si="328"/>
        <v/>
      </c>
      <c r="AF474" s="680" t="str">
        <f t="shared" si="328"/>
        <v/>
      </c>
      <c r="AG474" s="680" t="str">
        <f t="shared" si="328"/>
        <v/>
      </c>
      <c r="AH474" s="680" t="str">
        <f t="shared" si="328"/>
        <v/>
      </c>
      <c r="AI474" s="680" t="str">
        <f t="shared" si="328"/>
        <v/>
      </c>
      <c r="AJ474" s="680" t="str">
        <f t="shared" si="328"/>
        <v/>
      </c>
      <c r="AK474" s="681" t="str">
        <f t="shared" si="328"/>
        <v/>
      </c>
      <c r="AP474" s="536"/>
      <c r="AR474" s="537"/>
      <c r="AS474" s="529"/>
    </row>
    <row r="475" spans="1:84" ht="9" customHeight="1" x14ac:dyDescent="0.3">
      <c r="A475" s="765"/>
      <c r="D475" s="15"/>
      <c r="E475" s="15"/>
      <c r="F475" s="15"/>
      <c r="G475" s="15"/>
      <c r="H475" s="15"/>
      <c r="I475" s="16"/>
      <c r="J475" s="15"/>
      <c r="K475" s="15"/>
      <c r="L475" s="16"/>
      <c r="M475" s="15"/>
      <c r="N475" s="15"/>
      <c r="O475" s="16"/>
      <c r="P475" s="15"/>
      <c r="Q475" s="15"/>
      <c r="R475" s="16"/>
      <c r="S475" s="15"/>
      <c r="T475" s="15"/>
      <c r="U475" s="16"/>
      <c r="V475" s="15"/>
      <c r="W475" s="15"/>
      <c r="X475" s="16"/>
      <c r="Y475" s="15"/>
      <c r="Z475" s="15"/>
      <c r="AA475" s="16"/>
      <c r="AB475" s="15"/>
      <c r="AC475" s="15"/>
      <c r="AD475" s="16"/>
      <c r="AE475" s="15"/>
      <c r="AF475" s="15"/>
      <c r="AG475" s="16"/>
      <c r="AH475" s="15"/>
      <c r="AI475" s="15"/>
      <c r="AJ475" s="16"/>
      <c r="AK475" s="15"/>
      <c r="AP475" s="536"/>
      <c r="AR475" s="537"/>
      <c r="AS475" s="529"/>
    </row>
    <row r="476" spans="1:84" ht="15" customHeight="1" x14ac:dyDescent="0.3">
      <c r="A476" s="765"/>
      <c r="C476" s="27" t="str">
        <f>" "&amp;VLOOKUP(AQ477,schedule,18,FALSE)&amp;"  ("&amp;VLOOKUP(AQ477,schedule,3,FALSE)&amp;" CSOPORT)"</f>
        <v xml:space="preserve"> JÚNIUS 23. – SZERDA 18:00  (E CSOPORT)</v>
      </c>
      <c r="D476" s="27"/>
      <c r="E476" s="26"/>
      <c r="F476" s="26"/>
      <c r="G476" s="26"/>
      <c r="H476" s="26"/>
      <c r="I476" s="26"/>
      <c r="J476" s="26"/>
      <c r="AP476" s="536"/>
      <c r="AR476" s="537"/>
      <c r="AS476" s="529"/>
    </row>
    <row r="477" spans="1:84" ht="15" customHeight="1" x14ac:dyDescent="0.3">
      <c r="A477" s="765"/>
      <c r="C477" s="661"/>
      <c r="D477" s="662" t="str">
        <f>IF(INDEX(n.er,$AR477,8)="","",INDEX(n.er,$AR477,8))</f>
        <v>Svédország</v>
      </c>
      <c r="E477" s="663" t="str">
        <f>IF(NOT($AS477),"",INDEX(n.er,$AR477,9))</f>
        <v/>
      </c>
      <c r="F477" s="662"/>
      <c r="G477" s="259"/>
      <c r="H477" s="664">
        <v>2</v>
      </c>
      <c r="I477" s="665">
        <v>2</v>
      </c>
      <c r="J477" s="665">
        <v>1</v>
      </c>
      <c r="K477" s="665">
        <v>1</v>
      </c>
      <c r="L477" s="665">
        <v>1</v>
      </c>
      <c r="M477" s="665">
        <v>3</v>
      </c>
      <c r="N477" s="665">
        <v>1</v>
      </c>
      <c r="O477" s="665">
        <v>2</v>
      </c>
      <c r="P477" s="665">
        <v>1</v>
      </c>
      <c r="Q477" s="665">
        <v>1</v>
      </c>
      <c r="R477" s="665">
        <v>1</v>
      </c>
      <c r="S477" s="665">
        <v>1</v>
      </c>
      <c r="T477" s="665">
        <v>1</v>
      </c>
      <c r="U477" s="665">
        <v>2</v>
      </c>
      <c r="V477" s="665">
        <v>2</v>
      </c>
      <c r="W477" s="665">
        <v>2</v>
      </c>
      <c r="X477" s="665">
        <v>1</v>
      </c>
      <c r="Y477" s="665">
        <v>1</v>
      </c>
      <c r="Z477" s="665">
        <v>1</v>
      </c>
      <c r="AA477" s="665">
        <v>1</v>
      </c>
      <c r="AB477" s="665">
        <v>1</v>
      </c>
      <c r="AC477" s="665">
        <v>1</v>
      </c>
      <c r="AD477" s="665">
        <v>0</v>
      </c>
      <c r="AE477" s="665"/>
      <c r="AF477" s="665"/>
      <c r="AG477" s="665"/>
      <c r="AH477" s="665"/>
      <c r="AI477" s="665"/>
      <c r="AJ477" s="665"/>
      <c r="AK477" s="666"/>
      <c r="AP477" s="52">
        <f>AP466+1</f>
        <v>34</v>
      </c>
      <c r="AQ477" s="311">
        <f>INDEX(schedule,AP477,1)</f>
        <v>34</v>
      </c>
      <c r="AR477" s="311">
        <f>MATCH(AQ477,n.er.index,0)</f>
        <v>82</v>
      </c>
      <c r="AS477" s="532" t="b">
        <f>INDEX(n.er,$AR477,3)</f>
        <v>0</v>
      </c>
      <c r="AT477" s="531"/>
      <c r="AU477" s="531"/>
      <c r="AV477" s="531"/>
      <c r="AW477" s="531"/>
      <c r="AX477" s="531"/>
      <c r="BC477" s="525" t="b">
        <f t="shared" ref="BC477:CF477" si="329">IF(AND(ISNUMBER(H477),ISNUMBER(H478),H477&lt;&gt;"",H478&lt;&gt;""),AND(H477&gt;=0,H478&gt;=0,MOD(H477+H478,1)=0),FALSE)</f>
        <v>1</v>
      </c>
      <c r="BD477" s="525" t="b">
        <f t="shared" si="329"/>
        <v>1</v>
      </c>
      <c r="BE477" s="525" t="b">
        <f t="shared" si="329"/>
        <v>1</v>
      </c>
      <c r="BF477" s="525" t="b">
        <f t="shared" si="329"/>
        <v>1</v>
      </c>
      <c r="BG477" s="525" t="b">
        <f t="shared" si="329"/>
        <v>1</v>
      </c>
      <c r="BH477" s="525" t="b">
        <f t="shared" si="329"/>
        <v>1</v>
      </c>
      <c r="BI477" s="525" t="b">
        <f t="shared" si="329"/>
        <v>1</v>
      </c>
      <c r="BJ477" s="525" t="b">
        <f t="shared" si="329"/>
        <v>1</v>
      </c>
      <c r="BK477" s="525" t="b">
        <f t="shared" si="329"/>
        <v>1</v>
      </c>
      <c r="BL477" s="525" t="b">
        <f t="shared" si="329"/>
        <v>1</v>
      </c>
      <c r="BM477" s="525" t="b">
        <f t="shared" si="329"/>
        <v>1</v>
      </c>
      <c r="BN477" s="525" t="b">
        <f t="shared" si="329"/>
        <v>1</v>
      </c>
      <c r="BO477" s="525" t="b">
        <f t="shared" si="329"/>
        <v>1</v>
      </c>
      <c r="BP477" s="525" t="b">
        <f t="shared" si="329"/>
        <v>1</v>
      </c>
      <c r="BQ477" s="525" t="b">
        <f t="shared" si="329"/>
        <v>1</v>
      </c>
      <c r="BR477" s="525" t="b">
        <f t="shared" si="329"/>
        <v>1</v>
      </c>
      <c r="BS477" s="525" t="b">
        <f t="shared" si="329"/>
        <v>1</v>
      </c>
      <c r="BT477" s="525" t="b">
        <f t="shared" si="329"/>
        <v>1</v>
      </c>
      <c r="BU477" s="525" t="b">
        <f t="shared" si="329"/>
        <v>1</v>
      </c>
      <c r="BV477" s="525" t="b">
        <f t="shared" si="329"/>
        <v>1</v>
      </c>
      <c r="BW477" s="525" t="b">
        <f t="shared" si="329"/>
        <v>1</v>
      </c>
      <c r="BX477" s="525" t="b">
        <f t="shared" si="329"/>
        <v>1</v>
      </c>
      <c r="BY477" s="525" t="b">
        <f t="shared" si="329"/>
        <v>1</v>
      </c>
      <c r="BZ477" s="525" t="b">
        <f t="shared" si="329"/>
        <v>0</v>
      </c>
      <c r="CA477" s="525" t="b">
        <f t="shared" si="329"/>
        <v>0</v>
      </c>
      <c r="CB477" s="525" t="b">
        <f t="shared" si="329"/>
        <v>0</v>
      </c>
      <c r="CC477" s="525" t="b">
        <f t="shared" si="329"/>
        <v>0</v>
      </c>
      <c r="CD477" s="525" t="b">
        <f t="shared" si="329"/>
        <v>0</v>
      </c>
      <c r="CE477" s="525" t="b">
        <f t="shared" si="329"/>
        <v>0</v>
      </c>
      <c r="CF477" s="525" t="b">
        <f t="shared" si="329"/>
        <v>0</v>
      </c>
    </row>
    <row r="478" spans="1:84" ht="15" customHeight="1" x14ac:dyDescent="0.3">
      <c r="A478" s="765"/>
      <c r="C478" s="695"/>
      <c r="D478" s="696" t="str">
        <f>IF(INDEX(n.er,$AR477,11)="","",INDEX(n.er,$AR477,11))</f>
        <v>Lengyelország</v>
      </c>
      <c r="E478" s="697" t="str">
        <f>IF(NOT($AS477),"",INDEX(n.er,$AR477,10))</f>
        <v/>
      </c>
      <c r="F478" s="696"/>
      <c r="G478" s="259"/>
      <c r="H478" s="667">
        <v>1</v>
      </c>
      <c r="I478" s="668">
        <v>0</v>
      </c>
      <c r="J478" s="668">
        <v>2</v>
      </c>
      <c r="K478" s="668">
        <v>3</v>
      </c>
      <c r="L478" s="668">
        <v>1</v>
      </c>
      <c r="M478" s="668">
        <v>3</v>
      </c>
      <c r="N478" s="668">
        <v>2</v>
      </c>
      <c r="O478" s="668">
        <v>3</v>
      </c>
      <c r="P478" s="668">
        <v>2</v>
      </c>
      <c r="Q478" s="668">
        <v>2</v>
      </c>
      <c r="R478" s="668">
        <v>1</v>
      </c>
      <c r="S478" s="668">
        <v>1</v>
      </c>
      <c r="T478" s="668">
        <v>1</v>
      </c>
      <c r="U478" s="668">
        <v>2</v>
      </c>
      <c r="V478" s="668">
        <v>1</v>
      </c>
      <c r="W478" s="668">
        <v>2</v>
      </c>
      <c r="X478" s="668">
        <v>1</v>
      </c>
      <c r="Y478" s="668">
        <v>1</v>
      </c>
      <c r="Z478" s="668">
        <v>1</v>
      </c>
      <c r="AA478" s="668">
        <v>2</v>
      </c>
      <c r="AB478" s="668">
        <v>0</v>
      </c>
      <c r="AC478" s="668">
        <v>1</v>
      </c>
      <c r="AD478" s="668">
        <v>2</v>
      </c>
      <c r="AE478" s="668"/>
      <c r="AF478" s="668"/>
      <c r="AG478" s="668"/>
      <c r="AH478" s="668"/>
      <c r="AI478" s="668"/>
      <c r="AJ478" s="668"/>
      <c r="AK478" s="669"/>
      <c r="AP478" s="533"/>
      <c r="AQ478" s="577"/>
      <c r="AR478" s="534"/>
      <c r="AS478" s="535"/>
      <c r="AX478" s="531"/>
      <c r="BC478" s="34" t="b">
        <f t="shared" ref="BC478:CF478" si="330">OR(NOT(H$13),NOT($AS477),NOT(BC477))</f>
        <v>1</v>
      </c>
      <c r="BD478" s="34" t="b">
        <f t="shared" si="330"/>
        <v>1</v>
      </c>
      <c r="BE478" s="34" t="b">
        <f t="shared" si="330"/>
        <v>1</v>
      </c>
      <c r="BF478" s="34" t="b">
        <f t="shared" si="330"/>
        <v>1</v>
      </c>
      <c r="BG478" s="34" t="b">
        <f t="shared" si="330"/>
        <v>1</v>
      </c>
      <c r="BH478" s="34" t="b">
        <f t="shared" si="330"/>
        <v>1</v>
      </c>
      <c r="BI478" s="34" t="b">
        <f t="shared" si="330"/>
        <v>1</v>
      </c>
      <c r="BJ478" s="34" t="b">
        <f t="shared" si="330"/>
        <v>1</v>
      </c>
      <c r="BK478" s="34" t="b">
        <f t="shared" si="330"/>
        <v>1</v>
      </c>
      <c r="BL478" s="34" t="b">
        <f t="shared" si="330"/>
        <v>1</v>
      </c>
      <c r="BM478" s="34" t="b">
        <f t="shared" si="330"/>
        <v>1</v>
      </c>
      <c r="BN478" s="34" t="b">
        <f t="shared" si="330"/>
        <v>1</v>
      </c>
      <c r="BO478" s="34" t="b">
        <f t="shared" si="330"/>
        <v>1</v>
      </c>
      <c r="BP478" s="34" t="b">
        <f t="shared" si="330"/>
        <v>1</v>
      </c>
      <c r="BQ478" s="34" t="b">
        <f t="shared" si="330"/>
        <v>1</v>
      </c>
      <c r="BR478" s="34" t="b">
        <f t="shared" si="330"/>
        <v>1</v>
      </c>
      <c r="BS478" s="34" t="b">
        <f t="shared" si="330"/>
        <v>1</v>
      </c>
      <c r="BT478" s="34" t="b">
        <f t="shared" si="330"/>
        <v>1</v>
      </c>
      <c r="BU478" s="34" t="b">
        <f t="shared" si="330"/>
        <v>1</v>
      </c>
      <c r="BV478" s="34" t="b">
        <f t="shared" si="330"/>
        <v>1</v>
      </c>
      <c r="BW478" s="34" t="b">
        <f t="shared" si="330"/>
        <v>1</v>
      </c>
      <c r="BX478" s="34" t="b">
        <f t="shared" si="330"/>
        <v>1</v>
      </c>
      <c r="BY478" s="34" t="b">
        <f t="shared" si="330"/>
        <v>1</v>
      </c>
      <c r="BZ478" s="34" t="b">
        <f t="shared" si="330"/>
        <v>1</v>
      </c>
      <c r="CA478" s="34" t="b">
        <f t="shared" si="330"/>
        <v>1</v>
      </c>
      <c r="CB478" s="34" t="b">
        <f t="shared" si="330"/>
        <v>1</v>
      </c>
      <c r="CC478" s="34" t="b">
        <f t="shared" si="330"/>
        <v>1</v>
      </c>
      <c r="CD478" s="34" t="b">
        <f t="shared" si="330"/>
        <v>1</v>
      </c>
      <c r="CE478" s="34" t="b">
        <f t="shared" si="330"/>
        <v>1</v>
      </c>
      <c r="CF478" s="34" t="b">
        <f t="shared" si="330"/>
        <v>1</v>
      </c>
    </row>
    <row r="479" spans="1:84" ht="12" customHeight="1" x14ac:dyDescent="0.3">
      <c r="A479" s="765"/>
      <c r="E479" s="258" t="str">
        <f>$AX$92</f>
        <v>Telitalálat: 10 p</v>
      </c>
      <c r="H479" s="670" t="str">
        <f t="shared" ref="H479:AK479" si="331">IF(OR(BC478,NOT($AS$20)),"",IF(AND(H477=$E477,H478=$E478),"ü",""))</f>
        <v/>
      </c>
      <c r="I479" s="671" t="str">
        <f t="shared" si="331"/>
        <v/>
      </c>
      <c r="J479" s="671" t="str">
        <f t="shared" si="331"/>
        <v/>
      </c>
      <c r="K479" s="671" t="str">
        <f t="shared" si="331"/>
        <v/>
      </c>
      <c r="L479" s="671" t="str">
        <f t="shared" si="331"/>
        <v/>
      </c>
      <c r="M479" s="671" t="str">
        <f t="shared" si="331"/>
        <v/>
      </c>
      <c r="N479" s="671" t="str">
        <f t="shared" si="331"/>
        <v/>
      </c>
      <c r="O479" s="671" t="str">
        <f t="shared" si="331"/>
        <v/>
      </c>
      <c r="P479" s="671" t="str">
        <f t="shared" si="331"/>
        <v/>
      </c>
      <c r="Q479" s="671" t="str">
        <f t="shared" si="331"/>
        <v/>
      </c>
      <c r="R479" s="671" t="str">
        <f t="shared" si="331"/>
        <v/>
      </c>
      <c r="S479" s="671" t="str">
        <f t="shared" si="331"/>
        <v/>
      </c>
      <c r="T479" s="671" t="str">
        <f t="shared" si="331"/>
        <v/>
      </c>
      <c r="U479" s="671" t="str">
        <f t="shared" si="331"/>
        <v/>
      </c>
      <c r="V479" s="671" t="str">
        <f t="shared" si="331"/>
        <v/>
      </c>
      <c r="W479" s="671" t="str">
        <f t="shared" si="331"/>
        <v/>
      </c>
      <c r="X479" s="671" t="str">
        <f t="shared" si="331"/>
        <v/>
      </c>
      <c r="Y479" s="671" t="str">
        <f t="shared" si="331"/>
        <v/>
      </c>
      <c r="Z479" s="671" t="str">
        <f t="shared" si="331"/>
        <v/>
      </c>
      <c r="AA479" s="671" t="str">
        <f t="shared" si="331"/>
        <v/>
      </c>
      <c r="AB479" s="671" t="str">
        <f t="shared" si="331"/>
        <v/>
      </c>
      <c r="AC479" s="671" t="str">
        <f t="shared" si="331"/>
        <v/>
      </c>
      <c r="AD479" s="671" t="str">
        <f t="shared" si="331"/>
        <v/>
      </c>
      <c r="AE479" s="671" t="str">
        <f t="shared" si="331"/>
        <v/>
      </c>
      <c r="AF479" s="671" t="str">
        <f t="shared" si="331"/>
        <v/>
      </c>
      <c r="AG479" s="671" t="str">
        <f t="shared" si="331"/>
        <v/>
      </c>
      <c r="AH479" s="671" t="str">
        <f t="shared" si="331"/>
        <v/>
      </c>
      <c r="AI479" s="671" t="str">
        <f t="shared" si="331"/>
        <v/>
      </c>
      <c r="AJ479" s="671" t="str">
        <f t="shared" si="331"/>
        <v/>
      </c>
      <c r="AK479" s="672" t="str">
        <f t="shared" si="331"/>
        <v/>
      </c>
      <c r="AL479" s="15"/>
      <c r="AM479" s="15"/>
      <c r="AP479" s="536"/>
      <c r="AR479" s="537"/>
      <c r="AS479" s="529"/>
      <c r="AW479" s="390" t="str">
        <f>""</f>
        <v/>
      </c>
      <c r="AX479" s="531"/>
      <c r="AY479" s="390" t="str">
        <f>""</f>
        <v/>
      </c>
      <c r="BD479" s="520"/>
      <c r="BE479" s="520"/>
      <c r="BF479" s="520"/>
      <c r="BG479" s="520"/>
      <c r="BH479" s="520"/>
      <c r="BI479" s="520"/>
      <c r="BJ479" s="520"/>
      <c r="BK479" s="520"/>
      <c r="BL479" s="520"/>
      <c r="BM479" s="520"/>
      <c r="BN479" s="520"/>
      <c r="BO479" s="520"/>
      <c r="BP479" s="520"/>
      <c r="BQ479" s="520"/>
      <c r="BR479" s="520"/>
      <c r="BS479" s="520"/>
      <c r="BT479" s="520"/>
      <c r="BU479" s="520"/>
      <c r="BV479" s="520"/>
      <c r="BW479" s="520"/>
      <c r="BX479" s="520"/>
      <c r="BY479" s="520"/>
    </row>
    <row r="480" spans="1:84" ht="12" customHeight="1" x14ac:dyDescent="0.3">
      <c r="A480" s="765"/>
      <c r="E480" s="258" t="str">
        <f>$AX$93</f>
        <v>Gólkülönbség: 6 p</v>
      </c>
      <c r="H480" s="673" t="str">
        <f t="shared" ref="H480:AK480" si="332">IF(OR(BC478,NOT($AS$22)),"",IF(AND(NOT($AS$32),H479="ü"),"",IF(H477-H478=$E477-$E478,"ü"," ")))</f>
        <v/>
      </c>
      <c r="I480" s="674" t="str">
        <f t="shared" si="332"/>
        <v/>
      </c>
      <c r="J480" s="674" t="str">
        <f t="shared" si="332"/>
        <v/>
      </c>
      <c r="K480" s="674" t="str">
        <f t="shared" si="332"/>
        <v/>
      </c>
      <c r="L480" s="674" t="str">
        <f t="shared" si="332"/>
        <v/>
      </c>
      <c r="M480" s="674" t="str">
        <f t="shared" si="332"/>
        <v/>
      </c>
      <c r="N480" s="674" t="str">
        <f t="shared" si="332"/>
        <v/>
      </c>
      <c r="O480" s="674" t="str">
        <f t="shared" si="332"/>
        <v/>
      </c>
      <c r="P480" s="674" t="str">
        <f t="shared" si="332"/>
        <v/>
      </c>
      <c r="Q480" s="674" t="str">
        <f t="shared" si="332"/>
        <v/>
      </c>
      <c r="R480" s="674" t="str">
        <f t="shared" si="332"/>
        <v/>
      </c>
      <c r="S480" s="674" t="str">
        <f t="shared" si="332"/>
        <v/>
      </c>
      <c r="T480" s="674" t="str">
        <f t="shared" si="332"/>
        <v/>
      </c>
      <c r="U480" s="674" t="str">
        <f t="shared" si="332"/>
        <v/>
      </c>
      <c r="V480" s="674" t="str">
        <f t="shared" si="332"/>
        <v/>
      </c>
      <c r="W480" s="674" t="str">
        <f t="shared" si="332"/>
        <v/>
      </c>
      <c r="X480" s="674" t="str">
        <f t="shared" si="332"/>
        <v/>
      </c>
      <c r="Y480" s="674" t="str">
        <f t="shared" si="332"/>
        <v/>
      </c>
      <c r="Z480" s="674" t="str">
        <f t="shared" si="332"/>
        <v/>
      </c>
      <c r="AA480" s="674" t="str">
        <f t="shared" si="332"/>
        <v/>
      </c>
      <c r="AB480" s="674" t="str">
        <f t="shared" si="332"/>
        <v/>
      </c>
      <c r="AC480" s="674" t="str">
        <f t="shared" si="332"/>
        <v/>
      </c>
      <c r="AD480" s="674" t="str">
        <f t="shared" si="332"/>
        <v/>
      </c>
      <c r="AE480" s="674" t="str">
        <f t="shared" si="332"/>
        <v/>
      </c>
      <c r="AF480" s="674" t="str">
        <f t="shared" si="332"/>
        <v/>
      </c>
      <c r="AG480" s="674" t="str">
        <f t="shared" si="332"/>
        <v/>
      </c>
      <c r="AH480" s="674" t="str">
        <f t="shared" si="332"/>
        <v/>
      </c>
      <c r="AI480" s="674" t="str">
        <f t="shared" si="332"/>
        <v/>
      </c>
      <c r="AJ480" s="674" t="str">
        <f t="shared" si="332"/>
        <v/>
      </c>
      <c r="AK480" s="675" t="str">
        <f t="shared" si="332"/>
        <v/>
      </c>
      <c r="AL480" s="15"/>
      <c r="AM480" s="15"/>
      <c r="AP480" s="536"/>
      <c r="AR480" s="537"/>
      <c r="AS480" s="529"/>
      <c r="AW480" s="390" t="str">
        <f>""</f>
        <v/>
      </c>
      <c r="AX480" s="531"/>
      <c r="AY480" s="390" t="str">
        <f>""</f>
        <v/>
      </c>
      <c r="BD480" s="520"/>
      <c r="BE480" s="520"/>
      <c r="BF480" s="520"/>
      <c r="BG480" s="520"/>
      <c r="BH480" s="520"/>
      <c r="BI480" s="520"/>
      <c r="BJ480" s="520"/>
      <c r="BK480" s="520"/>
      <c r="BL480" s="520"/>
      <c r="BM480" s="520"/>
      <c r="BN480" s="520"/>
      <c r="BO480" s="520"/>
      <c r="BP480" s="520"/>
      <c r="BQ480" s="520"/>
      <c r="BR480" s="520"/>
      <c r="BS480" s="520"/>
      <c r="BT480" s="520"/>
      <c r="BU480" s="520"/>
      <c r="BV480" s="520"/>
      <c r="BW480" s="520"/>
      <c r="BX480" s="520"/>
      <c r="BY480" s="520"/>
    </row>
    <row r="481" spans="1:84" ht="12" customHeight="1" x14ac:dyDescent="0.3">
      <c r="A481" s="765"/>
      <c r="E481" s="258" t="str">
        <f>$AX$94</f>
        <v>Mérkőzés kimenetele: 4 p</v>
      </c>
      <c r="H481" s="673" t="str">
        <f t="shared" ref="H481:AK481" si="333">IF(OR(BC478,NOT($AS$24)),"",IF(AND(NOT($AS$32),COUNTIF(H479:H480,"ü")&gt;0),"",IF(SIGN(H477-H478)=SIGN($E477-$E478),"ü"," ")))</f>
        <v/>
      </c>
      <c r="I481" s="674" t="str">
        <f t="shared" si="333"/>
        <v/>
      </c>
      <c r="J481" s="674" t="str">
        <f t="shared" si="333"/>
        <v/>
      </c>
      <c r="K481" s="674" t="str">
        <f t="shared" si="333"/>
        <v/>
      </c>
      <c r="L481" s="674" t="str">
        <f t="shared" si="333"/>
        <v/>
      </c>
      <c r="M481" s="674" t="str">
        <f t="shared" si="333"/>
        <v/>
      </c>
      <c r="N481" s="674" t="str">
        <f t="shared" si="333"/>
        <v/>
      </c>
      <c r="O481" s="674" t="str">
        <f t="shared" si="333"/>
        <v/>
      </c>
      <c r="P481" s="674" t="str">
        <f t="shared" si="333"/>
        <v/>
      </c>
      <c r="Q481" s="674" t="str">
        <f t="shared" si="333"/>
        <v/>
      </c>
      <c r="R481" s="674" t="str">
        <f t="shared" si="333"/>
        <v/>
      </c>
      <c r="S481" s="674" t="str">
        <f t="shared" si="333"/>
        <v/>
      </c>
      <c r="T481" s="674" t="str">
        <f t="shared" si="333"/>
        <v/>
      </c>
      <c r="U481" s="674" t="str">
        <f t="shared" si="333"/>
        <v/>
      </c>
      <c r="V481" s="674" t="str">
        <f t="shared" si="333"/>
        <v/>
      </c>
      <c r="W481" s="674" t="str">
        <f t="shared" si="333"/>
        <v/>
      </c>
      <c r="X481" s="674" t="str">
        <f t="shared" si="333"/>
        <v/>
      </c>
      <c r="Y481" s="674" t="str">
        <f t="shared" si="333"/>
        <v/>
      </c>
      <c r="Z481" s="674" t="str">
        <f t="shared" si="333"/>
        <v/>
      </c>
      <c r="AA481" s="674" t="str">
        <f t="shared" si="333"/>
        <v/>
      </c>
      <c r="AB481" s="674" t="str">
        <f t="shared" si="333"/>
        <v/>
      </c>
      <c r="AC481" s="674" t="str">
        <f t="shared" si="333"/>
        <v/>
      </c>
      <c r="AD481" s="674" t="str">
        <f t="shared" si="333"/>
        <v/>
      </c>
      <c r="AE481" s="674" t="str">
        <f t="shared" si="333"/>
        <v/>
      </c>
      <c r="AF481" s="674" t="str">
        <f t="shared" si="333"/>
        <v/>
      </c>
      <c r="AG481" s="674" t="str">
        <f t="shared" si="333"/>
        <v/>
      </c>
      <c r="AH481" s="674" t="str">
        <f t="shared" si="333"/>
        <v/>
      </c>
      <c r="AI481" s="674" t="str">
        <f t="shared" si="333"/>
        <v/>
      </c>
      <c r="AJ481" s="674" t="str">
        <f t="shared" si="333"/>
        <v/>
      </c>
      <c r="AK481" s="675" t="str">
        <f t="shared" si="333"/>
        <v/>
      </c>
      <c r="AL481" s="15"/>
      <c r="AM481" s="15"/>
      <c r="AP481" s="536"/>
      <c r="AR481" s="537"/>
      <c r="AS481" s="529"/>
      <c r="AW481" s="390" t="str">
        <f>""</f>
        <v/>
      </c>
      <c r="AX481" s="531"/>
      <c r="AY481" s="390" t="str">
        <f>""</f>
        <v/>
      </c>
      <c r="BD481" s="520"/>
      <c r="BE481" s="520"/>
      <c r="BF481" s="520"/>
      <c r="BG481" s="520"/>
      <c r="BH481" s="520"/>
      <c r="BI481" s="520"/>
      <c r="BJ481" s="520"/>
      <c r="BK481" s="520"/>
      <c r="BL481" s="520"/>
      <c r="BM481" s="520"/>
      <c r="BN481" s="520"/>
      <c r="BO481" s="520"/>
      <c r="BP481" s="520"/>
      <c r="BQ481" s="520"/>
      <c r="BR481" s="520"/>
      <c r="BS481" s="520"/>
      <c r="BT481" s="520"/>
      <c r="BU481" s="520"/>
      <c r="BV481" s="520"/>
      <c r="BW481" s="520"/>
      <c r="BX481" s="520"/>
      <c r="BY481" s="520"/>
    </row>
    <row r="482" spans="1:84" ht="12" customHeight="1" x14ac:dyDescent="0.3">
      <c r="A482" s="765"/>
      <c r="E482" s="258" t="str">
        <f>$AX$95</f>
        <v>Egyik csapat góljainak száma: 3 p</v>
      </c>
      <c r="H482" s="673" t="str">
        <f t="shared" ref="H482:AK482" si="334">IF(OR(BC478,NOT($AS$26)),"",IF(AND(NOT($AS$32),COUNTIF(H479:H481,"ü")&gt;0),"",IF(OR(H477=$E477,H478=$E478),"ü"," ")))</f>
        <v/>
      </c>
      <c r="I482" s="674" t="str">
        <f t="shared" si="334"/>
        <v/>
      </c>
      <c r="J482" s="674" t="str">
        <f t="shared" si="334"/>
        <v/>
      </c>
      <c r="K482" s="674" t="str">
        <f t="shared" si="334"/>
        <v/>
      </c>
      <c r="L482" s="674" t="str">
        <f t="shared" si="334"/>
        <v/>
      </c>
      <c r="M482" s="674" t="str">
        <f t="shared" si="334"/>
        <v/>
      </c>
      <c r="N482" s="674" t="str">
        <f t="shared" si="334"/>
        <v/>
      </c>
      <c r="O482" s="674" t="str">
        <f t="shared" si="334"/>
        <v/>
      </c>
      <c r="P482" s="674" t="str">
        <f t="shared" si="334"/>
        <v/>
      </c>
      <c r="Q482" s="674" t="str">
        <f t="shared" si="334"/>
        <v/>
      </c>
      <c r="R482" s="674" t="str">
        <f t="shared" si="334"/>
        <v/>
      </c>
      <c r="S482" s="674" t="str">
        <f t="shared" si="334"/>
        <v/>
      </c>
      <c r="T482" s="674" t="str">
        <f t="shared" si="334"/>
        <v/>
      </c>
      <c r="U482" s="674" t="str">
        <f t="shared" si="334"/>
        <v/>
      </c>
      <c r="V482" s="674" t="str">
        <f t="shared" si="334"/>
        <v/>
      </c>
      <c r="W482" s="674" t="str">
        <f t="shared" si="334"/>
        <v/>
      </c>
      <c r="X482" s="674" t="str">
        <f t="shared" si="334"/>
        <v/>
      </c>
      <c r="Y482" s="674" t="str">
        <f t="shared" si="334"/>
        <v/>
      </c>
      <c r="Z482" s="674" t="str">
        <f t="shared" si="334"/>
        <v/>
      </c>
      <c r="AA482" s="674" t="str">
        <f t="shared" si="334"/>
        <v/>
      </c>
      <c r="AB482" s="674" t="str">
        <f t="shared" si="334"/>
        <v/>
      </c>
      <c r="AC482" s="674" t="str">
        <f t="shared" si="334"/>
        <v/>
      </c>
      <c r="AD482" s="674" t="str">
        <f t="shared" si="334"/>
        <v/>
      </c>
      <c r="AE482" s="674" t="str">
        <f t="shared" si="334"/>
        <v/>
      </c>
      <c r="AF482" s="674" t="str">
        <f t="shared" si="334"/>
        <v/>
      </c>
      <c r="AG482" s="674" t="str">
        <f t="shared" si="334"/>
        <v/>
      </c>
      <c r="AH482" s="674" t="str">
        <f t="shared" si="334"/>
        <v/>
      </c>
      <c r="AI482" s="674" t="str">
        <f t="shared" si="334"/>
        <v/>
      </c>
      <c r="AJ482" s="674" t="str">
        <f t="shared" si="334"/>
        <v/>
      </c>
      <c r="AK482" s="675" t="str">
        <f t="shared" si="334"/>
        <v/>
      </c>
      <c r="AL482" s="15"/>
      <c r="AM482" s="15"/>
      <c r="AP482" s="536"/>
      <c r="AR482" s="537"/>
      <c r="AS482" s="529"/>
      <c r="AW482" s="390" t="str">
        <f>""</f>
        <v/>
      </c>
      <c r="AX482" s="531"/>
      <c r="AY482" s="390" t="str">
        <f>""</f>
        <v/>
      </c>
      <c r="BD482" s="520"/>
      <c r="BE482" s="520"/>
      <c r="BF482" s="520"/>
      <c r="BG482" s="520"/>
      <c r="BH482" s="520"/>
      <c r="BI482" s="520"/>
      <c r="BJ482" s="520"/>
      <c r="BK482" s="520"/>
      <c r="BL482" s="520"/>
      <c r="BM482" s="520"/>
      <c r="BN482" s="520"/>
      <c r="BO482" s="520"/>
      <c r="BP482" s="520"/>
      <c r="BQ482" s="520"/>
      <c r="BR482" s="520"/>
      <c r="BS482" s="520"/>
      <c r="BT482" s="520"/>
      <c r="BU482" s="520"/>
      <c r="BV482" s="520"/>
      <c r="BW482" s="520"/>
      <c r="BX482" s="520"/>
      <c r="BY482" s="520"/>
    </row>
    <row r="483" spans="1:84" ht="12" customHeight="1" x14ac:dyDescent="0.3">
      <c r="A483" s="765"/>
      <c r="E483" s="258" t="str">
        <f>$AX$96</f>
        <v>Összes gól: 2 p</v>
      </c>
      <c r="H483" s="673" t="str">
        <f t="shared" ref="H483:AK483" si="335">IF(OR(BC478,NOT($AS$28)),"",IF(AND(NOT($AS$32),COUNTIF(H479:H482,"ü")&gt;0),"",IF(H477+H478=$E477+$E478,"ü"," ")))</f>
        <v/>
      </c>
      <c r="I483" s="674" t="str">
        <f t="shared" si="335"/>
        <v/>
      </c>
      <c r="J483" s="674" t="str">
        <f t="shared" si="335"/>
        <v/>
      </c>
      <c r="K483" s="674" t="str">
        <f t="shared" si="335"/>
        <v/>
      </c>
      <c r="L483" s="674" t="str">
        <f t="shared" si="335"/>
        <v/>
      </c>
      <c r="M483" s="674" t="str">
        <f t="shared" si="335"/>
        <v/>
      </c>
      <c r="N483" s="674" t="str">
        <f t="shared" si="335"/>
        <v/>
      </c>
      <c r="O483" s="674" t="str">
        <f t="shared" si="335"/>
        <v/>
      </c>
      <c r="P483" s="674" t="str">
        <f t="shared" si="335"/>
        <v/>
      </c>
      <c r="Q483" s="674" t="str">
        <f t="shared" si="335"/>
        <v/>
      </c>
      <c r="R483" s="674" t="str">
        <f t="shared" si="335"/>
        <v/>
      </c>
      <c r="S483" s="674" t="str">
        <f t="shared" si="335"/>
        <v/>
      </c>
      <c r="T483" s="674" t="str">
        <f t="shared" si="335"/>
        <v/>
      </c>
      <c r="U483" s="674" t="str">
        <f t="shared" si="335"/>
        <v/>
      </c>
      <c r="V483" s="674" t="str">
        <f t="shared" si="335"/>
        <v/>
      </c>
      <c r="W483" s="674" t="str">
        <f t="shared" si="335"/>
        <v/>
      </c>
      <c r="X483" s="674" t="str">
        <f t="shared" si="335"/>
        <v/>
      </c>
      <c r="Y483" s="674" t="str">
        <f t="shared" si="335"/>
        <v/>
      </c>
      <c r="Z483" s="674" t="str">
        <f t="shared" si="335"/>
        <v/>
      </c>
      <c r="AA483" s="674" t="str">
        <f t="shared" si="335"/>
        <v/>
      </c>
      <c r="AB483" s="674" t="str">
        <f t="shared" si="335"/>
        <v/>
      </c>
      <c r="AC483" s="674" t="str">
        <f t="shared" si="335"/>
        <v/>
      </c>
      <c r="AD483" s="674" t="str">
        <f t="shared" si="335"/>
        <v/>
      </c>
      <c r="AE483" s="674" t="str">
        <f t="shared" si="335"/>
        <v/>
      </c>
      <c r="AF483" s="674" t="str">
        <f t="shared" si="335"/>
        <v/>
      </c>
      <c r="AG483" s="674" t="str">
        <f t="shared" si="335"/>
        <v/>
      </c>
      <c r="AH483" s="674" t="str">
        <f t="shared" si="335"/>
        <v/>
      </c>
      <c r="AI483" s="674" t="str">
        <f t="shared" si="335"/>
        <v/>
      </c>
      <c r="AJ483" s="674" t="str">
        <f t="shared" si="335"/>
        <v/>
      </c>
      <c r="AK483" s="675" t="str">
        <f t="shared" si="335"/>
        <v/>
      </c>
      <c r="AL483" s="15"/>
      <c r="AM483" s="15"/>
      <c r="AP483" s="536"/>
      <c r="AR483" s="537"/>
      <c r="AS483" s="529"/>
      <c r="AW483" s="390" t="str">
        <f>""</f>
        <v/>
      </c>
      <c r="AX483" s="531"/>
      <c r="AY483" s="390" t="str">
        <f>""</f>
        <v/>
      </c>
      <c r="BD483" s="520"/>
      <c r="BE483" s="520"/>
      <c r="BF483" s="520"/>
      <c r="BG483" s="520"/>
      <c r="BH483" s="520"/>
      <c r="BI483" s="520"/>
      <c r="BJ483" s="520"/>
      <c r="BK483" s="520"/>
      <c r="BL483" s="520"/>
      <c r="BM483" s="520"/>
      <c r="BN483" s="520"/>
      <c r="BO483" s="520"/>
      <c r="BP483" s="520"/>
      <c r="BQ483" s="520"/>
      <c r="BR483" s="520"/>
      <c r="BS483" s="520"/>
      <c r="BT483" s="520"/>
      <c r="BU483" s="520"/>
      <c r="BV483" s="520"/>
      <c r="BW483" s="520"/>
      <c r="BX483" s="520"/>
      <c r="BY483" s="520"/>
    </row>
    <row r="484" spans="1:84" ht="12" customHeight="1" x14ac:dyDescent="0.3">
      <c r="A484" s="765"/>
      <c r="E484" s="258" t="str">
        <f>$AX$97</f>
        <v>Fordított gólkülönbség: 1 p</v>
      </c>
      <c r="H484" s="676" t="str">
        <f t="shared" ref="H484:AK484" si="336">IF(OR(BC478,NOT($AS$30)),"",IF(AND(NOT($AS$32),COUNTIF(H479:H483,"ü")&gt;0),"",IF(AND(H477-H478=$E478-$E477,H477&lt;&gt;H478),"ü"," ")))</f>
        <v/>
      </c>
      <c r="I484" s="677" t="str">
        <f t="shared" si="336"/>
        <v/>
      </c>
      <c r="J484" s="677" t="str">
        <f t="shared" si="336"/>
        <v/>
      </c>
      <c r="K484" s="677" t="str">
        <f t="shared" si="336"/>
        <v/>
      </c>
      <c r="L484" s="677" t="str">
        <f t="shared" si="336"/>
        <v/>
      </c>
      <c r="M484" s="677" t="str">
        <f t="shared" si="336"/>
        <v/>
      </c>
      <c r="N484" s="677" t="str">
        <f t="shared" si="336"/>
        <v/>
      </c>
      <c r="O484" s="677" t="str">
        <f t="shared" si="336"/>
        <v/>
      </c>
      <c r="P484" s="677" t="str">
        <f t="shared" si="336"/>
        <v/>
      </c>
      <c r="Q484" s="677" t="str">
        <f t="shared" si="336"/>
        <v/>
      </c>
      <c r="R484" s="677" t="str">
        <f t="shared" si="336"/>
        <v/>
      </c>
      <c r="S484" s="677" t="str">
        <f t="shared" si="336"/>
        <v/>
      </c>
      <c r="T484" s="677" t="str">
        <f t="shared" si="336"/>
        <v/>
      </c>
      <c r="U484" s="677" t="str">
        <f t="shared" si="336"/>
        <v/>
      </c>
      <c r="V484" s="677" t="str">
        <f t="shared" si="336"/>
        <v/>
      </c>
      <c r="W484" s="677" t="str">
        <f t="shared" si="336"/>
        <v/>
      </c>
      <c r="X484" s="677" t="str">
        <f t="shared" si="336"/>
        <v/>
      </c>
      <c r="Y484" s="677" t="str">
        <f t="shared" si="336"/>
        <v/>
      </c>
      <c r="Z484" s="677" t="str">
        <f t="shared" si="336"/>
        <v/>
      </c>
      <c r="AA484" s="677" t="str">
        <f t="shared" si="336"/>
        <v/>
      </c>
      <c r="AB484" s="677" t="str">
        <f t="shared" si="336"/>
        <v/>
      </c>
      <c r="AC484" s="677" t="str">
        <f t="shared" si="336"/>
        <v/>
      </c>
      <c r="AD484" s="677" t="str">
        <f t="shared" si="336"/>
        <v/>
      </c>
      <c r="AE484" s="677" t="str">
        <f t="shared" si="336"/>
        <v/>
      </c>
      <c r="AF484" s="677" t="str">
        <f t="shared" si="336"/>
        <v/>
      </c>
      <c r="AG484" s="677" t="str">
        <f t="shared" si="336"/>
        <v/>
      </c>
      <c r="AH484" s="677" t="str">
        <f t="shared" si="336"/>
        <v/>
      </c>
      <c r="AI484" s="677" t="str">
        <f t="shared" si="336"/>
        <v/>
      </c>
      <c r="AJ484" s="677" t="str">
        <f t="shared" si="336"/>
        <v/>
      </c>
      <c r="AK484" s="678" t="str">
        <f t="shared" si="336"/>
        <v/>
      </c>
      <c r="AL484" s="15"/>
      <c r="AM484" s="15"/>
      <c r="AP484" s="536"/>
      <c r="AR484" s="537"/>
      <c r="AS484" s="529"/>
      <c r="AW484" s="390" t="str">
        <f>""</f>
        <v/>
      </c>
      <c r="AX484" s="531"/>
      <c r="AY484" s="390" t="str">
        <f>""</f>
        <v/>
      </c>
      <c r="BD484" s="520"/>
      <c r="BE484" s="520"/>
      <c r="BF484" s="520"/>
      <c r="BG484" s="520"/>
      <c r="BH484" s="520"/>
      <c r="BI484" s="520"/>
      <c r="BJ484" s="520"/>
      <c r="BK484" s="520"/>
      <c r="BL484" s="520"/>
      <c r="BM484" s="520"/>
      <c r="BN484" s="520"/>
      <c r="BO484" s="520"/>
      <c r="BP484" s="520"/>
      <c r="BQ484" s="520"/>
      <c r="BR484" s="520"/>
      <c r="BS484" s="520"/>
      <c r="BT484" s="520"/>
      <c r="BU484" s="520"/>
      <c r="BV484" s="520"/>
      <c r="BW484" s="520"/>
      <c r="BX484" s="520"/>
      <c r="BY484" s="520"/>
    </row>
    <row r="485" spans="1:84" ht="15" customHeight="1" x14ac:dyDescent="0.3">
      <c r="A485" s="765"/>
      <c r="E485" s="79" t="s">
        <v>799</v>
      </c>
      <c r="H485" s="679">
        <f t="shared" ref="H485:AK485" si="337">IF(NOT(H$13),"",SUMPRODUCT((H479:H484="ü")*($AW$92:$AW$97)))</f>
        <v>0</v>
      </c>
      <c r="I485" s="680">
        <f t="shared" si="337"/>
        <v>0</v>
      </c>
      <c r="J485" s="680">
        <f t="shared" si="337"/>
        <v>0</v>
      </c>
      <c r="K485" s="680">
        <f t="shared" si="337"/>
        <v>0</v>
      </c>
      <c r="L485" s="680">
        <f t="shared" si="337"/>
        <v>0</v>
      </c>
      <c r="M485" s="680">
        <f t="shared" si="337"/>
        <v>0</v>
      </c>
      <c r="N485" s="680">
        <f t="shared" si="337"/>
        <v>0</v>
      </c>
      <c r="O485" s="680">
        <f t="shared" si="337"/>
        <v>0</v>
      </c>
      <c r="P485" s="680">
        <f t="shared" si="337"/>
        <v>0</v>
      </c>
      <c r="Q485" s="680">
        <f t="shared" si="337"/>
        <v>0</v>
      </c>
      <c r="R485" s="680">
        <f t="shared" si="337"/>
        <v>0</v>
      </c>
      <c r="S485" s="680">
        <f t="shared" si="337"/>
        <v>0</v>
      </c>
      <c r="T485" s="680">
        <f t="shared" si="337"/>
        <v>0</v>
      </c>
      <c r="U485" s="680">
        <f t="shared" si="337"/>
        <v>0</v>
      </c>
      <c r="V485" s="680">
        <f t="shared" si="337"/>
        <v>0</v>
      </c>
      <c r="W485" s="680">
        <f t="shared" si="337"/>
        <v>0</v>
      </c>
      <c r="X485" s="680">
        <f t="shared" si="337"/>
        <v>0</v>
      </c>
      <c r="Y485" s="680">
        <f t="shared" si="337"/>
        <v>0</v>
      </c>
      <c r="Z485" s="680">
        <f t="shared" si="337"/>
        <v>0</v>
      </c>
      <c r="AA485" s="680">
        <f t="shared" si="337"/>
        <v>0</v>
      </c>
      <c r="AB485" s="680">
        <f t="shared" si="337"/>
        <v>0</v>
      </c>
      <c r="AC485" s="680">
        <f t="shared" si="337"/>
        <v>0</v>
      </c>
      <c r="AD485" s="680">
        <f t="shared" si="337"/>
        <v>0</v>
      </c>
      <c r="AE485" s="680" t="str">
        <f t="shared" si="337"/>
        <v/>
      </c>
      <c r="AF485" s="680" t="str">
        <f t="shared" si="337"/>
        <v/>
      </c>
      <c r="AG485" s="680" t="str">
        <f t="shared" si="337"/>
        <v/>
      </c>
      <c r="AH485" s="680" t="str">
        <f t="shared" si="337"/>
        <v/>
      </c>
      <c r="AI485" s="680" t="str">
        <f t="shared" si="337"/>
        <v/>
      </c>
      <c r="AJ485" s="680" t="str">
        <f t="shared" si="337"/>
        <v/>
      </c>
      <c r="AK485" s="681" t="str">
        <f t="shared" si="337"/>
        <v/>
      </c>
      <c r="AP485" s="536"/>
      <c r="AR485" s="537"/>
      <c r="AS485" s="529"/>
    </row>
    <row r="486" spans="1:84" ht="9" customHeight="1" x14ac:dyDescent="0.3">
      <c r="A486" s="765"/>
      <c r="D486" s="15"/>
      <c r="E486" s="15"/>
      <c r="F486" s="15"/>
      <c r="G486" s="15"/>
      <c r="H486" s="15"/>
      <c r="I486" s="16"/>
      <c r="J486" s="15"/>
      <c r="K486" s="15"/>
      <c r="L486" s="16"/>
      <c r="M486" s="15"/>
      <c r="N486" s="15"/>
      <c r="O486" s="16"/>
      <c r="P486" s="15"/>
      <c r="Q486" s="15"/>
      <c r="R486" s="16"/>
      <c r="S486" s="15"/>
      <c r="T486" s="15"/>
      <c r="U486" s="16"/>
      <c r="V486" s="15"/>
      <c r="W486" s="15"/>
      <c r="X486" s="16"/>
      <c r="Y486" s="15"/>
      <c r="Z486" s="15"/>
      <c r="AA486" s="16"/>
      <c r="AB486" s="15"/>
      <c r="AC486" s="15"/>
      <c r="AD486" s="16"/>
      <c r="AE486" s="15"/>
      <c r="AF486" s="15"/>
      <c r="AG486" s="16"/>
      <c r="AH486" s="15"/>
      <c r="AI486" s="15"/>
      <c r="AJ486" s="16"/>
      <c r="AK486" s="15"/>
      <c r="AP486" s="536"/>
      <c r="AR486" s="537"/>
      <c r="AS486" s="529"/>
    </row>
    <row r="487" spans="1:84" ht="15" customHeight="1" x14ac:dyDescent="0.3">
      <c r="A487" s="765"/>
      <c r="C487" s="27" t="str">
        <f>" "&amp;VLOOKUP(AQ488,schedule,18,FALSE)&amp;"  ("&amp;VLOOKUP(AQ488,schedule,3,FALSE)&amp;" CSOPORT)"</f>
        <v xml:space="preserve"> JÚNIUS 23. – SZERDA 21:00  (F CSOPORT)</v>
      </c>
      <c r="D487" s="27"/>
      <c r="E487" s="26"/>
      <c r="F487" s="26"/>
      <c r="G487" s="26"/>
      <c r="H487" s="26"/>
      <c r="I487" s="26"/>
      <c r="J487" s="26"/>
      <c r="AP487" s="536"/>
      <c r="AR487" s="537"/>
      <c r="AS487" s="529"/>
    </row>
    <row r="488" spans="1:84" ht="15" customHeight="1" x14ac:dyDescent="0.3">
      <c r="A488" s="765"/>
      <c r="C488" s="661"/>
      <c r="D488" s="662" t="str">
        <f>IF(INDEX(n.er,$AR488,8)="","",INDEX(n.er,$AR488,8))</f>
        <v>Németország</v>
      </c>
      <c r="E488" s="663" t="str">
        <f>IF(NOT($AS488),"",INDEX(n.er,$AR488,9))</f>
        <v/>
      </c>
      <c r="F488" s="662"/>
      <c r="G488" s="259"/>
      <c r="H488" s="664">
        <v>3</v>
      </c>
      <c r="I488" s="665">
        <v>4</v>
      </c>
      <c r="J488" s="665">
        <v>3</v>
      </c>
      <c r="K488" s="665">
        <v>4</v>
      </c>
      <c r="L488" s="665">
        <v>2</v>
      </c>
      <c r="M488" s="665">
        <v>5</v>
      </c>
      <c r="N488" s="665">
        <v>2</v>
      </c>
      <c r="O488" s="665">
        <v>3</v>
      </c>
      <c r="P488" s="665">
        <v>4</v>
      </c>
      <c r="Q488" s="665">
        <v>2</v>
      </c>
      <c r="R488" s="665">
        <v>2</v>
      </c>
      <c r="S488" s="665">
        <v>2</v>
      </c>
      <c r="T488" s="665">
        <v>4</v>
      </c>
      <c r="U488" s="665">
        <v>1</v>
      </c>
      <c r="V488" s="665">
        <v>3</v>
      </c>
      <c r="W488" s="665">
        <v>3</v>
      </c>
      <c r="X488" s="665">
        <v>1</v>
      </c>
      <c r="Y488" s="665">
        <v>3</v>
      </c>
      <c r="Z488" s="665">
        <v>2</v>
      </c>
      <c r="AA488" s="665">
        <v>3</v>
      </c>
      <c r="AB488" s="665">
        <v>1</v>
      </c>
      <c r="AC488" s="665">
        <v>3</v>
      </c>
      <c r="AD488" s="665">
        <v>3</v>
      </c>
      <c r="AE488" s="665"/>
      <c r="AF488" s="665"/>
      <c r="AG488" s="665"/>
      <c r="AH488" s="665"/>
      <c r="AI488" s="665"/>
      <c r="AJ488" s="665"/>
      <c r="AK488" s="666"/>
      <c r="AP488" s="52">
        <f>AP477+1</f>
        <v>35</v>
      </c>
      <c r="AQ488" s="311">
        <f>INDEX(schedule,AP488,1)</f>
        <v>35</v>
      </c>
      <c r="AR488" s="311">
        <f>MATCH(AQ488,n.er.index,0)</f>
        <v>83</v>
      </c>
      <c r="AS488" s="532" t="b">
        <f>INDEX(n.er,$AR488,3)</f>
        <v>0</v>
      </c>
      <c r="AT488" s="531"/>
      <c r="AU488" s="531"/>
      <c r="AV488" s="531"/>
      <c r="AW488" s="531"/>
      <c r="AX488" s="531"/>
      <c r="BC488" s="525" t="b">
        <f t="shared" ref="BC488:CF488" si="338">IF(AND(ISNUMBER(H488),ISNUMBER(H489),H488&lt;&gt;"",H489&lt;&gt;""),AND(H488&gt;=0,H489&gt;=0,MOD(H488+H489,1)=0),FALSE)</f>
        <v>1</v>
      </c>
      <c r="BD488" s="525" t="b">
        <f t="shared" si="338"/>
        <v>1</v>
      </c>
      <c r="BE488" s="525" t="b">
        <f t="shared" si="338"/>
        <v>1</v>
      </c>
      <c r="BF488" s="525" t="b">
        <f t="shared" si="338"/>
        <v>1</v>
      </c>
      <c r="BG488" s="525" t="b">
        <f t="shared" si="338"/>
        <v>1</v>
      </c>
      <c r="BH488" s="525" t="b">
        <f t="shared" si="338"/>
        <v>1</v>
      </c>
      <c r="BI488" s="525" t="b">
        <f t="shared" si="338"/>
        <v>1</v>
      </c>
      <c r="BJ488" s="525" t="b">
        <f t="shared" si="338"/>
        <v>1</v>
      </c>
      <c r="BK488" s="525" t="b">
        <f t="shared" si="338"/>
        <v>1</v>
      </c>
      <c r="BL488" s="525" t="b">
        <f t="shared" si="338"/>
        <v>1</v>
      </c>
      <c r="BM488" s="525" t="b">
        <f t="shared" si="338"/>
        <v>1</v>
      </c>
      <c r="BN488" s="525" t="b">
        <f t="shared" si="338"/>
        <v>1</v>
      </c>
      <c r="BO488" s="525" t="b">
        <f t="shared" si="338"/>
        <v>1</v>
      </c>
      <c r="BP488" s="525" t="b">
        <f t="shared" si="338"/>
        <v>1</v>
      </c>
      <c r="BQ488" s="525" t="b">
        <f t="shared" si="338"/>
        <v>1</v>
      </c>
      <c r="BR488" s="525" t="b">
        <f t="shared" si="338"/>
        <v>1</v>
      </c>
      <c r="BS488" s="525" t="b">
        <f t="shared" si="338"/>
        <v>1</v>
      </c>
      <c r="BT488" s="525" t="b">
        <f t="shared" si="338"/>
        <v>1</v>
      </c>
      <c r="BU488" s="525" t="b">
        <f t="shared" si="338"/>
        <v>1</v>
      </c>
      <c r="BV488" s="525" t="b">
        <f t="shared" si="338"/>
        <v>1</v>
      </c>
      <c r="BW488" s="525" t="b">
        <f t="shared" si="338"/>
        <v>1</v>
      </c>
      <c r="BX488" s="525" t="b">
        <f t="shared" si="338"/>
        <v>1</v>
      </c>
      <c r="BY488" s="525" t="b">
        <f t="shared" si="338"/>
        <v>1</v>
      </c>
      <c r="BZ488" s="525" t="b">
        <f t="shared" si="338"/>
        <v>0</v>
      </c>
      <c r="CA488" s="525" t="b">
        <f t="shared" si="338"/>
        <v>0</v>
      </c>
      <c r="CB488" s="525" t="b">
        <f t="shared" si="338"/>
        <v>0</v>
      </c>
      <c r="CC488" s="525" t="b">
        <f t="shared" si="338"/>
        <v>0</v>
      </c>
      <c r="CD488" s="525" t="b">
        <f t="shared" si="338"/>
        <v>0</v>
      </c>
      <c r="CE488" s="525" t="b">
        <f t="shared" si="338"/>
        <v>0</v>
      </c>
      <c r="CF488" s="525" t="b">
        <f t="shared" si="338"/>
        <v>0</v>
      </c>
    </row>
    <row r="489" spans="1:84" ht="15" customHeight="1" x14ac:dyDescent="0.3">
      <c r="A489" s="765"/>
      <c r="C489" s="695"/>
      <c r="D489" s="696" t="str">
        <f>IF(INDEX(n.er,$AR488,11)="","",INDEX(n.er,$AR488,11))</f>
        <v>MAGYARORSZÁG</v>
      </c>
      <c r="E489" s="697" t="str">
        <f>IF(NOT($AS488),"",INDEX(n.er,$AR488,10))</f>
        <v/>
      </c>
      <c r="F489" s="696"/>
      <c r="G489" s="259"/>
      <c r="H489" s="667">
        <v>0</v>
      </c>
      <c r="I489" s="668">
        <v>0</v>
      </c>
      <c r="J489" s="668">
        <v>2</v>
      </c>
      <c r="K489" s="668">
        <v>2</v>
      </c>
      <c r="L489" s="668">
        <v>1</v>
      </c>
      <c r="M489" s="668">
        <v>2</v>
      </c>
      <c r="N489" s="668">
        <v>0</v>
      </c>
      <c r="O489" s="668">
        <v>1</v>
      </c>
      <c r="P489" s="668">
        <v>1</v>
      </c>
      <c r="Q489" s="668">
        <v>1</v>
      </c>
      <c r="R489" s="668">
        <v>0</v>
      </c>
      <c r="S489" s="668">
        <v>0</v>
      </c>
      <c r="T489" s="668">
        <v>0</v>
      </c>
      <c r="U489" s="668">
        <v>2</v>
      </c>
      <c r="V489" s="668">
        <v>0</v>
      </c>
      <c r="W489" s="668">
        <v>1</v>
      </c>
      <c r="X489" s="668">
        <v>2</v>
      </c>
      <c r="Y489" s="668">
        <v>0</v>
      </c>
      <c r="Z489" s="668">
        <v>0</v>
      </c>
      <c r="AA489" s="668">
        <v>0</v>
      </c>
      <c r="AB489" s="668">
        <v>1</v>
      </c>
      <c r="AC489" s="668">
        <v>1</v>
      </c>
      <c r="AD489" s="668">
        <v>0</v>
      </c>
      <c r="AE489" s="668"/>
      <c r="AF489" s="668"/>
      <c r="AG489" s="668"/>
      <c r="AH489" s="668"/>
      <c r="AI489" s="668"/>
      <c r="AJ489" s="668"/>
      <c r="AK489" s="669"/>
      <c r="AP489" s="533"/>
      <c r="AQ489" s="577"/>
      <c r="AR489" s="534"/>
      <c r="AS489" s="535"/>
      <c r="AX489" s="531"/>
      <c r="BC489" s="34" t="b">
        <f t="shared" ref="BC489:CF489" si="339">OR(NOT(H$13),NOT($AS488),NOT(BC488))</f>
        <v>1</v>
      </c>
      <c r="BD489" s="34" t="b">
        <f t="shared" si="339"/>
        <v>1</v>
      </c>
      <c r="BE489" s="34" t="b">
        <f t="shared" si="339"/>
        <v>1</v>
      </c>
      <c r="BF489" s="34" t="b">
        <f t="shared" si="339"/>
        <v>1</v>
      </c>
      <c r="BG489" s="34" t="b">
        <f t="shared" si="339"/>
        <v>1</v>
      </c>
      <c r="BH489" s="34" t="b">
        <f t="shared" si="339"/>
        <v>1</v>
      </c>
      <c r="BI489" s="34" t="b">
        <f t="shared" si="339"/>
        <v>1</v>
      </c>
      <c r="BJ489" s="34" t="b">
        <f t="shared" si="339"/>
        <v>1</v>
      </c>
      <c r="BK489" s="34" t="b">
        <f t="shared" si="339"/>
        <v>1</v>
      </c>
      <c r="BL489" s="34" t="b">
        <f t="shared" si="339"/>
        <v>1</v>
      </c>
      <c r="BM489" s="34" t="b">
        <f t="shared" si="339"/>
        <v>1</v>
      </c>
      <c r="BN489" s="34" t="b">
        <f t="shared" si="339"/>
        <v>1</v>
      </c>
      <c r="BO489" s="34" t="b">
        <f t="shared" si="339"/>
        <v>1</v>
      </c>
      <c r="BP489" s="34" t="b">
        <f t="shared" si="339"/>
        <v>1</v>
      </c>
      <c r="BQ489" s="34" t="b">
        <f t="shared" si="339"/>
        <v>1</v>
      </c>
      <c r="BR489" s="34" t="b">
        <f t="shared" si="339"/>
        <v>1</v>
      </c>
      <c r="BS489" s="34" t="b">
        <f t="shared" si="339"/>
        <v>1</v>
      </c>
      <c r="BT489" s="34" t="b">
        <f t="shared" si="339"/>
        <v>1</v>
      </c>
      <c r="BU489" s="34" t="b">
        <f t="shared" si="339"/>
        <v>1</v>
      </c>
      <c r="BV489" s="34" t="b">
        <f t="shared" si="339"/>
        <v>1</v>
      </c>
      <c r="BW489" s="34" t="b">
        <f t="shared" si="339"/>
        <v>1</v>
      </c>
      <c r="BX489" s="34" t="b">
        <f t="shared" si="339"/>
        <v>1</v>
      </c>
      <c r="BY489" s="34" t="b">
        <f t="shared" si="339"/>
        <v>1</v>
      </c>
      <c r="BZ489" s="34" t="b">
        <f t="shared" si="339"/>
        <v>1</v>
      </c>
      <c r="CA489" s="34" t="b">
        <f t="shared" si="339"/>
        <v>1</v>
      </c>
      <c r="CB489" s="34" t="b">
        <f t="shared" si="339"/>
        <v>1</v>
      </c>
      <c r="CC489" s="34" t="b">
        <f t="shared" si="339"/>
        <v>1</v>
      </c>
      <c r="CD489" s="34" t="b">
        <f t="shared" si="339"/>
        <v>1</v>
      </c>
      <c r="CE489" s="34" t="b">
        <f t="shared" si="339"/>
        <v>1</v>
      </c>
      <c r="CF489" s="34" t="b">
        <f t="shared" si="339"/>
        <v>1</v>
      </c>
    </row>
    <row r="490" spans="1:84" ht="12" customHeight="1" x14ac:dyDescent="0.3">
      <c r="A490" s="765"/>
      <c r="E490" s="258" t="str">
        <f>$AX$92</f>
        <v>Telitalálat: 10 p</v>
      </c>
      <c r="H490" s="670" t="str">
        <f t="shared" ref="H490:AK490" si="340">IF(OR(BC489,NOT($AS$20)),"",IF(AND(H488=$E488,H489=$E489),"ü",""))</f>
        <v/>
      </c>
      <c r="I490" s="671" t="str">
        <f t="shared" si="340"/>
        <v/>
      </c>
      <c r="J490" s="671" t="str">
        <f t="shared" si="340"/>
        <v/>
      </c>
      <c r="K490" s="671" t="str">
        <f t="shared" si="340"/>
        <v/>
      </c>
      <c r="L490" s="671" t="str">
        <f t="shared" si="340"/>
        <v/>
      </c>
      <c r="M490" s="671" t="str">
        <f t="shared" si="340"/>
        <v/>
      </c>
      <c r="N490" s="671" t="str">
        <f t="shared" si="340"/>
        <v/>
      </c>
      <c r="O490" s="671" t="str">
        <f t="shared" si="340"/>
        <v/>
      </c>
      <c r="P490" s="671" t="str">
        <f t="shared" si="340"/>
        <v/>
      </c>
      <c r="Q490" s="671" t="str">
        <f t="shared" si="340"/>
        <v/>
      </c>
      <c r="R490" s="671" t="str">
        <f t="shared" si="340"/>
        <v/>
      </c>
      <c r="S490" s="671" t="str">
        <f t="shared" si="340"/>
        <v/>
      </c>
      <c r="T490" s="671" t="str">
        <f t="shared" si="340"/>
        <v/>
      </c>
      <c r="U490" s="671" t="str">
        <f t="shared" si="340"/>
        <v/>
      </c>
      <c r="V490" s="671" t="str">
        <f t="shared" si="340"/>
        <v/>
      </c>
      <c r="W490" s="671" t="str">
        <f t="shared" si="340"/>
        <v/>
      </c>
      <c r="X490" s="671" t="str">
        <f t="shared" si="340"/>
        <v/>
      </c>
      <c r="Y490" s="671" t="str">
        <f t="shared" si="340"/>
        <v/>
      </c>
      <c r="Z490" s="671" t="str">
        <f t="shared" si="340"/>
        <v/>
      </c>
      <c r="AA490" s="671" t="str">
        <f t="shared" si="340"/>
        <v/>
      </c>
      <c r="AB490" s="671" t="str">
        <f t="shared" si="340"/>
        <v/>
      </c>
      <c r="AC490" s="671" t="str">
        <f t="shared" si="340"/>
        <v/>
      </c>
      <c r="AD490" s="671" t="str">
        <f t="shared" si="340"/>
        <v/>
      </c>
      <c r="AE490" s="671" t="str">
        <f t="shared" si="340"/>
        <v/>
      </c>
      <c r="AF490" s="671" t="str">
        <f t="shared" si="340"/>
        <v/>
      </c>
      <c r="AG490" s="671" t="str">
        <f t="shared" si="340"/>
        <v/>
      </c>
      <c r="AH490" s="671" t="str">
        <f t="shared" si="340"/>
        <v/>
      </c>
      <c r="AI490" s="671" t="str">
        <f t="shared" si="340"/>
        <v/>
      </c>
      <c r="AJ490" s="671" t="str">
        <f t="shared" si="340"/>
        <v/>
      </c>
      <c r="AK490" s="672" t="str">
        <f t="shared" si="340"/>
        <v/>
      </c>
      <c r="AL490" s="15"/>
      <c r="AM490" s="15"/>
      <c r="AP490" s="536"/>
      <c r="AR490" s="537"/>
      <c r="AS490" s="529"/>
      <c r="AW490" s="390" t="str">
        <f>""</f>
        <v/>
      </c>
      <c r="AX490" s="531"/>
      <c r="AY490" s="390" t="str">
        <f>""</f>
        <v/>
      </c>
      <c r="BD490" s="520"/>
      <c r="BE490" s="520"/>
      <c r="BF490" s="520"/>
      <c r="BG490" s="520"/>
      <c r="BH490" s="520"/>
      <c r="BI490" s="520"/>
      <c r="BJ490" s="520"/>
      <c r="BK490" s="520"/>
      <c r="BL490" s="520"/>
      <c r="BM490" s="520"/>
      <c r="BN490" s="520"/>
      <c r="BO490" s="520"/>
      <c r="BP490" s="520"/>
      <c r="BQ490" s="520"/>
      <c r="BR490" s="520"/>
      <c r="BS490" s="520"/>
      <c r="BT490" s="520"/>
      <c r="BU490" s="520"/>
      <c r="BV490" s="520"/>
      <c r="BW490" s="520"/>
      <c r="BX490" s="520"/>
      <c r="BY490" s="520"/>
    </row>
    <row r="491" spans="1:84" ht="12" customHeight="1" x14ac:dyDescent="0.3">
      <c r="A491" s="765"/>
      <c r="E491" s="258" t="str">
        <f>$AX$93</f>
        <v>Gólkülönbség: 6 p</v>
      </c>
      <c r="H491" s="673" t="str">
        <f t="shared" ref="H491:AK491" si="341">IF(OR(BC489,NOT($AS$22)),"",IF(AND(NOT($AS$32),H490="ü"),"",IF(H488-H489=$E488-$E489,"ü"," ")))</f>
        <v/>
      </c>
      <c r="I491" s="674" t="str">
        <f t="shared" si="341"/>
        <v/>
      </c>
      <c r="J491" s="674" t="str">
        <f t="shared" si="341"/>
        <v/>
      </c>
      <c r="K491" s="674" t="str">
        <f t="shared" si="341"/>
        <v/>
      </c>
      <c r="L491" s="674" t="str">
        <f t="shared" si="341"/>
        <v/>
      </c>
      <c r="M491" s="674" t="str">
        <f t="shared" si="341"/>
        <v/>
      </c>
      <c r="N491" s="674" t="str">
        <f t="shared" si="341"/>
        <v/>
      </c>
      <c r="O491" s="674" t="str">
        <f t="shared" si="341"/>
        <v/>
      </c>
      <c r="P491" s="674" t="str">
        <f t="shared" si="341"/>
        <v/>
      </c>
      <c r="Q491" s="674" t="str">
        <f t="shared" si="341"/>
        <v/>
      </c>
      <c r="R491" s="674" t="str">
        <f t="shared" si="341"/>
        <v/>
      </c>
      <c r="S491" s="674" t="str">
        <f t="shared" si="341"/>
        <v/>
      </c>
      <c r="T491" s="674" t="str">
        <f t="shared" si="341"/>
        <v/>
      </c>
      <c r="U491" s="674" t="str">
        <f t="shared" si="341"/>
        <v/>
      </c>
      <c r="V491" s="674" t="str">
        <f t="shared" si="341"/>
        <v/>
      </c>
      <c r="W491" s="674" t="str">
        <f t="shared" si="341"/>
        <v/>
      </c>
      <c r="X491" s="674" t="str">
        <f t="shared" si="341"/>
        <v/>
      </c>
      <c r="Y491" s="674" t="str">
        <f t="shared" si="341"/>
        <v/>
      </c>
      <c r="Z491" s="674" t="str">
        <f t="shared" si="341"/>
        <v/>
      </c>
      <c r="AA491" s="674" t="str">
        <f t="shared" si="341"/>
        <v/>
      </c>
      <c r="AB491" s="674" t="str">
        <f t="shared" si="341"/>
        <v/>
      </c>
      <c r="AC491" s="674" t="str">
        <f t="shared" si="341"/>
        <v/>
      </c>
      <c r="AD491" s="674" t="str">
        <f t="shared" si="341"/>
        <v/>
      </c>
      <c r="AE491" s="674" t="str">
        <f t="shared" si="341"/>
        <v/>
      </c>
      <c r="AF491" s="674" t="str">
        <f t="shared" si="341"/>
        <v/>
      </c>
      <c r="AG491" s="674" t="str">
        <f t="shared" si="341"/>
        <v/>
      </c>
      <c r="AH491" s="674" t="str">
        <f t="shared" si="341"/>
        <v/>
      </c>
      <c r="AI491" s="674" t="str">
        <f t="shared" si="341"/>
        <v/>
      </c>
      <c r="AJ491" s="674" t="str">
        <f t="shared" si="341"/>
        <v/>
      </c>
      <c r="AK491" s="675" t="str">
        <f t="shared" si="341"/>
        <v/>
      </c>
      <c r="AL491" s="15"/>
      <c r="AM491" s="15"/>
      <c r="AP491" s="536"/>
      <c r="AR491" s="537"/>
      <c r="AS491" s="529"/>
      <c r="AW491" s="390" t="str">
        <f>""</f>
        <v/>
      </c>
      <c r="AX491" s="531"/>
      <c r="AY491" s="390" t="str">
        <f>""</f>
        <v/>
      </c>
      <c r="BD491" s="520"/>
      <c r="BE491" s="520"/>
      <c r="BF491" s="520"/>
      <c r="BG491" s="520"/>
      <c r="BH491" s="520"/>
      <c r="BI491" s="520"/>
      <c r="BJ491" s="520"/>
      <c r="BK491" s="520"/>
      <c r="BL491" s="520"/>
      <c r="BM491" s="520"/>
      <c r="BN491" s="520"/>
      <c r="BO491" s="520"/>
      <c r="BP491" s="520"/>
      <c r="BQ491" s="520"/>
      <c r="BR491" s="520"/>
      <c r="BS491" s="520"/>
      <c r="BT491" s="520"/>
      <c r="BU491" s="520"/>
      <c r="BV491" s="520"/>
      <c r="BW491" s="520"/>
      <c r="BX491" s="520"/>
      <c r="BY491" s="520"/>
    </row>
    <row r="492" spans="1:84" ht="12" customHeight="1" x14ac:dyDescent="0.3">
      <c r="A492" s="765"/>
      <c r="E492" s="258" t="str">
        <f>$AX$94</f>
        <v>Mérkőzés kimenetele: 4 p</v>
      </c>
      <c r="H492" s="673" t="str">
        <f t="shared" ref="H492:AK492" si="342">IF(OR(BC489,NOT($AS$24)),"",IF(AND(NOT($AS$32),COUNTIF(H490:H491,"ü")&gt;0),"",IF(SIGN(H488-H489)=SIGN($E488-$E489),"ü"," ")))</f>
        <v/>
      </c>
      <c r="I492" s="674" t="str">
        <f t="shared" si="342"/>
        <v/>
      </c>
      <c r="J492" s="674" t="str">
        <f t="shared" si="342"/>
        <v/>
      </c>
      <c r="K492" s="674" t="str">
        <f t="shared" si="342"/>
        <v/>
      </c>
      <c r="L492" s="674" t="str">
        <f t="shared" si="342"/>
        <v/>
      </c>
      <c r="M492" s="674" t="str">
        <f t="shared" si="342"/>
        <v/>
      </c>
      <c r="N492" s="674" t="str">
        <f t="shared" si="342"/>
        <v/>
      </c>
      <c r="O492" s="674" t="str">
        <f t="shared" si="342"/>
        <v/>
      </c>
      <c r="P492" s="674" t="str">
        <f t="shared" si="342"/>
        <v/>
      </c>
      <c r="Q492" s="674" t="str">
        <f t="shared" si="342"/>
        <v/>
      </c>
      <c r="R492" s="674" t="str">
        <f t="shared" si="342"/>
        <v/>
      </c>
      <c r="S492" s="674" t="str">
        <f t="shared" si="342"/>
        <v/>
      </c>
      <c r="T492" s="674" t="str">
        <f t="shared" si="342"/>
        <v/>
      </c>
      <c r="U492" s="674" t="str">
        <f t="shared" si="342"/>
        <v/>
      </c>
      <c r="V492" s="674" t="str">
        <f t="shared" si="342"/>
        <v/>
      </c>
      <c r="W492" s="674" t="str">
        <f t="shared" si="342"/>
        <v/>
      </c>
      <c r="X492" s="674" t="str">
        <f t="shared" si="342"/>
        <v/>
      </c>
      <c r="Y492" s="674" t="str">
        <f t="shared" si="342"/>
        <v/>
      </c>
      <c r="Z492" s="674" t="str">
        <f t="shared" si="342"/>
        <v/>
      </c>
      <c r="AA492" s="674" t="str">
        <f t="shared" si="342"/>
        <v/>
      </c>
      <c r="AB492" s="674" t="str">
        <f t="shared" si="342"/>
        <v/>
      </c>
      <c r="AC492" s="674" t="str">
        <f t="shared" si="342"/>
        <v/>
      </c>
      <c r="AD492" s="674" t="str">
        <f t="shared" si="342"/>
        <v/>
      </c>
      <c r="AE492" s="674" t="str">
        <f t="shared" si="342"/>
        <v/>
      </c>
      <c r="AF492" s="674" t="str">
        <f t="shared" si="342"/>
        <v/>
      </c>
      <c r="AG492" s="674" t="str">
        <f t="shared" si="342"/>
        <v/>
      </c>
      <c r="AH492" s="674" t="str">
        <f t="shared" si="342"/>
        <v/>
      </c>
      <c r="AI492" s="674" t="str">
        <f t="shared" si="342"/>
        <v/>
      </c>
      <c r="AJ492" s="674" t="str">
        <f t="shared" si="342"/>
        <v/>
      </c>
      <c r="AK492" s="675" t="str">
        <f t="shared" si="342"/>
        <v/>
      </c>
      <c r="AL492" s="15"/>
      <c r="AM492" s="15"/>
      <c r="AP492" s="536"/>
      <c r="AR492" s="537"/>
      <c r="AS492" s="529"/>
      <c r="AW492" s="390" t="str">
        <f>""</f>
        <v/>
      </c>
      <c r="AX492" s="531"/>
      <c r="AY492" s="390" t="str">
        <f>""</f>
        <v/>
      </c>
      <c r="BD492" s="520"/>
      <c r="BE492" s="520"/>
      <c r="BF492" s="520"/>
      <c r="BG492" s="520"/>
      <c r="BH492" s="520"/>
      <c r="BI492" s="520"/>
      <c r="BJ492" s="520"/>
      <c r="BK492" s="520"/>
      <c r="BL492" s="520"/>
      <c r="BM492" s="520"/>
      <c r="BN492" s="520"/>
      <c r="BO492" s="520"/>
      <c r="BP492" s="520"/>
      <c r="BQ492" s="520"/>
      <c r="BR492" s="520"/>
      <c r="BS492" s="520"/>
      <c r="BT492" s="520"/>
      <c r="BU492" s="520"/>
      <c r="BV492" s="520"/>
      <c r="BW492" s="520"/>
      <c r="BX492" s="520"/>
      <c r="BY492" s="520"/>
    </row>
    <row r="493" spans="1:84" ht="12" customHeight="1" x14ac:dyDescent="0.3">
      <c r="A493" s="765"/>
      <c r="E493" s="258" t="str">
        <f>$AX$95</f>
        <v>Egyik csapat góljainak száma: 3 p</v>
      </c>
      <c r="H493" s="673" t="str">
        <f t="shared" ref="H493:AK493" si="343">IF(OR(BC489,NOT($AS$26)),"",IF(AND(NOT($AS$32),COUNTIF(H490:H492,"ü")&gt;0),"",IF(OR(H488=$E488,H489=$E489),"ü"," ")))</f>
        <v/>
      </c>
      <c r="I493" s="674" t="str">
        <f t="shared" si="343"/>
        <v/>
      </c>
      <c r="J493" s="674" t="str">
        <f t="shared" si="343"/>
        <v/>
      </c>
      <c r="K493" s="674" t="str">
        <f t="shared" si="343"/>
        <v/>
      </c>
      <c r="L493" s="674" t="str">
        <f t="shared" si="343"/>
        <v/>
      </c>
      <c r="M493" s="674" t="str">
        <f t="shared" si="343"/>
        <v/>
      </c>
      <c r="N493" s="674" t="str">
        <f t="shared" si="343"/>
        <v/>
      </c>
      <c r="O493" s="674" t="str">
        <f t="shared" si="343"/>
        <v/>
      </c>
      <c r="P493" s="674" t="str">
        <f t="shared" si="343"/>
        <v/>
      </c>
      <c r="Q493" s="674" t="str">
        <f t="shared" si="343"/>
        <v/>
      </c>
      <c r="R493" s="674" t="str">
        <f t="shared" si="343"/>
        <v/>
      </c>
      <c r="S493" s="674" t="str">
        <f t="shared" si="343"/>
        <v/>
      </c>
      <c r="T493" s="674" t="str">
        <f t="shared" si="343"/>
        <v/>
      </c>
      <c r="U493" s="674" t="str">
        <f t="shared" si="343"/>
        <v/>
      </c>
      <c r="V493" s="674" t="str">
        <f t="shared" si="343"/>
        <v/>
      </c>
      <c r="W493" s="674" t="str">
        <f t="shared" si="343"/>
        <v/>
      </c>
      <c r="X493" s="674" t="str">
        <f t="shared" si="343"/>
        <v/>
      </c>
      <c r="Y493" s="674" t="str">
        <f t="shared" si="343"/>
        <v/>
      </c>
      <c r="Z493" s="674" t="str">
        <f t="shared" si="343"/>
        <v/>
      </c>
      <c r="AA493" s="674" t="str">
        <f t="shared" si="343"/>
        <v/>
      </c>
      <c r="AB493" s="674" t="str">
        <f t="shared" si="343"/>
        <v/>
      </c>
      <c r="AC493" s="674" t="str">
        <f t="shared" si="343"/>
        <v/>
      </c>
      <c r="AD493" s="674" t="str">
        <f t="shared" si="343"/>
        <v/>
      </c>
      <c r="AE493" s="674" t="str">
        <f t="shared" si="343"/>
        <v/>
      </c>
      <c r="AF493" s="674" t="str">
        <f t="shared" si="343"/>
        <v/>
      </c>
      <c r="AG493" s="674" t="str">
        <f t="shared" si="343"/>
        <v/>
      </c>
      <c r="AH493" s="674" t="str">
        <f t="shared" si="343"/>
        <v/>
      </c>
      <c r="AI493" s="674" t="str">
        <f t="shared" si="343"/>
        <v/>
      </c>
      <c r="AJ493" s="674" t="str">
        <f t="shared" si="343"/>
        <v/>
      </c>
      <c r="AK493" s="675" t="str">
        <f t="shared" si="343"/>
        <v/>
      </c>
      <c r="AL493" s="15"/>
      <c r="AM493" s="15"/>
      <c r="AP493" s="536"/>
      <c r="AR493" s="537"/>
      <c r="AS493" s="529"/>
      <c r="AW493" s="390" t="str">
        <f>""</f>
        <v/>
      </c>
      <c r="AX493" s="531"/>
      <c r="AY493" s="390" t="str">
        <f>""</f>
        <v/>
      </c>
      <c r="BD493" s="520"/>
      <c r="BE493" s="520"/>
      <c r="BF493" s="520"/>
      <c r="BG493" s="520"/>
      <c r="BH493" s="520"/>
      <c r="BI493" s="520"/>
      <c r="BJ493" s="520"/>
      <c r="BK493" s="520"/>
      <c r="BL493" s="520"/>
      <c r="BM493" s="520"/>
      <c r="BN493" s="520"/>
      <c r="BO493" s="520"/>
      <c r="BP493" s="520"/>
      <c r="BQ493" s="520"/>
      <c r="BR493" s="520"/>
      <c r="BS493" s="520"/>
      <c r="BT493" s="520"/>
      <c r="BU493" s="520"/>
      <c r="BV493" s="520"/>
      <c r="BW493" s="520"/>
      <c r="BX493" s="520"/>
      <c r="BY493" s="520"/>
    </row>
    <row r="494" spans="1:84" ht="12" customHeight="1" x14ac:dyDescent="0.3">
      <c r="A494" s="765"/>
      <c r="E494" s="258" t="str">
        <f>$AX$96</f>
        <v>Összes gól: 2 p</v>
      </c>
      <c r="H494" s="673" t="str">
        <f t="shared" ref="H494:AK494" si="344">IF(OR(BC489,NOT($AS$28)),"",IF(AND(NOT($AS$32),COUNTIF(H490:H493,"ü")&gt;0),"",IF(H488+H489=$E488+$E489,"ü"," ")))</f>
        <v/>
      </c>
      <c r="I494" s="674" t="str">
        <f t="shared" si="344"/>
        <v/>
      </c>
      <c r="J494" s="674" t="str">
        <f t="shared" si="344"/>
        <v/>
      </c>
      <c r="K494" s="674" t="str">
        <f t="shared" si="344"/>
        <v/>
      </c>
      <c r="L494" s="674" t="str">
        <f t="shared" si="344"/>
        <v/>
      </c>
      <c r="M494" s="674" t="str">
        <f t="shared" si="344"/>
        <v/>
      </c>
      <c r="N494" s="674" t="str">
        <f t="shared" si="344"/>
        <v/>
      </c>
      <c r="O494" s="674" t="str">
        <f t="shared" si="344"/>
        <v/>
      </c>
      <c r="P494" s="674" t="str">
        <f t="shared" si="344"/>
        <v/>
      </c>
      <c r="Q494" s="674" t="str">
        <f t="shared" si="344"/>
        <v/>
      </c>
      <c r="R494" s="674" t="str">
        <f t="shared" si="344"/>
        <v/>
      </c>
      <c r="S494" s="674" t="str">
        <f t="shared" si="344"/>
        <v/>
      </c>
      <c r="T494" s="674" t="str">
        <f t="shared" si="344"/>
        <v/>
      </c>
      <c r="U494" s="674" t="str">
        <f t="shared" si="344"/>
        <v/>
      </c>
      <c r="V494" s="674" t="str">
        <f t="shared" si="344"/>
        <v/>
      </c>
      <c r="W494" s="674" t="str">
        <f t="shared" si="344"/>
        <v/>
      </c>
      <c r="X494" s="674" t="str">
        <f t="shared" si="344"/>
        <v/>
      </c>
      <c r="Y494" s="674" t="str">
        <f t="shared" si="344"/>
        <v/>
      </c>
      <c r="Z494" s="674" t="str">
        <f t="shared" si="344"/>
        <v/>
      </c>
      <c r="AA494" s="674" t="str">
        <f t="shared" si="344"/>
        <v/>
      </c>
      <c r="AB494" s="674" t="str">
        <f t="shared" si="344"/>
        <v/>
      </c>
      <c r="AC494" s="674" t="str">
        <f t="shared" si="344"/>
        <v/>
      </c>
      <c r="AD494" s="674" t="str">
        <f t="shared" si="344"/>
        <v/>
      </c>
      <c r="AE494" s="674" t="str">
        <f t="shared" si="344"/>
        <v/>
      </c>
      <c r="AF494" s="674" t="str">
        <f t="shared" si="344"/>
        <v/>
      </c>
      <c r="AG494" s="674" t="str">
        <f t="shared" si="344"/>
        <v/>
      </c>
      <c r="AH494" s="674" t="str">
        <f t="shared" si="344"/>
        <v/>
      </c>
      <c r="AI494" s="674" t="str">
        <f t="shared" si="344"/>
        <v/>
      </c>
      <c r="AJ494" s="674" t="str">
        <f t="shared" si="344"/>
        <v/>
      </c>
      <c r="AK494" s="675" t="str">
        <f t="shared" si="344"/>
        <v/>
      </c>
      <c r="AL494" s="15"/>
      <c r="AM494" s="15"/>
      <c r="AP494" s="536"/>
      <c r="AR494" s="537"/>
      <c r="AS494" s="529"/>
      <c r="AW494" s="390" t="str">
        <f>""</f>
        <v/>
      </c>
      <c r="AX494" s="531"/>
      <c r="AY494" s="390" t="str">
        <f>""</f>
        <v/>
      </c>
      <c r="BD494" s="520"/>
      <c r="BE494" s="520"/>
      <c r="BF494" s="520"/>
      <c r="BG494" s="520"/>
      <c r="BH494" s="520"/>
      <c r="BI494" s="520"/>
      <c r="BJ494" s="520"/>
      <c r="BK494" s="520"/>
      <c r="BL494" s="520"/>
      <c r="BM494" s="520"/>
      <c r="BN494" s="520"/>
      <c r="BO494" s="520"/>
      <c r="BP494" s="520"/>
      <c r="BQ494" s="520"/>
      <c r="BR494" s="520"/>
      <c r="BS494" s="520"/>
      <c r="BT494" s="520"/>
      <c r="BU494" s="520"/>
      <c r="BV494" s="520"/>
      <c r="BW494" s="520"/>
      <c r="BX494" s="520"/>
      <c r="BY494" s="520"/>
    </row>
    <row r="495" spans="1:84" ht="12" customHeight="1" x14ac:dyDescent="0.3">
      <c r="A495" s="765"/>
      <c r="E495" s="258" t="str">
        <f>$AX$97</f>
        <v>Fordított gólkülönbség: 1 p</v>
      </c>
      <c r="H495" s="676" t="str">
        <f t="shared" ref="H495:AK495" si="345">IF(OR(BC489,NOT($AS$30)),"",IF(AND(NOT($AS$32),COUNTIF(H490:H494,"ü")&gt;0),"",IF(AND(H488-H489=$E489-$E488,H488&lt;&gt;H489),"ü"," ")))</f>
        <v/>
      </c>
      <c r="I495" s="677" t="str">
        <f t="shared" si="345"/>
        <v/>
      </c>
      <c r="J495" s="677" t="str">
        <f t="shared" si="345"/>
        <v/>
      </c>
      <c r="K495" s="677" t="str">
        <f t="shared" si="345"/>
        <v/>
      </c>
      <c r="L495" s="677" t="str">
        <f t="shared" si="345"/>
        <v/>
      </c>
      <c r="M495" s="677" t="str">
        <f t="shared" si="345"/>
        <v/>
      </c>
      <c r="N495" s="677" t="str">
        <f t="shared" si="345"/>
        <v/>
      </c>
      <c r="O495" s="677" t="str">
        <f t="shared" si="345"/>
        <v/>
      </c>
      <c r="P495" s="677" t="str">
        <f t="shared" si="345"/>
        <v/>
      </c>
      <c r="Q495" s="677" t="str">
        <f t="shared" si="345"/>
        <v/>
      </c>
      <c r="R495" s="677" t="str">
        <f t="shared" si="345"/>
        <v/>
      </c>
      <c r="S495" s="677" t="str">
        <f t="shared" si="345"/>
        <v/>
      </c>
      <c r="T495" s="677" t="str">
        <f t="shared" si="345"/>
        <v/>
      </c>
      <c r="U495" s="677" t="str">
        <f t="shared" si="345"/>
        <v/>
      </c>
      <c r="V495" s="677" t="str">
        <f t="shared" si="345"/>
        <v/>
      </c>
      <c r="W495" s="677" t="str">
        <f t="shared" si="345"/>
        <v/>
      </c>
      <c r="X495" s="677" t="str">
        <f t="shared" si="345"/>
        <v/>
      </c>
      <c r="Y495" s="677" t="str">
        <f t="shared" si="345"/>
        <v/>
      </c>
      <c r="Z495" s="677" t="str">
        <f t="shared" si="345"/>
        <v/>
      </c>
      <c r="AA495" s="677" t="str">
        <f t="shared" si="345"/>
        <v/>
      </c>
      <c r="AB495" s="677" t="str">
        <f t="shared" si="345"/>
        <v/>
      </c>
      <c r="AC495" s="677" t="str">
        <f t="shared" si="345"/>
        <v/>
      </c>
      <c r="AD495" s="677" t="str">
        <f t="shared" si="345"/>
        <v/>
      </c>
      <c r="AE495" s="677" t="str">
        <f t="shared" si="345"/>
        <v/>
      </c>
      <c r="AF495" s="677" t="str">
        <f t="shared" si="345"/>
        <v/>
      </c>
      <c r="AG495" s="677" t="str">
        <f t="shared" si="345"/>
        <v/>
      </c>
      <c r="AH495" s="677" t="str">
        <f t="shared" si="345"/>
        <v/>
      </c>
      <c r="AI495" s="677" t="str">
        <f t="shared" si="345"/>
        <v/>
      </c>
      <c r="AJ495" s="677" t="str">
        <f t="shared" si="345"/>
        <v/>
      </c>
      <c r="AK495" s="678" t="str">
        <f t="shared" si="345"/>
        <v/>
      </c>
      <c r="AL495" s="15"/>
      <c r="AM495" s="15"/>
      <c r="AP495" s="536"/>
      <c r="AR495" s="537"/>
      <c r="AS495" s="529"/>
      <c r="AW495" s="390" t="str">
        <f>""</f>
        <v/>
      </c>
      <c r="AX495" s="531"/>
      <c r="AY495" s="390" t="str">
        <f>""</f>
        <v/>
      </c>
      <c r="BD495" s="520"/>
      <c r="BE495" s="520"/>
      <c r="BF495" s="520"/>
      <c r="BG495" s="520"/>
      <c r="BH495" s="520"/>
      <c r="BI495" s="520"/>
      <c r="BJ495" s="520"/>
      <c r="BK495" s="520"/>
      <c r="BL495" s="520"/>
      <c r="BM495" s="520"/>
      <c r="BN495" s="520"/>
      <c r="BO495" s="520"/>
      <c r="BP495" s="520"/>
      <c r="BQ495" s="520"/>
      <c r="BR495" s="520"/>
      <c r="BS495" s="520"/>
      <c r="BT495" s="520"/>
      <c r="BU495" s="520"/>
      <c r="BV495" s="520"/>
      <c r="BW495" s="520"/>
      <c r="BX495" s="520"/>
      <c r="BY495" s="520"/>
    </row>
    <row r="496" spans="1:84" ht="15" customHeight="1" x14ac:dyDescent="0.3">
      <c r="A496" s="765"/>
      <c r="E496" s="79" t="s">
        <v>799</v>
      </c>
      <c r="H496" s="679">
        <f t="shared" ref="H496:AK496" si="346">IF(NOT(H$13),"",SUMPRODUCT((H490:H495="ü")*($AW$92:$AW$97)))</f>
        <v>0</v>
      </c>
      <c r="I496" s="680">
        <f t="shared" si="346"/>
        <v>0</v>
      </c>
      <c r="J496" s="680">
        <f t="shared" si="346"/>
        <v>0</v>
      </c>
      <c r="K496" s="680">
        <f t="shared" si="346"/>
        <v>0</v>
      </c>
      <c r="L496" s="680">
        <f t="shared" si="346"/>
        <v>0</v>
      </c>
      <c r="M496" s="680">
        <f t="shared" si="346"/>
        <v>0</v>
      </c>
      <c r="N496" s="680">
        <f t="shared" si="346"/>
        <v>0</v>
      </c>
      <c r="O496" s="680">
        <f t="shared" si="346"/>
        <v>0</v>
      </c>
      <c r="P496" s="680">
        <f t="shared" si="346"/>
        <v>0</v>
      </c>
      <c r="Q496" s="680">
        <f t="shared" si="346"/>
        <v>0</v>
      </c>
      <c r="R496" s="680">
        <f t="shared" si="346"/>
        <v>0</v>
      </c>
      <c r="S496" s="680">
        <f t="shared" si="346"/>
        <v>0</v>
      </c>
      <c r="T496" s="680">
        <f t="shared" si="346"/>
        <v>0</v>
      </c>
      <c r="U496" s="680">
        <f t="shared" si="346"/>
        <v>0</v>
      </c>
      <c r="V496" s="680">
        <f t="shared" si="346"/>
        <v>0</v>
      </c>
      <c r="W496" s="680">
        <f t="shared" si="346"/>
        <v>0</v>
      </c>
      <c r="X496" s="680">
        <f t="shared" si="346"/>
        <v>0</v>
      </c>
      <c r="Y496" s="680">
        <f t="shared" si="346"/>
        <v>0</v>
      </c>
      <c r="Z496" s="680">
        <f t="shared" si="346"/>
        <v>0</v>
      </c>
      <c r="AA496" s="680">
        <f t="shared" si="346"/>
        <v>0</v>
      </c>
      <c r="AB496" s="680">
        <f t="shared" si="346"/>
        <v>0</v>
      </c>
      <c r="AC496" s="680">
        <f t="shared" si="346"/>
        <v>0</v>
      </c>
      <c r="AD496" s="680">
        <f t="shared" si="346"/>
        <v>0</v>
      </c>
      <c r="AE496" s="680" t="str">
        <f t="shared" si="346"/>
        <v/>
      </c>
      <c r="AF496" s="680" t="str">
        <f t="shared" si="346"/>
        <v/>
      </c>
      <c r="AG496" s="680" t="str">
        <f t="shared" si="346"/>
        <v/>
      </c>
      <c r="AH496" s="680" t="str">
        <f t="shared" si="346"/>
        <v/>
      </c>
      <c r="AI496" s="680" t="str">
        <f t="shared" si="346"/>
        <v/>
      </c>
      <c r="AJ496" s="680" t="str">
        <f t="shared" si="346"/>
        <v/>
      </c>
      <c r="AK496" s="681" t="str">
        <f t="shared" si="346"/>
        <v/>
      </c>
      <c r="AP496" s="536"/>
      <c r="AR496" s="537"/>
      <c r="AS496" s="529"/>
    </row>
    <row r="497" spans="1:84" ht="9" customHeight="1" x14ac:dyDescent="0.3">
      <c r="A497" s="765"/>
      <c r="D497" s="15"/>
      <c r="E497" s="15"/>
      <c r="F497" s="15"/>
      <c r="G497" s="15"/>
      <c r="H497" s="15"/>
      <c r="I497" s="16"/>
      <c r="J497" s="15"/>
      <c r="K497" s="15"/>
      <c r="L497" s="16"/>
      <c r="M497" s="15"/>
      <c r="N497" s="15"/>
      <c r="O497" s="16"/>
      <c r="P497" s="15"/>
      <c r="Q497" s="15"/>
      <c r="R497" s="16"/>
      <c r="S497" s="15"/>
      <c r="T497" s="15"/>
      <c r="U497" s="16"/>
      <c r="V497" s="15"/>
      <c r="W497" s="15"/>
      <c r="X497" s="16"/>
      <c r="Y497" s="15"/>
      <c r="Z497" s="15"/>
      <c r="AA497" s="16"/>
      <c r="AB497" s="15"/>
      <c r="AC497" s="15"/>
      <c r="AD497" s="16"/>
      <c r="AE497" s="15"/>
      <c r="AF497" s="15"/>
      <c r="AG497" s="16"/>
      <c r="AH497" s="15"/>
      <c r="AI497" s="15"/>
      <c r="AJ497" s="16"/>
      <c r="AK497" s="15"/>
      <c r="AP497" s="536"/>
      <c r="AR497" s="537"/>
      <c r="AS497" s="529"/>
    </row>
    <row r="498" spans="1:84" ht="15" customHeight="1" x14ac:dyDescent="0.3">
      <c r="A498" s="765"/>
      <c r="C498" s="27" t="str">
        <f>" "&amp;VLOOKUP(AQ499,schedule,18,FALSE)&amp;"  ("&amp;VLOOKUP(AQ499,schedule,3,FALSE)&amp;" CSOPORT)"</f>
        <v xml:space="preserve"> JÚNIUS 23. – SZERDA 21:00  (F CSOPORT)</v>
      </c>
      <c r="D498" s="27"/>
      <c r="E498" s="26"/>
      <c r="F498" s="26"/>
      <c r="G498" s="26"/>
      <c r="H498" s="26"/>
      <c r="I498" s="26"/>
      <c r="J498" s="26"/>
      <c r="AP498" s="536"/>
      <c r="AR498" s="537"/>
      <c r="AS498" s="529"/>
    </row>
    <row r="499" spans="1:84" ht="15" customHeight="1" x14ac:dyDescent="0.3">
      <c r="A499" s="765"/>
      <c r="C499" s="661"/>
      <c r="D499" s="662" t="str">
        <f>IF(INDEX(n.er,$AR499,8)="","",INDEX(n.er,$AR499,8))</f>
        <v>Portugália</v>
      </c>
      <c r="E499" s="663" t="str">
        <f>IF(NOT($AS499),"",INDEX(n.er,$AR499,9))</f>
        <v/>
      </c>
      <c r="F499" s="662"/>
      <c r="G499" s="259"/>
      <c r="H499" s="664">
        <v>0</v>
      </c>
      <c r="I499" s="665">
        <v>3</v>
      </c>
      <c r="J499" s="665">
        <v>1</v>
      </c>
      <c r="K499" s="665">
        <v>2</v>
      </c>
      <c r="L499" s="665">
        <v>2</v>
      </c>
      <c r="M499" s="665">
        <v>2</v>
      </c>
      <c r="N499" s="665">
        <v>2</v>
      </c>
      <c r="O499" s="665">
        <v>0</v>
      </c>
      <c r="P499" s="665">
        <v>1</v>
      </c>
      <c r="Q499" s="665">
        <v>1</v>
      </c>
      <c r="R499" s="665">
        <v>2</v>
      </c>
      <c r="S499" s="665">
        <v>1</v>
      </c>
      <c r="T499" s="665">
        <v>2</v>
      </c>
      <c r="U499" s="665">
        <v>2</v>
      </c>
      <c r="V499" s="665">
        <v>1</v>
      </c>
      <c r="W499" s="665">
        <v>1</v>
      </c>
      <c r="X499" s="665">
        <v>1</v>
      </c>
      <c r="Y499" s="665">
        <v>2</v>
      </c>
      <c r="Z499" s="665">
        <v>3</v>
      </c>
      <c r="AA499" s="665">
        <v>3</v>
      </c>
      <c r="AB499" s="665">
        <v>1</v>
      </c>
      <c r="AC499" s="665">
        <v>2</v>
      </c>
      <c r="AD499" s="665">
        <v>2</v>
      </c>
      <c r="AE499" s="665"/>
      <c r="AF499" s="665"/>
      <c r="AG499" s="665"/>
      <c r="AH499" s="665"/>
      <c r="AI499" s="665"/>
      <c r="AJ499" s="665"/>
      <c r="AK499" s="666"/>
      <c r="AP499" s="52">
        <f>AP488+1</f>
        <v>36</v>
      </c>
      <c r="AQ499" s="311">
        <f>INDEX(schedule,AP499,1)</f>
        <v>36</v>
      </c>
      <c r="AR499" s="311">
        <f>MATCH(AQ499,n.er.index,0)</f>
        <v>84</v>
      </c>
      <c r="AS499" s="532" t="b">
        <f>INDEX(n.er,$AR499,3)</f>
        <v>0</v>
      </c>
      <c r="AT499" s="531"/>
      <c r="AU499" s="531"/>
      <c r="AV499" s="531"/>
      <c r="AW499" s="531"/>
      <c r="AX499" s="531"/>
      <c r="BC499" s="525" t="b">
        <f t="shared" ref="BC499:CF499" si="347">IF(AND(ISNUMBER(H499),ISNUMBER(H500),H499&lt;&gt;"",H500&lt;&gt;""),AND(H499&gt;=0,H500&gt;=0,MOD(H499+H500,1)=0),FALSE)</f>
        <v>1</v>
      </c>
      <c r="BD499" s="525" t="b">
        <f t="shared" si="347"/>
        <v>1</v>
      </c>
      <c r="BE499" s="525" t="b">
        <f t="shared" si="347"/>
        <v>1</v>
      </c>
      <c r="BF499" s="525" t="b">
        <f t="shared" si="347"/>
        <v>1</v>
      </c>
      <c r="BG499" s="525" t="b">
        <f t="shared" si="347"/>
        <v>1</v>
      </c>
      <c r="BH499" s="525" t="b">
        <f t="shared" si="347"/>
        <v>1</v>
      </c>
      <c r="BI499" s="525" t="b">
        <f t="shared" si="347"/>
        <v>1</v>
      </c>
      <c r="BJ499" s="525" t="b">
        <f t="shared" si="347"/>
        <v>1</v>
      </c>
      <c r="BK499" s="525" t="b">
        <f t="shared" si="347"/>
        <v>1</v>
      </c>
      <c r="BL499" s="525" t="b">
        <f t="shared" si="347"/>
        <v>1</v>
      </c>
      <c r="BM499" s="525" t="b">
        <f t="shared" si="347"/>
        <v>1</v>
      </c>
      <c r="BN499" s="525" t="b">
        <f t="shared" si="347"/>
        <v>1</v>
      </c>
      <c r="BO499" s="525" t="b">
        <f t="shared" si="347"/>
        <v>1</v>
      </c>
      <c r="BP499" s="525" t="b">
        <f t="shared" si="347"/>
        <v>1</v>
      </c>
      <c r="BQ499" s="525" t="b">
        <f t="shared" si="347"/>
        <v>1</v>
      </c>
      <c r="BR499" s="525" t="b">
        <f t="shared" si="347"/>
        <v>1</v>
      </c>
      <c r="BS499" s="525" t="b">
        <f t="shared" si="347"/>
        <v>1</v>
      </c>
      <c r="BT499" s="525" t="b">
        <f t="shared" si="347"/>
        <v>1</v>
      </c>
      <c r="BU499" s="525" t="b">
        <f t="shared" si="347"/>
        <v>1</v>
      </c>
      <c r="BV499" s="525" t="b">
        <f t="shared" si="347"/>
        <v>1</v>
      </c>
      <c r="BW499" s="525" t="b">
        <f t="shared" si="347"/>
        <v>1</v>
      </c>
      <c r="BX499" s="525" t="b">
        <f t="shared" si="347"/>
        <v>1</v>
      </c>
      <c r="BY499" s="525" t="b">
        <f t="shared" si="347"/>
        <v>1</v>
      </c>
      <c r="BZ499" s="525" t="b">
        <f t="shared" si="347"/>
        <v>0</v>
      </c>
      <c r="CA499" s="525" t="b">
        <f t="shared" si="347"/>
        <v>0</v>
      </c>
      <c r="CB499" s="525" t="b">
        <f t="shared" si="347"/>
        <v>0</v>
      </c>
      <c r="CC499" s="525" t="b">
        <f t="shared" si="347"/>
        <v>0</v>
      </c>
      <c r="CD499" s="525" t="b">
        <f t="shared" si="347"/>
        <v>0</v>
      </c>
      <c r="CE499" s="525" t="b">
        <f t="shared" si="347"/>
        <v>0</v>
      </c>
      <c r="CF499" s="525" t="b">
        <f t="shared" si="347"/>
        <v>0</v>
      </c>
    </row>
    <row r="500" spans="1:84" ht="15" customHeight="1" x14ac:dyDescent="0.3">
      <c r="A500" s="765"/>
      <c r="C500" s="695"/>
      <c r="D500" s="696" t="str">
        <f>IF(INDEX(n.er,$AR499,11)="","",INDEX(n.er,$AR499,11))</f>
        <v>Franciaország</v>
      </c>
      <c r="E500" s="697" t="str">
        <f>IF(NOT($AS499),"",INDEX(n.er,$AR499,10))</f>
        <v/>
      </c>
      <c r="F500" s="696"/>
      <c r="G500" s="259"/>
      <c r="H500" s="667">
        <v>3</v>
      </c>
      <c r="I500" s="668">
        <v>3</v>
      </c>
      <c r="J500" s="668">
        <v>1</v>
      </c>
      <c r="K500" s="668">
        <v>2</v>
      </c>
      <c r="L500" s="668">
        <v>2</v>
      </c>
      <c r="M500" s="668">
        <v>0</v>
      </c>
      <c r="N500" s="668">
        <v>2</v>
      </c>
      <c r="O500" s="668">
        <v>2</v>
      </c>
      <c r="P500" s="668">
        <v>2</v>
      </c>
      <c r="Q500" s="668">
        <v>2</v>
      </c>
      <c r="R500" s="668">
        <v>3</v>
      </c>
      <c r="S500" s="668">
        <v>1</v>
      </c>
      <c r="T500" s="668">
        <v>2</v>
      </c>
      <c r="U500" s="668">
        <v>3</v>
      </c>
      <c r="V500" s="668">
        <v>2</v>
      </c>
      <c r="W500" s="668">
        <v>1</v>
      </c>
      <c r="X500" s="668">
        <v>2</v>
      </c>
      <c r="Y500" s="668">
        <v>2</v>
      </c>
      <c r="Z500" s="668">
        <v>3</v>
      </c>
      <c r="AA500" s="668">
        <v>3</v>
      </c>
      <c r="AB500" s="668">
        <v>0</v>
      </c>
      <c r="AC500" s="668">
        <v>2</v>
      </c>
      <c r="AD500" s="668">
        <v>1</v>
      </c>
      <c r="AE500" s="668"/>
      <c r="AF500" s="668"/>
      <c r="AG500" s="668"/>
      <c r="AH500" s="668"/>
      <c r="AI500" s="668"/>
      <c r="AJ500" s="668"/>
      <c r="AK500" s="669"/>
      <c r="AP500" s="533"/>
      <c r="AQ500" s="577"/>
      <c r="AR500" s="534"/>
      <c r="AS500" s="535"/>
      <c r="AX500" s="531"/>
      <c r="BC500" s="34" t="b">
        <f t="shared" ref="BC500:CF500" si="348">OR(NOT(H$13),NOT($AS499),NOT(BC499))</f>
        <v>1</v>
      </c>
      <c r="BD500" s="34" t="b">
        <f t="shared" si="348"/>
        <v>1</v>
      </c>
      <c r="BE500" s="34" t="b">
        <f t="shared" si="348"/>
        <v>1</v>
      </c>
      <c r="BF500" s="34" t="b">
        <f t="shared" si="348"/>
        <v>1</v>
      </c>
      <c r="BG500" s="34" t="b">
        <f t="shared" si="348"/>
        <v>1</v>
      </c>
      <c r="BH500" s="34" t="b">
        <f t="shared" si="348"/>
        <v>1</v>
      </c>
      <c r="BI500" s="34" t="b">
        <f t="shared" si="348"/>
        <v>1</v>
      </c>
      <c r="BJ500" s="34" t="b">
        <f t="shared" si="348"/>
        <v>1</v>
      </c>
      <c r="BK500" s="34" t="b">
        <f t="shared" si="348"/>
        <v>1</v>
      </c>
      <c r="BL500" s="34" t="b">
        <f t="shared" si="348"/>
        <v>1</v>
      </c>
      <c r="BM500" s="34" t="b">
        <f t="shared" si="348"/>
        <v>1</v>
      </c>
      <c r="BN500" s="34" t="b">
        <f t="shared" si="348"/>
        <v>1</v>
      </c>
      <c r="BO500" s="34" t="b">
        <f t="shared" si="348"/>
        <v>1</v>
      </c>
      <c r="BP500" s="34" t="b">
        <f t="shared" si="348"/>
        <v>1</v>
      </c>
      <c r="BQ500" s="34" t="b">
        <f t="shared" si="348"/>
        <v>1</v>
      </c>
      <c r="BR500" s="34" t="b">
        <f t="shared" si="348"/>
        <v>1</v>
      </c>
      <c r="BS500" s="34" t="b">
        <f t="shared" si="348"/>
        <v>1</v>
      </c>
      <c r="BT500" s="34" t="b">
        <f t="shared" si="348"/>
        <v>1</v>
      </c>
      <c r="BU500" s="34" t="b">
        <f t="shared" si="348"/>
        <v>1</v>
      </c>
      <c r="BV500" s="34" t="b">
        <f t="shared" si="348"/>
        <v>1</v>
      </c>
      <c r="BW500" s="34" t="b">
        <f t="shared" si="348"/>
        <v>1</v>
      </c>
      <c r="BX500" s="34" t="b">
        <f t="shared" si="348"/>
        <v>1</v>
      </c>
      <c r="BY500" s="34" t="b">
        <f t="shared" si="348"/>
        <v>1</v>
      </c>
      <c r="BZ500" s="34" t="b">
        <f t="shared" si="348"/>
        <v>1</v>
      </c>
      <c r="CA500" s="34" t="b">
        <f t="shared" si="348"/>
        <v>1</v>
      </c>
      <c r="CB500" s="34" t="b">
        <f t="shared" si="348"/>
        <v>1</v>
      </c>
      <c r="CC500" s="34" t="b">
        <f t="shared" si="348"/>
        <v>1</v>
      </c>
      <c r="CD500" s="34" t="b">
        <f t="shared" si="348"/>
        <v>1</v>
      </c>
      <c r="CE500" s="34" t="b">
        <f t="shared" si="348"/>
        <v>1</v>
      </c>
      <c r="CF500" s="34" t="b">
        <f t="shared" si="348"/>
        <v>1</v>
      </c>
    </row>
    <row r="501" spans="1:84" ht="12" customHeight="1" x14ac:dyDescent="0.3">
      <c r="A501" s="765"/>
      <c r="E501" s="258" t="str">
        <f>$AX$92</f>
        <v>Telitalálat: 10 p</v>
      </c>
      <c r="H501" s="670" t="str">
        <f t="shared" ref="H501:AK501" si="349">IF(OR(BC500,NOT($AS$20)),"",IF(AND(H499=$E499,H500=$E500),"ü",""))</f>
        <v/>
      </c>
      <c r="I501" s="671" t="str">
        <f t="shared" si="349"/>
        <v/>
      </c>
      <c r="J501" s="671" t="str">
        <f t="shared" si="349"/>
        <v/>
      </c>
      <c r="K501" s="671" t="str">
        <f t="shared" si="349"/>
        <v/>
      </c>
      <c r="L501" s="671" t="str">
        <f t="shared" si="349"/>
        <v/>
      </c>
      <c r="M501" s="671" t="str">
        <f t="shared" si="349"/>
        <v/>
      </c>
      <c r="N501" s="671" t="str">
        <f t="shared" si="349"/>
        <v/>
      </c>
      <c r="O501" s="671" t="str">
        <f t="shared" si="349"/>
        <v/>
      </c>
      <c r="P501" s="671" t="str">
        <f t="shared" si="349"/>
        <v/>
      </c>
      <c r="Q501" s="671" t="str">
        <f t="shared" si="349"/>
        <v/>
      </c>
      <c r="R501" s="671" t="str">
        <f t="shared" si="349"/>
        <v/>
      </c>
      <c r="S501" s="671" t="str">
        <f t="shared" si="349"/>
        <v/>
      </c>
      <c r="T501" s="671" t="str">
        <f t="shared" si="349"/>
        <v/>
      </c>
      <c r="U501" s="671" t="str">
        <f t="shared" si="349"/>
        <v/>
      </c>
      <c r="V501" s="671" t="str">
        <f t="shared" si="349"/>
        <v/>
      </c>
      <c r="W501" s="671" t="str">
        <f t="shared" si="349"/>
        <v/>
      </c>
      <c r="X501" s="671" t="str">
        <f t="shared" si="349"/>
        <v/>
      </c>
      <c r="Y501" s="671" t="str">
        <f t="shared" si="349"/>
        <v/>
      </c>
      <c r="Z501" s="671" t="str">
        <f t="shared" si="349"/>
        <v/>
      </c>
      <c r="AA501" s="671" t="str">
        <f t="shared" si="349"/>
        <v/>
      </c>
      <c r="AB501" s="671" t="str">
        <f t="shared" si="349"/>
        <v/>
      </c>
      <c r="AC501" s="671" t="str">
        <f t="shared" si="349"/>
        <v/>
      </c>
      <c r="AD501" s="671" t="str">
        <f t="shared" si="349"/>
        <v/>
      </c>
      <c r="AE501" s="671" t="str">
        <f t="shared" si="349"/>
        <v/>
      </c>
      <c r="AF501" s="671" t="str">
        <f t="shared" si="349"/>
        <v/>
      </c>
      <c r="AG501" s="671" t="str">
        <f t="shared" si="349"/>
        <v/>
      </c>
      <c r="AH501" s="671" t="str">
        <f t="shared" si="349"/>
        <v/>
      </c>
      <c r="AI501" s="671" t="str">
        <f t="shared" si="349"/>
        <v/>
      </c>
      <c r="AJ501" s="671" t="str">
        <f t="shared" si="349"/>
        <v/>
      </c>
      <c r="AK501" s="672" t="str">
        <f t="shared" si="349"/>
        <v/>
      </c>
      <c r="AL501" s="15"/>
      <c r="AM501" s="15"/>
      <c r="AP501" s="536"/>
      <c r="AR501" s="537"/>
      <c r="AS501" s="529"/>
      <c r="AW501" s="390" t="str">
        <f>""</f>
        <v/>
      </c>
      <c r="AX501" s="531"/>
      <c r="AY501" s="390" t="str">
        <f>""</f>
        <v/>
      </c>
      <c r="BD501" s="520"/>
      <c r="BE501" s="520"/>
      <c r="BF501" s="520"/>
      <c r="BG501" s="520"/>
      <c r="BH501" s="520"/>
      <c r="BI501" s="520"/>
      <c r="BJ501" s="520"/>
      <c r="BK501" s="520"/>
      <c r="BL501" s="520"/>
      <c r="BM501" s="520"/>
      <c r="BN501" s="520"/>
      <c r="BO501" s="520"/>
      <c r="BP501" s="520"/>
      <c r="BQ501" s="520"/>
      <c r="BR501" s="520"/>
      <c r="BS501" s="520"/>
      <c r="BT501" s="520"/>
      <c r="BU501" s="520"/>
      <c r="BV501" s="520"/>
      <c r="BW501" s="520"/>
      <c r="BX501" s="520"/>
      <c r="BY501" s="520"/>
    </row>
    <row r="502" spans="1:84" ht="12" customHeight="1" x14ac:dyDescent="0.3">
      <c r="A502" s="765"/>
      <c r="E502" s="258" t="str">
        <f>$AX$93</f>
        <v>Gólkülönbség: 6 p</v>
      </c>
      <c r="H502" s="673" t="str">
        <f t="shared" ref="H502:AK502" si="350">IF(OR(BC500,NOT($AS$22)),"",IF(AND(NOT($AS$32),H501="ü"),"",IF(H499-H500=$E499-$E500,"ü"," ")))</f>
        <v/>
      </c>
      <c r="I502" s="674" t="str">
        <f t="shared" si="350"/>
        <v/>
      </c>
      <c r="J502" s="674" t="str">
        <f t="shared" si="350"/>
        <v/>
      </c>
      <c r="K502" s="674" t="str">
        <f t="shared" si="350"/>
        <v/>
      </c>
      <c r="L502" s="674" t="str">
        <f t="shared" si="350"/>
        <v/>
      </c>
      <c r="M502" s="674" t="str">
        <f t="shared" si="350"/>
        <v/>
      </c>
      <c r="N502" s="674" t="str">
        <f t="shared" si="350"/>
        <v/>
      </c>
      <c r="O502" s="674" t="str">
        <f t="shared" si="350"/>
        <v/>
      </c>
      <c r="P502" s="674" t="str">
        <f t="shared" si="350"/>
        <v/>
      </c>
      <c r="Q502" s="674" t="str">
        <f t="shared" si="350"/>
        <v/>
      </c>
      <c r="R502" s="674" t="str">
        <f t="shared" si="350"/>
        <v/>
      </c>
      <c r="S502" s="674" t="str">
        <f t="shared" si="350"/>
        <v/>
      </c>
      <c r="T502" s="674" t="str">
        <f t="shared" si="350"/>
        <v/>
      </c>
      <c r="U502" s="674" t="str">
        <f t="shared" si="350"/>
        <v/>
      </c>
      <c r="V502" s="674" t="str">
        <f t="shared" si="350"/>
        <v/>
      </c>
      <c r="W502" s="674" t="str">
        <f t="shared" si="350"/>
        <v/>
      </c>
      <c r="X502" s="674" t="str">
        <f t="shared" si="350"/>
        <v/>
      </c>
      <c r="Y502" s="674" t="str">
        <f t="shared" si="350"/>
        <v/>
      </c>
      <c r="Z502" s="674" t="str">
        <f t="shared" si="350"/>
        <v/>
      </c>
      <c r="AA502" s="674" t="str">
        <f t="shared" si="350"/>
        <v/>
      </c>
      <c r="AB502" s="674" t="str">
        <f t="shared" si="350"/>
        <v/>
      </c>
      <c r="AC502" s="674" t="str">
        <f t="shared" si="350"/>
        <v/>
      </c>
      <c r="AD502" s="674" t="str">
        <f t="shared" si="350"/>
        <v/>
      </c>
      <c r="AE502" s="674" t="str">
        <f t="shared" si="350"/>
        <v/>
      </c>
      <c r="AF502" s="674" t="str">
        <f t="shared" si="350"/>
        <v/>
      </c>
      <c r="AG502" s="674" t="str">
        <f t="shared" si="350"/>
        <v/>
      </c>
      <c r="AH502" s="674" t="str">
        <f t="shared" si="350"/>
        <v/>
      </c>
      <c r="AI502" s="674" t="str">
        <f t="shared" si="350"/>
        <v/>
      </c>
      <c r="AJ502" s="674" t="str">
        <f t="shared" si="350"/>
        <v/>
      </c>
      <c r="AK502" s="675" t="str">
        <f t="shared" si="350"/>
        <v/>
      </c>
      <c r="AL502" s="15"/>
      <c r="AM502" s="15"/>
      <c r="AP502" s="536"/>
      <c r="AR502" s="537"/>
      <c r="AS502" s="529"/>
      <c r="AW502" s="390" t="str">
        <f>""</f>
        <v/>
      </c>
      <c r="AX502" s="531"/>
      <c r="AY502" s="390" t="str">
        <f>""</f>
        <v/>
      </c>
      <c r="BD502" s="520"/>
      <c r="BE502" s="520"/>
      <c r="BF502" s="520"/>
      <c r="BG502" s="520"/>
      <c r="BH502" s="520"/>
      <c r="BI502" s="520"/>
      <c r="BJ502" s="520"/>
      <c r="BK502" s="520"/>
      <c r="BL502" s="520"/>
      <c r="BM502" s="520"/>
      <c r="BN502" s="520"/>
      <c r="BO502" s="520"/>
      <c r="BP502" s="520"/>
      <c r="BQ502" s="520"/>
      <c r="BR502" s="520"/>
      <c r="BS502" s="520"/>
      <c r="BT502" s="520"/>
      <c r="BU502" s="520"/>
      <c r="BV502" s="520"/>
      <c r="BW502" s="520"/>
      <c r="BX502" s="520"/>
      <c r="BY502" s="520"/>
    </row>
    <row r="503" spans="1:84" ht="12" customHeight="1" x14ac:dyDescent="0.3">
      <c r="A503" s="765"/>
      <c r="E503" s="258" t="str">
        <f>$AX$94</f>
        <v>Mérkőzés kimenetele: 4 p</v>
      </c>
      <c r="H503" s="673" t="str">
        <f t="shared" ref="H503:AK503" si="351">IF(OR(BC500,NOT($AS$24)),"",IF(AND(NOT($AS$32),COUNTIF(H501:H502,"ü")&gt;0),"",IF(SIGN(H499-H500)=SIGN($E499-$E500),"ü"," ")))</f>
        <v/>
      </c>
      <c r="I503" s="674" t="str">
        <f t="shared" si="351"/>
        <v/>
      </c>
      <c r="J503" s="674" t="str">
        <f t="shared" si="351"/>
        <v/>
      </c>
      <c r="K503" s="674" t="str">
        <f t="shared" si="351"/>
        <v/>
      </c>
      <c r="L503" s="674" t="str">
        <f t="shared" si="351"/>
        <v/>
      </c>
      <c r="M503" s="674" t="str">
        <f t="shared" si="351"/>
        <v/>
      </c>
      <c r="N503" s="674" t="str">
        <f t="shared" si="351"/>
        <v/>
      </c>
      <c r="O503" s="674" t="str">
        <f t="shared" si="351"/>
        <v/>
      </c>
      <c r="P503" s="674" t="str">
        <f t="shared" si="351"/>
        <v/>
      </c>
      <c r="Q503" s="674" t="str">
        <f t="shared" si="351"/>
        <v/>
      </c>
      <c r="R503" s="674" t="str">
        <f t="shared" si="351"/>
        <v/>
      </c>
      <c r="S503" s="674" t="str">
        <f t="shared" si="351"/>
        <v/>
      </c>
      <c r="T503" s="674" t="str">
        <f t="shared" si="351"/>
        <v/>
      </c>
      <c r="U503" s="674" t="str">
        <f t="shared" si="351"/>
        <v/>
      </c>
      <c r="V503" s="674" t="str">
        <f t="shared" si="351"/>
        <v/>
      </c>
      <c r="W503" s="674" t="str">
        <f t="shared" si="351"/>
        <v/>
      </c>
      <c r="X503" s="674" t="str">
        <f t="shared" si="351"/>
        <v/>
      </c>
      <c r="Y503" s="674" t="str">
        <f t="shared" si="351"/>
        <v/>
      </c>
      <c r="Z503" s="674" t="str">
        <f t="shared" si="351"/>
        <v/>
      </c>
      <c r="AA503" s="674" t="str">
        <f t="shared" si="351"/>
        <v/>
      </c>
      <c r="AB503" s="674" t="str">
        <f t="shared" si="351"/>
        <v/>
      </c>
      <c r="AC503" s="674" t="str">
        <f t="shared" si="351"/>
        <v/>
      </c>
      <c r="AD503" s="674" t="str">
        <f t="shared" si="351"/>
        <v/>
      </c>
      <c r="AE503" s="674" t="str">
        <f t="shared" si="351"/>
        <v/>
      </c>
      <c r="AF503" s="674" t="str">
        <f t="shared" si="351"/>
        <v/>
      </c>
      <c r="AG503" s="674" t="str">
        <f t="shared" si="351"/>
        <v/>
      </c>
      <c r="AH503" s="674" t="str">
        <f t="shared" si="351"/>
        <v/>
      </c>
      <c r="AI503" s="674" t="str">
        <f t="shared" si="351"/>
        <v/>
      </c>
      <c r="AJ503" s="674" t="str">
        <f t="shared" si="351"/>
        <v/>
      </c>
      <c r="AK503" s="675" t="str">
        <f t="shared" si="351"/>
        <v/>
      </c>
      <c r="AL503" s="15"/>
      <c r="AM503" s="15"/>
      <c r="AP503" s="536"/>
      <c r="AR503" s="537"/>
      <c r="AS503" s="529"/>
      <c r="AW503" s="390" t="str">
        <f>""</f>
        <v/>
      </c>
      <c r="AX503" s="531"/>
      <c r="AY503" s="390" t="str">
        <f>""</f>
        <v/>
      </c>
      <c r="BD503" s="520"/>
      <c r="BE503" s="520"/>
      <c r="BF503" s="520"/>
      <c r="BG503" s="520"/>
      <c r="BH503" s="520"/>
      <c r="BI503" s="520"/>
      <c r="BJ503" s="520"/>
      <c r="BK503" s="520"/>
      <c r="BL503" s="520"/>
      <c r="BM503" s="520"/>
      <c r="BN503" s="520"/>
      <c r="BO503" s="520"/>
      <c r="BP503" s="520"/>
      <c r="BQ503" s="520"/>
      <c r="BR503" s="520"/>
      <c r="BS503" s="520"/>
      <c r="BT503" s="520"/>
      <c r="BU503" s="520"/>
      <c r="BV503" s="520"/>
      <c r="BW503" s="520"/>
      <c r="BX503" s="520"/>
      <c r="BY503" s="520"/>
    </row>
    <row r="504" spans="1:84" ht="12" customHeight="1" x14ac:dyDescent="0.3">
      <c r="A504" s="765"/>
      <c r="E504" s="258" t="str">
        <f>$AX$95</f>
        <v>Egyik csapat góljainak száma: 3 p</v>
      </c>
      <c r="H504" s="673" t="str">
        <f t="shared" ref="H504:AK504" si="352">IF(OR(BC500,NOT($AS$26)),"",IF(AND(NOT($AS$32),COUNTIF(H501:H503,"ü")&gt;0),"",IF(OR(H499=$E499,H500=$E500),"ü"," ")))</f>
        <v/>
      </c>
      <c r="I504" s="674" t="str">
        <f t="shared" si="352"/>
        <v/>
      </c>
      <c r="J504" s="674" t="str">
        <f t="shared" si="352"/>
        <v/>
      </c>
      <c r="K504" s="674" t="str">
        <f t="shared" si="352"/>
        <v/>
      </c>
      <c r="L504" s="674" t="str">
        <f t="shared" si="352"/>
        <v/>
      </c>
      <c r="M504" s="674" t="str">
        <f t="shared" si="352"/>
        <v/>
      </c>
      <c r="N504" s="674" t="str">
        <f t="shared" si="352"/>
        <v/>
      </c>
      <c r="O504" s="674" t="str">
        <f t="shared" si="352"/>
        <v/>
      </c>
      <c r="P504" s="674" t="str">
        <f t="shared" si="352"/>
        <v/>
      </c>
      <c r="Q504" s="674" t="str">
        <f t="shared" si="352"/>
        <v/>
      </c>
      <c r="R504" s="674" t="str">
        <f t="shared" si="352"/>
        <v/>
      </c>
      <c r="S504" s="674" t="str">
        <f t="shared" si="352"/>
        <v/>
      </c>
      <c r="T504" s="674" t="str">
        <f t="shared" si="352"/>
        <v/>
      </c>
      <c r="U504" s="674" t="str">
        <f t="shared" si="352"/>
        <v/>
      </c>
      <c r="V504" s="674" t="str">
        <f t="shared" si="352"/>
        <v/>
      </c>
      <c r="W504" s="674" t="str">
        <f t="shared" si="352"/>
        <v/>
      </c>
      <c r="X504" s="674" t="str">
        <f t="shared" si="352"/>
        <v/>
      </c>
      <c r="Y504" s="674" t="str">
        <f t="shared" si="352"/>
        <v/>
      </c>
      <c r="Z504" s="674" t="str">
        <f t="shared" si="352"/>
        <v/>
      </c>
      <c r="AA504" s="674" t="str">
        <f t="shared" si="352"/>
        <v/>
      </c>
      <c r="AB504" s="674" t="str">
        <f t="shared" si="352"/>
        <v/>
      </c>
      <c r="AC504" s="674" t="str">
        <f t="shared" si="352"/>
        <v/>
      </c>
      <c r="AD504" s="674" t="str">
        <f t="shared" si="352"/>
        <v/>
      </c>
      <c r="AE504" s="674" t="str">
        <f t="shared" si="352"/>
        <v/>
      </c>
      <c r="AF504" s="674" t="str">
        <f t="shared" si="352"/>
        <v/>
      </c>
      <c r="AG504" s="674" t="str">
        <f t="shared" si="352"/>
        <v/>
      </c>
      <c r="AH504" s="674" t="str">
        <f t="shared" si="352"/>
        <v/>
      </c>
      <c r="AI504" s="674" t="str">
        <f t="shared" si="352"/>
        <v/>
      </c>
      <c r="AJ504" s="674" t="str">
        <f t="shared" si="352"/>
        <v/>
      </c>
      <c r="AK504" s="675" t="str">
        <f t="shared" si="352"/>
        <v/>
      </c>
      <c r="AL504" s="15"/>
      <c r="AM504" s="15"/>
      <c r="AP504" s="536"/>
      <c r="AR504" s="537"/>
      <c r="AS504" s="529"/>
      <c r="AW504" s="390" t="str">
        <f>""</f>
        <v/>
      </c>
      <c r="AX504" s="531"/>
      <c r="AY504" s="390" t="str">
        <f>""</f>
        <v/>
      </c>
      <c r="BD504" s="520"/>
      <c r="BE504" s="520"/>
      <c r="BF504" s="520"/>
      <c r="BG504" s="520"/>
      <c r="BH504" s="520"/>
      <c r="BI504" s="520"/>
      <c r="BJ504" s="520"/>
      <c r="BK504" s="520"/>
      <c r="BL504" s="520"/>
      <c r="BM504" s="520"/>
      <c r="BN504" s="520"/>
      <c r="BO504" s="520"/>
      <c r="BP504" s="520"/>
      <c r="BQ504" s="520"/>
      <c r="BR504" s="520"/>
      <c r="BS504" s="520"/>
      <c r="BT504" s="520"/>
      <c r="BU504" s="520"/>
      <c r="BV504" s="520"/>
      <c r="BW504" s="520"/>
      <c r="BX504" s="520"/>
      <c r="BY504" s="520"/>
    </row>
    <row r="505" spans="1:84" ht="12" customHeight="1" x14ac:dyDescent="0.3">
      <c r="A505" s="765"/>
      <c r="E505" s="258" t="str">
        <f>$AX$96</f>
        <v>Összes gól: 2 p</v>
      </c>
      <c r="H505" s="673" t="str">
        <f t="shared" ref="H505:AK505" si="353">IF(OR(BC500,NOT($AS$28)),"",IF(AND(NOT($AS$32),COUNTIF(H501:H504,"ü")&gt;0),"",IF(H499+H500=$E499+$E500,"ü"," ")))</f>
        <v/>
      </c>
      <c r="I505" s="674" t="str">
        <f t="shared" si="353"/>
        <v/>
      </c>
      <c r="J505" s="674" t="str">
        <f t="shared" si="353"/>
        <v/>
      </c>
      <c r="K505" s="674" t="str">
        <f t="shared" si="353"/>
        <v/>
      </c>
      <c r="L505" s="674" t="str">
        <f t="shared" si="353"/>
        <v/>
      </c>
      <c r="M505" s="674" t="str">
        <f t="shared" si="353"/>
        <v/>
      </c>
      <c r="N505" s="674" t="str">
        <f t="shared" si="353"/>
        <v/>
      </c>
      <c r="O505" s="674" t="str">
        <f t="shared" si="353"/>
        <v/>
      </c>
      <c r="P505" s="674" t="str">
        <f t="shared" si="353"/>
        <v/>
      </c>
      <c r="Q505" s="674" t="str">
        <f t="shared" si="353"/>
        <v/>
      </c>
      <c r="R505" s="674" t="str">
        <f t="shared" si="353"/>
        <v/>
      </c>
      <c r="S505" s="674" t="str">
        <f t="shared" si="353"/>
        <v/>
      </c>
      <c r="T505" s="674" t="str">
        <f t="shared" si="353"/>
        <v/>
      </c>
      <c r="U505" s="674" t="str">
        <f t="shared" si="353"/>
        <v/>
      </c>
      <c r="V505" s="674" t="str">
        <f t="shared" si="353"/>
        <v/>
      </c>
      <c r="W505" s="674" t="str">
        <f t="shared" si="353"/>
        <v/>
      </c>
      <c r="X505" s="674" t="str">
        <f t="shared" si="353"/>
        <v/>
      </c>
      <c r="Y505" s="674" t="str">
        <f t="shared" si="353"/>
        <v/>
      </c>
      <c r="Z505" s="674" t="str">
        <f t="shared" si="353"/>
        <v/>
      </c>
      <c r="AA505" s="674" t="str">
        <f t="shared" si="353"/>
        <v/>
      </c>
      <c r="AB505" s="674" t="str">
        <f t="shared" si="353"/>
        <v/>
      </c>
      <c r="AC505" s="674" t="str">
        <f t="shared" si="353"/>
        <v/>
      </c>
      <c r="AD505" s="674" t="str">
        <f t="shared" si="353"/>
        <v/>
      </c>
      <c r="AE505" s="674" t="str">
        <f t="shared" si="353"/>
        <v/>
      </c>
      <c r="AF505" s="674" t="str">
        <f t="shared" si="353"/>
        <v/>
      </c>
      <c r="AG505" s="674" t="str">
        <f t="shared" si="353"/>
        <v/>
      </c>
      <c r="AH505" s="674" t="str">
        <f t="shared" si="353"/>
        <v/>
      </c>
      <c r="AI505" s="674" t="str">
        <f t="shared" si="353"/>
        <v/>
      </c>
      <c r="AJ505" s="674" t="str">
        <f t="shared" si="353"/>
        <v/>
      </c>
      <c r="AK505" s="675" t="str">
        <f t="shared" si="353"/>
        <v/>
      </c>
      <c r="AL505" s="15"/>
      <c r="AM505" s="15"/>
      <c r="AP505" s="536"/>
      <c r="AR505" s="537"/>
      <c r="AS505" s="529"/>
      <c r="AW505" s="390" t="str">
        <f>""</f>
        <v/>
      </c>
      <c r="AX505" s="531"/>
      <c r="AY505" s="390" t="str">
        <f>""</f>
        <v/>
      </c>
      <c r="BD505" s="520"/>
      <c r="BE505" s="520"/>
      <c r="BF505" s="520"/>
      <c r="BG505" s="520"/>
      <c r="BH505" s="520"/>
      <c r="BI505" s="520"/>
      <c r="BJ505" s="520"/>
      <c r="BK505" s="520"/>
      <c r="BL505" s="520"/>
      <c r="BM505" s="520"/>
      <c r="BN505" s="520"/>
      <c r="BO505" s="520"/>
      <c r="BP505" s="520"/>
      <c r="BQ505" s="520"/>
      <c r="BR505" s="520"/>
      <c r="BS505" s="520"/>
      <c r="BT505" s="520"/>
      <c r="BU505" s="520"/>
      <c r="BV505" s="520"/>
      <c r="BW505" s="520"/>
      <c r="BX505" s="520"/>
      <c r="BY505" s="520"/>
    </row>
    <row r="506" spans="1:84" ht="12" customHeight="1" x14ac:dyDescent="0.3">
      <c r="A506" s="765"/>
      <c r="E506" s="258" t="str">
        <f>$AX$97</f>
        <v>Fordított gólkülönbség: 1 p</v>
      </c>
      <c r="H506" s="676" t="str">
        <f t="shared" ref="H506:AK506" si="354">IF(OR(BC500,NOT($AS$30)),"",IF(AND(NOT($AS$32),COUNTIF(H501:H505,"ü")&gt;0),"",IF(AND(H499-H500=$E500-$E499,H499&lt;&gt;H500),"ü"," ")))</f>
        <v/>
      </c>
      <c r="I506" s="677" t="str">
        <f t="shared" si="354"/>
        <v/>
      </c>
      <c r="J506" s="677" t="str">
        <f t="shared" si="354"/>
        <v/>
      </c>
      <c r="K506" s="677" t="str">
        <f t="shared" si="354"/>
        <v/>
      </c>
      <c r="L506" s="677" t="str">
        <f t="shared" si="354"/>
        <v/>
      </c>
      <c r="M506" s="677" t="str">
        <f t="shared" si="354"/>
        <v/>
      </c>
      <c r="N506" s="677" t="str">
        <f t="shared" si="354"/>
        <v/>
      </c>
      <c r="O506" s="677" t="str">
        <f t="shared" si="354"/>
        <v/>
      </c>
      <c r="P506" s="677" t="str">
        <f t="shared" si="354"/>
        <v/>
      </c>
      <c r="Q506" s="677" t="str">
        <f t="shared" si="354"/>
        <v/>
      </c>
      <c r="R506" s="677" t="str">
        <f t="shared" si="354"/>
        <v/>
      </c>
      <c r="S506" s="677" t="str">
        <f t="shared" si="354"/>
        <v/>
      </c>
      <c r="T506" s="677" t="str">
        <f t="shared" si="354"/>
        <v/>
      </c>
      <c r="U506" s="677" t="str">
        <f t="shared" si="354"/>
        <v/>
      </c>
      <c r="V506" s="677" t="str">
        <f t="shared" si="354"/>
        <v/>
      </c>
      <c r="W506" s="677" t="str">
        <f t="shared" si="354"/>
        <v/>
      </c>
      <c r="X506" s="677" t="str">
        <f t="shared" si="354"/>
        <v/>
      </c>
      <c r="Y506" s="677" t="str">
        <f t="shared" si="354"/>
        <v/>
      </c>
      <c r="Z506" s="677" t="str">
        <f t="shared" si="354"/>
        <v/>
      </c>
      <c r="AA506" s="677" t="str">
        <f t="shared" si="354"/>
        <v/>
      </c>
      <c r="AB506" s="677" t="str">
        <f t="shared" si="354"/>
        <v/>
      </c>
      <c r="AC506" s="677" t="str">
        <f t="shared" si="354"/>
        <v/>
      </c>
      <c r="AD506" s="677" t="str">
        <f t="shared" si="354"/>
        <v/>
      </c>
      <c r="AE506" s="677" t="str">
        <f t="shared" si="354"/>
        <v/>
      </c>
      <c r="AF506" s="677" t="str">
        <f t="shared" si="354"/>
        <v/>
      </c>
      <c r="AG506" s="677" t="str">
        <f t="shared" si="354"/>
        <v/>
      </c>
      <c r="AH506" s="677" t="str">
        <f t="shared" si="354"/>
        <v/>
      </c>
      <c r="AI506" s="677" t="str">
        <f t="shared" si="354"/>
        <v/>
      </c>
      <c r="AJ506" s="677" t="str">
        <f t="shared" si="354"/>
        <v/>
      </c>
      <c r="AK506" s="678" t="str">
        <f t="shared" si="354"/>
        <v/>
      </c>
      <c r="AL506" s="15"/>
      <c r="AM506" s="15"/>
      <c r="AP506" s="536"/>
      <c r="AR506" s="537"/>
      <c r="AS506" s="529"/>
      <c r="AW506" s="390" t="str">
        <f>""</f>
        <v/>
      </c>
      <c r="AX506" s="531"/>
      <c r="AY506" s="390" t="str">
        <f>""</f>
        <v/>
      </c>
      <c r="BD506" s="520"/>
      <c r="BE506" s="520"/>
      <c r="BF506" s="520"/>
      <c r="BG506" s="520"/>
      <c r="BH506" s="520"/>
      <c r="BI506" s="520"/>
      <c r="BJ506" s="520"/>
      <c r="BK506" s="520"/>
      <c r="BL506" s="520"/>
      <c r="BM506" s="520"/>
      <c r="BN506" s="520"/>
      <c r="BO506" s="520"/>
      <c r="BP506" s="520"/>
      <c r="BQ506" s="520"/>
      <c r="BR506" s="520"/>
      <c r="BS506" s="520"/>
      <c r="BT506" s="520"/>
      <c r="BU506" s="520"/>
      <c r="BV506" s="520"/>
      <c r="BW506" s="520"/>
      <c r="BX506" s="520"/>
      <c r="BY506" s="520"/>
    </row>
    <row r="507" spans="1:84" ht="15" customHeight="1" x14ac:dyDescent="0.3">
      <c r="A507" s="765"/>
      <c r="E507" s="79" t="s">
        <v>799</v>
      </c>
      <c r="H507" s="679">
        <f t="shared" ref="H507:AK507" si="355">IF(NOT(H$13),"",SUMPRODUCT((H501:H506="ü")*($AW$92:$AW$97)))</f>
        <v>0</v>
      </c>
      <c r="I507" s="680">
        <f t="shared" si="355"/>
        <v>0</v>
      </c>
      <c r="J507" s="680">
        <f t="shared" si="355"/>
        <v>0</v>
      </c>
      <c r="K507" s="680">
        <f t="shared" si="355"/>
        <v>0</v>
      </c>
      <c r="L507" s="680">
        <f t="shared" si="355"/>
        <v>0</v>
      </c>
      <c r="M507" s="680">
        <f t="shared" si="355"/>
        <v>0</v>
      </c>
      <c r="N507" s="680">
        <f t="shared" si="355"/>
        <v>0</v>
      </c>
      <c r="O507" s="680">
        <f t="shared" si="355"/>
        <v>0</v>
      </c>
      <c r="P507" s="680">
        <f t="shared" si="355"/>
        <v>0</v>
      </c>
      <c r="Q507" s="680">
        <f t="shared" si="355"/>
        <v>0</v>
      </c>
      <c r="R507" s="680">
        <f t="shared" si="355"/>
        <v>0</v>
      </c>
      <c r="S507" s="680">
        <f t="shared" si="355"/>
        <v>0</v>
      </c>
      <c r="T507" s="680">
        <f t="shared" si="355"/>
        <v>0</v>
      </c>
      <c r="U507" s="680">
        <f t="shared" si="355"/>
        <v>0</v>
      </c>
      <c r="V507" s="680">
        <f t="shared" si="355"/>
        <v>0</v>
      </c>
      <c r="W507" s="680">
        <f t="shared" si="355"/>
        <v>0</v>
      </c>
      <c r="X507" s="680">
        <f t="shared" si="355"/>
        <v>0</v>
      </c>
      <c r="Y507" s="680">
        <f t="shared" si="355"/>
        <v>0</v>
      </c>
      <c r="Z507" s="680">
        <f t="shared" si="355"/>
        <v>0</v>
      </c>
      <c r="AA507" s="680">
        <f t="shared" si="355"/>
        <v>0</v>
      </c>
      <c r="AB507" s="680">
        <f t="shared" si="355"/>
        <v>0</v>
      </c>
      <c r="AC507" s="680">
        <f t="shared" si="355"/>
        <v>0</v>
      </c>
      <c r="AD507" s="680">
        <f t="shared" si="355"/>
        <v>0</v>
      </c>
      <c r="AE507" s="680" t="str">
        <f t="shared" si="355"/>
        <v/>
      </c>
      <c r="AF507" s="680" t="str">
        <f t="shared" si="355"/>
        <v/>
      </c>
      <c r="AG507" s="680" t="str">
        <f t="shared" si="355"/>
        <v/>
      </c>
      <c r="AH507" s="680" t="str">
        <f t="shared" si="355"/>
        <v/>
      </c>
      <c r="AI507" s="680" t="str">
        <f t="shared" si="355"/>
        <v/>
      </c>
      <c r="AJ507" s="680" t="str">
        <f t="shared" si="355"/>
        <v/>
      </c>
      <c r="AK507" s="681" t="str">
        <f t="shared" si="355"/>
        <v/>
      </c>
      <c r="AP507" s="538"/>
      <c r="AQ507" s="699"/>
      <c r="AR507" s="539"/>
      <c r="AS507" s="540"/>
    </row>
    <row r="508" spans="1:84" x14ac:dyDescent="0.3">
      <c r="A508" s="765"/>
    </row>
    <row r="509" spans="1:84" x14ac:dyDescent="0.3">
      <c r="A509" s="765"/>
    </row>
    <row r="510" spans="1:84" x14ac:dyDescent="0.3">
      <c r="A510" s="765"/>
    </row>
    <row r="511" spans="1:84" x14ac:dyDescent="0.3">
      <c r="A511" s="765"/>
    </row>
    <row r="512" spans="1:84" x14ac:dyDescent="0.3">
      <c r="A512" s="765"/>
    </row>
    <row r="513" spans="1:86" x14ac:dyDescent="0.3">
      <c r="A513" s="765"/>
    </row>
    <row r="514" spans="1:86" x14ac:dyDescent="0.3">
      <c r="A514" s="765"/>
    </row>
    <row r="515" spans="1:86" x14ac:dyDescent="0.3">
      <c r="A515" s="765"/>
    </row>
    <row r="516" spans="1:86" x14ac:dyDescent="0.3">
      <c r="A516" s="765"/>
    </row>
    <row r="517" spans="1:86" ht="12" customHeight="1" x14ac:dyDescent="0.3">
      <c r="A517" s="765"/>
      <c r="D517" s="15"/>
      <c r="E517" s="15"/>
      <c r="F517" s="15"/>
      <c r="G517" s="15"/>
      <c r="H517" s="15"/>
      <c r="I517" s="16"/>
      <c r="J517" s="15"/>
      <c r="K517" s="15"/>
      <c r="L517" s="16"/>
      <c r="M517" s="15"/>
      <c r="N517" s="15"/>
      <c r="O517" s="16"/>
      <c r="P517" s="15"/>
      <c r="Q517" s="15"/>
      <c r="R517" s="16"/>
      <c r="S517" s="15"/>
      <c r="T517" s="15"/>
      <c r="U517" s="16"/>
      <c r="V517" s="15"/>
      <c r="W517" s="15"/>
      <c r="X517" s="16"/>
      <c r="Y517" s="15"/>
      <c r="Z517" s="15"/>
      <c r="AA517" s="16"/>
      <c r="AB517" s="15"/>
      <c r="AC517" s="15"/>
      <c r="AD517" s="16"/>
      <c r="AE517" s="15"/>
      <c r="AF517" s="15"/>
      <c r="AG517" s="16"/>
      <c r="AH517" s="15"/>
      <c r="AI517" s="15"/>
      <c r="AJ517" s="16"/>
      <c r="AK517" s="15"/>
    </row>
    <row r="518" spans="1:86" ht="15" customHeight="1" x14ac:dyDescent="0.3">
      <c r="A518" s="765"/>
      <c r="C518" s="657"/>
      <c r="D518" s="652" t="s">
        <v>805</v>
      </c>
      <c r="E518" s="658"/>
      <c r="F518" s="659"/>
      <c r="G518" s="659"/>
      <c r="H518" s="659"/>
      <c r="I518" s="660"/>
      <c r="J518" s="659"/>
      <c r="K518" s="659"/>
      <c r="L518" s="660"/>
      <c r="M518" s="659"/>
      <c r="N518" s="659"/>
      <c r="O518" s="660"/>
      <c r="P518" s="659"/>
      <c r="Q518" s="659"/>
      <c r="R518" s="660"/>
      <c r="S518" s="659"/>
      <c r="T518" s="659"/>
      <c r="U518" s="660"/>
      <c r="V518" s="659"/>
      <c r="W518" s="659"/>
      <c r="X518" s="660"/>
      <c r="Y518" s="659"/>
      <c r="Z518" s="659"/>
      <c r="AA518" s="660"/>
      <c r="AB518" s="659"/>
      <c r="AC518" s="659"/>
      <c r="AD518" s="660"/>
      <c r="AE518" s="659"/>
      <c r="AF518" s="659"/>
      <c r="AG518" s="660"/>
      <c r="AH518" s="659"/>
      <c r="AI518" s="659"/>
      <c r="AJ518" s="660"/>
      <c r="AK518" s="659"/>
    </row>
    <row r="519" spans="1:86" s="31" customFormat="1" ht="15" customHeight="1" x14ac:dyDescent="0.3">
      <c r="A519" s="765"/>
      <c r="B519" s="29"/>
      <c r="C519" s="654"/>
      <c r="D519" s="653"/>
      <c r="E519" s="84" t="s">
        <v>801</v>
      </c>
      <c r="F519" s="41"/>
      <c r="G519" s="655"/>
      <c r="H519" s="656">
        <f t="shared" ref="H519:AK519" si="356">IF(NOT(H$13),"",SUMIF($E530:$E607,$E$98,H530:H607))</f>
        <v>0</v>
      </c>
      <c r="I519" s="656">
        <f t="shared" si="356"/>
        <v>0</v>
      </c>
      <c r="J519" s="656">
        <f t="shared" si="356"/>
        <v>0</v>
      </c>
      <c r="K519" s="656">
        <f t="shared" si="356"/>
        <v>0</v>
      </c>
      <c r="L519" s="656">
        <f t="shared" si="356"/>
        <v>0</v>
      </c>
      <c r="M519" s="656">
        <f t="shared" si="356"/>
        <v>0</v>
      </c>
      <c r="N519" s="656">
        <f t="shared" si="356"/>
        <v>0</v>
      </c>
      <c r="O519" s="656">
        <f t="shared" si="356"/>
        <v>0</v>
      </c>
      <c r="P519" s="656">
        <f t="shared" si="356"/>
        <v>0</v>
      </c>
      <c r="Q519" s="656">
        <f t="shared" si="356"/>
        <v>0</v>
      </c>
      <c r="R519" s="656">
        <f t="shared" si="356"/>
        <v>0</v>
      </c>
      <c r="S519" s="656">
        <f t="shared" si="356"/>
        <v>0</v>
      </c>
      <c r="T519" s="656">
        <f t="shared" si="356"/>
        <v>0</v>
      </c>
      <c r="U519" s="656">
        <f t="shared" si="356"/>
        <v>0</v>
      </c>
      <c r="V519" s="656">
        <f t="shared" si="356"/>
        <v>0</v>
      </c>
      <c r="W519" s="656">
        <f t="shared" si="356"/>
        <v>0</v>
      </c>
      <c r="X519" s="656">
        <f t="shared" si="356"/>
        <v>0</v>
      </c>
      <c r="Y519" s="656">
        <f t="shared" si="356"/>
        <v>0</v>
      </c>
      <c r="Z519" s="656">
        <f t="shared" si="356"/>
        <v>0</v>
      </c>
      <c r="AA519" s="656">
        <f t="shared" si="356"/>
        <v>0</v>
      </c>
      <c r="AB519" s="656">
        <f t="shared" si="356"/>
        <v>0</v>
      </c>
      <c r="AC519" s="656">
        <f t="shared" si="356"/>
        <v>0</v>
      </c>
      <c r="AD519" s="656">
        <f t="shared" si="356"/>
        <v>0</v>
      </c>
      <c r="AE519" s="656" t="str">
        <f t="shared" si="356"/>
        <v/>
      </c>
      <c r="AF519" s="656" t="str">
        <f t="shared" si="356"/>
        <v/>
      </c>
      <c r="AG519" s="656" t="str">
        <f t="shared" si="356"/>
        <v/>
      </c>
      <c r="AH519" s="656" t="str">
        <f t="shared" si="356"/>
        <v/>
      </c>
      <c r="AI519" s="656" t="str">
        <f t="shared" si="356"/>
        <v/>
      </c>
      <c r="AJ519" s="656" t="str">
        <f t="shared" si="356"/>
        <v/>
      </c>
      <c r="AK519" s="656" t="str">
        <f t="shared" si="356"/>
        <v/>
      </c>
      <c r="AL519" s="30"/>
      <c r="AM519" s="30"/>
      <c r="AN519" s="14"/>
      <c r="AO519" s="390"/>
      <c r="AP519" s="390"/>
      <c r="AQ519" s="390"/>
      <c r="AR519" s="390"/>
      <c r="AS519" s="543" t="s">
        <v>800</v>
      </c>
      <c r="AT519" s="390"/>
      <c r="AU519" s="390"/>
      <c r="AV519" s="390"/>
      <c r="AW519" s="390"/>
      <c r="AX519" s="390"/>
      <c r="AY519" s="390"/>
      <c r="AZ519" s="14"/>
      <c r="BA519" s="520"/>
      <c r="BB519" s="520"/>
      <c r="BC519" s="520"/>
      <c r="BD519" s="390"/>
      <c r="BE519" s="390"/>
      <c r="BF519" s="390"/>
      <c r="BG519" s="390"/>
      <c r="BH519" s="390"/>
      <c r="BI519" s="390"/>
      <c r="BJ519" s="390"/>
      <c r="BK519" s="390"/>
      <c r="BL519" s="390"/>
      <c r="BM519" s="390"/>
      <c r="BN519" s="390"/>
      <c r="BO519" s="390"/>
      <c r="BP519" s="390"/>
      <c r="BQ519" s="390"/>
      <c r="BR519" s="390"/>
      <c r="BS519" s="390"/>
      <c r="BT519" s="390"/>
      <c r="BU519" s="390"/>
      <c r="BV519" s="390"/>
      <c r="BW519" s="390"/>
      <c r="BX519" s="390"/>
      <c r="BY519" s="390"/>
      <c r="BZ519" s="520"/>
      <c r="CA519" s="520"/>
      <c r="CB519" s="520"/>
      <c r="CC519" s="520"/>
      <c r="CD519" s="520"/>
      <c r="CE519" s="520"/>
      <c r="CF519" s="520"/>
      <c r="CG519" s="520"/>
      <c r="CH519" s="14"/>
    </row>
    <row r="520" spans="1:86" s="281" customFormat="1" ht="12" customHeight="1" x14ac:dyDescent="0.2">
      <c r="A520" s="765"/>
      <c r="C520" s="284"/>
      <c r="D520" s="284"/>
      <c r="E520" s="79"/>
      <c r="F520" s="27"/>
      <c r="G520" s="284"/>
      <c r="H520" s="283"/>
      <c r="I520" s="283"/>
      <c r="J520" s="283"/>
      <c r="K520" s="283"/>
      <c r="L520" s="283"/>
      <c r="M520" s="283"/>
      <c r="N520" s="283"/>
      <c r="O520" s="283"/>
      <c r="P520" s="283"/>
      <c r="Q520" s="283"/>
      <c r="R520" s="283"/>
      <c r="S520" s="283"/>
      <c r="T520" s="283"/>
      <c r="U520" s="283"/>
      <c r="V520" s="283"/>
      <c r="W520" s="283"/>
      <c r="X520" s="283"/>
      <c r="Y520" s="283"/>
      <c r="Z520" s="283"/>
      <c r="AA520" s="283"/>
      <c r="AB520" s="283"/>
      <c r="AC520" s="283"/>
      <c r="AD520" s="283"/>
      <c r="AE520" s="283"/>
      <c r="AF520" s="283"/>
      <c r="AG520" s="283"/>
      <c r="AH520" s="283"/>
      <c r="AI520" s="283"/>
      <c r="AJ520" s="283"/>
      <c r="AK520" s="283"/>
      <c r="AN520" s="282"/>
      <c r="AO520" s="524"/>
      <c r="AP520" s="524"/>
      <c r="AQ520" s="524"/>
      <c r="AR520" s="524"/>
      <c r="AS520" s="524"/>
      <c r="AT520" s="524"/>
      <c r="AU520" s="524"/>
      <c r="AV520" s="524"/>
      <c r="AW520" s="524"/>
      <c r="AX520" s="524"/>
      <c r="AY520" s="524"/>
      <c r="AZ520" s="282"/>
      <c r="BA520" s="523"/>
      <c r="BB520" s="523"/>
      <c r="BC520" s="523"/>
      <c r="BD520" s="524"/>
      <c r="BE520" s="524"/>
      <c r="BF520" s="524"/>
      <c r="BG520" s="524"/>
      <c r="BH520" s="524"/>
      <c r="BI520" s="524"/>
      <c r="BJ520" s="524"/>
      <c r="BK520" s="524"/>
      <c r="BL520" s="524"/>
      <c r="BM520" s="524"/>
      <c r="BN520" s="524"/>
      <c r="BO520" s="524"/>
      <c r="BP520" s="524"/>
      <c r="BQ520" s="524"/>
      <c r="BR520" s="524"/>
      <c r="BS520" s="524"/>
      <c r="BT520" s="524"/>
      <c r="BU520" s="524"/>
      <c r="BV520" s="524"/>
      <c r="BW520" s="524"/>
      <c r="BX520" s="524"/>
      <c r="BY520" s="524"/>
      <c r="BZ520" s="523"/>
      <c r="CA520" s="523"/>
      <c r="CB520" s="523"/>
      <c r="CC520" s="523"/>
      <c r="CD520" s="523"/>
      <c r="CE520" s="523"/>
      <c r="CF520" s="523"/>
      <c r="CG520" s="523"/>
      <c r="CH520" s="282"/>
    </row>
    <row r="521" spans="1:86" ht="15" customHeight="1" x14ac:dyDescent="0.3">
      <c r="A521" s="765"/>
      <c r="C521" s="27" t="str">
        <f>" "&amp;VLOOKUP(AQ522,schedule,18,FALSE)&amp;"  ("&amp;VLOOKUP(AQ522,schedule,3,FALSE)&amp;" PÁRHARC)"</f>
        <v xml:space="preserve"> JÚNIUS 26. – SZOMBAT 18:00  (8/8 PÁRHARC)</v>
      </c>
      <c r="D521" s="27"/>
      <c r="E521" s="26"/>
      <c r="F521" s="26"/>
      <c r="G521" s="26"/>
      <c r="H521" s="26"/>
      <c r="I521" s="26"/>
      <c r="J521" s="26"/>
    </row>
    <row r="522" spans="1:86" ht="15" customHeight="1" x14ac:dyDescent="0.3">
      <c r="A522" s="765"/>
      <c r="C522" s="661"/>
      <c r="D522" s="662" t="str">
        <f>IF(INDEX(n.er,$AR522,8)="","",INDEX(n.er,$AR522,8))</f>
        <v>A csoport 2. hely</v>
      </c>
      <c r="E522" s="663" t="str">
        <f>IF(NOT($AS522),"",INDEX(n.er,$AR522,9))</f>
        <v/>
      </c>
      <c r="F522" s="662"/>
      <c r="G522" s="259"/>
      <c r="H522" s="664"/>
      <c r="I522" s="665"/>
      <c r="J522" s="665"/>
      <c r="K522" s="665"/>
      <c r="L522" s="665"/>
      <c r="M522" s="665"/>
      <c r="N522" s="665"/>
      <c r="O522" s="665"/>
      <c r="P522" s="665"/>
      <c r="Q522" s="665"/>
      <c r="R522" s="665"/>
      <c r="S522" s="665"/>
      <c r="T522" s="665"/>
      <c r="U522" s="665"/>
      <c r="V522" s="665"/>
      <c r="W522" s="665"/>
      <c r="X522" s="665"/>
      <c r="Y522" s="665"/>
      <c r="Z522" s="665"/>
      <c r="AA522" s="665"/>
      <c r="AB522" s="665"/>
      <c r="AC522" s="665"/>
      <c r="AD522" s="665"/>
      <c r="AE522" s="665"/>
      <c r="AF522" s="665"/>
      <c r="AG522" s="665"/>
      <c r="AH522" s="665"/>
      <c r="AI522" s="665"/>
      <c r="AJ522" s="665"/>
      <c r="AK522" s="666"/>
      <c r="AP522" s="52">
        <f>AP499+1</f>
        <v>37</v>
      </c>
      <c r="AQ522" s="311">
        <f>INDEX(schedule,AP522,1)</f>
        <v>38</v>
      </c>
      <c r="AR522" s="311">
        <f>MATCH(AQ522,n.er.index,0)</f>
        <v>91</v>
      </c>
      <c r="AS522" s="532" t="b">
        <f>INDEX(n.er,$AR522,3)</f>
        <v>0</v>
      </c>
      <c r="AT522" s="531"/>
      <c r="AU522" s="531"/>
      <c r="AV522" s="531"/>
      <c r="AW522" s="531"/>
      <c r="AX522" s="531"/>
      <c r="BC522" s="525" t="b">
        <f t="shared" ref="BC522:CF522" si="357">IF(AND(ISNUMBER(H522),ISNUMBER(H523),H522&lt;&gt;"",H523&lt;&gt;""),AND(H522&gt;=0,H523&gt;=0,MOD(H522+H523,1)=0),FALSE)</f>
        <v>0</v>
      </c>
      <c r="BD522" s="525" t="b">
        <f t="shared" si="357"/>
        <v>0</v>
      </c>
      <c r="BE522" s="525" t="b">
        <f t="shared" si="357"/>
        <v>0</v>
      </c>
      <c r="BF522" s="525" t="b">
        <f t="shared" si="357"/>
        <v>0</v>
      </c>
      <c r="BG522" s="525" t="b">
        <f t="shared" si="357"/>
        <v>0</v>
      </c>
      <c r="BH522" s="525" t="b">
        <f t="shared" si="357"/>
        <v>0</v>
      </c>
      <c r="BI522" s="525" t="b">
        <f t="shared" si="357"/>
        <v>0</v>
      </c>
      <c r="BJ522" s="525" t="b">
        <f t="shared" si="357"/>
        <v>0</v>
      </c>
      <c r="BK522" s="525" t="b">
        <f t="shared" si="357"/>
        <v>0</v>
      </c>
      <c r="BL522" s="525" t="b">
        <f t="shared" si="357"/>
        <v>0</v>
      </c>
      <c r="BM522" s="525" t="b">
        <f t="shared" si="357"/>
        <v>0</v>
      </c>
      <c r="BN522" s="525" t="b">
        <f t="shared" si="357"/>
        <v>0</v>
      </c>
      <c r="BO522" s="525" t="b">
        <f t="shared" si="357"/>
        <v>0</v>
      </c>
      <c r="BP522" s="525" t="b">
        <f t="shared" si="357"/>
        <v>0</v>
      </c>
      <c r="BQ522" s="525" t="b">
        <f t="shared" si="357"/>
        <v>0</v>
      </c>
      <c r="BR522" s="525" t="b">
        <f t="shared" si="357"/>
        <v>0</v>
      </c>
      <c r="BS522" s="525" t="b">
        <f t="shared" si="357"/>
        <v>0</v>
      </c>
      <c r="BT522" s="525" t="b">
        <f t="shared" si="357"/>
        <v>0</v>
      </c>
      <c r="BU522" s="525" t="b">
        <f t="shared" si="357"/>
        <v>0</v>
      </c>
      <c r="BV522" s="525" t="b">
        <f t="shared" si="357"/>
        <v>0</v>
      </c>
      <c r="BW522" s="525" t="b">
        <f t="shared" si="357"/>
        <v>0</v>
      </c>
      <c r="BX522" s="525" t="b">
        <f t="shared" si="357"/>
        <v>0</v>
      </c>
      <c r="BY522" s="525" t="b">
        <f t="shared" si="357"/>
        <v>0</v>
      </c>
      <c r="BZ522" s="525" t="b">
        <f t="shared" si="357"/>
        <v>0</v>
      </c>
      <c r="CA522" s="525" t="b">
        <f t="shared" si="357"/>
        <v>0</v>
      </c>
      <c r="CB522" s="525" t="b">
        <f t="shared" si="357"/>
        <v>0</v>
      </c>
      <c r="CC522" s="525" t="b">
        <f t="shared" si="357"/>
        <v>0</v>
      </c>
      <c r="CD522" s="525" t="b">
        <f t="shared" si="357"/>
        <v>0</v>
      </c>
      <c r="CE522" s="525" t="b">
        <f t="shared" si="357"/>
        <v>0</v>
      </c>
      <c r="CF522" s="525" t="b">
        <f t="shared" si="357"/>
        <v>0</v>
      </c>
    </row>
    <row r="523" spans="1:86" ht="15" customHeight="1" x14ac:dyDescent="0.3">
      <c r="A523" s="765"/>
      <c r="C523" s="695"/>
      <c r="D523" s="696" t="str">
        <f>IF(INDEX(n.er,$AR522,11)="","",INDEX(n.er,$AR522,11))</f>
        <v>B csoport 2. hely</v>
      </c>
      <c r="E523" s="697" t="str">
        <f>IF(NOT($AS522),"",INDEX(n.er,$AR522,10))</f>
        <v/>
      </c>
      <c r="F523" s="696"/>
      <c r="G523" s="259"/>
      <c r="H523" s="667"/>
      <c r="I523" s="668"/>
      <c r="J523" s="668"/>
      <c r="K523" s="668"/>
      <c r="L523" s="668"/>
      <c r="M523" s="668"/>
      <c r="N523" s="668"/>
      <c r="O523" s="668"/>
      <c r="P523" s="668"/>
      <c r="Q523" s="668"/>
      <c r="R523" s="668"/>
      <c r="S523" s="668"/>
      <c r="T523" s="668"/>
      <c r="U523" s="668"/>
      <c r="V523" s="668"/>
      <c r="W523" s="668"/>
      <c r="X523" s="668"/>
      <c r="Y523" s="668"/>
      <c r="Z523" s="668"/>
      <c r="AA523" s="668"/>
      <c r="AB523" s="668"/>
      <c r="AC523" s="668"/>
      <c r="AD523" s="668"/>
      <c r="AE523" s="668"/>
      <c r="AF523" s="668"/>
      <c r="AG523" s="668"/>
      <c r="AH523" s="668"/>
      <c r="AI523" s="668"/>
      <c r="AJ523" s="668"/>
      <c r="AK523" s="669"/>
      <c r="AP523" s="533"/>
      <c r="AQ523" s="577"/>
      <c r="AR523" s="534"/>
      <c r="AS523" s="535"/>
      <c r="AX523" s="531"/>
      <c r="BC523" s="34" t="b">
        <f t="shared" ref="BC523:CF523" si="358">OR(NOT(H$13),NOT($AS522),NOT(BC522))</f>
        <v>1</v>
      </c>
      <c r="BD523" s="34" t="b">
        <f t="shared" si="358"/>
        <v>1</v>
      </c>
      <c r="BE523" s="34" t="b">
        <f t="shared" si="358"/>
        <v>1</v>
      </c>
      <c r="BF523" s="34" t="b">
        <f t="shared" si="358"/>
        <v>1</v>
      </c>
      <c r="BG523" s="34" t="b">
        <f t="shared" si="358"/>
        <v>1</v>
      </c>
      <c r="BH523" s="34" t="b">
        <f t="shared" si="358"/>
        <v>1</v>
      </c>
      <c r="BI523" s="34" t="b">
        <f t="shared" si="358"/>
        <v>1</v>
      </c>
      <c r="BJ523" s="34" t="b">
        <f t="shared" si="358"/>
        <v>1</v>
      </c>
      <c r="BK523" s="34" t="b">
        <f t="shared" si="358"/>
        <v>1</v>
      </c>
      <c r="BL523" s="34" t="b">
        <f t="shared" si="358"/>
        <v>1</v>
      </c>
      <c r="BM523" s="34" t="b">
        <f t="shared" si="358"/>
        <v>1</v>
      </c>
      <c r="BN523" s="34" t="b">
        <f t="shared" si="358"/>
        <v>1</v>
      </c>
      <c r="BO523" s="34" t="b">
        <f t="shared" si="358"/>
        <v>1</v>
      </c>
      <c r="BP523" s="34" t="b">
        <f t="shared" si="358"/>
        <v>1</v>
      </c>
      <c r="BQ523" s="34" t="b">
        <f t="shared" si="358"/>
        <v>1</v>
      </c>
      <c r="BR523" s="34" t="b">
        <f t="shared" si="358"/>
        <v>1</v>
      </c>
      <c r="BS523" s="34" t="b">
        <f t="shared" si="358"/>
        <v>1</v>
      </c>
      <c r="BT523" s="34" t="b">
        <f t="shared" si="358"/>
        <v>1</v>
      </c>
      <c r="BU523" s="34" t="b">
        <f t="shared" si="358"/>
        <v>1</v>
      </c>
      <c r="BV523" s="34" t="b">
        <f t="shared" si="358"/>
        <v>1</v>
      </c>
      <c r="BW523" s="34" t="b">
        <f t="shared" si="358"/>
        <v>1</v>
      </c>
      <c r="BX523" s="34" t="b">
        <f t="shared" si="358"/>
        <v>1</v>
      </c>
      <c r="BY523" s="34" t="b">
        <f t="shared" si="358"/>
        <v>1</v>
      </c>
      <c r="BZ523" s="34" t="b">
        <f t="shared" si="358"/>
        <v>1</v>
      </c>
      <c r="CA523" s="34" t="b">
        <f t="shared" si="358"/>
        <v>1</v>
      </c>
      <c r="CB523" s="34" t="b">
        <f t="shared" si="358"/>
        <v>1</v>
      </c>
      <c r="CC523" s="34" t="b">
        <f t="shared" si="358"/>
        <v>1</v>
      </c>
      <c r="CD523" s="34" t="b">
        <f t="shared" si="358"/>
        <v>1</v>
      </c>
      <c r="CE523" s="34" t="b">
        <f t="shared" si="358"/>
        <v>1</v>
      </c>
      <c r="CF523" s="34" t="b">
        <f t="shared" si="358"/>
        <v>1</v>
      </c>
    </row>
    <row r="524" spans="1:86" ht="12" customHeight="1" x14ac:dyDescent="0.3">
      <c r="A524" s="765"/>
      <c r="E524" s="258" t="str">
        <f>$AX$92</f>
        <v>Telitalálat: 10 p</v>
      </c>
      <c r="H524" s="670" t="str">
        <f t="shared" ref="H524:AK524" si="359">IF(OR(BC523,NOT($AS$20)),"",IF(AND(H522=$E522,H523=$E523),"ü",""))</f>
        <v/>
      </c>
      <c r="I524" s="671" t="str">
        <f t="shared" si="359"/>
        <v/>
      </c>
      <c r="J524" s="671" t="str">
        <f t="shared" si="359"/>
        <v/>
      </c>
      <c r="K524" s="671" t="str">
        <f t="shared" si="359"/>
        <v/>
      </c>
      <c r="L524" s="671" t="str">
        <f t="shared" si="359"/>
        <v/>
      </c>
      <c r="M524" s="671" t="str">
        <f t="shared" si="359"/>
        <v/>
      </c>
      <c r="N524" s="671" t="str">
        <f t="shared" si="359"/>
        <v/>
      </c>
      <c r="O524" s="671" t="str">
        <f t="shared" si="359"/>
        <v/>
      </c>
      <c r="P524" s="671" t="str">
        <f t="shared" si="359"/>
        <v/>
      </c>
      <c r="Q524" s="671" t="str">
        <f t="shared" si="359"/>
        <v/>
      </c>
      <c r="R524" s="671" t="str">
        <f t="shared" si="359"/>
        <v/>
      </c>
      <c r="S524" s="671" t="str">
        <f t="shared" si="359"/>
        <v/>
      </c>
      <c r="T524" s="671" t="str">
        <f t="shared" si="359"/>
        <v/>
      </c>
      <c r="U524" s="671" t="str">
        <f t="shared" si="359"/>
        <v/>
      </c>
      <c r="V524" s="671" t="str">
        <f t="shared" si="359"/>
        <v/>
      </c>
      <c r="W524" s="671" t="str">
        <f t="shared" si="359"/>
        <v/>
      </c>
      <c r="X524" s="671" t="str">
        <f t="shared" si="359"/>
        <v/>
      </c>
      <c r="Y524" s="671" t="str">
        <f t="shared" si="359"/>
        <v/>
      </c>
      <c r="Z524" s="671" t="str">
        <f t="shared" si="359"/>
        <v/>
      </c>
      <c r="AA524" s="671" t="str">
        <f t="shared" si="359"/>
        <v/>
      </c>
      <c r="AB524" s="671" t="str">
        <f t="shared" si="359"/>
        <v/>
      </c>
      <c r="AC524" s="671" t="str">
        <f t="shared" si="359"/>
        <v/>
      </c>
      <c r="AD524" s="671" t="str">
        <f t="shared" si="359"/>
        <v/>
      </c>
      <c r="AE524" s="671" t="str">
        <f t="shared" si="359"/>
        <v/>
      </c>
      <c r="AF524" s="671" t="str">
        <f t="shared" si="359"/>
        <v/>
      </c>
      <c r="AG524" s="671" t="str">
        <f t="shared" si="359"/>
        <v/>
      </c>
      <c r="AH524" s="671" t="str">
        <f t="shared" si="359"/>
        <v/>
      </c>
      <c r="AI524" s="671" t="str">
        <f t="shared" si="359"/>
        <v/>
      </c>
      <c r="AJ524" s="671" t="str">
        <f t="shared" si="359"/>
        <v/>
      </c>
      <c r="AK524" s="672" t="str">
        <f t="shared" si="359"/>
        <v/>
      </c>
      <c r="AL524" s="15"/>
      <c r="AM524" s="15"/>
      <c r="AP524" s="536"/>
      <c r="AR524" s="537"/>
      <c r="AS524" s="529"/>
      <c r="AW524" s="390" t="str">
        <f>""</f>
        <v/>
      </c>
      <c r="AX524" s="531"/>
      <c r="AY524" s="390" t="str">
        <f>""</f>
        <v/>
      </c>
      <c r="BD524" s="520"/>
      <c r="BE524" s="520"/>
      <c r="BF524" s="520"/>
      <c r="BG524" s="520"/>
      <c r="BH524" s="520"/>
      <c r="BI524" s="520"/>
      <c r="BJ524" s="520"/>
      <c r="BK524" s="520"/>
      <c r="BL524" s="520"/>
      <c r="BM524" s="520"/>
      <c r="BN524" s="520"/>
      <c r="BO524" s="520"/>
      <c r="BP524" s="520"/>
      <c r="BQ524" s="520"/>
      <c r="BR524" s="520"/>
      <c r="BS524" s="520"/>
      <c r="BT524" s="520"/>
      <c r="BU524" s="520"/>
      <c r="BV524" s="520"/>
      <c r="BW524" s="520"/>
      <c r="BX524" s="520"/>
      <c r="BY524" s="520"/>
    </row>
    <row r="525" spans="1:86" ht="12" customHeight="1" x14ac:dyDescent="0.3">
      <c r="A525" s="765"/>
      <c r="E525" s="258" t="str">
        <f>$AX$93</f>
        <v>Gólkülönbség: 6 p</v>
      </c>
      <c r="H525" s="673" t="str">
        <f t="shared" ref="H525:AK525" si="360">IF(OR(BC523,NOT($AS$22)),"",IF(AND(NOT($AS$32),H524="ü"),"",IF(H522-H523=$E522-$E523,"ü"," ")))</f>
        <v/>
      </c>
      <c r="I525" s="674" t="str">
        <f t="shared" si="360"/>
        <v/>
      </c>
      <c r="J525" s="674" t="str">
        <f t="shared" si="360"/>
        <v/>
      </c>
      <c r="K525" s="674" t="str">
        <f t="shared" si="360"/>
        <v/>
      </c>
      <c r="L525" s="674" t="str">
        <f t="shared" si="360"/>
        <v/>
      </c>
      <c r="M525" s="674" t="str">
        <f t="shared" si="360"/>
        <v/>
      </c>
      <c r="N525" s="674" t="str">
        <f t="shared" si="360"/>
        <v/>
      </c>
      <c r="O525" s="674" t="str">
        <f t="shared" si="360"/>
        <v/>
      </c>
      <c r="P525" s="674" t="str">
        <f t="shared" si="360"/>
        <v/>
      </c>
      <c r="Q525" s="674" t="str">
        <f t="shared" si="360"/>
        <v/>
      </c>
      <c r="R525" s="674" t="str">
        <f t="shared" si="360"/>
        <v/>
      </c>
      <c r="S525" s="674" t="str">
        <f t="shared" si="360"/>
        <v/>
      </c>
      <c r="T525" s="674" t="str">
        <f t="shared" si="360"/>
        <v/>
      </c>
      <c r="U525" s="674" t="str">
        <f t="shared" si="360"/>
        <v/>
      </c>
      <c r="V525" s="674" t="str">
        <f t="shared" si="360"/>
        <v/>
      </c>
      <c r="W525" s="674" t="str">
        <f t="shared" si="360"/>
        <v/>
      </c>
      <c r="X525" s="674" t="str">
        <f t="shared" si="360"/>
        <v/>
      </c>
      <c r="Y525" s="674" t="str">
        <f t="shared" si="360"/>
        <v/>
      </c>
      <c r="Z525" s="674" t="str">
        <f t="shared" si="360"/>
        <v/>
      </c>
      <c r="AA525" s="674" t="str">
        <f t="shared" si="360"/>
        <v/>
      </c>
      <c r="AB525" s="674" t="str">
        <f t="shared" si="360"/>
        <v/>
      </c>
      <c r="AC525" s="674" t="str">
        <f t="shared" si="360"/>
        <v/>
      </c>
      <c r="AD525" s="674" t="str">
        <f t="shared" si="360"/>
        <v/>
      </c>
      <c r="AE525" s="674" t="str">
        <f t="shared" si="360"/>
        <v/>
      </c>
      <c r="AF525" s="674" t="str">
        <f t="shared" si="360"/>
        <v/>
      </c>
      <c r="AG525" s="674" t="str">
        <f t="shared" si="360"/>
        <v/>
      </c>
      <c r="AH525" s="674" t="str">
        <f t="shared" si="360"/>
        <v/>
      </c>
      <c r="AI525" s="674" t="str">
        <f t="shared" si="360"/>
        <v/>
      </c>
      <c r="AJ525" s="674" t="str">
        <f t="shared" si="360"/>
        <v/>
      </c>
      <c r="AK525" s="675" t="str">
        <f t="shared" si="360"/>
        <v/>
      </c>
      <c r="AL525" s="15"/>
      <c r="AM525" s="15"/>
      <c r="AP525" s="536"/>
      <c r="AR525" s="537"/>
      <c r="AS525" s="529"/>
      <c r="AW525" s="390" t="str">
        <f>""</f>
        <v/>
      </c>
      <c r="AX525" s="531"/>
      <c r="AY525" s="390" t="str">
        <f>""</f>
        <v/>
      </c>
      <c r="BD525" s="520"/>
      <c r="BE525" s="520"/>
      <c r="BF525" s="520"/>
      <c r="BG525" s="520"/>
      <c r="BH525" s="520"/>
      <c r="BI525" s="520"/>
      <c r="BJ525" s="520"/>
      <c r="BK525" s="520"/>
      <c r="BL525" s="520"/>
      <c r="BM525" s="520"/>
      <c r="BN525" s="520"/>
      <c r="BO525" s="520"/>
      <c r="BP525" s="520"/>
      <c r="BQ525" s="520"/>
      <c r="BR525" s="520"/>
      <c r="BS525" s="520"/>
      <c r="BT525" s="520"/>
      <c r="BU525" s="520"/>
      <c r="BV525" s="520"/>
      <c r="BW525" s="520"/>
      <c r="BX525" s="520"/>
      <c r="BY525" s="520"/>
    </row>
    <row r="526" spans="1:86" ht="12" customHeight="1" x14ac:dyDescent="0.3">
      <c r="A526" s="765"/>
      <c r="E526" s="258" t="str">
        <f>$AX$94</f>
        <v>Mérkőzés kimenetele: 4 p</v>
      </c>
      <c r="H526" s="673" t="str">
        <f t="shared" ref="H526:AK526" si="361">IF(OR(BC523,NOT($AS$24)),"",IF(AND(NOT($AS$32),COUNTIF(H524:H525,"ü")&gt;0),"",IF(SIGN(H522-H523)=SIGN($E522-$E523),"ü"," ")))</f>
        <v/>
      </c>
      <c r="I526" s="674" t="str">
        <f t="shared" si="361"/>
        <v/>
      </c>
      <c r="J526" s="674" t="str">
        <f t="shared" si="361"/>
        <v/>
      </c>
      <c r="K526" s="674" t="str">
        <f t="shared" si="361"/>
        <v/>
      </c>
      <c r="L526" s="674" t="str">
        <f t="shared" si="361"/>
        <v/>
      </c>
      <c r="M526" s="674" t="str">
        <f t="shared" si="361"/>
        <v/>
      </c>
      <c r="N526" s="674" t="str">
        <f t="shared" si="361"/>
        <v/>
      </c>
      <c r="O526" s="674" t="str">
        <f t="shared" si="361"/>
        <v/>
      </c>
      <c r="P526" s="674" t="str">
        <f t="shared" si="361"/>
        <v/>
      </c>
      <c r="Q526" s="674" t="str">
        <f t="shared" si="361"/>
        <v/>
      </c>
      <c r="R526" s="674" t="str">
        <f t="shared" si="361"/>
        <v/>
      </c>
      <c r="S526" s="674" t="str">
        <f t="shared" si="361"/>
        <v/>
      </c>
      <c r="T526" s="674" t="str">
        <f t="shared" si="361"/>
        <v/>
      </c>
      <c r="U526" s="674" t="str">
        <f t="shared" si="361"/>
        <v/>
      </c>
      <c r="V526" s="674" t="str">
        <f t="shared" si="361"/>
        <v/>
      </c>
      <c r="W526" s="674" t="str">
        <f t="shared" si="361"/>
        <v/>
      </c>
      <c r="X526" s="674" t="str">
        <f t="shared" si="361"/>
        <v/>
      </c>
      <c r="Y526" s="674" t="str">
        <f t="shared" si="361"/>
        <v/>
      </c>
      <c r="Z526" s="674" t="str">
        <f t="shared" si="361"/>
        <v/>
      </c>
      <c r="AA526" s="674" t="str">
        <f t="shared" si="361"/>
        <v/>
      </c>
      <c r="AB526" s="674" t="str">
        <f t="shared" si="361"/>
        <v/>
      </c>
      <c r="AC526" s="674" t="str">
        <f t="shared" si="361"/>
        <v/>
      </c>
      <c r="AD526" s="674" t="str">
        <f t="shared" si="361"/>
        <v/>
      </c>
      <c r="AE526" s="674" t="str">
        <f t="shared" si="361"/>
        <v/>
      </c>
      <c r="AF526" s="674" t="str">
        <f t="shared" si="361"/>
        <v/>
      </c>
      <c r="AG526" s="674" t="str">
        <f t="shared" si="361"/>
        <v/>
      </c>
      <c r="AH526" s="674" t="str">
        <f t="shared" si="361"/>
        <v/>
      </c>
      <c r="AI526" s="674" t="str">
        <f t="shared" si="361"/>
        <v/>
      </c>
      <c r="AJ526" s="674" t="str">
        <f t="shared" si="361"/>
        <v/>
      </c>
      <c r="AK526" s="675" t="str">
        <f t="shared" si="361"/>
        <v/>
      </c>
      <c r="AL526" s="15"/>
      <c r="AM526" s="15"/>
      <c r="AP526" s="536"/>
      <c r="AR526" s="537"/>
      <c r="AS526" s="529"/>
      <c r="AW526" s="390" t="str">
        <f>""</f>
        <v/>
      </c>
      <c r="AX526" s="531"/>
      <c r="AY526" s="390" t="str">
        <f>""</f>
        <v/>
      </c>
      <c r="BD526" s="520"/>
      <c r="BE526" s="520"/>
      <c r="BF526" s="520"/>
      <c r="BG526" s="520"/>
      <c r="BH526" s="520"/>
      <c r="BI526" s="520"/>
      <c r="BJ526" s="520"/>
      <c r="BK526" s="520"/>
      <c r="BL526" s="520"/>
      <c r="BM526" s="520"/>
      <c r="BN526" s="520"/>
      <c r="BO526" s="520"/>
      <c r="BP526" s="520"/>
      <c r="BQ526" s="520"/>
      <c r="BR526" s="520"/>
      <c r="BS526" s="520"/>
      <c r="BT526" s="520"/>
      <c r="BU526" s="520"/>
      <c r="BV526" s="520"/>
      <c r="BW526" s="520"/>
      <c r="BX526" s="520"/>
      <c r="BY526" s="520"/>
    </row>
    <row r="527" spans="1:86" ht="12" customHeight="1" x14ac:dyDescent="0.3">
      <c r="A527" s="765"/>
      <c r="E527" s="258" t="str">
        <f>$AX$95</f>
        <v>Egyik csapat góljainak száma: 3 p</v>
      </c>
      <c r="H527" s="673" t="str">
        <f t="shared" ref="H527:AK527" si="362">IF(OR(BC523,NOT($AS$26)),"",IF(AND(NOT($AS$32),COUNTIF(H524:H526,"ü")&gt;0),"",IF(OR(H522=$E522,H523=$E523),"ü"," ")))</f>
        <v/>
      </c>
      <c r="I527" s="674" t="str">
        <f t="shared" si="362"/>
        <v/>
      </c>
      <c r="J527" s="674" t="str">
        <f t="shared" si="362"/>
        <v/>
      </c>
      <c r="K527" s="674" t="str">
        <f t="shared" si="362"/>
        <v/>
      </c>
      <c r="L527" s="674" t="str">
        <f t="shared" si="362"/>
        <v/>
      </c>
      <c r="M527" s="674" t="str">
        <f t="shared" si="362"/>
        <v/>
      </c>
      <c r="N527" s="674" t="str">
        <f t="shared" si="362"/>
        <v/>
      </c>
      <c r="O527" s="674" t="str">
        <f t="shared" si="362"/>
        <v/>
      </c>
      <c r="P527" s="674" t="str">
        <f t="shared" si="362"/>
        <v/>
      </c>
      <c r="Q527" s="674" t="str">
        <f t="shared" si="362"/>
        <v/>
      </c>
      <c r="R527" s="674" t="str">
        <f t="shared" si="362"/>
        <v/>
      </c>
      <c r="S527" s="674" t="str">
        <f t="shared" si="362"/>
        <v/>
      </c>
      <c r="T527" s="674" t="str">
        <f t="shared" si="362"/>
        <v/>
      </c>
      <c r="U527" s="674" t="str">
        <f t="shared" si="362"/>
        <v/>
      </c>
      <c r="V527" s="674" t="str">
        <f t="shared" si="362"/>
        <v/>
      </c>
      <c r="W527" s="674" t="str">
        <f t="shared" si="362"/>
        <v/>
      </c>
      <c r="X527" s="674" t="str">
        <f t="shared" si="362"/>
        <v/>
      </c>
      <c r="Y527" s="674" t="str">
        <f t="shared" si="362"/>
        <v/>
      </c>
      <c r="Z527" s="674" t="str">
        <f t="shared" si="362"/>
        <v/>
      </c>
      <c r="AA527" s="674" t="str">
        <f t="shared" si="362"/>
        <v/>
      </c>
      <c r="AB527" s="674" t="str">
        <f t="shared" si="362"/>
        <v/>
      </c>
      <c r="AC527" s="674" t="str">
        <f t="shared" si="362"/>
        <v/>
      </c>
      <c r="AD527" s="674" t="str">
        <f t="shared" si="362"/>
        <v/>
      </c>
      <c r="AE527" s="674" t="str">
        <f t="shared" si="362"/>
        <v/>
      </c>
      <c r="AF527" s="674" t="str">
        <f t="shared" si="362"/>
        <v/>
      </c>
      <c r="AG527" s="674" t="str">
        <f t="shared" si="362"/>
        <v/>
      </c>
      <c r="AH527" s="674" t="str">
        <f t="shared" si="362"/>
        <v/>
      </c>
      <c r="AI527" s="674" t="str">
        <f t="shared" si="362"/>
        <v/>
      </c>
      <c r="AJ527" s="674" t="str">
        <f t="shared" si="362"/>
        <v/>
      </c>
      <c r="AK527" s="675" t="str">
        <f t="shared" si="362"/>
        <v/>
      </c>
      <c r="AL527" s="15"/>
      <c r="AM527" s="15"/>
      <c r="AP527" s="536"/>
      <c r="AR527" s="537"/>
      <c r="AS527" s="529"/>
      <c r="AW527" s="390" t="str">
        <f>""</f>
        <v/>
      </c>
      <c r="AX527" s="531"/>
      <c r="AY527" s="390" t="str">
        <f>""</f>
        <v/>
      </c>
      <c r="BD527" s="520"/>
      <c r="BE527" s="520"/>
      <c r="BF527" s="520"/>
      <c r="BG527" s="520"/>
      <c r="BH527" s="520"/>
      <c r="BI527" s="520"/>
      <c r="BJ527" s="520"/>
      <c r="BK527" s="520"/>
      <c r="BL527" s="520"/>
      <c r="BM527" s="520"/>
      <c r="BN527" s="520"/>
      <c r="BO527" s="520"/>
      <c r="BP527" s="520"/>
      <c r="BQ527" s="520"/>
      <c r="BR527" s="520"/>
      <c r="BS527" s="520"/>
      <c r="BT527" s="520"/>
      <c r="BU527" s="520"/>
      <c r="BV527" s="520"/>
      <c r="BW527" s="520"/>
      <c r="BX527" s="520"/>
      <c r="BY527" s="520"/>
    </row>
    <row r="528" spans="1:86" ht="12" customHeight="1" x14ac:dyDescent="0.3">
      <c r="A528" s="765"/>
      <c r="E528" s="258" t="str">
        <f>$AX$96</f>
        <v>Összes gól: 2 p</v>
      </c>
      <c r="H528" s="673" t="str">
        <f t="shared" ref="H528:AK528" si="363">IF(OR(BC523,NOT($AS$28)),"",IF(AND(NOT($AS$32),COUNTIF(H524:H527,"ü")&gt;0),"",IF(H522+H523=$E522+$E523,"ü"," ")))</f>
        <v/>
      </c>
      <c r="I528" s="674" t="str">
        <f t="shared" si="363"/>
        <v/>
      </c>
      <c r="J528" s="674" t="str">
        <f t="shared" si="363"/>
        <v/>
      </c>
      <c r="K528" s="674" t="str">
        <f t="shared" si="363"/>
        <v/>
      </c>
      <c r="L528" s="674" t="str">
        <f t="shared" si="363"/>
        <v/>
      </c>
      <c r="M528" s="674" t="str">
        <f t="shared" si="363"/>
        <v/>
      </c>
      <c r="N528" s="674" t="str">
        <f t="shared" si="363"/>
        <v/>
      </c>
      <c r="O528" s="674" t="str">
        <f t="shared" si="363"/>
        <v/>
      </c>
      <c r="P528" s="674" t="str">
        <f t="shared" si="363"/>
        <v/>
      </c>
      <c r="Q528" s="674" t="str">
        <f t="shared" si="363"/>
        <v/>
      </c>
      <c r="R528" s="674" t="str">
        <f t="shared" si="363"/>
        <v/>
      </c>
      <c r="S528" s="674" t="str">
        <f t="shared" si="363"/>
        <v/>
      </c>
      <c r="T528" s="674" t="str">
        <f t="shared" si="363"/>
        <v/>
      </c>
      <c r="U528" s="674" t="str">
        <f t="shared" si="363"/>
        <v/>
      </c>
      <c r="V528" s="674" t="str">
        <f t="shared" si="363"/>
        <v/>
      </c>
      <c r="W528" s="674" t="str">
        <f t="shared" si="363"/>
        <v/>
      </c>
      <c r="X528" s="674" t="str">
        <f t="shared" si="363"/>
        <v/>
      </c>
      <c r="Y528" s="674" t="str">
        <f t="shared" si="363"/>
        <v/>
      </c>
      <c r="Z528" s="674" t="str">
        <f t="shared" si="363"/>
        <v/>
      </c>
      <c r="AA528" s="674" t="str">
        <f t="shared" si="363"/>
        <v/>
      </c>
      <c r="AB528" s="674" t="str">
        <f t="shared" si="363"/>
        <v/>
      </c>
      <c r="AC528" s="674" t="str">
        <f t="shared" si="363"/>
        <v/>
      </c>
      <c r="AD528" s="674" t="str">
        <f t="shared" si="363"/>
        <v/>
      </c>
      <c r="AE528" s="674" t="str">
        <f t="shared" si="363"/>
        <v/>
      </c>
      <c r="AF528" s="674" t="str">
        <f t="shared" si="363"/>
        <v/>
      </c>
      <c r="AG528" s="674" t="str">
        <f t="shared" si="363"/>
        <v/>
      </c>
      <c r="AH528" s="674" t="str">
        <f t="shared" si="363"/>
        <v/>
      </c>
      <c r="AI528" s="674" t="str">
        <f t="shared" si="363"/>
        <v/>
      </c>
      <c r="AJ528" s="674" t="str">
        <f t="shared" si="363"/>
        <v/>
      </c>
      <c r="AK528" s="675" t="str">
        <f t="shared" si="363"/>
        <v/>
      </c>
      <c r="AL528" s="15"/>
      <c r="AM528" s="15"/>
      <c r="AP528" s="536"/>
      <c r="AR528" s="537"/>
      <c r="AS528" s="529"/>
      <c r="AW528" s="390" t="str">
        <f>""</f>
        <v/>
      </c>
      <c r="AX528" s="531"/>
      <c r="AY528" s="390" t="str">
        <f>""</f>
        <v/>
      </c>
      <c r="BD528" s="520"/>
      <c r="BE528" s="520"/>
      <c r="BF528" s="520"/>
      <c r="BG528" s="520"/>
      <c r="BH528" s="520"/>
      <c r="BI528" s="520"/>
      <c r="BJ528" s="520"/>
      <c r="BK528" s="520"/>
      <c r="BL528" s="520"/>
      <c r="BM528" s="520"/>
      <c r="BN528" s="520"/>
      <c r="BO528" s="520"/>
      <c r="BP528" s="520"/>
      <c r="BQ528" s="520"/>
      <c r="BR528" s="520"/>
      <c r="BS528" s="520"/>
      <c r="BT528" s="520"/>
      <c r="BU528" s="520"/>
      <c r="BV528" s="520"/>
      <c r="BW528" s="520"/>
      <c r="BX528" s="520"/>
      <c r="BY528" s="520"/>
    </row>
    <row r="529" spans="1:84" ht="12" customHeight="1" x14ac:dyDescent="0.3">
      <c r="A529" s="765"/>
      <c r="E529" s="258" t="str">
        <f>$AX$97</f>
        <v>Fordított gólkülönbség: 1 p</v>
      </c>
      <c r="H529" s="676" t="str">
        <f t="shared" ref="H529:AK529" si="364">IF(OR(BC523,NOT($AS$30)),"",IF(AND(NOT($AS$32),COUNTIF(H524:H528,"ü")&gt;0),"",IF(AND(H522-H523=$E523-$E522,H522&lt;&gt;H523),"ü"," ")))</f>
        <v/>
      </c>
      <c r="I529" s="677" t="str">
        <f t="shared" si="364"/>
        <v/>
      </c>
      <c r="J529" s="677" t="str">
        <f t="shared" si="364"/>
        <v/>
      </c>
      <c r="K529" s="677" t="str">
        <f t="shared" si="364"/>
        <v/>
      </c>
      <c r="L529" s="677" t="str">
        <f t="shared" si="364"/>
        <v/>
      </c>
      <c r="M529" s="677" t="str">
        <f t="shared" si="364"/>
        <v/>
      </c>
      <c r="N529" s="677" t="str">
        <f t="shared" si="364"/>
        <v/>
      </c>
      <c r="O529" s="677" t="str">
        <f t="shared" si="364"/>
        <v/>
      </c>
      <c r="P529" s="677" t="str">
        <f t="shared" si="364"/>
        <v/>
      </c>
      <c r="Q529" s="677" t="str">
        <f t="shared" si="364"/>
        <v/>
      </c>
      <c r="R529" s="677" t="str">
        <f t="shared" si="364"/>
        <v/>
      </c>
      <c r="S529" s="677" t="str">
        <f t="shared" si="364"/>
        <v/>
      </c>
      <c r="T529" s="677" t="str">
        <f t="shared" si="364"/>
        <v/>
      </c>
      <c r="U529" s="677" t="str">
        <f t="shared" si="364"/>
        <v/>
      </c>
      <c r="V529" s="677" t="str">
        <f t="shared" si="364"/>
        <v/>
      </c>
      <c r="W529" s="677" t="str">
        <f t="shared" si="364"/>
        <v/>
      </c>
      <c r="X529" s="677" t="str">
        <f t="shared" si="364"/>
        <v/>
      </c>
      <c r="Y529" s="677" t="str">
        <f t="shared" si="364"/>
        <v/>
      </c>
      <c r="Z529" s="677" t="str">
        <f t="shared" si="364"/>
        <v/>
      </c>
      <c r="AA529" s="677" t="str">
        <f t="shared" si="364"/>
        <v/>
      </c>
      <c r="AB529" s="677" t="str">
        <f t="shared" si="364"/>
        <v/>
      </c>
      <c r="AC529" s="677" t="str">
        <f t="shared" si="364"/>
        <v/>
      </c>
      <c r="AD529" s="677" t="str">
        <f t="shared" si="364"/>
        <v/>
      </c>
      <c r="AE529" s="677" t="str">
        <f t="shared" si="364"/>
        <v/>
      </c>
      <c r="AF529" s="677" t="str">
        <f t="shared" si="364"/>
        <v/>
      </c>
      <c r="AG529" s="677" t="str">
        <f t="shared" si="364"/>
        <v/>
      </c>
      <c r="AH529" s="677" t="str">
        <f t="shared" si="364"/>
        <v/>
      </c>
      <c r="AI529" s="677" t="str">
        <f t="shared" si="364"/>
        <v/>
      </c>
      <c r="AJ529" s="677" t="str">
        <f t="shared" si="364"/>
        <v/>
      </c>
      <c r="AK529" s="678" t="str">
        <f t="shared" si="364"/>
        <v/>
      </c>
      <c r="AL529" s="15"/>
      <c r="AM529" s="15"/>
      <c r="AP529" s="536"/>
      <c r="AR529" s="537"/>
      <c r="AS529" s="529"/>
      <c r="AW529" s="390" t="str">
        <f>""</f>
        <v/>
      </c>
      <c r="AX529" s="531"/>
      <c r="AY529" s="390" t="str">
        <f>""</f>
        <v/>
      </c>
      <c r="BD529" s="520"/>
      <c r="BE529" s="520"/>
      <c r="BF529" s="520"/>
      <c r="BG529" s="520"/>
      <c r="BH529" s="520"/>
      <c r="BI529" s="520"/>
      <c r="BJ529" s="520"/>
      <c r="BK529" s="520"/>
      <c r="BL529" s="520"/>
      <c r="BM529" s="520"/>
      <c r="BN529" s="520"/>
      <c r="BO529" s="520"/>
      <c r="BP529" s="520"/>
      <c r="BQ529" s="520"/>
      <c r="BR529" s="520"/>
      <c r="BS529" s="520"/>
      <c r="BT529" s="520"/>
      <c r="BU529" s="520"/>
      <c r="BV529" s="520"/>
      <c r="BW529" s="520"/>
      <c r="BX529" s="520"/>
      <c r="BY529" s="520"/>
    </row>
    <row r="530" spans="1:84" ht="15" customHeight="1" x14ac:dyDescent="0.3">
      <c r="A530" s="765"/>
      <c r="E530" s="79" t="s">
        <v>799</v>
      </c>
      <c r="H530" s="679">
        <f t="shared" ref="H530:AK530" si="365">IF(NOT(H$13),"",SUMPRODUCT((H524:H529="ü")*($AW$92:$AW$97)))</f>
        <v>0</v>
      </c>
      <c r="I530" s="680">
        <f t="shared" si="365"/>
        <v>0</v>
      </c>
      <c r="J530" s="680">
        <f t="shared" si="365"/>
        <v>0</v>
      </c>
      <c r="K530" s="680">
        <f t="shared" si="365"/>
        <v>0</v>
      </c>
      <c r="L530" s="680">
        <f t="shared" si="365"/>
        <v>0</v>
      </c>
      <c r="M530" s="680">
        <f t="shared" si="365"/>
        <v>0</v>
      </c>
      <c r="N530" s="680">
        <f t="shared" si="365"/>
        <v>0</v>
      </c>
      <c r="O530" s="680">
        <f t="shared" si="365"/>
        <v>0</v>
      </c>
      <c r="P530" s="680">
        <f t="shared" si="365"/>
        <v>0</v>
      </c>
      <c r="Q530" s="680">
        <f t="shared" si="365"/>
        <v>0</v>
      </c>
      <c r="R530" s="680">
        <f t="shared" si="365"/>
        <v>0</v>
      </c>
      <c r="S530" s="680">
        <f t="shared" si="365"/>
        <v>0</v>
      </c>
      <c r="T530" s="680">
        <f t="shared" si="365"/>
        <v>0</v>
      </c>
      <c r="U530" s="680">
        <f t="shared" si="365"/>
        <v>0</v>
      </c>
      <c r="V530" s="680">
        <f t="shared" si="365"/>
        <v>0</v>
      </c>
      <c r="W530" s="680">
        <f t="shared" si="365"/>
        <v>0</v>
      </c>
      <c r="X530" s="680">
        <f t="shared" si="365"/>
        <v>0</v>
      </c>
      <c r="Y530" s="680">
        <f t="shared" si="365"/>
        <v>0</v>
      </c>
      <c r="Z530" s="680">
        <f t="shared" si="365"/>
        <v>0</v>
      </c>
      <c r="AA530" s="680">
        <f t="shared" si="365"/>
        <v>0</v>
      </c>
      <c r="AB530" s="680">
        <f t="shared" si="365"/>
        <v>0</v>
      </c>
      <c r="AC530" s="680">
        <f t="shared" si="365"/>
        <v>0</v>
      </c>
      <c r="AD530" s="680">
        <f t="shared" si="365"/>
        <v>0</v>
      </c>
      <c r="AE530" s="680" t="str">
        <f t="shared" si="365"/>
        <v/>
      </c>
      <c r="AF530" s="680" t="str">
        <f t="shared" si="365"/>
        <v/>
      </c>
      <c r="AG530" s="680" t="str">
        <f t="shared" si="365"/>
        <v/>
      </c>
      <c r="AH530" s="680" t="str">
        <f t="shared" si="365"/>
        <v/>
      </c>
      <c r="AI530" s="680" t="str">
        <f t="shared" si="365"/>
        <v/>
      </c>
      <c r="AJ530" s="680" t="str">
        <f t="shared" si="365"/>
        <v/>
      </c>
      <c r="AK530" s="681" t="str">
        <f t="shared" si="365"/>
        <v/>
      </c>
      <c r="AP530" s="536"/>
      <c r="AR530" s="537"/>
      <c r="AS530" s="529"/>
      <c r="AX530" s="531"/>
    </row>
    <row r="531" spans="1:84" ht="9" customHeight="1" x14ac:dyDescent="0.3">
      <c r="A531" s="765"/>
      <c r="D531" s="15"/>
      <c r="E531" s="15"/>
      <c r="F531" s="15"/>
      <c r="G531" s="15"/>
      <c r="H531" s="15"/>
      <c r="I531" s="16"/>
      <c r="J531" s="15"/>
      <c r="K531" s="15"/>
      <c r="L531" s="16"/>
      <c r="M531" s="15"/>
      <c r="N531" s="15"/>
      <c r="O531" s="16"/>
      <c r="P531" s="15"/>
      <c r="Q531" s="15"/>
      <c r="R531" s="16"/>
      <c r="S531" s="15"/>
      <c r="T531" s="15"/>
      <c r="U531" s="16"/>
      <c r="V531" s="15"/>
      <c r="W531" s="15"/>
      <c r="X531" s="16"/>
      <c r="Y531" s="15"/>
      <c r="Z531" s="15"/>
      <c r="AA531" s="16"/>
      <c r="AB531" s="15"/>
      <c r="AC531" s="15"/>
      <c r="AD531" s="16"/>
      <c r="AE531" s="15"/>
      <c r="AF531" s="15"/>
      <c r="AG531" s="16"/>
      <c r="AH531" s="15"/>
      <c r="AI531" s="15"/>
      <c r="AJ531" s="16"/>
      <c r="AK531" s="15"/>
      <c r="AP531" s="536"/>
      <c r="AR531" s="537"/>
      <c r="AS531" s="529"/>
      <c r="AX531" s="531"/>
    </row>
    <row r="532" spans="1:84" ht="15" customHeight="1" x14ac:dyDescent="0.3">
      <c r="A532" s="765"/>
      <c r="C532" s="27" t="str">
        <f>" "&amp;VLOOKUP(AQ533,schedule,18,FALSE)&amp;"  ("&amp;VLOOKUP(AQ533,schedule,3,FALSE)&amp;" PÁRHARC)"</f>
        <v xml:space="preserve"> JÚNIUS 26. – SZOMBAT 21:00  (2/8 PÁRHARC)</v>
      </c>
      <c r="D532" s="27"/>
      <c r="E532" s="26"/>
      <c r="F532" s="26"/>
      <c r="G532" s="26"/>
      <c r="H532" s="26"/>
      <c r="I532" s="26"/>
      <c r="J532" s="26"/>
      <c r="AP532" s="536"/>
      <c r="AR532" s="537"/>
      <c r="AS532" s="529"/>
    </row>
    <row r="533" spans="1:84" ht="15" customHeight="1" x14ac:dyDescent="0.3">
      <c r="A533" s="765"/>
      <c r="C533" s="661"/>
      <c r="D533" s="662" t="str">
        <f>IF(INDEX(n.er,$AR533,8)="","",INDEX(n.er,$AR533,8))</f>
        <v>A csoport 1. hely</v>
      </c>
      <c r="E533" s="663" t="str">
        <f>IF(NOT($AS533),"",INDEX(n.er,$AR533,9))</f>
        <v/>
      </c>
      <c r="F533" s="662"/>
      <c r="G533" s="259"/>
      <c r="H533" s="664"/>
      <c r="I533" s="665"/>
      <c r="J533" s="665"/>
      <c r="K533" s="665"/>
      <c r="L533" s="665"/>
      <c r="M533" s="665"/>
      <c r="N533" s="665"/>
      <c r="O533" s="665"/>
      <c r="P533" s="665"/>
      <c r="Q533" s="665"/>
      <c r="R533" s="665"/>
      <c r="S533" s="665"/>
      <c r="T533" s="665"/>
      <c r="U533" s="665"/>
      <c r="V533" s="665"/>
      <c r="W533" s="665"/>
      <c r="X533" s="665"/>
      <c r="Y533" s="665"/>
      <c r="Z533" s="665"/>
      <c r="AA533" s="665"/>
      <c r="AB533" s="665"/>
      <c r="AC533" s="665"/>
      <c r="AD533" s="665"/>
      <c r="AE533" s="665"/>
      <c r="AF533" s="665"/>
      <c r="AG533" s="665"/>
      <c r="AH533" s="665"/>
      <c r="AI533" s="665"/>
      <c r="AJ533" s="665"/>
      <c r="AK533" s="666"/>
      <c r="AP533" s="52">
        <f>AP522+1</f>
        <v>38</v>
      </c>
      <c r="AQ533" s="311">
        <f>INDEX(schedule,AP533,1)</f>
        <v>37</v>
      </c>
      <c r="AR533" s="311">
        <f>MATCH(AQ533,n.er.index,0)</f>
        <v>92</v>
      </c>
      <c r="AS533" s="532" t="b">
        <f>INDEX(n.er,$AR533,3)</f>
        <v>0</v>
      </c>
      <c r="AT533" s="531"/>
      <c r="AU533" s="531"/>
      <c r="AV533" s="531"/>
      <c r="AW533" s="531"/>
      <c r="AX533" s="531"/>
      <c r="BC533" s="525" t="b">
        <f t="shared" ref="BC533:CF533" si="366">IF(AND(ISNUMBER(H533),ISNUMBER(H534),H533&lt;&gt;"",H534&lt;&gt;""),AND(H533&gt;=0,H534&gt;=0,MOD(H533+H534,1)=0),FALSE)</f>
        <v>0</v>
      </c>
      <c r="BD533" s="525" t="b">
        <f t="shared" si="366"/>
        <v>0</v>
      </c>
      <c r="BE533" s="525" t="b">
        <f t="shared" si="366"/>
        <v>0</v>
      </c>
      <c r="BF533" s="525" t="b">
        <f t="shared" si="366"/>
        <v>0</v>
      </c>
      <c r="BG533" s="525" t="b">
        <f t="shared" si="366"/>
        <v>0</v>
      </c>
      <c r="BH533" s="525" t="b">
        <f t="shared" si="366"/>
        <v>0</v>
      </c>
      <c r="BI533" s="525" t="b">
        <f t="shared" si="366"/>
        <v>0</v>
      </c>
      <c r="BJ533" s="525" t="b">
        <f t="shared" si="366"/>
        <v>0</v>
      </c>
      <c r="BK533" s="525" t="b">
        <f t="shared" si="366"/>
        <v>0</v>
      </c>
      <c r="BL533" s="525" t="b">
        <f t="shared" si="366"/>
        <v>0</v>
      </c>
      <c r="BM533" s="525" t="b">
        <f t="shared" si="366"/>
        <v>0</v>
      </c>
      <c r="BN533" s="525" t="b">
        <f t="shared" si="366"/>
        <v>0</v>
      </c>
      <c r="BO533" s="525" t="b">
        <f t="shared" si="366"/>
        <v>0</v>
      </c>
      <c r="BP533" s="525" t="b">
        <f t="shared" si="366"/>
        <v>0</v>
      </c>
      <c r="BQ533" s="525" t="b">
        <f t="shared" si="366"/>
        <v>0</v>
      </c>
      <c r="BR533" s="525" t="b">
        <f t="shared" si="366"/>
        <v>0</v>
      </c>
      <c r="BS533" s="525" t="b">
        <f t="shared" si="366"/>
        <v>0</v>
      </c>
      <c r="BT533" s="525" t="b">
        <f t="shared" si="366"/>
        <v>0</v>
      </c>
      <c r="BU533" s="525" t="b">
        <f t="shared" si="366"/>
        <v>0</v>
      </c>
      <c r="BV533" s="525" t="b">
        <f t="shared" si="366"/>
        <v>0</v>
      </c>
      <c r="BW533" s="525" t="b">
        <f t="shared" si="366"/>
        <v>0</v>
      </c>
      <c r="BX533" s="525" t="b">
        <f t="shared" si="366"/>
        <v>0</v>
      </c>
      <c r="BY533" s="525" t="b">
        <f t="shared" si="366"/>
        <v>0</v>
      </c>
      <c r="BZ533" s="525" t="b">
        <f t="shared" si="366"/>
        <v>0</v>
      </c>
      <c r="CA533" s="525" t="b">
        <f t="shared" si="366"/>
        <v>0</v>
      </c>
      <c r="CB533" s="525" t="b">
        <f t="shared" si="366"/>
        <v>0</v>
      </c>
      <c r="CC533" s="525" t="b">
        <f t="shared" si="366"/>
        <v>0</v>
      </c>
      <c r="CD533" s="525" t="b">
        <f t="shared" si="366"/>
        <v>0</v>
      </c>
      <c r="CE533" s="525" t="b">
        <f t="shared" si="366"/>
        <v>0</v>
      </c>
      <c r="CF533" s="525" t="b">
        <f t="shared" si="366"/>
        <v>0</v>
      </c>
    </row>
    <row r="534" spans="1:84" ht="15" customHeight="1" x14ac:dyDescent="0.3">
      <c r="A534" s="765"/>
      <c r="C534" s="695"/>
      <c r="D534" s="696" t="str">
        <f>IF(INDEX(n.er,$AR533,11)="","",INDEX(n.er,$AR533,11))</f>
        <v>C csoport 2. hely</v>
      </c>
      <c r="E534" s="697" t="str">
        <f>IF(NOT($AS533),"",INDEX(n.er,$AR533,10))</f>
        <v/>
      </c>
      <c r="F534" s="696"/>
      <c r="G534" s="259"/>
      <c r="H534" s="667"/>
      <c r="I534" s="668"/>
      <c r="J534" s="668"/>
      <c r="K534" s="668"/>
      <c r="L534" s="668"/>
      <c r="M534" s="668"/>
      <c r="N534" s="668"/>
      <c r="O534" s="668"/>
      <c r="P534" s="668"/>
      <c r="Q534" s="668"/>
      <c r="R534" s="668"/>
      <c r="S534" s="668"/>
      <c r="T534" s="668"/>
      <c r="U534" s="668"/>
      <c r="V534" s="668"/>
      <c r="W534" s="668"/>
      <c r="X534" s="668"/>
      <c r="Y534" s="668"/>
      <c r="Z534" s="668"/>
      <c r="AA534" s="668"/>
      <c r="AB534" s="668"/>
      <c r="AC534" s="668"/>
      <c r="AD534" s="668"/>
      <c r="AE534" s="668"/>
      <c r="AF534" s="668"/>
      <c r="AG534" s="668"/>
      <c r="AH534" s="668"/>
      <c r="AI534" s="668"/>
      <c r="AJ534" s="668"/>
      <c r="AK534" s="669"/>
      <c r="AP534" s="533"/>
      <c r="AQ534" s="577"/>
      <c r="AR534" s="534"/>
      <c r="AS534" s="535"/>
      <c r="AX534" s="531"/>
      <c r="BC534" s="34" t="b">
        <f t="shared" ref="BC534:CF534" si="367">OR(NOT(H$13),NOT($AS533),NOT(BC533))</f>
        <v>1</v>
      </c>
      <c r="BD534" s="34" t="b">
        <f t="shared" si="367"/>
        <v>1</v>
      </c>
      <c r="BE534" s="34" t="b">
        <f t="shared" si="367"/>
        <v>1</v>
      </c>
      <c r="BF534" s="34" t="b">
        <f t="shared" si="367"/>
        <v>1</v>
      </c>
      <c r="BG534" s="34" t="b">
        <f t="shared" si="367"/>
        <v>1</v>
      </c>
      <c r="BH534" s="34" t="b">
        <f t="shared" si="367"/>
        <v>1</v>
      </c>
      <c r="BI534" s="34" t="b">
        <f t="shared" si="367"/>
        <v>1</v>
      </c>
      <c r="BJ534" s="34" t="b">
        <f t="shared" si="367"/>
        <v>1</v>
      </c>
      <c r="BK534" s="34" t="b">
        <f t="shared" si="367"/>
        <v>1</v>
      </c>
      <c r="BL534" s="34" t="b">
        <f t="shared" si="367"/>
        <v>1</v>
      </c>
      <c r="BM534" s="34" t="b">
        <f t="shared" si="367"/>
        <v>1</v>
      </c>
      <c r="BN534" s="34" t="b">
        <f t="shared" si="367"/>
        <v>1</v>
      </c>
      <c r="BO534" s="34" t="b">
        <f t="shared" si="367"/>
        <v>1</v>
      </c>
      <c r="BP534" s="34" t="b">
        <f t="shared" si="367"/>
        <v>1</v>
      </c>
      <c r="BQ534" s="34" t="b">
        <f t="shared" si="367"/>
        <v>1</v>
      </c>
      <c r="BR534" s="34" t="b">
        <f t="shared" si="367"/>
        <v>1</v>
      </c>
      <c r="BS534" s="34" t="b">
        <f t="shared" si="367"/>
        <v>1</v>
      </c>
      <c r="BT534" s="34" t="b">
        <f t="shared" si="367"/>
        <v>1</v>
      </c>
      <c r="BU534" s="34" t="b">
        <f t="shared" si="367"/>
        <v>1</v>
      </c>
      <c r="BV534" s="34" t="b">
        <f t="shared" si="367"/>
        <v>1</v>
      </c>
      <c r="BW534" s="34" t="b">
        <f t="shared" si="367"/>
        <v>1</v>
      </c>
      <c r="BX534" s="34" t="b">
        <f t="shared" si="367"/>
        <v>1</v>
      </c>
      <c r="BY534" s="34" t="b">
        <f t="shared" si="367"/>
        <v>1</v>
      </c>
      <c r="BZ534" s="34" t="b">
        <f t="shared" si="367"/>
        <v>1</v>
      </c>
      <c r="CA534" s="34" t="b">
        <f t="shared" si="367"/>
        <v>1</v>
      </c>
      <c r="CB534" s="34" t="b">
        <f t="shared" si="367"/>
        <v>1</v>
      </c>
      <c r="CC534" s="34" t="b">
        <f t="shared" si="367"/>
        <v>1</v>
      </c>
      <c r="CD534" s="34" t="b">
        <f t="shared" si="367"/>
        <v>1</v>
      </c>
      <c r="CE534" s="34" t="b">
        <f t="shared" si="367"/>
        <v>1</v>
      </c>
      <c r="CF534" s="34" t="b">
        <f t="shared" si="367"/>
        <v>1</v>
      </c>
    </row>
    <row r="535" spans="1:84" ht="12" customHeight="1" x14ac:dyDescent="0.3">
      <c r="A535" s="765"/>
      <c r="E535" s="258" t="str">
        <f>$AX$92</f>
        <v>Telitalálat: 10 p</v>
      </c>
      <c r="H535" s="670" t="str">
        <f t="shared" ref="H535:AK535" si="368">IF(OR(BC534,NOT($AS$20)),"",IF(AND(H533=$E533,H534=$E534),"ü",""))</f>
        <v/>
      </c>
      <c r="I535" s="671" t="str">
        <f t="shared" si="368"/>
        <v/>
      </c>
      <c r="J535" s="671" t="str">
        <f t="shared" si="368"/>
        <v/>
      </c>
      <c r="K535" s="671" t="str">
        <f t="shared" si="368"/>
        <v/>
      </c>
      <c r="L535" s="671" t="str">
        <f t="shared" si="368"/>
        <v/>
      </c>
      <c r="M535" s="671" t="str">
        <f t="shared" si="368"/>
        <v/>
      </c>
      <c r="N535" s="671" t="str">
        <f t="shared" si="368"/>
        <v/>
      </c>
      <c r="O535" s="671" t="str">
        <f t="shared" si="368"/>
        <v/>
      </c>
      <c r="P535" s="671" t="str">
        <f t="shared" si="368"/>
        <v/>
      </c>
      <c r="Q535" s="671" t="str">
        <f t="shared" si="368"/>
        <v/>
      </c>
      <c r="R535" s="671" t="str">
        <f t="shared" si="368"/>
        <v/>
      </c>
      <c r="S535" s="671" t="str">
        <f t="shared" si="368"/>
        <v/>
      </c>
      <c r="T535" s="671" t="str">
        <f t="shared" si="368"/>
        <v/>
      </c>
      <c r="U535" s="671" t="str">
        <f t="shared" si="368"/>
        <v/>
      </c>
      <c r="V535" s="671" t="str">
        <f t="shared" si="368"/>
        <v/>
      </c>
      <c r="W535" s="671" t="str">
        <f t="shared" si="368"/>
        <v/>
      </c>
      <c r="X535" s="671" t="str">
        <f t="shared" si="368"/>
        <v/>
      </c>
      <c r="Y535" s="671" t="str">
        <f t="shared" si="368"/>
        <v/>
      </c>
      <c r="Z535" s="671" t="str">
        <f t="shared" si="368"/>
        <v/>
      </c>
      <c r="AA535" s="671" t="str">
        <f t="shared" si="368"/>
        <v/>
      </c>
      <c r="AB535" s="671" t="str">
        <f t="shared" si="368"/>
        <v/>
      </c>
      <c r="AC535" s="671" t="str">
        <f t="shared" si="368"/>
        <v/>
      </c>
      <c r="AD535" s="671" t="str">
        <f t="shared" si="368"/>
        <v/>
      </c>
      <c r="AE535" s="671" t="str">
        <f t="shared" si="368"/>
        <v/>
      </c>
      <c r="AF535" s="671" t="str">
        <f t="shared" si="368"/>
        <v/>
      </c>
      <c r="AG535" s="671" t="str">
        <f t="shared" si="368"/>
        <v/>
      </c>
      <c r="AH535" s="671" t="str">
        <f t="shared" si="368"/>
        <v/>
      </c>
      <c r="AI535" s="671" t="str">
        <f t="shared" si="368"/>
        <v/>
      </c>
      <c r="AJ535" s="671" t="str">
        <f t="shared" si="368"/>
        <v/>
      </c>
      <c r="AK535" s="672" t="str">
        <f t="shared" si="368"/>
        <v/>
      </c>
      <c r="AL535" s="15"/>
      <c r="AM535" s="15"/>
      <c r="AP535" s="536"/>
      <c r="AR535" s="537"/>
      <c r="AS535" s="529"/>
      <c r="AW535" s="390" t="str">
        <f>""</f>
        <v/>
      </c>
      <c r="AX535" s="531"/>
      <c r="AY535" s="390" t="str">
        <f>""</f>
        <v/>
      </c>
      <c r="BD535" s="520"/>
      <c r="BE535" s="520"/>
      <c r="BF535" s="520"/>
      <c r="BG535" s="520"/>
      <c r="BH535" s="520"/>
      <c r="BI535" s="520"/>
      <c r="BJ535" s="520"/>
      <c r="BK535" s="520"/>
      <c r="BL535" s="520"/>
      <c r="BM535" s="520"/>
      <c r="BN535" s="520"/>
      <c r="BO535" s="520"/>
      <c r="BP535" s="520"/>
      <c r="BQ535" s="520"/>
      <c r="BR535" s="520"/>
      <c r="BS535" s="520"/>
      <c r="BT535" s="520"/>
      <c r="BU535" s="520"/>
      <c r="BV535" s="520"/>
      <c r="BW535" s="520"/>
      <c r="BX535" s="520"/>
      <c r="BY535" s="520"/>
    </row>
    <row r="536" spans="1:84" ht="12" customHeight="1" x14ac:dyDescent="0.3">
      <c r="A536" s="765"/>
      <c r="E536" s="258" t="str">
        <f>$AX$93</f>
        <v>Gólkülönbség: 6 p</v>
      </c>
      <c r="H536" s="673" t="str">
        <f t="shared" ref="H536:AK536" si="369">IF(OR(BC534,NOT($AS$22)),"",IF(AND(NOT($AS$32),H535="ü"),"",IF(H533-H534=$E533-$E534,"ü"," ")))</f>
        <v/>
      </c>
      <c r="I536" s="674" t="str">
        <f t="shared" si="369"/>
        <v/>
      </c>
      <c r="J536" s="674" t="str">
        <f t="shared" si="369"/>
        <v/>
      </c>
      <c r="K536" s="674" t="str">
        <f t="shared" si="369"/>
        <v/>
      </c>
      <c r="L536" s="674" t="str">
        <f t="shared" si="369"/>
        <v/>
      </c>
      <c r="M536" s="674" t="str">
        <f t="shared" si="369"/>
        <v/>
      </c>
      <c r="N536" s="674" t="str">
        <f t="shared" si="369"/>
        <v/>
      </c>
      <c r="O536" s="674" t="str">
        <f t="shared" si="369"/>
        <v/>
      </c>
      <c r="P536" s="674" t="str">
        <f t="shared" si="369"/>
        <v/>
      </c>
      <c r="Q536" s="674" t="str">
        <f t="shared" si="369"/>
        <v/>
      </c>
      <c r="R536" s="674" t="str">
        <f t="shared" si="369"/>
        <v/>
      </c>
      <c r="S536" s="674" t="str">
        <f t="shared" si="369"/>
        <v/>
      </c>
      <c r="T536" s="674" t="str">
        <f t="shared" si="369"/>
        <v/>
      </c>
      <c r="U536" s="674" t="str">
        <f t="shared" si="369"/>
        <v/>
      </c>
      <c r="V536" s="674" t="str">
        <f t="shared" si="369"/>
        <v/>
      </c>
      <c r="W536" s="674" t="str">
        <f t="shared" si="369"/>
        <v/>
      </c>
      <c r="X536" s="674" t="str">
        <f t="shared" si="369"/>
        <v/>
      </c>
      <c r="Y536" s="674" t="str">
        <f t="shared" si="369"/>
        <v/>
      </c>
      <c r="Z536" s="674" t="str">
        <f t="shared" si="369"/>
        <v/>
      </c>
      <c r="AA536" s="674" t="str">
        <f t="shared" si="369"/>
        <v/>
      </c>
      <c r="AB536" s="674" t="str">
        <f t="shared" si="369"/>
        <v/>
      </c>
      <c r="AC536" s="674" t="str">
        <f t="shared" si="369"/>
        <v/>
      </c>
      <c r="AD536" s="674" t="str">
        <f t="shared" si="369"/>
        <v/>
      </c>
      <c r="AE536" s="674" t="str">
        <f t="shared" si="369"/>
        <v/>
      </c>
      <c r="AF536" s="674" t="str">
        <f t="shared" si="369"/>
        <v/>
      </c>
      <c r="AG536" s="674" t="str">
        <f t="shared" si="369"/>
        <v/>
      </c>
      <c r="AH536" s="674" t="str">
        <f t="shared" si="369"/>
        <v/>
      </c>
      <c r="AI536" s="674" t="str">
        <f t="shared" si="369"/>
        <v/>
      </c>
      <c r="AJ536" s="674" t="str">
        <f t="shared" si="369"/>
        <v/>
      </c>
      <c r="AK536" s="675" t="str">
        <f t="shared" si="369"/>
        <v/>
      </c>
      <c r="AL536" s="15"/>
      <c r="AM536" s="15"/>
      <c r="AP536" s="536"/>
      <c r="AR536" s="537"/>
      <c r="AS536" s="529"/>
      <c r="AW536" s="390" t="str">
        <f>""</f>
        <v/>
      </c>
      <c r="AX536" s="531"/>
      <c r="AY536" s="390" t="str">
        <f>""</f>
        <v/>
      </c>
      <c r="BD536" s="520"/>
      <c r="BE536" s="520"/>
      <c r="BF536" s="520"/>
      <c r="BG536" s="520"/>
      <c r="BH536" s="520"/>
      <c r="BI536" s="520"/>
      <c r="BJ536" s="520"/>
      <c r="BK536" s="520"/>
      <c r="BL536" s="520"/>
      <c r="BM536" s="520"/>
      <c r="BN536" s="520"/>
      <c r="BO536" s="520"/>
      <c r="BP536" s="520"/>
      <c r="BQ536" s="520"/>
      <c r="BR536" s="520"/>
      <c r="BS536" s="520"/>
      <c r="BT536" s="520"/>
      <c r="BU536" s="520"/>
      <c r="BV536" s="520"/>
      <c r="BW536" s="520"/>
      <c r="BX536" s="520"/>
      <c r="BY536" s="520"/>
    </row>
    <row r="537" spans="1:84" ht="12" customHeight="1" x14ac:dyDescent="0.3">
      <c r="A537" s="765"/>
      <c r="E537" s="258" t="str">
        <f>$AX$94</f>
        <v>Mérkőzés kimenetele: 4 p</v>
      </c>
      <c r="H537" s="673" t="str">
        <f t="shared" ref="H537:AK537" si="370">IF(OR(BC534,NOT($AS$24)),"",IF(AND(NOT($AS$32),COUNTIF(H535:H536,"ü")&gt;0),"",IF(SIGN(H533-H534)=SIGN($E533-$E534),"ü"," ")))</f>
        <v/>
      </c>
      <c r="I537" s="674" t="str">
        <f t="shared" si="370"/>
        <v/>
      </c>
      <c r="J537" s="674" t="str">
        <f t="shared" si="370"/>
        <v/>
      </c>
      <c r="K537" s="674" t="str">
        <f t="shared" si="370"/>
        <v/>
      </c>
      <c r="L537" s="674" t="str">
        <f t="shared" si="370"/>
        <v/>
      </c>
      <c r="M537" s="674" t="str">
        <f t="shared" si="370"/>
        <v/>
      </c>
      <c r="N537" s="674" t="str">
        <f t="shared" si="370"/>
        <v/>
      </c>
      <c r="O537" s="674" t="str">
        <f t="shared" si="370"/>
        <v/>
      </c>
      <c r="P537" s="674" t="str">
        <f t="shared" si="370"/>
        <v/>
      </c>
      <c r="Q537" s="674" t="str">
        <f t="shared" si="370"/>
        <v/>
      </c>
      <c r="R537" s="674" t="str">
        <f t="shared" si="370"/>
        <v/>
      </c>
      <c r="S537" s="674" t="str">
        <f t="shared" si="370"/>
        <v/>
      </c>
      <c r="T537" s="674" t="str">
        <f t="shared" si="370"/>
        <v/>
      </c>
      <c r="U537" s="674" t="str">
        <f t="shared" si="370"/>
        <v/>
      </c>
      <c r="V537" s="674" t="str">
        <f t="shared" si="370"/>
        <v/>
      </c>
      <c r="W537" s="674" t="str">
        <f t="shared" si="370"/>
        <v/>
      </c>
      <c r="X537" s="674" t="str">
        <f t="shared" si="370"/>
        <v/>
      </c>
      <c r="Y537" s="674" t="str">
        <f t="shared" si="370"/>
        <v/>
      </c>
      <c r="Z537" s="674" t="str">
        <f t="shared" si="370"/>
        <v/>
      </c>
      <c r="AA537" s="674" t="str">
        <f t="shared" si="370"/>
        <v/>
      </c>
      <c r="AB537" s="674" t="str">
        <f t="shared" si="370"/>
        <v/>
      </c>
      <c r="AC537" s="674" t="str">
        <f t="shared" si="370"/>
        <v/>
      </c>
      <c r="AD537" s="674" t="str">
        <f t="shared" si="370"/>
        <v/>
      </c>
      <c r="AE537" s="674" t="str">
        <f t="shared" si="370"/>
        <v/>
      </c>
      <c r="AF537" s="674" t="str">
        <f t="shared" si="370"/>
        <v/>
      </c>
      <c r="AG537" s="674" t="str">
        <f t="shared" si="370"/>
        <v/>
      </c>
      <c r="AH537" s="674" t="str">
        <f t="shared" si="370"/>
        <v/>
      </c>
      <c r="AI537" s="674" t="str">
        <f t="shared" si="370"/>
        <v/>
      </c>
      <c r="AJ537" s="674" t="str">
        <f t="shared" si="370"/>
        <v/>
      </c>
      <c r="AK537" s="675" t="str">
        <f t="shared" si="370"/>
        <v/>
      </c>
      <c r="AL537" s="15"/>
      <c r="AM537" s="15"/>
      <c r="AP537" s="536"/>
      <c r="AR537" s="537"/>
      <c r="AS537" s="529"/>
      <c r="AW537" s="390" t="str">
        <f>""</f>
        <v/>
      </c>
      <c r="AX537" s="531"/>
      <c r="AY537" s="390" t="str">
        <f>""</f>
        <v/>
      </c>
      <c r="BD537" s="520"/>
      <c r="BE537" s="520"/>
      <c r="BF537" s="520"/>
      <c r="BG537" s="520"/>
      <c r="BH537" s="520"/>
      <c r="BI537" s="520"/>
      <c r="BJ537" s="520"/>
      <c r="BK537" s="520"/>
      <c r="BL537" s="520"/>
      <c r="BM537" s="520"/>
      <c r="BN537" s="520"/>
      <c r="BO537" s="520"/>
      <c r="BP537" s="520"/>
      <c r="BQ537" s="520"/>
      <c r="BR537" s="520"/>
      <c r="BS537" s="520"/>
      <c r="BT537" s="520"/>
      <c r="BU537" s="520"/>
      <c r="BV537" s="520"/>
      <c r="BW537" s="520"/>
      <c r="BX537" s="520"/>
      <c r="BY537" s="520"/>
    </row>
    <row r="538" spans="1:84" ht="12" customHeight="1" x14ac:dyDescent="0.3">
      <c r="A538" s="765"/>
      <c r="E538" s="258" t="str">
        <f>$AX$95</f>
        <v>Egyik csapat góljainak száma: 3 p</v>
      </c>
      <c r="H538" s="673" t="str">
        <f t="shared" ref="H538:AK538" si="371">IF(OR(BC534,NOT($AS$26)),"",IF(AND(NOT($AS$32),COUNTIF(H535:H537,"ü")&gt;0),"",IF(OR(H533=$E533,H534=$E534),"ü"," ")))</f>
        <v/>
      </c>
      <c r="I538" s="674" t="str">
        <f t="shared" si="371"/>
        <v/>
      </c>
      <c r="J538" s="674" t="str">
        <f t="shared" si="371"/>
        <v/>
      </c>
      <c r="K538" s="674" t="str">
        <f t="shared" si="371"/>
        <v/>
      </c>
      <c r="L538" s="674" t="str">
        <f t="shared" si="371"/>
        <v/>
      </c>
      <c r="M538" s="674" t="str">
        <f t="shared" si="371"/>
        <v/>
      </c>
      <c r="N538" s="674" t="str">
        <f t="shared" si="371"/>
        <v/>
      </c>
      <c r="O538" s="674" t="str">
        <f t="shared" si="371"/>
        <v/>
      </c>
      <c r="P538" s="674" t="str">
        <f t="shared" si="371"/>
        <v/>
      </c>
      <c r="Q538" s="674" t="str">
        <f t="shared" si="371"/>
        <v/>
      </c>
      <c r="R538" s="674" t="str">
        <f t="shared" si="371"/>
        <v/>
      </c>
      <c r="S538" s="674" t="str">
        <f t="shared" si="371"/>
        <v/>
      </c>
      <c r="T538" s="674" t="str">
        <f t="shared" si="371"/>
        <v/>
      </c>
      <c r="U538" s="674" t="str">
        <f t="shared" si="371"/>
        <v/>
      </c>
      <c r="V538" s="674" t="str">
        <f t="shared" si="371"/>
        <v/>
      </c>
      <c r="W538" s="674" t="str">
        <f t="shared" si="371"/>
        <v/>
      </c>
      <c r="X538" s="674" t="str">
        <f t="shared" si="371"/>
        <v/>
      </c>
      <c r="Y538" s="674" t="str">
        <f t="shared" si="371"/>
        <v/>
      </c>
      <c r="Z538" s="674" t="str">
        <f t="shared" si="371"/>
        <v/>
      </c>
      <c r="AA538" s="674" t="str">
        <f t="shared" si="371"/>
        <v/>
      </c>
      <c r="AB538" s="674" t="str">
        <f t="shared" si="371"/>
        <v/>
      </c>
      <c r="AC538" s="674" t="str">
        <f t="shared" si="371"/>
        <v/>
      </c>
      <c r="AD538" s="674" t="str">
        <f t="shared" si="371"/>
        <v/>
      </c>
      <c r="AE538" s="674" t="str">
        <f t="shared" si="371"/>
        <v/>
      </c>
      <c r="AF538" s="674" t="str">
        <f t="shared" si="371"/>
        <v/>
      </c>
      <c r="AG538" s="674" t="str">
        <f t="shared" si="371"/>
        <v/>
      </c>
      <c r="AH538" s="674" t="str">
        <f t="shared" si="371"/>
        <v/>
      </c>
      <c r="AI538" s="674" t="str">
        <f t="shared" si="371"/>
        <v/>
      </c>
      <c r="AJ538" s="674" t="str">
        <f t="shared" si="371"/>
        <v/>
      </c>
      <c r="AK538" s="675" t="str">
        <f t="shared" si="371"/>
        <v/>
      </c>
      <c r="AL538" s="15"/>
      <c r="AM538" s="15"/>
      <c r="AP538" s="536"/>
      <c r="AR538" s="537"/>
      <c r="AS538" s="529"/>
      <c r="AW538" s="390" t="str">
        <f>""</f>
        <v/>
      </c>
      <c r="AX538" s="531"/>
      <c r="AY538" s="390" t="str">
        <f>""</f>
        <v/>
      </c>
      <c r="BD538" s="520"/>
      <c r="BE538" s="520"/>
      <c r="BF538" s="520"/>
      <c r="BG538" s="520"/>
      <c r="BH538" s="520"/>
      <c r="BI538" s="520"/>
      <c r="BJ538" s="520"/>
      <c r="BK538" s="520"/>
      <c r="BL538" s="520"/>
      <c r="BM538" s="520"/>
      <c r="BN538" s="520"/>
      <c r="BO538" s="520"/>
      <c r="BP538" s="520"/>
      <c r="BQ538" s="520"/>
      <c r="BR538" s="520"/>
      <c r="BS538" s="520"/>
      <c r="BT538" s="520"/>
      <c r="BU538" s="520"/>
      <c r="BV538" s="520"/>
      <c r="BW538" s="520"/>
      <c r="BX538" s="520"/>
      <c r="BY538" s="520"/>
    </row>
    <row r="539" spans="1:84" ht="12" customHeight="1" x14ac:dyDescent="0.3">
      <c r="A539" s="765"/>
      <c r="E539" s="258" t="str">
        <f>$AX$96</f>
        <v>Összes gól: 2 p</v>
      </c>
      <c r="H539" s="673" t="str">
        <f t="shared" ref="H539:AK539" si="372">IF(OR(BC534,NOT($AS$28)),"",IF(AND(NOT($AS$32),COUNTIF(H535:H538,"ü")&gt;0),"",IF(H533+H534=$E533+$E534,"ü"," ")))</f>
        <v/>
      </c>
      <c r="I539" s="674" t="str">
        <f t="shared" si="372"/>
        <v/>
      </c>
      <c r="J539" s="674" t="str">
        <f t="shared" si="372"/>
        <v/>
      </c>
      <c r="K539" s="674" t="str">
        <f t="shared" si="372"/>
        <v/>
      </c>
      <c r="L539" s="674" t="str">
        <f t="shared" si="372"/>
        <v/>
      </c>
      <c r="M539" s="674" t="str">
        <f t="shared" si="372"/>
        <v/>
      </c>
      <c r="N539" s="674" t="str">
        <f t="shared" si="372"/>
        <v/>
      </c>
      <c r="O539" s="674" t="str">
        <f t="shared" si="372"/>
        <v/>
      </c>
      <c r="P539" s="674" t="str">
        <f t="shared" si="372"/>
        <v/>
      </c>
      <c r="Q539" s="674" t="str">
        <f t="shared" si="372"/>
        <v/>
      </c>
      <c r="R539" s="674" t="str">
        <f t="shared" si="372"/>
        <v/>
      </c>
      <c r="S539" s="674" t="str">
        <f t="shared" si="372"/>
        <v/>
      </c>
      <c r="T539" s="674" t="str">
        <f t="shared" si="372"/>
        <v/>
      </c>
      <c r="U539" s="674" t="str">
        <f t="shared" si="372"/>
        <v/>
      </c>
      <c r="V539" s="674" t="str">
        <f t="shared" si="372"/>
        <v/>
      </c>
      <c r="W539" s="674" t="str">
        <f t="shared" si="372"/>
        <v/>
      </c>
      <c r="X539" s="674" t="str">
        <f t="shared" si="372"/>
        <v/>
      </c>
      <c r="Y539" s="674" t="str">
        <f t="shared" si="372"/>
        <v/>
      </c>
      <c r="Z539" s="674" t="str">
        <f t="shared" si="372"/>
        <v/>
      </c>
      <c r="AA539" s="674" t="str">
        <f t="shared" si="372"/>
        <v/>
      </c>
      <c r="AB539" s="674" t="str">
        <f t="shared" si="372"/>
        <v/>
      </c>
      <c r="AC539" s="674" t="str">
        <f t="shared" si="372"/>
        <v/>
      </c>
      <c r="AD539" s="674" t="str">
        <f t="shared" si="372"/>
        <v/>
      </c>
      <c r="AE539" s="674" t="str">
        <f t="shared" si="372"/>
        <v/>
      </c>
      <c r="AF539" s="674" t="str">
        <f t="shared" si="372"/>
        <v/>
      </c>
      <c r="AG539" s="674" t="str">
        <f t="shared" si="372"/>
        <v/>
      </c>
      <c r="AH539" s="674" t="str">
        <f t="shared" si="372"/>
        <v/>
      </c>
      <c r="AI539" s="674" t="str">
        <f t="shared" si="372"/>
        <v/>
      </c>
      <c r="AJ539" s="674" t="str">
        <f t="shared" si="372"/>
        <v/>
      </c>
      <c r="AK539" s="675" t="str">
        <f t="shared" si="372"/>
        <v/>
      </c>
      <c r="AL539" s="15"/>
      <c r="AM539" s="15"/>
      <c r="AP539" s="536"/>
      <c r="AR539" s="537"/>
      <c r="AS539" s="529"/>
      <c r="AW539" s="390" t="str">
        <f>""</f>
        <v/>
      </c>
      <c r="AX539" s="531"/>
      <c r="AY539" s="390" t="str">
        <f>""</f>
        <v/>
      </c>
      <c r="BD539" s="520"/>
      <c r="BE539" s="520"/>
      <c r="BF539" s="520"/>
      <c r="BG539" s="520"/>
      <c r="BH539" s="520"/>
      <c r="BI539" s="520"/>
      <c r="BJ539" s="520"/>
      <c r="BK539" s="520"/>
      <c r="BL539" s="520"/>
      <c r="BM539" s="520"/>
      <c r="BN539" s="520"/>
      <c r="BO539" s="520"/>
      <c r="BP539" s="520"/>
      <c r="BQ539" s="520"/>
      <c r="BR539" s="520"/>
      <c r="BS539" s="520"/>
      <c r="BT539" s="520"/>
      <c r="BU539" s="520"/>
      <c r="BV539" s="520"/>
      <c r="BW539" s="520"/>
      <c r="BX539" s="520"/>
      <c r="BY539" s="520"/>
    </row>
    <row r="540" spans="1:84" ht="12" customHeight="1" x14ac:dyDescent="0.3">
      <c r="A540" s="765"/>
      <c r="E540" s="258" t="str">
        <f>$AX$97</f>
        <v>Fordított gólkülönbség: 1 p</v>
      </c>
      <c r="H540" s="676" t="str">
        <f t="shared" ref="H540:AK540" si="373">IF(OR(BC534,NOT($AS$30)),"",IF(AND(NOT($AS$32),COUNTIF(H535:H539,"ü")&gt;0),"",IF(AND(H533-H534=$E534-$E533,H533&lt;&gt;H534),"ü"," ")))</f>
        <v/>
      </c>
      <c r="I540" s="677" t="str">
        <f t="shared" si="373"/>
        <v/>
      </c>
      <c r="J540" s="677" t="str">
        <f t="shared" si="373"/>
        <v/>
      </c>
      <c r="K540" s="677" t="str">
        <f t="shared" si="373"/>
        <v/>
      </c>
      <c r="L540" s="677" t="str">
        <f t="shared" si="373"/>
        <v/>
      </c>
      <c r="M540" s="677" t="str">
        <f t="shared" si="373"/>
        <v/>
      </c>
      <c r="N540" s="677" t="str">
        <f t="shared" si="373"/>
        <v/>
      </c>
      <c r="O540" s="677" t="str">
        <f t="shared" si="373"/>
        <v/>
      </c>
      <c r="P540" s="677" t="str">
        <f t="shared" si="373"/>
        <v/>
      </c>
      <c r="Q540" s="677" t="str">
        <f t="shared" si="373"/>
        <v/>
      </c>
      <c r="R540" s="677" t="str">
        <f t="shared" si="373"/>
        <v/>
      </c>
      <c r="S540" s="677" t="str">
        <f t="shared" si="373"/>
        <v/>
      </c>
      <c r="T540" s="677" t="str">
        <f t="shared" si="373"/>
        <v/>
      </c>
      <c r="U540" s="677" t="str">
        <f t="shared" si="373"/>
        <v/>
      </c>
      <c r="V540" s="677" t="str">
        <f t="shared" si="373"/>
        <v/>
      </c>
      <c r="W540" s="677" t="str">
        <f t="shared" si="373"/>
        <v/>
      </c>
      <c r="X540" s="677" t="str">
        <f t="shared" si="373"/>
        <v/>
      </c>
      <c r="Y540" s="677" t="str">
        <f t="shared" si="373"/>
        <v/>
      </c>
      <c r="Z540" s="677" t="str">
        <f t="shared" si="373"/>
        <v/>
      </c>
      <c r="AA540" s="677" t="str">
        <f t="shared" si="373"/>
        <v/>
      </c>
      <c r="AB540" s="677" t="str">
        <f t="shared" si="373"/>
        <v/>
      </c>
      <c r="AC540" s="677" t="str">
        <f t="shared" si="373"/>
        <v/>
      </c>
      <c r="AD540" s="677" t="str">
        <f t="shared" si="373"/>
        <v/>
      </c>
      <c r="AE540" s="677" t="str">
        <f t="shared" si="373"/>
        <v/>
      </c>
      <c r="AF540" s="677" t="str">
        <f t="shared" si="373"/>
        <v/>
      </c>
      <c r="AG540" s="677" t="str">
        <f t="shared" si="373"/>
        <v/>
      </c>
      <c r="AH540" s="677" t="str">
        <f t="shared" si="373"/>
        <v/>
      </c>
      <c r="AI540" s="677" t="str">
        <f t="shared" si="373"/>
        <v/>
      </c>
      <c r="AJ540" s="677" t="str">
        <f t="shared" si="373"/>
        <v/>
      </c>
      <c r="AK540" s="678" t="str">
        <f t="shared" si="373"/>
        <v/>
      </c>
      <c r="AL540" s="15"/>
      <c r="AM540" s="15"/>
      <c r="AP540" s="536"/>
      <c r="AR540" s="537"/>
      <c r="AS540" s="529"/>
      <c r="AW540" s="390" t="str">
        <f>""</f>
        <v/>
      </c>
      <c r="AX540" s="531"/>
      <c r="AY540" s="390" t="str">
        <f>""</f>
        <v/>
      </c>
      <c r="BD540" s="520"/>
      <c r="BE540" s="520"/>
      <c r="BF540" s="520"/>
      <c r="BG540" s="520"/>
      <c r="BH540" s="520"/>
      <c r="BI540" s="520"/>
      <c r="BJ540" s="520"/>
      <c r="BK540" s="520"/>
      <c r="BL540" s="520"/>
      <c r="BM540" s="520"/>
      <c r="BN540" s="520"/>
      <c r="BO540" s="520"/>
      <c r="BP540" s="520"/>
      <c r="BQ540" s="520"/>
      <c r="BR540" s="520"/>
      <c r="BS540" s="520"/>
      <c r="BT540" s="520"/>
      <c r="BU540" s="520"/>
      <c r="BV540" s="520"/>
      <c r="BW540" s="520"/>
      <c r="BX540" s="520"/>
      <c r="BY540" s="520"/>
    </row>
    <row r="541" spans="1:84" ht="15" customHeight="1" x14ac:dyDescent="0.3">
      <c r="A541" s="765"/>
      <c r="E541" s="79" t="s">
        <v>799</v>
      </c>
      <c r="H541" s="679">
        <f t="shared" ref="H541:AK541" si="374">IF(NOT(H$13),"",SUMPRODUCT((H535:H540="ü")*($AW$92:$AW$97)))</f>
        <v>0</v>
      </c>
      <c r="I541" s="680">
        <f t="shared" si="374"/>
        <v>0</v>
      </c>
      <c r="J541" s="680">
        <f t="shared" si="374"/>
        <v>0</v>
      </c>
      <c r="K541" s="680">
        <f t="shared" si="374"/>
        <v>0</v>
      </c>
      <c r="L541" s="680">
        <f t="shared" si="374"/>
        <v>0</v>
      </c>
      <c r="M541" s="680">
        <f t="shared" si="374"/>
        <v>0</v>
      </c>
      <c r="N541" s="680">
        <f t="shared" si="374"/>
        <v>0</v>
      </c>
      <c r="O541" s="680">
        <f t="shared" si="374"/>
        <v>0</v>
      </c>
      <c r="P541" s="680">
        <f t="shared" si="374"/>
        <v>0</v>
      </c>
      <c r="Q541" s="680">
        <f t="shared" si="374"/>
        <v>0</v>
      </c>
      <c r="R541" s="680">
        <f t="shared" si="374"/>
        <v>0</v>
      </c>
      <c r="S541" s="680">
        <f t="shared" si="374"/>
        <v>0</v>
      </c>
      <c r="T541" s="680">
        <f t="shared" si="374"/>
        <v>0</v>
      </c>
      <c r="U541" s="680">
        <f t="shared" si="374"/>
        <v>0</v>
      </c>
      <c r="V541" s="680">
        <f t="shared" si="374"/>
        <v>0</v>
      </c>
      <c r="W541" s="680">
        <f t="shared" si="374"/>
        <v>0</v>
      </c>
      <c r="X541" s="680">
        <f t="shared" si="374"/>
        <v>0</v>
      </c>
      <c r="Y541" s="680">
        <f t="shared" si="374"/>
        <v>0</v>
      </c>
      <c r="Z541" s="680">
        <f t="shared" si="374"/>
        <v>0</v>
      </c>
      <c r="AA541" s="680">
        <f t="shared" si="374"/>
        <v>0</v>
      </c>
      <c r="AB541" s="680">
        <f t="shared" si="374"/>
        <v>0</v>
      </c>
      <c r="AC541" s="680">
        <f t="shared" si="374"/>
        <v>0</v>
      </c>
      <c r="AD541" s="680">
        <f t="shared" si="374"/>
        <v>0</v>
      </c>
      <c r="AE541" s="680" t="str">
        <f t="shared" si="374"/>
        <v/>
      </c>
      <c r="AF541" s="680" t="str">
        <f t="shared" si="374"/>
        <v/>
      </c>
      <c r="AG541" s="680" t="str">
        <f t="shared" si="374"/>
        <v/>
      </c>
      <c r="AH541" s="680" t="str">
        <f t="shared" si="374"/>
        <v/>
      </c>
      <c r="AI541" s="680" t="str">
        <f t="shared" si="374"/>
        <v/>
      </c>
      <c r="AJ541" s="680" t="str">
        <f t="shared" si="374"/>
        <v/>
      </c>
      <c r="AK541" s="681" t="str">
        <f t="shared" si="374"/>
        <v/>
      </c>
      <c r="AP541" s="536"/>
      <c r="AR541" s="537"/>
      <c r="AS541" s="529"/>
    </row>
    <row r="542" spans="1:84" ht="9" customHeight="1" x14ac:dyDescent="0.3">
      <c r="A542" s="765"/>
      <c r="D542" s="15"/>
      <c r="E542" s="15"/>
      <c r="F542" s="15"/>
      <c r="G542" s="15"/>
      <c r="H542" s="15"/>
      <c r="I542" s="16"/>
      <c r="J542" s="15"/>
      <c r="K542" s="15"/>
      <c r="L542" s="16"/>
      <c r="M542" s="15"/>
      <c r="N542" s="15"/>
      <c r="O542" s="16"/>
      <c r="P542" s="15"/>
      <c r="Q542" s="15"/>
      <c r="R542" s="16"/>
      <c r="S542" s="15"/>
      <c r="T542" s="15"/>
      <c r="U542" s="16"/>
      <c r="V542" s="15"/>
      <c r="W542" s="15"/>
      <c r="X542" s="16"/>
      <c r="Y542" s="15"/>
      <c r="Z542" s="15"/>
      <c r="AA542" s="16"/>
      <c r="AB542" s="15"/>
      <c r="AC542" s="15"/>
      <c r="AD542" s="16"/>
      <c r="AE542" s="15"/>
      <c r="AF542" s="15"/>
      <c r="AG542" s="16"/>
      <c r="AH542" s="15"/>
      <c r="AI542" s="15"/>
      <c r="AJ542" s="16"/>
      <c r="AK542" s="15"/>
      <c r="AP542" s="536"/>
      <c r="AR542" s="537"/>
      <c r="AS542" s="529"/>
    </row>
    <row r="543" spans="1:84" ht="15" customHeight="1" x14ac:dyDescent="0.3">
      <c r="A543" s="765"/>
      <c r="C543" s="27" t="str">
        <f>" "&amp;VLOOKUP(AQ544,schedule,18,FALSE)&amp;"  ("&amp;VLOOKUP(AQ544,schedule,3,FALSE)&amp;" PÁRHARC)"</f>
        <v xml:space="preserve"> JÚNIUS 27. – VASÁRNAP 18:00  (7/8 PÁRHARC)</v>
      </c>
      <c r="D543" s="27"/>
      <c r="E543" s="26"/>
      <c r="F543" s="26"/>
      <c r="G543" s="26"/>
      <c r="H543" s="26"/>
      <c r="I543" s="26"/>
      <c r="J543" s="26"/>
      <c r="AP543" s="536"/>
      <c r="AR543" s="537"/>
      <c r="AS543" s="529"/>
    </row>
    <row r="544" spans="1:84" ht="15" customHeight="1" x14ac:dyDescent="0.3">
      <c r="A544" s="765"/>
      <c r="C544" s="661"/>
      <c r="D544" s="662" t="str">
        <f>IF(INDEX(n.er,$AR544,8)="","",INDEX(n.er,$AR544,8))</f>
        <v>C csoport 1. hely</v>
      </c>
      <c r="E544" s="663" t="str">
        <f>IF(NOT($AS544),"",INDEX(n.er,$AR544,9))</f>
        <v/>
      </c>
      <c r="F544" s="662"/>
      <c r="G544" s="259"/>
      <c r="H544" s="664"/>
      <c r="I544" s="665"/>
      <c r="J544" s="665"/>
      <c r="K544" s="665"/>
      <c r="L544" s="665"/>
      <c r="M544" s="665"/>
      <c r="N544" s="665"/>
      <c r="O544" s="665"/>
      <c r="P544" s="665"/>
      <c r="Q544" s="665"/>
      <c r="R544" s="665"/>
      <c r="S544" s="665"/>
      <c r="T544" s="665"/>
      <c r="U544" s="665"/>
      <c r="V544" s="665"/>
      <c r="W544" s="665"/>
      <c r="X544" s="665"/>
      <c r="Y544" s="665"/>
      <c r="Z544" s="665"/>
      <c r="AA544" s="665"/>
      <c r="AB544" s="665"/>
      <c r="AC544" s="665"/>
      <c r="AD544" s="665"/>
      <c r="AE544" s="665"/>
      <c r="AF544" s="665"/>
      <c r="AG544" s="665"/>
      <c r="AH544" s="665"/>
      <c r="AI544" s="665"/>
      <c r="AJ544" s="665"/>
      <c r="AK544" s="666"/>
      <c r="AP544" s="52">
        <f>AP533+1</f>
        <v>39</v>
      </c>
      <c r="AQ544" s="311">
        <f>INDEX(schedule,AP544,1)</f>
        <v>40</v>
      </c>
      <c r="AR544" s="311">
        <f>MATCH(AQ544,n.er.index,0)</f>
        <v>97</v>
      </c>
      <c r="AS544" s="532" t="b">
        <f>INDEX(n.er,$AR544,3)</f>
        <v>0</v>
      </c>
      <c r="AT544" s="531"/>
      <c r="AU544" s="531"/>
      <c r="AV544" s="531"/>
      <c r="AW544" s="531"/>
      <c r="AX544" s="531"/>
      <c r="BC544" s="525" t="b">
        <f t="shared" ref="BC544:CF544" si="375">IF(AND(ISNUMBER(H544),ISNUMBER(H545),H544&lt;&gt;"",H545&lt;&gt;""),AND(H544&gt;=0,H545&gt;=0,MOD(H544+H545,1)=0),FALSE)</f>
        <v>0</v>
      </c>
      <c r="BD544" s="525" t="b">
        <f t="shared" si="375"/>
        <v>0</v>
      </c>
      <c r="BE544" s="525" t="b">
        <f t="shared" si="375"/>
        <v>0</v>
      </c>
      <c r="BF544" s="525" t="b">
        <f t="shared" si="375"/>
        <v>0</v>
      </c>
      <c r="BG544" s="525" t="b">
        <f t="shared" si="375"/>
        <v>0</v>
      </c>
      <c r="BH544" s="525" t="b">
        <f t="shared" si="375"/>
        <v>0</v>
      </c>
      <c r="BI544" s="525" t="b">
        <f t="shared" si="375"/>
        <v>0</v>
      </c>
      <c r="BJ544" s="525" t="b">
        <f t="shared" si="375"/>
        <v>0</v>
      </c>
      <c r="BK544" s="525" t="b">
        <f t="shared" si="375"/>
        <v>0</v>
      </c>
      <c r="BL544" s="525" t="b">
        <f t="shared" si="375"/>
        <v>0</v>
      </c>
      <c r="BM544" s="525" t="b">
        <f t="shared" si="375"/>
        <v>0</v>
      </c>
      <c r="BN544" s="525" t="b">
        <f t="shared" si="375"/>
        <v>0</v>
      </c>
      <c r="BO544" s="525" t="b">
        <f t="shared" si="375"/>
        <v>0</v>
      </c>
      <c r="BP544" s="525" t="b">
        <f t="shared" si="375"/>
        <v>0</v>
      </c>
      <c r="BQ544" s="525" t="b">
        <f t="shared" si="375"/>
        <v>0</v>
      </c>
      <c r="BR544" s="525" t="b">
        <f t="shared" si="375"/>
        <v>0</v>
      </c>
      <c r="BS544" s="525" t="b">
        <f t="shared" si="375"/>
        <v>0</v>
      </c>
      <c r="BT544" s="525" t="b">
        <f t="shared" si="375"/>
        <v>0</v>
      </c>
      <c r="BU544" s="525" t="b">
        <f t="shared" si="375"/>
        <v>0</v>
      </c>
      <c r="BV544" s="525" t="b">
        <f t="shared" si="375"/>
        <v>0</v>
      </c>
      <c r="BW544" s="525" t="b">
        <f t="shared" si="375"/>
        <v>0</v>
      </c>
      <c r="BX544" s="525" t="b">
        <f t="shared" si="375"/>
        <v>0</v>
      </c>
      <c r="BY544" s="525" t="b">
        <f t="shared" si="375"/>
        <v>0</v>
      </c>
      <c r="BZ544" s="525" t="b">
        <f t="shared" si="375"/>
        <v>0</v>
      </c>
      <c r="CA544" s="525" t="b">
        <f t="shared" si="375"/>
        <v>0</v>
      </c>
      <c r="CB544" s="525" t="b">
        <f t="shared" si="375"/>
        <v>0</v>
      </c>
      <c r="CC544" s="525" t="b">
        <f t="shared" si="375"/>
        <v>0</v>
      </c>
      <c r="CD544" s="525" t="b">
        <f t="shared" si="375"/>
        <v>0</v>
      </c>
      <c r="CE544" s="525" t="b">
        <f t="shared" si="375"/>
        <v>0</v>
      </c>
      <c r="CF544" s="525" t="b">
        <f t="shared" si="375"/>
        <v>0</v>
      </c>
    </row>
    <row r="545" spans="1:84" ht="15" customHeight="1" x14ac:dyDescent="0.3">
      <c r="A545" s="765"/>
      <c r="C545" s="695"/>
      <c r="D545" s="696" t="str">
        <f>IF(INDEX(n.er,$AR544,11)="","",INDEX(n.er,$AR544,11))</f>
        <v>D/E/F csoport 3. hely</v>
      </c>
      <c r="E545" s="697" t="str">
        <f>IF(NOT($AS544),"",INDEX(n.er,$AR544,10))</f>
        <v/>
      </c>
      <c r="F545" s="696"/>
      <c r="G545" s="259"/>
      <c r="H545" s="667"/>
      <c r="I545" s="668"/>
      <c r="J545" s="668"/>
      <c r="K545" s="668"/>
      <c r="L545" s="668"/>
      <c r="M545" s="668"/>
      <c r="N545" s="668"/>
      <c r="O545" s="668"/>
      <c r="P545" s="668"/>
      <c r="Q545" s="668"/>
      <c r="R545" s="668"/>
      <c r="S545" s="668"/>
      <c r="T545" s="668"/>
      <c r="U545" s="668"/>
      <c r="V545" s="668"/>
      <c r="W545" s="668"/>
      <c r="X545" s="668"/>
      <c r="Y545" s="668"/>
      <c r="Z545" s="668"/>
      <c r="AA545" s="668"/>
      <c r="AB545" s="668"/>
      <c r="AC545" s="668"/>
      <c r="AD545" s="668"/>
      <c r="AE545" s="668"/>
      <c r="AF545" s="668"/>
      <c r="AG545" s="668"/>
      <c r="AH545" s="668"/>
      <c r="AI545" s="668"/>
      <c r="AJ545" s="668"/>
      <c r="AK545" s="669"/>
      <c r="AP545" s="533"/>
      <c r="AQ545" s="577"/>
      <c r="AR545" s="534"/>
      <c r="AS545" s="535"/>
      <c r="AX545" s="531"/>
      <c r="BC545" s="34" t="b">
        <f t="shared" ref="BC545:CF545" si="376">OR(NOT(H$13),NOT($AS544),NOT(BC544))</f>
        <v>1</v>
      </c>
      <c r="BD545" s="34" t="b">
        <f t="shared" si="376"/>
        <v>1</v>
      </c>
      <c r="BE545" s="34" t="b">
        <f t="shared" si="376"/>
        <v>1</v>
      </c>
      <c r="BF545" s="34" t="b">
        <f t="shared" si="376"/>
        <v>1</v>
      </c>
      <c r="BG545" s="34" t="b">
        <f t="shared" si="376"/>
        <v>1</v>
      </c>
      <c r="BH545" s="34" t="b">
        <f t="shared" si="376"/>
        <v>1</v>
      </c>
      <c r="BI545" s="34" t="b">
        <f t="shared" si="376"/>
        <v>1</v>
      </c>
      <c r="BJ545" s="34" t="b">
        <f t="shared" si="376"/>
        <v>1</v>
      </c>
      <c r="BK545" s="34" t="b">
        <f t="shared" si="376"/>
        <v>1</v>
      </c>
      <c r="BL545" s="34" t="b">
        <f t="shared" si="376"/>
        <v>1</v>
      </c>
      <c r="BM545" s="34" t="b">
        <f t="shared" si="376"/>
        <v>1</v>
      </c>
      <c r="BN545" s="34" t="b">
        <f t="shared" si="376"/>
        <v>1</v>
      </c>
      <c r="BO545" s="34" t="b">
        <f t="shared" si="376"/>
        <v>1</v>
      </c>
      <c r="BP545" s="34" t="b">
        <f t="shared" si="376"/>
        <v>1</v>
      </c>
      <c r="BQ545" s="34" t="b">
        <f t="shared" si="376"/>
        <v>1</v>
      </c>
      <c r="BR545" s="34" t="b">
        <f t="shared" si="376"/>
        <v>1</v>
      </c>
      <c r="BS545" s="34" t="b">
        <f t="shared" si="376"/>
        <v>1</v>
      </c>
      <c r="BT545" s="34" t="b">
        <f t="shared" si="376"/>
        <v>1</v>
      </c>
      <c r="BU545" s="34" t="b">
        <f t="shared" si="376"/>
        <v>1</v>
      </c>
      <c r="BV545" s="34" t="b">
        <f t="shared" si="376"/>
        <v>1</v>
      </c>
      <c r="BW545" s="34" t="b">
        <f t="shared" si="376"/>
        <v>1</v>
      </c>
      <c r="BX545" s="34" t="b">
        <f t="shared" si="376"/>
        <v>1</v>
      </c>
      <c r="BY545" s="34" t="b">
        <f t="shared" si="376"/>
        <v>1</v>
      </c>
      <c r="BZ545" s="34" t="b">
        <f t="shared" si="376"/>
        <v>1</v>
      </c>
      <c r="CA545" s="34" t="b">
        <f t="shared" si="376"/>
        <v>1</v>
      </c>
      <c r="CB545" s="34" t="b">
        <f t="shared" si="376"/>
        <v>1</v>
      </c>
      <c r="CC545" s="34" t="b">
        <f t="shared" si="376"/>
        <v>1</v>
      </c>
      <c r="CD545" s="34" t="b">
        <f t="shared" si="376"/>
        <v>1</v>
      </c>
      <c r="CE545" s="34" t="b">
        <f t="shared" si="376"/>
        <v>1</v>
      </c>
      <c r="CF545" s="34" t="b">
        <f t="shared" si="376"/>
        <v>1</v>
      </c>
    </row>
    <row r="546" spans="1:84" ht="12" customHeight="1" x14ac:dyDescent="0.3">
      <c r="A546" s="765"/>
      <c r="E546" s="258" t="str">
        <f>$AX$92</f>
        <v>Telitalálat: 10 p</v>
      </c>
      <c r="H546" s="670" t="str">
        <f t="shared" ref="H546:AK546" si="377">IF(OR(BC545,NOT($AS$20)),"",IF(AND(H544=$E544,H545=$E545),"ü",""))</f>
        <v/>
      </c>
      <c r="I546" s="671" t="str">
        <f t="shared" si="377"/>
        <v/>
      </c>
      <c r="J546" s="671" t="str">
        <f t="shared" si="377"/>
        <v/>
      </c>
      <c r="K546" s="671" t="str">
        <f t="shared" si="377"/>
        <v/>
      </c>
      <c r="L546" s="671" t="str">
        <f t="shared" si="377"/>
        <v/>
      </c>
      <c r="M546" s="671" t="str">
        <f t="shared" si="377"/>
        <v/>
      </c>
      <c r="N546" s="671" t="str">
        <f t="shared" si="377"/>
        <v/>
      </c>
      <c r="O546" s="671" t="str">
        <f t="shared" si="377"/>
        <v/>
      </c>
      <c r="P546" s="671" t="str">
        <f t="shared" si="377"/>
        <v/>
      </c>
      <c r="Q546" s="671" t="str">
        <f t="shared" si="377"/>
        <v/>
      </c>
      <c r="R546" s="671" t="str">
        <f t="shared" si="377"/>
        <v/>
      </c>
      <c r="S546" s="671" t="str">
        <f t="shared" si="377"/>
        <v/>
      </c>
      <c r="T546" s="671" t="str">
        <f t="shared" si="377"/>
        <v/>
      </c>
      <c r="U546" s="671" t="str">
        <f t="shared" si="377"/>
        <v/>
      </c>
      <c r="V546" s="671" t="str">
        <f t="shared" si="377"/>
        <v/>
      </c>
      <c r="W546" s="671" t="str">
        <f t="shared" si="377"/>
        <v/>
      </c>
      <c r="X546" s="671" t="str">
        <f t="shared" si="377"/>
        <v/>
      </c>
      <c r="Y546" s="671" t="str">
        <f t="shared" si="377"/>
        <v/>
      </c>
      <c r="Z546" s="671" t="str">
        <f t="shared" si="377"/>
        <v/>
      </c>
      <c r="AA546" s="671" t="str">
        <f t="shared" si="377"/>
        <v/>
      </c>
      <c r="AB546" s="671" t="str">
        <f t="shared" si="377"/>
        <v/>
      </c>
      <c r="AC546" s="671" t="str">
        <f t="shared" si="377"/>
        <v/>
      </c>
      <c r="AD546" s="671" t="str">
        <f t="shared" si="377"/>
        <v/>
      </c>
      <c r="AE546" s="671" t="str">
        <f t="shared" si="377"/>
        <v/>
      </c>
      <c r="AF546" s="671" t="str">
        <f t="shared" si="377"/>
        <v/>
      </c>
      <c r="AG546" s="671" t="str">
        <f t="shared" si="377"/>
        <v/>
      </c>
      <c r="AH546" s="671" t="str">
        <f t="shared" si="377"/>
        <v/>
      </c>
      <c r="AI546" s="671" t="str">
        <f t="shared" si="377"/>
        <v/>
      </c>
      <c r="AJ546" s="671" t="str">
        <f t="shared" si="377"/>
        <v/>
      </c>
      <c r="AK546" s="672" t="str">
        <f t="shared" si="377"/>
        <v/>
      </c>
      <c r="AL546" s="15"/>
      <c r="AM546" s="15"/>
      <c r="AP546" s="536"/>
      <c r="AR546" s="537"/>
      <c r="AS546" s="529"/>
      <c r="AW546" s="390" t="str">
        <f>""</f>
        <v/>
      </c>
      <c r="AX546" s="531"/>
      <c r="AY546" s="390" t="str">
        <f>""</f>
        <v/>
      </c>
      <c r="BD546" s="520"/>
      <c r="BE546" s="520"/>
      <c r="BF546" s="520"/>
      <c r="BG546" s="520"/>
      <c r="BH546" s="520"/>
      <c r="BI546" s="520"/>
      <c r="BJ546" s="520"/>
      <c r="BK546" s="520"/>
      <c r="BL546" s="520"/>
      <c r="BM546" s="520"/>
      <c r="BN546" s="520"/>
      <c r="BO546" s="520"/>
      <c r="BP546" s="520"/>
      <c r="BQ546" s="520"/>
      <c r="BR546" s="520"/>
      <c r="BS546" s="520"/>
      <c r="BT546" s="520"/>
      <c r="BU546" s="520"/>
      <c r="BV546" s="520"/>
      <c r="BW546" s="520"/>
      <c r="BX546" s="520"/>
      <c r="BY546" s="520"/>
    </row>
    <row r="547" spans="1:84" ht="12" customHeight="1" x14ac:dyDescent="0.3">
      <c r="A547" s="765"/>
      <c r="E547" s="258" t="str">
        <f>$AX$93</f>
        <v>Gólkülönbség: 6 p</v>
      </c>
      <c r="H547" s="673" t="str">
        <f t="shared" ref="H547:AK547" si="378">IF(OR(BC545,NOT($AS$22)),"",IF(AND(NOT($AS$32),H546="ü"),"",IF(H544-H545=$E544-$E545,"ü"," ")))</f>
        <v/>
      </c>
      <c r="I547" s="674" t="str">
        <f t="shared" si="378"/>
        <v/>
      </c>
      <c r="J547" s="674" t="str">
        <f t="shared" si="378"/>
        <v/>
      </c>
      <c r="K547" s="674" t="str">
        <f t="shared" si="378"/>
        <v/>
      </c>
      <c r="L547" s="674" t="str">
        <f t="shared" si="378"/>
        <v/>
      </c>
      <c r="M547" s="674" t="str">
        <f t="shared" si="378"/>
        <v/>
      </c>
      <c r="N547" s="674" t="str">
        <f t="shared" si="378"/>
        <v/>
      </c>
      <c r="O547" s="674" t="str">
        <f t="shared" si="378"/>
        <v/>
      </c>
      <c r="P547" s="674" t="str">
        <f t="shared" si="378"/>
        <v/>
      </c>
      <c r="Q547" s="674" t="str">
        <f t="shared" si="378"/>
        <v/>
      </c>
      <c r="R547" s="674" t="str">
        <f t="shared" si="378"/>
        <v/>
      </c>
      <c r="S547" s="674" t="str">
        <f t="shared" si="378"/>
        <v/>
      </c>
      <c r="T547" s="674" t="str">
        <f t="shared" si="378"/>
        <v/>
      </c>
      <c r="U547" s="674" t="str">
        <f t="shared" si="378"/>
        <v/>
      </c>
      <c r="V547" s="674" t="str">
        <f t="shared" si="378"/>
        <v/>
      </c>
      <c r="W547" s="674" t="str">
        <f t="shared" si="378"/>
        <v/>
      </c>
      <c r="X547" s="674" t="str">
        <f t="shared" si="378"/>
        <v/>
      </c>
      <c r="Y547" s="674" t="str">
        <f t="shared" si="378"/>
        <v/>
      </c>
      <c r="Z547" s="674" t="str">
        <f t="shared" si="378"/>
        <v/>
      </c>
      <c r="AA547" s="674" t="str">
        <f t="shared" si="378"/>
        <v/>
      </c>
      <c r="AB547" s="674" t="str">
        <f t="shared" si="378"/>
        <v/>
      </c>
      <c r="AC547" s="674" t="str">
        <f t="shared" si="378"/>
        <v/>
      </c>
      <c r="AD547" s="674" t="str">
        <f t="shared" si="378"/>
        <v/>
      </c>
      <c r="AE547" s="674" t="str">
        <f t="shared" si="378"/>
        <v/>
      </c>
      <c r="AF547" s="674" t="str">
        <f t="shared" si="378"/>
        <v/>
      </c>
      <c r="AG547" s="674" t="str">
        <f t="shared" si="378"/>
        <v/>
      </c>
      <c r="AH547" s="674" t="str">
        <f t="shared" si="378"/>
        <v/>
      </c>
      <c r="AI547" s="674" t="str">
        <f t="shared" si="378"/>
        <v/>
      </c>
      <c r="AJ547" s="674" t="str">
        <f t="shared" si="378"/>
        <v/>
      </c>
      <c r="AK547" s="675" t="str">
        <f t="shared" si="378"/>
        <v/>
      </c>
      <c r="AL547" s="15"/>
      <c r="AM547" s="15"/>
      <c r="AP547" s="536"/>
      <c r="AR547" s="537"/>
      <c r="AS547" s="529"/>
      <c r="AW547" s="390" t="str">
        <f>""</f>
        <v/>
      </c>
      <c r="AX547" s="531"/>
      <c r="AY547" s="390" t="str">
        <f>""</f>
        <v/>
      </c>
      <c r="BD547" s="520"/>
      <c r="BE547" s="520"/>
      <c r="BF547" s="520"/>
      <c r="BG547" s="520"/>
      <c r="BH547" s="520"/>
      <c r="BI547" s="520"/>
      <c r="BJ547" s="520"/>
      <c r="BK547" s="520"/>
      <c r="BL547" s="520"/>
      <c r="BM547" s="520"/>
      <c r="BN547" s="520"/>
      <c r="BO547" s="520"/>
      <c r="BP547" s="520"/>
      <c r="BQ547" s="520"/>
      <c r="BR547" s="520"/>
      <c r="BS547" s="520"/>
      <c r="BT547" s="520"/>
      <c r="BU547" s="520"/>
      <c r="BV547" s="520"/>
      <c r="BW547" s="520"/>
      <c r="BX547" s="520"/>
      <c r="BY547" s="520"/>
    </row>
    <row r="548" spans="1:84" ht="12" customHeight="1" x14ac:dyDescent="0.3">
      <c r="A548" s="765"/>
      <c r="E548" s="258" t="str">
        <f>$AX$94</f>
        <v>Mérkőzés kimenetele: 4 p</v>
      </c>
      <c r="H548" s="673" t="str">
        <f t="shared" ref="H548:AK548" si="379">IF(OR(BC545,NOT($AS$24)),"",IF(AND(NOT($AS$32),COUNTIF(H546:H547,"ü")&gt;0),"",IF(SIGN(H544-H545)=SIGN($E544-$E545),"ü"," ")))</f>
        <v/>
      </c>
      <c r="I548" s="674" t="str">
        <f t="shared" si="379"/>
        <v/>
      </c>
      <c r="J548" s="674" t="str">
        <f t="shared" si="379"/>
        <v/>
      </c>
      <c r="K548" s="674" t="str">
        <f t="shared" si="379"/>
        <v/>
      </c>
      <c r="L548" s="674" t="str">
        <f t="shared" si="379"/>
        <v/>
      </c>
      <c r="M548" s="674" t="str">
        <f t="shared" si="379"/>
        <v/>
      </c>
      <c r="N548" s="674" t="str">
        <f t="shared" si="379"/>
        <v/>
      </c>
      <c r="O548" s="674" t="str">
        <f t="shared" si="379"/>
        <v/>
      </c>
      <c r="P548" s="674" t="str">
        <f t="shared" si="379"/>
        <v/>
      </c>
      <c r="Q548" s="674" t="str">
        <f t="shared" si="379"/>
        <v/>
      </c>
      <c r="R548" s="674" t="str">
        <f t="shared" si="379"/>
        <v/>
      </c>
      <c r="S548" s="674" t="str">
        <f t="shared" si="379"/>
        <v/>
      </c>
      <c r="T548" s="674" t="str">
        <f t="shared" si="379"/>
        <v/>
      </c>
      <c r="U548" s="674" t="str">
        <f t="shared" si="379"/>
        <v/>
      </c>
      <c r="V548" s="674" t="str">
        <f t="shared" si="379"/>
        <v/>
      </c>
      <c r="W548" s="674" t="str">
        <f t="shared" si="379"/>
        <v/>
      </c>
      <c r="X548" s="674" t="str">
        <f t="shared" si="379"/>
        <v/>
      </c>
      <c r="Y548" s="674" t="str">
        <f t="shared" si="379"/>
        <v/>
      </c>
      <c r="Z548" s="674" t="str">
        <f t="shared" si="379"/>
        <v/>
      </c>
      <c r="AA548" s="674" t="str">
        <f t="shared" si="379"/>
        <v/>
      </c>
      <c r="AB548" s="674" t="str">
        <f t="shared" si="379"/>
        <v/>
      </c>
      <c r="AC548" s="674" t="str">
        <f t="shared" si="379"/>
        <v/>
      </c>
      <c r="AD548" s="674" t="str">
        <f t="shared" si="379"/>
        <v/>
      </c>
      <c r="AE548" s="674" t="str">
        <f t="shared" si="379"/>
        <v/>
      </c>
      <c r="AF548" s="674" t="str">
        <f t="shared" si="379"/>
        <v/>
      </c>
      <c r="AG548" s="674" t="str">
        <f t="shared" si="379"/>
        <v/>
      </c>
      <c r="AH548" s="674" t="str">
        <f t="shared" si="379"/>
        <v/>
      </c>
      <c r="AI548" s="674" t="str">
        <f t="shared" si="379"/>
        <v/>
      </c>
      <c r="AJ548" s="674" t="str">
        <f t="shared" si="379"/>
        <v/>
      </c>
      <c r="AK548" s="675" t="str">
        <f t="shared" si="379"/>
        <v/>
      </c>
      <c r="AL548" s="15"/>
      <c r="AM548" s="15"/>
      <c r="AP548" s="536"/>
      <c r="AR548" s="537"/>
      <c r="AS548" s="529"/>
      <c r="AW548" s="390" t="str">
        <f>""</f>
        <v/>
      </c>
      <c r="AX548" s="531"/>
      <c r="AY548" s="390" t="str">
        <f>""</f>
        <v/>
      </c>
      <c r="BD548" s="520"/>
      <c r="BE548" s="520"/>
      <c r="BF548" s="520"/>
      <c r="BG548" s="520"/>
      <c r="BH548" s="520"/>
      <c r="BI548" s="520"/>
      <c r="BJ548" s="520"/>
      <c r="BK548" s="520"/>
      <c r="BL548" s="520"/>
      <c r="BM548" s="520"/>
      <c r="BN548" s="520"/>
      <c r="BO548" s="520"/>
      <c r="BP548" s="520"/>
      <c r="BQ548" s="520"/>
      <c r="BR548" s="520"/>
      <c r="BS548" s="520"/>
      <c r="BT548" s="520"/>
      <c r="BU548" s="520"/>
      <c r="BV548" s="520"/>
      <c r="BW548" s="520"/>
      <c r="BX548" s="520"/>
      <c r="BY548" s="520"/>
    </row>
    <row r="549" spans="1:84" ht="12" customHeight="1" x14ac:dyDescent="0.3">
      <c r="A549" s="765"/>
      <c r="E549" s="258" t="str">
        <f>$AX$95</f>
        <v>Egyik csapat góljainak száma: 3 p</v>
      </c>
      <c r="H549" s="673" t="str">
        <f t="shared" ref="H549:AK549" si="380">IF(OR(BC545,NOT($AS$26)),"",IF(AND(NOT($AS$32),COUNTIF(H546:H548,"ü")&gt;0),"",IF(OR(H544=$E544,H545=$E545),"ü"," ")))</f>
        <v/>
      </c>
      <c r="I549" s="674" t="str">
        <f t="shared" si="380"/>
        <v/>
      </c>
      <c r="J549" s="674" t="str">
        <f t="shared" si="380"/>
        <v/>
      </c>
      <c r="K549" s="674" t="str">
        <f t="shared" si="380"/>
        <v/>
      </c>
      <c r="L549" s="674" t="str">
        <f t="shared" si="380"/>
        <v/>
      </c>
      <c r="M549" s="674" t="str">
        <f t="shared" si="380"/>
        <v/>
      </c>
      <c r="N549" s="674" t="str">
        <f t="shared" si="380"/>
        <v/>
      </c>
      <c r="O549" s="674" t="str">
        <f t="shared" si="380"/>
        <v/>
      </c>
      <c r="P549" s="674" t="str">
        <f t="shared" si="380"/>
        <v/>
      </c>
      <c r="Q549" s="674" t="str">
        <f t="shared" si="380"/>
        <v/>
      </c>
      <c r="R549" s="674" t="str">
        <f t="shared" si="380"/>
        <v/>
      </c>
      <c r="S549" s="674" t="str">
        <f t="shared" si="380"/>
        <v/>
      </c>
      <c r="T549" s="674" t="str">
        <f t="shared" si="380"/>
        <v/>
      </c>
      <c r="U549" s="674" t="str">
        <f t="shared" si="380"/>
        <v/>
      </c>
      <c r="V549" s="674" t="str">
        <f t="shared" si="380"/>
        <v/>
      </c>
      <c r="W549" s="674" t="str">
        <f t="shared" si="380"/>
        <v/>
      </c>
      <c r="X549" s="674" t="str">
        <f t="shared" si="380"/>
        <v/>
      </c>
      <c r="Y549" s="674" t="str">
        <f t="shared" si="380"/>
        <v/>
      </c>
      <c r="Z549" s="674" t="str">
        <f t="shared" si="380"/>
        <v/>
      </c>
      <c r="AA549" s="674" t="str">
        <f t="shared" si="380"/>
        <v/>
      </c>
      <c r="AB549" s="674" t="str">
        <f t="shared" si="380"/>
        <v/>
      </c>
      <c r="AC549" s="674" t="str">
        <f t="shared" si="380"/>
        <v/>
      </c>
      <c r="AD549" s="674" t="str">
        <f t="shared" si="380"/>
        <v/>
      </c>
      <c r="AE549" s="674" t="str">
        <f t="shared" si="380"/>
        <v/>
      </c>
      <c r="AF549" s="674" t="str">
        <f t="shared" si="380"/>
        <v/>
      </c>
      <c r="AG549" s="674" t="str">
        <f t="shared" si="380"/>
        <v/>
      </c>
      <c r="AH549" s="674" t="str">
        <f t="shared" si="380"/>
        <v/>
      </c>
      <c r="AI549" s="674" t="str">
        <f t="shared" si="380"/>
        <v/>
      </c>
      <c r="AJ549" s="674" t="str">
        <f t="shared" si="380"/>
        <v/>
      </c>
      <c r="AK549" s="675" t="str">
        <f t="shared" si="380"/>
        <v/>
      </c>
      <c r="AL549" s="15"/>
      <c r="AM549" s="15"/>
      <c r="AP549" s="536"/>
      <c r="AR549" s="537"/>
      <c r="AS549" s="529"/>
      <c r="AW549" s="390" t="str">
        <f>""</f>
        <v/>
      </c>
      <c r="AX549" s="531"/>
      <c r="AY549" s="390" t="str">
        <f>""</f>
        <v/>
      </c>
      <c r="BD549" s="520"/>
      <c r="BE549" s="520"/>
      <c r="BF549" s="520"/>
      <c r="BG549" s="520"/>
      <c r="BH549" s="520"/>
      <c r="BI549" s="520"/>
      <c r="BJ549" s="520"/>
      <c r="BK549" s="520"/>
      <c r="BL549" s="520"/>
      <c r="BM549" s="520"/>
      <c r="BN549" s="520"/>
      <c r="BO549" s="520"/>
      <c r="BP549" s="520"/>
      <c r="BQ549" s="520"/>
      <c r="BR549" s="520"/>
      <c r="BS549" s="520"/>
      <c r="BT549" s="520"/>
      <c r="BU549" s="520"/>
      <c r="BV549" s="520"/>
      <c r="BW549" s="520"/>
      <c r="BX549" s="520"/>
      <c r="BY549" s="520"/>
    </row>
    <row r="550" spans="1:84" ht="12" customHeight="1" x14ac:dyDescent="0.3">
      <c r="A550" s="765"/>
      <c r="E550" s="258" t="str">
        <f>$AX$96</f>
        <v>Összes gól: 2 p</v>
      </c>
      <c r="H550" s="673" t="str">
        <f t="shared" ref="H550:AK550" si="381">IF(OR(BC545,NOT($AS$28)),"",IF(AND(NOT($AS$32),COUNTIF(H546:H549,"ü")&gt;0),"",IF(H544+H545=$E544+$E545,"ü"," ")))</f>
        <v/>
      </c>
      <c r="I550" s="674" t="str">
        <f t="shared" si="381"/>
        <v/>
      </c>
      <c r="J550" s="674" t="str">
        <f t="shared" si="381"/>
        <v/>
      </c>
      <c r="K550" s="674" t="str">
        <f t="shared" si="381"/>
        <v/>
      </c>
      <c r="L550" s="674" t="str">
        <f t="shared" si="381"/>
        <v/>
      </c>
      <c r="M550" s="674" t="str">
        <f t="shared" si="381"/>
        <v/>
      </c>
      <c r="N550" s="674" t="str">
        <f t="shared" si="381"/>
        <v/>
      </c>
      <c r="O550" s="674" t="str">
        <f t="shared" si="381"/>
        <v/>
      </c>
      <c r="P550" s="674" t="str">
        <f t="shared" si="381"/>
        <v/>
      </c>
      <c r="Q550" s="674" t="str">
        <f t="shared" si="381"/>
        <v/>
      </c>
      <c r="R550" s="674" t="str">
        <f t="shared" si="381"/>
        <v/>
      </c>
      <c r="S550" s="674" t="str">
        <f t="shared" si="381"/>
        <v/>
      </c>
      <c r="T550" s="674" t="str">
        <f t="shared" si="381"/>
        <v/>
      </c>
      <c r="U550" s="674" t="str">
        <f t="shared" si="381"/>
        <v/>
      </c>
      <c r="V550" s="674" t="str">
        <f t="shared" si="381"/>
        <v/>
      </c>
      <c r="W550" s="674" t="str">
        <f t="shared" si="381"/>
        <v/>
      </c>
      <c r="X550" s="674" t="str">
        <f t="shared" si="381"/>
        <v/>
      </c>
      <c r="Y550" s="674" t="str">
        <f t="shared" si="381"/>
        <v/>
      </c>
      <c r="Z550" s="674" t="str">
        <f t="shared" si="381"/>
        <v/>
      </c>
      <c r="AA550" s="674" t="str">
        <f t="shared" si="381"/>
        <v/>
      </c>
      <c r="AB550" s="674" t="str">
        <f t="shared" si="381"/>
        <v/>
      </c>
      <c r="AC550" s="674" t="str">
        <f t="shared" si="381"/>
        <v/>
      </c>
      <c r="AD550" s="674" t="str">
        <f t="shared" si="381"/>
        <v/>
      </c>
      <c r="AE550" s="674" t="str">
        <f t="shared" si="381"/>
        <v/>
      </c>
      <c r="AF550" s="674" t="str">
        <f t="shared" si="381"/>
        <v/>
      </c>
      <c r="AG550" s="674" t="str">
        <f t="shared" si="381"/>
        <v/>
      </c>
      <c r="AH550" s="674" t="str">
        <f t="shared" si="381"/>
        <v/>
      </c>
      <c r="AI550" s="674" t="str">
        <f t="shared" si="381"/>
        <v/>
      </c>
      <c r="AJ550" s="674" t="str">
        <f t="shared" si="381"/>
        <v/>
      </c>
      <c r="AK550" s="675" t="str">
        <f t="shared" si="381"/>
        <v/>
      </c>
      <c r="AL550" s="15"/>
      <c r="AM550" s="15"/>
      <c r="AP550" s="536"/>
      <c r="AR550" s="537"/>
      <c r="AS550" s="529"/>
      <c r="AW550" s="390" t="str">
        <f>""</f>
        <v/>
      </c>
      <c r="AX550" s="531"/>
      <c r="AY550" s="390" t="str">
        <f>""</f>
        <v/>
      </c>
      <c r="BD550" s="520"/>
      <c r="BE550" s="520"/>
      <c r="BF550" s="520"/>
      <c r="BG550" s="520"/>
      <c r="BH550" s="520"/>
      <c r="BI550" s="520"/>
      <c r="BJ550" s="520"/>
      <c r="BK550" s="520"/>
      <c r="BL550" s="520"/>
      <c r="BM550" s="520"/>
      <c r="BN550" s="520"/>
      <c r="BO550" s="520"/>
      <c r="BP550" s="520"/>
      <c r="BQ550" s="520"/>
      <c r="BR550" s="520"/>
      <c r="BS550" s="520"/>
      <c r="BT550" s="520"/>
      <c r="BU550" s="520"/>
      <c r="BV550" s="520"/>
      <c r="BW550" s="520"/>
      <c r="BX550" s="520"/>
      <c r="BY550" s="520"/>
    </row>
    <row r="551" spans="1:84" ht="12" customHeight="1" x14ac:dyDescent="0.3">
      <c r="A551" s="765"/>
      <c r="E551" s="258" t="str">
        <f>$AX$97</f>
        <v>Fordított gólkülönbség: 1 p</v>
      </c>
      <c r="H551" s="676" t="str">
        <f t="shared" ref="H551:AK551" si="382">IF(OR(BC545,NOT($AS$30)),"",IF(AND(NOT($AS$32),COUNTIF(H546:H550,"ü")&gt;0),"",IF(AND(H544-H545=$E545-$E544,H544&lt;&gt;H545),"ü"," ")))</f>
        <v/>
      </c>
      <c r="I551" s="677" t="str">
        <f t="shared" si="382"/>
        <v/>
      </c>
      <c r="J551" s="677" t="str">
        <f t="shared" si="382"/>
        <v/>
      </c>
      <c r="K551" s="677" t="str">
        <f t="shared" si="382"/>
        <v/>
      </c>
      <c r="L551" s="677" t="str">
        <f t="shared" si="382"/>
        <v/>
      </c>
      <c r="M551" s="677" t="str">
        <f t="shared" si="382"/>
        <v/>
      </c>
      <c r="N551" s="677" t="str">
        <f t="shared" si="382"/>
        <v/>
      </c>
      <c r="O551" s="677" t="str">
        <f t="shared" si="382"/>
        <v/>
      </c>
      <c r="P551" s="677" t="str">
        <f t="shared" si="382"/>
        <v/>
      </c>
      <c r="Q551" s="677" t="str">
        <f t="shared" si="382"/>
        <v/>
      </c>
      <c r="R551" s="677" t="str">
        <f t="shared" si="382"/>
        <v/>
      </c>
      <c r="S551" s="677" t="str">
        <f t="shared" si="382"/>
        <v/>
      </c>
      <c r="T551" s="677" t="str">
        <f t="shared" si="382"/>
        <v/>
      </c>
      <c r="U551" s="677" t="str">
        <f t="shared" si="382"/>
        <v/>
      </c>
      <c r="V551" s="677" t="str">
        <f t="shared" si="382"/>
        <v/>
      </c>
      <c r="W551" s="677" t="str">
        <f t="shared" si="382"/>
        <v/>
      </c>
      <c r="X551" s="677" t="str">
        <f t="shared" si="382"/>
        <v/>
      </c>
      <c r="Y551" s="677" t="str">
        <f t="shared" si="382"/>
        <v/>
      </c>
      <c r="Z551" s="677" t="str">
        <f t="shared" si="382"/>
        <v/>
      </c>
      <c r="AA551" s="677" t="str">
        <f t="shared" si="382"/>
        <v/>
      </c>
      <c r="AB551" s="677" t="str">
        <f t="shared" si="382"/>
        <v/>
      </c>
      <c r="AC551" s="677" t="str">
        <f t="shared" si="382"/>
        <v/>
      </c>
      <c r="AD551" s="677" t="str">
        <f t="shared" si="382"/>
        <v/>
      </c>
      <c r="AE551" s="677" t="str">
        <f t="shared" si="382"/>
        <v/>
      </c>
      <c r="AF551" s="677" t="str">
        <f t="shared" si="382"/>
        <v/>
      </c>
      <c r="AG551" s="677" t="str">
        <f t="shared" si="382"/>
        <v/>
      </c>
      <c r="AH551" s="677" t="str">
        <f t="shared" si="382"/>
        <v/>
      </c>
      <c r="AI551" s="677" t="str">
        <f t="shared" si="382"/>
        <v/>
      </c>
      <c r="AJ551" s="677" t="str">
        <f t="shared" si="382"/>
        <v/>
      </c>
      <c r="AK551" s="678" t="str">
        <f t="shared" si="382"/>
        <v/>
      </c>
      <c r="AL551" s="15"/>
      <c r="AM551" s="15"/>
      <c r="AP551" s="536"/>
      <c r="AR551" s="537"/>
      <c r="AS551" s="529"/>
      <c r="AW551" s="390" t="str">
        <f>""</f>
        <v/>
      </c>
      <c r="AX551" s="531"/>
      <c r="AY551" s="390" t="str">
        <f>""</f>
        <v/>
      </c>
      <c r="BD551" s="520"/>
      <c r="BE551" s="520"/>
      <c r="BF551" s="520"/>
      <c r="BG551" s="520"/>
      <c r="BH551" s="520"/>
      <c r="BI551" s="520"/>
      <c r="BJ551" s="520"/>
      <c r="BK551" s="520"/>
      <c r="BL551" s="520"/>
      <c r="BM551" s="520"/>
      <c r="BN551" s="520"/>
      <c r="BO551" s="520"/>
      <c r="BP551" s="520"/>
      <c r="BQ551" s="520"/>
      <c r="BR551" s="520"/>
      <c r="BS551" s="520"/>
      <c r="BT551" s="520"/>
      <c r="BU551" s="520"/>
      <c r="BV551" s="520"/>
      <c r="BW551" s="520"/>
      <c r="BX551" s="520"/>
      <c r="BY551" s="520"/>
    </row>
    <row r="552" spans="1:84" ht="15" customHeight="1" x14ac:dyDescent="0.3">
      <c r="A552" s="765"/>
      <c r="E552" s="79" t="s">
        <v>799</v>
      </c>
      <c r="H552" s="679">
        <f t="shared" ref="H552:AK552" si="383">IF(NOT(H$13),"",SUMPRODUCT((H546:H551="ü")*($AW$92:$AW$97)))</f>
        <v>0</v>
      </c>
      <c r="I552" s="680">
        <f t="shared" si="383"/>
        <v>0</v>
      </c>
      <c r="J552" s="680">
        <f t="shared" si="383"/>
        <v>0</v>
      </c>
      <c r="K552" s="680">
        <f t="shared" si="383"/>
        <v>0</v>
      </c>
      <c r="L552" s="680">
        <f t="shared" si="383"/>
        <v>0</v>
      </c>
      <c r="M552" s="680">
        <f t="shared" si="383"/>
        <v>0</v>
      </c>
      <c r="N552" s="680">
        <f t="shared" si="383"/>
        <v>0</v>
      </c>
      <c r="O552" s="680">
        <f t="shared" si="383"/>
        <v>0</v>
      </c>
      <c r="P552" s="680">
        <f t="shared" si="383"/>
        <v>0</v>
      </c>
      <c r="Q552" s="680">
        <f t="shared" si="383"/>
        <v>0</v>
      </c>
      <c r="R552" s="680">
        <f t="shared" si="383"/>
        <v>0</v>
      </c>
      <c r="S552" s="680">
        <f t="shared" si="383"/>
        <v>0</v>
      </c>
      <c r="T552" s="680">
        <f t="shared" si="383"/>
        <v>0</v>
      </c>
      <c r="U552" s="680">
        <f t="shared" si="383"/>
        <v>0</v>
      </c>
      <c r="V552" s="680">
        <f t="shared" si="383"/>
        <v>0</v>
      </c>
      <c r="W552" s="680">
        <f t="shared" si="383"/>
        <v>0</v>
      </c>
      <c r="X552" s="680">
        <f t="shared" si="383"/>
        <v>0</v>
      </c>
      <c r="Y552" s="680">
        <f t="shared" si="383"/>
        <v>0</v>
      </c>
      <c r="Z552" s="680">
        <f t="shared" si="383"/>
        <v>0</v>
      </c>
      <c r="AA552" s="680">
        <f t="shared" si="383"/>
        <v>0</v>
      </c>
      <c r="AB552" s="680">
        <f t="shared" si="383"/>
        <v>0</v>
      </c>
      <c r="AC552" s="680">
        <f t="shared" si="383"/>
        <v>0</v>
      </c>
      <c r="AD552" s="680">
        <f t="shared" si="383"/>
        <v>0</v>
      </c>
      <c r="AE552" s="680" t="str">
        <f t="shared" si="383"/>
        <v/>
      </c>
      <c r="AF552" s="680" t="str">
        <f t="shared" si="383"/>
        <v/>
      </c>
      <c r="AG552" s="680" t="str">
        <f t="shared" si="383"/>
        <v/>
      </c>
      <c r="AH552" s="680" t="str">
        <f t="shared" si="383"/>
        <v/>
      </c>
      <c r="AI552" s="680" t="str">
        <f t="shared" si="383"/>
        <v/>
      </c>
      <c r="AJ552" s="680" t="str">
        <f t="shared" si="383"/>
        <v/>
      </c>
      <c r="AK552" s="681" t="str">
        <f t="shared" si="383"/>
        <v/>
      </c>
      <c r="AP552" s="536"/>
      <c r="AR552" s="537"/>
      <c r="AS552" s="529"/>
    </row>
    <row r="553" spans="1:84" ht="9" customHeight="1" x14ac:dyDescent="0.3">
      <c r="A553" s="765"/>
      <c r="D553" s="15"/>
      <c r="E553" s="15"/>
      <c r="F553" s="15"/>
      <c r="G553" s="15"/>
      <c r="H553" s="15"/>
      <c r="I553" s="16"/>
      <c r="J553" s="15"/>
      <c r="K553" s="15"/>
      <c r="L553" s="16"/>
      <c r="M553" s="15"/>
      <c r="N553" s="15"/>
      <c r="O553" s="16"/>
      <c r="P553" s="15"/>
      <c r="Q553" s="15"/>
      <c r="R553" s="16"/>
      <c r="S553" s="15"/>
      <c r="T553" s="15"/>
      <c r="U553" s="16"/>
      <c r="V553" s="15"/>
      <c r="W553" s="15"/>
      <c r="X553" s="16"/>
      <c r="Y553" s="15"/>
      <c r="Z553" s="15"/>
      <c r="AA553" s="16"/>
      <c r="AB553" s="15"/>
      <c r="AC553" s="15"/>
      <c r="AD553" s="16"/>
      <c r="AE553" s="15"/>
      <c r="AF553" s="15"/>
      <c r="AG553" s="16"/>
      <c r="AH553" s="15"/>
      <c r="AI553" s="15"/>
      <c r="AJ553" s="16"/>
      <c r="AK553" s="15"/>
      <c r="AP553" s="536"/>
      <c r="AR553" s="537"/>
      <c r="AS553" s="529"/>
    </row>
    <row r="554" spans="1:84" ht="15" customHeight="1" x14ac:dyDescent="0.3">
      <c r="A554" s="765"/>
      <c r="C554" s="27" t="str">
        <f>" "&amp;VLOOKUP(AQ555,schedule,18,FALSE)&amp;"  ("&amp;VLOOKUP(AQ555,schedule,3,FALSE)&amp;" PÁRHARC)"</f>
        <v xml:space="preserve"> JÚNIUS 27. – VASÁRNAP 21:00  (1/8 PÁRHARC)</v>
      </c>
      <c r="D554" s="27"/>
      <c r="E554" s="26"/>
      <c r="F554" s="26"/>
      <c r="G554" s="26"/>
      <c r="H554" s="26"/>
      <c r="I554" s="26"/>
      <c r="J554" s="26"/>
      <c r="AP554" s="536"/>
      <c r="AR554" s="537"/>
      <c r="AS554" s="529"/>
    </row>
    <row r="555" spans="1:84" ht="15" customHeight="1" x14ac:dyDescent="0.3">
      <c r="A555" s="765"/>
      <c r="C555" s="661"/>
      <c r="D555" s="662" t="str">
        <f>IF(INDEX(n.er,$AR555,8)="","",INDEX(n.er,$AR555,8))</f>
        <v>B csoport 1. hely</v>
      </c>
      <c r="E555" s="663" t="str">
        <f>IF(NOT($AS555),"",INDEX(n.er,$AR555,9))</f>
        <v/>
      </c>
      <c r="F555" s="662"/>
      <c r="G555" s="259"/>
      <c r="H555" s="664"/>
      <c r="I555" s="665"/>
      <c r="J555" s="665"/>
      <c r="K555" s="665"/>
      <c r="L555" s="665"/>
      <c r="M555" s="665"/>
      <c r="N555" s="665"/>
      <c r="O555" s="665"/>
      <c r="P555" s="665"/>
      <c r="Q555" s="665"/>
      <c r="R555" s="665"/>
      <c r="S555" s="665"/>
      <c r="T555" s="665"/>
      <c r="U555" s="665"/>
      <c r="V555" s="665"/>
      <c r="W555" s="665"/>
      <c r="X555" s="665"/>
      <c r="Y555" s="665"/>
      <c r="Z555" s="665"/>
      <c r="AA555" s="665"/>
      <c r="AB555" s="665"/>
      <c r="AC555" s="665"/>
      <c r="AD555" s="665"/>
      <c r="AE555" s="665"/>
      <c r="AF555" s="665"/>
      <c r="AG555" s="665"/>
      <c r="AH555" s="665"/>
      <c r="AI555" s="665"/>
      <c r="AJ555" s="665"/>
      <c r="AK555" s="666"/>
      <c r="AP555" s="52">
        <f>AP544+1</f>
        <v>40</v>
      </c>
      <c r="AQ555" s="311">
        <f>INDEX(schedule,AP555,1)</f>
        <v>39</v>
      </c>
      <c r="AR555" s="311">
        <f>MATCH(AQ555,n.er.index,0)</f>
        <v>98</v>
      </c>
      <c r="AS555" s="532" t="b">
        <f>INDEX(n.er,$AR555,3)</f>
        <v>0</v>
      </c>
      <c r="AT555" s="531"/>
      <c r="AU555" s="531"/>
      <c r="AV555" s="531"/>
      <c r="AW555" s="531"/>
      <c r="AX555" s="531"/>
      <c r="BC555" s="525" t="b">
        <f t="shared" ref="BC555:CF555" si="384">IF(AND(ISNUMBER(H555),ISNUMBER(H556),H555&lt;&gt;"",H556&lt;&gt;""),AND(H555&gt;=0,H556&gt;=0,MOD(H555+H556,1)=0),FALSE)</f>
        <v>0</v>
      </c>
      <c r="BD555" s="525" t="b">
        <f t="shared" si="384"/>
        <v>0</v>
      </c>
      <c r="BE555" s="525" t="b">
        <f t="shared" si="384"/>
        <v>0</v>
      </c>
      <c r="BF555" s="525" t="b">
        <f t="shared" si="384"/>
        <v>0</v>
      </c>
      <c r="BG555" s="525" t="b">
        <f t="shared" si="384"/>
        <v>0</v>
      </c>
      <c r="BH555" s="525" t="b">
        <f t="shared" si="384"/>
        <v>0</v>
      </c>
      <c r="BI555" s="525" t="b">
        <f t="shared" si="384"/>
        <v>0</v>
      </c>
      <c r="BJ555" s="525" t="b">
        <f t="shared" si="384"/>
        <v>0</v>
      </c>
      <c r="BK555" s="525" t="b">
        <f t="shared" si="384"/>
        <v>0</v>
      </c>
      <c r="BL555" s="525" t="b">
        <f t="shared" si="384"/>
        <v>0</v>
      </c>
      <c r="BM555" s="525" t="b">
        <f t="shared" si="384"/>
        <v>0</v>
      </c>
      <c r="BN555" s="525" t="b">
        <f t="shared" si="384"/>
        <v>0</v>
      </c>
      <c r="BO555" s="525" t="b">
        <f t="shared" si="384"/>
        <v>0</v>
      </c>
      <c r="BP555" s="525" t="b">
        <f t="shared" si="384"/>
        <v>0</v>
      </c>
      <c r="BQ555" s="525" t="b">
        <f t="shared" si="384"/>
        <v>0</v>
      </c>
      <c r="BR555" s="525" t="b">
        <f t="shared" si="384"/>
        <v>0</v>
      </c>
      <c r="BS555" s="525" t="b">
        <f t="shared" si="384"/>
        <v>0</v>
      </c>
      <c r="BT555" s="525" t="b">
        <f t="shared" si="384"/>
        <v>0</v>
      </c>
      <c r="BU555" s="525" t="b">
        <f t="shared" si="384"/>
        <v>0</v>
      </c>
      <c r="BV555" s="525" t="b">
        <f t="shared" si="384"/>
        <v>0</v>
      </c>
      <c r="BW555" s="525" t="b">
        <f t="shared" si="384"/>
        <v>0</v>
      </c>
      <c r="BX555" s="525" t="b">
        <f t="shared" si="384"/>
        <v>0</v>
      </c>
      <c r="BY555" s="525" t="b">
        <f t="shared" si="384"/>
        <v>0</v>
      </c>
      <c r="BZ555" s="525" t="b">
        <f t="shared" si="384"/>
        <v>0</v>
      </c>
      <c r="CA555" s="525" t="b">
        <f t="shared" si="384"/>
        <v>0</v>
      </c>
      <c r="CB555" s="525" t="b">
        <f t="shared" si="384"/>
        <v>0</v>
      </c>
      <c r="CC555" s="525" t="b">
        <f t="shared" si="384"/>
        <v>0</v>
      </c>
      <c r="CD555" s="525" t="b">
        <f t="shared" si="384"/>
        <v>0</v>
      </c>
      <c r="CE555" s="525" t="b">
        <f t="shared" si="384"/>
        <v>0</v>
      </c>
      <c r="CF555" s="525" t="b">
        <f t="shared" si="384"/>
        <v>0</v>
      </c>
    </row>
    <row r="556" spans="1:84" ht="15" customHeight="1" x14ac:dyDescent="0.3">
      <c r="A556" s="765"/>
      <c r="C556" s="695"/>
      <c r="D556" s="696" t="str">
        <f>IF(INDEX(n.er,$AR555,11)="","",INDEX(n.er,$AR555,11))</f>
        <v>A/D/E/F csoport 3. hely</v>
      </c>
      <c r="E556" s="697" t="str">
        <f>IF(NOT($AS555),"",INDEX(n.er,$AR555,10))</f>
        <v/>
      </c>
      <c r="F556" s="696"/>
      <c r="G556" s="259"/>
      <c r="H556" s="667"/>
      <c r="I556" s="668"/>
      <c r="J556" s="668"/>
      <c r="K556" s="668"/>
      <c r="L556" s="668"/>
      <c r="M556" s="668"/>
      <c r="N556" s="668"/>
      <c r="O556" s="668"/>
      <c r="P556" s="668"/>
      <c r="Q556" s="668"/>
      <c r="R556" s="668"/>
      <c r="S556" s="668"/>
      <c r="T556" s="668"/>
      <c r="U556" s="668"/>
      <c r="V556" s="668"/>
      <c r="W556" s="668"/>
      <c r="X556" s="668"/>
      <c r="Y556" s="668"/>
      <c r="Z556" s="668"/>
      <c r="AA556" s="668"/>
      <c r="AB556" s="668"/>
      <c r="AC556" s="668"/>
      <c r="AD556" s="668"/>
      <c r="AE556" s="668"/>
      <c r="AF556" s="668"/>
      <c r="AG556" s="668"/>
      <c r="AH556" s="668"/>
      <c r="AI556" s="668"/>
      <c r="AJ556" s="668"/>
      <c r="AK556" s="669"/>
      <c r="AP556" s="533"/>
      <c r="AQ556" s="577"/>
      <c r="AR556" s="534"/>
      <c r="AS556" s="535"/>
      <c r="AX556" s="531"/>
      <c r="BC556" s="34" t="b">
        <f t="shared" ref="BC556:CF556" si="385">OR(NOT(H$13),NOT($AS555),NOT(BC555))</f>
        <v>1</v>
      </c>
      <c r="BD556" s="34" t="b">
        <f t="shared" si="385"/>
        <v>1</v>
      </c>
      <c r="BE556" s="34" t="b">
        <f t="shared" si="385"/>
        <v>1</v>
      </c>
      <c r="BF556" s="34" t="b">
        <f t="shared" si="385"/>
        <v>1</v>
      </c>
      <c r="BG556" s="34" t="b">
        <f t="shared" si="385"/>
        <v>1</v>
      </c>
      <c r="BH556" s="34" t="b">
        <f t="shared" si="385"/>
        <v>1</v>
      </c>
      <c r="BI556" s="34" t="b">
        <f t="shared" si="385"/>
        <v>1</v>
      </c>
      <c r="BJ556" s="34" t="b">
        <f t="shared" si="385"/>
        <v>1</v>
      </c>
      <c r="BK556" s="34" t="b">
        <f t="shared" si="385"/>
        <v>1</v>
      </c>
      <c r="BL556" s="34" t="b">
        <f t="shared" si="385"/>
        <v>1</v>
      </c>
      <c r="BM556" s="34" t="b">
        <f t="shared" si="385"/>
        <v>1</v>
      </c>
      <c r="BN556" s="34" t="b">
        <f t="shared" si="385"/>
        <v>1</v>
      </c>
      <c r="BO556" s="34" t="b">
        <f t="shared" si="385"/>
        <v>1</v>
      </c>
      <c r="BP556" s="34" t="b">
        <f t="shared" si="385"/>
        <v>1</v>
      </c>
      <c r="BQ556" s="34" t="b">
        <f t="shared" si="385"/>
        <v>1</v>
      </c>
      <c r="BR556" s="34" t="b">
        <f t="shared" si="385"/>
        <v>1</v>
      </c>
      <c r="BS556" s="34" t="b">
        <f t="shared" si="385"/>
        <v>1</v>
      </c>
      <c r="BT556" s="34" t="b">
        <f t="shared" si="385"/>
        <v>1</v>
      </c>
      <c r="BU556" s="34" t="b">
        <f t="shared" si="385"/>
        <v>1</v>
      </c>
      <c r="BV556" s="34" t="b">
        <f t="shared" si="385"/>
        <v>1</v>
      </c>
      <c r="BW556" s="34" t="b">
        <f t="shared" si="385"/>
        <v>1</v>
      </c>
      <c r="BX556" s="34" t="b">
        <f t="shared" si="385"/>
        <v>1</v>
      </c>
      <c r="BY556" s="34" t="b">
        <f t="shared" si="385"/>
        <v>1</v>
      </c>
      <c r="BZ556" s="34" t="b">
        <f t="shared" si="385"/>
        <v>1</v>
      </c>
      <c r="CA556" s="34" t="b">
        <f t="shared" si="385"/>
        <v>1</v>
      </c>
      <c r="CB556" s="34" t="b">
        <f t="shared" si="385"/>
        <v>1</v>
      </c>
      <c r="CC556" s="34" t="b">
        <f t="shared" si="385"/>
        <v>1</v>
      </c>
      <c r="CD556" s="34" t="b">
        <f t="shared" si="385"/>
        <v>1</v>
      </c>
      <c r="CE556" s="34" t="b">
        <f t="shared" si="385"/>
        <v>1</v>
      </c>
      <c r="CF556" s="34" t="b">
        <f t="shared" si="385"/>
        <v>1</v>
      </c>
    </row>
    <row r="557" spans="1:84" ht="12" customHeight="1" x14ac:dyDescent="0.3">
      <c r="A557" s="765"/>
      <c r="E557" s="258" t="str">
        <f>$AX$92</f>
        <v>Telitalálat: 10 p</v>
      </c>
      <c r="H557" s="670" t="str">
        <f t="shared" ref="H557:AK557" si="386">IF(OR(BC556,NOT($AS$20)),"",IF(AND(H555=$E555,H556=$E556),"ü",""))</f>
        <v/>
      </c>
      <c r="I557" s="671" t="str">
        <f t="shared" si="386"/>
        <v/>
      </c>
      <c r="J557" s="671" t="str">
        <f t="shared" si="386"/>
        <v/>
      </c>
      <c r="K557" s="671" t="str">
        <f t="shared" si="386"/>
        <v/>
      </c>
      <c r="L557" s="671" t="str">
        <f t="shared" si="386"/>
        <v/>
      </c>
      <c r="M557" s="671" t="str">
        <f t="shared" si="386"/>
        <v/>
      </c>
      <c r="N557" s="671" t="str">
        <f t="shared" si="386"/>
        <v/>
      </c>
      <c r="O557" s="671" t="str">
        <f t="shared" si="386"/>
        <v/>
      </c>
      <c r="P557" s="671" t="str">
        <f t="shared" si="386"/>
        <v/>
      </c>
      <c r="Q557" s="671" t="str">
        <f t="shared" si="386"/>
        <v/>
      </c>
      <c r="R557" s="671" t="str">
        <f t="shared" si="386"/>
        <v/>
      </c>
      <c r="S557" s="671" t="str">
        <f t="shared" si="386"/>
        <v/>
      </c>
      <c r="T557" s="671" t="str">
        <f t="shared" si="386"/>
        <v/>
      </c>
      <c r="U557" s="671" t="str">
        <f t="shared" si="386"/>
        <v/>
      </c>
      <c r="V557" s="671" t="str">
        <f t="shared" si="386"/>
        <v/>
      </c>
      <c r="W557" s="671" t="str">
        <f t="shared" si="386"/>
        <v/>
      </c>
      <c r="X557" s="671" t="str">
        <f t="shared" si="386"/>
        <v/>
      </c>
      <c r="Y557" s="671" t="str">
        <f t="shared" si="386"/>
        <v/>
      </c>
      <c r="Z557" s="671" t="str">
        <f t="shared" si="386"/>
        <v/>
      </c>
      <c r="AA557" s="671" t="str">
        <f t="shared" si="386"/>
        <v/>
      </c>
      <c r="AB557" s="671" t="str">
        <f t="shared" si="386"/>
        <v/>
      </c>
      <c r="AC557" s="671" t="str">
        <f t="shared" si="386"/>
        <v/>
      </c>
      <c r="AD557" s="671" t="str">
        <f t="shared" si="386"/>
        <v/>
      </c>
      <c r="AE557" s="671" t="str">
        <f t="shared" si="386"/>
        <v/>
      </c>
      <c r="AF557" s="671" t="str">
        <f t="shared" si="386"/>
        <v/>
      </c>
      <c r="AG557" s="671" t="str">
        <f t="shared" si="386"/>
        <v/>
      </c>
      <c r="AH557" s="671" t="str">
        <f t="shared" si="386"/>
        <v/>
      </c>
      <c r="AI557" s="671" t="str">
        <f t="shared" si="386"/>
        <v/>
      </c>
      <c r="AJ557" s="671" t="str">
        <f t="shared" si="386"/>
        <v/>
      </c>
      <c r="AK557" s="672" t="str">
        <f t="shared" si="386"/>
        <v/>
      </c>
      <c r="AL557" s="15"/>
      <c r="AM557" s="15"/>
      <c r="AP557" s="536"/>
      <c r="AR557" s="537"/>
      <c r="AS557" s="529"/>
      <c r="AW557" s="390" t="str">
        <f>""</f>
        <v/>
      </c>
      <c r="AX557" s="531"/>
      <c r="AY557" s="390" t="str">
        <f>""</f>
        <v/>
      </c>
      <c r="BD557" s="520"/>
      <c r="BE557" s="520"/>
      <c r="BF557" s="520"/>
      <c r="BG557" s="520"/>
      <c r="BH557" s="520"/>
      <c r="BI557" s="520"/>
      <c r="BJ557" s="520"/>
      <c r="BK557" s="520"/>
      <c r="BL557" s="520"/>
      <c r="BM557" s="520"/>
      <c r="BN557" s="520"/>
      <c r="BO557" s="520"/>
      <c r="BP557" s="520"/>
      <c r="BQ557" s="520"/>
      <c r="BR557" s="520"/>
      <c r="BS557" s="520"/>
      <c r="BT557" s="520"/>
      <c r="BU557" s="520"/>
      <c r="BV557" s="520"/>
      <c r="BW557" s="520"/>
      <c r="BX557" s="520"/>
      <c r="BY557" s="520"/>
    </row>
    <row r="558" spans="1:84" ht="12" customHeight="1" x14ac:dyDescent="0.3">
      <c r="A558" s="765"/>
      <c r="E558" s="258" t="str">
        <f>$AX$93</f>
        <v>Gólkülönbség: 6 p</v>
      </c>
      <c r="H558" s="673" t="str">
        <f t="shared" ref="H558:AK558" si="387">IF(OR(BC556,NOT($AS$22)),"",IF(AND(NOT($AS$32),H557="ü"),"",IF(H555-H556=$E555-$E556,"ü"," ")))</f>
        <v/>
      </c>
      <c r="I558" s="674" t="str">
        <f t="shared" si="387"/>
        <v/>
      </c>
      <c r="J558" s="674" t="str">
        <f t="shared" si="387"/>
        <v/>
      </c>
      <c r="K558" s="674" t="str">
        <f t="shared" si="387"/>
        <v/>
      </c>
      <c r="L558" s="674" t="str">
        <f t="shared" si="387"/>
        <v/>
      </c>
      <c r="M558" s="674" t="str">
        <f t="shared" si="387"/>
        <v/>
      </c>
      <c r="N558" s="674" t="str">
        <f t="shared" si="387"/>
        <v/>
      </c>
      <c r="O558" s="674" t="str">
        <f t="shared" si="387"/>
        <v/>
      </c>
      <c r="P558" s="674" t="str">
        <f t="shared" si="387"/>
        <v/>
      </c>
      <c r="Q558" s="674" t="str">
        <f t="shared" si="387"/>
        <v/>
      </c>
      <c r="R558" s="674" t="str">
        <f t="shared" si="387"/>
        <v/>
      </c>
      <c r="S558" s="674" t="str">
        <f t="shared" si="387"/>
        <v/>
      </c>
      <c r="T558" s="674" t="str">
        <f t="shared" si="387"/>
        <v/>
      </c>
      <c r="U558" s="674" t="str">
        <f t="shared" si="387"/>
        <v/>
      </c>
      <c r="V558" s="674" t="str">
        <f t="shared" si="387"/>
        <v/>
      </c>
      <c r="W558" s="674" t="str">
        <f t="shared" si="387"/>
        <v/>
      </c>
      <c r="X558" s="674" t="str">
        <f t="shared" si="387"/>
        <v/>
      </c>
      <c r="Y558" s="674" t="str">
        <f t="shared" si="387"/>
        <v/>
      </c>
      <c r="Z558" s="674" t="str">
        <f t="shared" si="387"/>
        <v/>
      </c>
      <c r="AA558" s="674" t="str">
        <f t="shared" si="387"/>
        <v/>
      </c>
      <c r="AB558" s="674" t="str">
        <f t="shared" si="387"/>
        <v/>
      </c>
      <c r="AC558" s="674" t="str">
        <f t="shared" si="387"/>
        <v/>
      </c>
      <c r="AD558" s="674" t="str">
        <f t="shared" si="387"/>
        <v/>
      </c>
      <c r="AE558" s="674" t="str">
        <f t="shared" si="387"/>
        <v/>
      </c>
      <c r="AF558" s="674" t="str">
        <f t="shared" si="387"/>
        <v/>
      </c>
      <c r="AG558" s="674" t="str">
        <f t="shared" si="387"/>
        <v/>
      </c>
      <c r="AH558" s="674" t="str">
        <f t="shared" si="387"/>
        <v/>
      </c>
      <c r="AI558" s="674" t="str">
        <f t="shared" si="387"/>
        <v/>
      </c>
      <c r="AJ558" s="674" t="str">
        <f t="shared" si="387"/>
        <v/>
      </c>
      <c r="AK558" s="675" t="str">
        <f t="shared" si="387"/>
        <v/>
      </c>
      <c r="AL558" s="15"/>
      <c r="AM558" s="15"/>
      <c r="AP558" s="536"/>
      <c r="AR558" s="537"/>
      <c r="AS558" s="529"/>
      <c r="AW558" s="390" t="str">
        <f>""</f>
        <v/>
      </c>
      <c r="AX558" s="531"/>
      <c r="AY558" s="390" t="str">
        <f>""</f>
        <v/>
      </c>
      <c r="BD558" s="520"/>
      <c r="BE558" s="520"/>
      <c r="BF558" s="520"/>
      <c r="BG558" s="520"/>
      <c r="BH558" s="520"/>
      <c r="BI558" s="520"/>
      <c r="BJ558" s="520"/>
      <c r="BK558" s="520"/>
      <c r="BL558" s="520"/>
      <c r="BM558" s="520"/>
      <c r="BN558" s="520"/>
      <c r="BO558" s="520"/>
      <c r="BP558" s="520"/>
      <c r="BQ558" s="520"/>
      <c r="BR558" s="520"/>
      <c r="BS558" s="520"/>
      <c r="BT558" s="520"/>
      <c r="BU558" s="520"/>
      <c r="BV558" s="520"/>
      <c r="BW558" s="520"/>
      <c r="BX558" s="520"/>
      <c r="BY558" s="520"/>
    </row>
    <row r="559" spans="1:84" ht="12" customHeight="1" x14ac:dyDescent="0.3">
      <c r="A559" s="765"/>
      <c r="E559" s="258" t="str">
        <f>$AX$94</f>
        <v>Mérkőzés kimenetele: 4 p</v>
      </c>
      <c r="H559" s="673" t="str">
        <f t="shared" ref="H559:AK559" si="388">IF(OR(BC556,NOT($AS$24)),"",IF(AND(NOT($AS$32),COUNTIF(H557:H558,"ü")&gt;0),"",IF(SIGN(H555-H556)=SIGN($E555-$E556),"ü"," ")))</f>
        <v/>
      </c>
      <c r="I559" s="674" t="str">
        <f t="shared" si="388"/>
        <v/>
      </c>
      <c r="J559" s="674" t="str">
        <f t="shared" si="388"/>
        <v/>
      </c>
      <c r="K559" s="674" t="str">
        <f t="shared" si="388"/>
        <v/>
      </c>
      <c r="L559" s="674" t="str">
        <f t="shared" si="388"/>
        <v/>
      </c>
      <c r="M559" s="674" t="str">
        <f t="shared" si="388"/>
        <v/>
      </c>
      <c r="N559" s="674" t="str">
        <f t="shared" si="388"/>
        <v/>
      </c>
      <c r="O559" s="674" t="str">
        <f t="shared" si="388"/>
        <v/>
      </c>
      <c r="P559" s="674" t="str">
        <f t="shared" si="388"/>
        <v/>
      </c>
      <c r="Q559" s="674" t="str">
        <f t="shared" si="388"/>
        <v/>
      </c>
      <c r="R559" s="674" t="str">
        <f t="shared" si="388"/>
        <v/>
      </c>
      <c r="S559" s="674" t="str">
        <f t="shared" si="388"/>
        <v/>
      </c>
      <c r="T559" s="674" t="str">
        <f t="shared" si="388"/>
        <v/>
      </c>
      <c r="U559" s="674" t="str">
        <f t="shared" si="388"/>
        <v/>
      </c>
      <c r="V559" s="674" t="str">
        <f t="shared" si="388"/>
        <v/>
      </c>
      <c r="W559" s="674" t="str">
        <f t="shared" si="388"/>
        <v/>
      </c>
      <c r="X559" s="674" t="str">
        <f t="shared" si="388"/>
        <v/>
      </c>
      <c r="Y559" s="674" t="str">
        <f t="shared" si="388"/>
        <v/>
      </c>
      <c r="Z559" s="674" t="str">
        <f t="shared" si="388"/>
        <v/>
      </c>
      <c r="AA559" s="674" t="str">
        <f t="shared" si="388"/>
        <v/>
      </c>
      <c r="AB559" s="674" t="str">
        <f t="shared" si="388"/>
        <v/>
      </c>
      <c r="AC559" s="674" t="str">
        <f t="shared" si="388"/>
        <v/>
      </c>
      <c r="AD559" s="674" t="str">
        <f t="shared" si="388"/>
        <v/>
      </c>
      <c r="AE559" s="674" t="str">
        <f t="shared" si="388"/>
        <v/>
      </c>
      <c r="AF559" s="674" t="str">
        <f t="shared" si="388"/>
        <v/>
      </c>
      <c r="AG559" s="674" t="str">
        <f t="shared" si="388"/>
        <v/>
      </c>
      <c r="AH559" s="674" t="str">
        <f t="shared" si="388"/>
        <v/>
      </c>
      <c r="AI559" s="674" t="str">
        <f t="shared" si="388"/>
        <v/>
      </c>
      <c r="AJ559" s="674" t="str">
        <f t="shared" si="388"/>
        <v/>
      </c>
      <c r="AK559" s="675" t="str">
        <f t="shared" si="388"/>
        <v/>
      </c>
      <c r="AL559" s="15"/>
      <c r="AM559" s="15"/>
      <c r="AP559" s="536"/>
      <c r="AR559" s="537"/>
      <c r="AS559" s="529"/>
      <c r="AW559" s="390" t="str">
        <f>""</f>
        <v/>
      </c>
      <c r="AX559" s="531"/>
      <c r="AY559" s="390" t="str">
        <f>""</f>
        <v/>
      </c>
      <c r="BD559" s="520"/>
      <c r="BE559" s="520"/>
      <c r="BF559" s="520"/>
      <c r="BG559" s="520"/>
      <c r="BH559" s="520"/>
      <c r="BI559" s="520"/>
      <c r="BJ559" s="520"/>
      <c r="BK559" s="520"/>
      <c r="BL559" s="520"/>
      <c r="BM559" s="520"/>
      <c r="BN559" s="520"/>
      <c r="BO559" s="520"/>
      <c r="BP559" s="520"/>
      <c r="BQ559" s="520"/>
      <c r="BR559" s="520"/>
      <c r="BS559" s="520"/>
      <c r="BT559" s="520"/>
      <c r="BU559" s="520"/>
      <c r="BV559" s="520"/>
      <c r="BW559" s="520"/>
      <c r="BX559" s="520"/>
      <c r="BY559" s="520"/>
    </row>
    <row r="560" spans="1:84" ht="12" customHeight="1" x14ac:dyDescent="0.3">
      <c r="A560" s="765"/>
      <c r="E560" s="258" t="str">
        <f>$AX$95</f>
        <v>Egyik csapat góljainak száma: 3 p</v>
      </c>
      <c r="H560" s="673" t="str">
        <f t="shared" ref="H560:AK560" si="389">IF(OR(BC556,NOT($AS$26)),"",IF(AND(NOT($AS$32),COUNTIF(H557:H559,"ü")&gt;0),"",IF(OR(H555=$E555,H556=$E556),"ü"," ")))</f>
        <v/>
      </c>
      <c r="I560" s="674" t="str">
        <f t="shared" si="389"/>
        <v/>
      </c>
      <c r="J560" s="674" t="str">
        <f t="shared" si="389"/>
        <v/>
      </c>
      <c r="K560" s="674" t="str">
        <f t="shared" si="389"/>
        <v/>
      </c>
      <c r="L560" s="674" t="str">
        <f t="shared" si="389"/>
        <v/>
      </c>
      <c r="M560" s="674" t="str">
        <f t="shared" si="389"/>
        <v/>
      </c>
      <c r="N560" s="674" t="str">
        <f t="shared" si="389"/>
        <v/>
      </c>
      <c r="O560" s="674" t="str">
        <f t="shared" si="389"/>
        <v/>
      </c>
      <c r="P560" s="674" t="str">
        <f t="shared" si="389"/>
        <v/>
      </c>
      <c r="Q560" s="674" t="str">
        <f t="shared" si="389"/>
        <v/>
      </c>
      <c r="R560" s="674" t="str">
        <f t="shared" si="389"/>
        <v/>
      </c>
      <c r="S560" s="674" t="str">
        <f t="shared" si="389"/>
        <v/>
      </c>
      <c r="T560" s="674" t="str">
        <f t="shared" si="389"/>
        <v/>
      </c>
      <c r="U560" s="674" t="str">
        <f t="shared" si="389"/>
        <v/>
      </c>
      <c r="V560" s="674" t="str">
        <f t="shared" si="389"/>
        <v/>
      </c>
      <c r="W560" s="674" t="str">
        <f t="shared" si="389"/>
        <v/>
      </c>
      <c r="X560" s="674" t="str">
        <f t="shared" si="389"/>
        <v/>
      </c>
      <c r="Y560" s="674" t="str">
        <f t="shared" si="389"/>
        <v/>
      </c>
      <c r="Z560" s="674" t="str">
        <f t="shared" si="389"/>
        <v/>
      </c>
      <c r="AA560" s="674" t="str">
        <f t="shared" si="389"/>
        <v/>
      </c>
      <c r="AB560" s="674" t="str">
        <f t="shared" si="389"/>
        <v/>
      </c>
      <c r="AC560" s="674" t="str">
        <f t="shared" si="389"/>
        <v/>
      </c>
      <c r="AD560" s="674" t="str">
        <f t="shared" si="389"/>
        <v/>
      </c>
      <c r="AE560" s="674" t="str">
        <f t="shared" si="389"/>
        <v/>
      </c>
      <c r="AF560" s="674" t="str">
        <f t="shared" si="389"/>
        <v/>
      </c>
      <c r="AG560" s="674" t="str">
        <f t="shared" si="389"/>
        <v/>
      </c>
      <c r="AH560" s="674" t="str">
        <f t="shared" si="389"/>
        <v/>
      </c>
      <c r="AI560" s="674" t="str">
        <f t="shared" si="389"/>
        <v/>
      </c>
      <c r="AJ560" s="674" t="str">
        <f t="shared" si="389"/>
        <v/>
      </c>
      <c r="AK560" s="675" t="str">
        <f t="shared" si="389"/>
        <v/>
      </c>
      <c r="AL560" s="15"/>
      <c r="AM560" s="15"/>
      <c r="AP560" s="536"/>
      <c r="AR560" s="537"/>
      <c r="AS560" s="529"/>
      <c r="AW560" s="390" t="str">
        <f>""</f>
        <v/>
      </c>
      <c r="AX560" s="531"/>
      <c r="AY560" s="390" t="str">
        <f>""</f>
        <v/>
      </c>
      <c r="BD560" s="520"/>
      <c r="BE560" s="520"/>
      <c r="BF560" s="520"/>
      <c r="BG560" s="520"/>
      <c r="BH560" s="520"/>
      <c r="BI560" s="520"/>
      <c r="BJ560" s="520"/>
      <c r="BK560" s="520"/>
      <c r="BL560" s="520"/>
      <c r="BM560" s="520"/>
      <c r="BN560" s="520"/>
      <c r="BO560" s="520"/>
      <c r="BP560" s="520"/>
      <c r="BQ560" s="520"/>
      <c r="BR560" s="520"/>
      <c r="BS560" s="520"/>
      <c r="BT560" s="520"/>
      <c r="BU560" s="520"/>
      <c r="BV560" s="520"/>
      <c r="BW560" s="520"/>
      <c r="BX560" s="520"/>
      <c r="BY560" s="520"/>
    </row>
    <row r="561" spans="1:84" ht="12" customHeight="1" x14ac:dyDescent="0.3">
      <c r="A561" s="765"/>
      <c r="E561" s="258" t="str">
        <f>$AX$96</f>
        <v>Összes gól: 2 p</v>
      </c>
      <c r="H561" s="673" t="str">
        <f t="shared" ref="H561:AK561" si="390">IF(OR(BC556,NOT($AS$28)),"",IF(AND(NOT($AS$32),COUNTIF(H557:H560,"ü")&gt;0),"",IF(H555+H556=$E555+$E556,"ü"," ")))</f>
        <v/>
      </c>
      <c r="I561" s="674" t="str">
        <f t="shared" si="390"/>
        <v/>
      </c>
      <c r="J561" s="674" t="str">
        <f t="shared" si="390"/>
        <v/>
      </c>
      <c r="K561" s="674" t="str">
        <f t="shared" si="390"/>
        <v/>
      </c>
      <c r="L561" s="674" t="str">
        <f t="shared" si="390"/>
        <v/>
      </c>
      <c r="M561" s="674" t="str">
        <f t="shared" si="390"/>
        <v/>
      </c>
      <c r="N561" s="674" t="str">
        <f t="shared" si="390"/>
        <v/>
      </c>
      <c r="O561" s="674" t="str">
        <f t="shared" si="390"/>
        <v/>
      </c>
      <c r="P561" s="674" t="str">
        <f t="shared" si="390"/>
        <v/>
      </c>
      <c r="Q561" s="674" t="str">
        <f t="shared" si="390"/>
        <v/>
      </c>
      <c r="R561" s="674" t="str">
        <f t="shared" si="390"/>
        <v/>
      </c>
      <c r="S561" s="674" t="str">
        <f t="shared" si="390"/>
        <v/>
      </c>
      <c r="T561" s="674" t="str">
        <f t="shared" si="390"/>
        <v/>
      </c>
      <c r="U561" s="674" t="str">
        <f t="shared" si="390"/>
        <v/>
      </c>
      <c r="V561" s="674" t="str">
        <f t="shared" si="390"/>
        <v/>
      </c>
      <c r="W561" s="674" t="str">
        <f t="shared" si="390"/>
        <v/>
      </c>
      <c r="X561" s="674" t="str">
        <f t="shared" si="390"/>
        <v/>
      </c>
      <c r="Y561" s="674" t="str">
        <f t="shared" si="390"/>
        <v/>
      </c>
      <c r="Z561" s="674" t="str">
        <f t="shared" si="390"/>
        <v/>
      </c>
      <c r="AA561" s="674" t="str">
        <f t="shared" si="390"/>
        <v/>
      </c>
      <c r="AB561" s="674" t="str">
        <f t="shared" si="390"/>
        <v/>
      </c>
      <c r="AC561" s="674" t="str">
        <f t="shared" si="390"/>
        <v/>
      </c>
      <c r="AD561" s="674" t="str">
        <f t="shared" si="390"/>
        <v/>
      </c>
      <c r="AE561" s="674" t="str">
        <f t="shared" si="390"/>
        <v/>
      </c>
      <c r="AF561" s="674" t="str">
        <f t="shared" si="390"/>
        <v/>
      </c>
      <c r="AG561" s="674" t="str">
        <f t="shared" si="390"/>
        <v/>
      </c>
      <c r="AH561" s="674" t="str">
        <f t="shared" si="390"/>
        <v/>
      </c>
      <c r="AI561" s="674" t="str">
        <f t="shared" si="390"/>
        <v/>
      </c>
      <c r="AJ561" s="674" t="str">
        <f t="shared" si="390"/>
        <v/>
      </c>
      <c r="AK561" s="675" t="str">
        <f t="shared" si="390"/>
        <v/>
      </c>
      <c r="AL561" s="15"/>
      <c r="AM561" s="15"/>
      <c r="AP561" s="536"/>
      <c r="AR561" s="537"/>
      <c r="AS561" s="529"/>
      <c r="AW561" s="390" t="str">
        <f>""</f>
        <v/>
      </c>
      <c r="AX561" s="531"/>
      <c r="AY561" s="390" t="str">
        <f>""</f>
        <v/>
      </c>
      <c r="BD561" s="520"/>
      <c r="BE561" s="520"/>
      <c r="BF561" s="520"/>
      <c r="BG561" s="520"/>
      <c r="BH561" s="520"/>
      <c r="BI561" s="520"/>
      <c r="BJ561" s="520"/>
      <c r="BK561" s="520"/>
      <c r="BL561" s="520"/>
      <c r="BM561" s="520"/>
      <c r="BN561" s="520"/>
      <c r="BO561" s="520"/>
      <c r="BP561" s="520"/>
      <c r="BQ561" s="520"/>
      <c r="BR561" s="520"/>
      <c r="BS561" s="520"/>
      <c r="BT561" s="520"/>
      <c r="BU561" s="520"/>
      <c r="BV561" s="520"/>
      <c r="BW561" s="520"/>
      <c r="BX561" s="520"/>
      <c r="BY561" s="520"/>
    </row>
    <row r="562" spans="1:84" ht="12" customHeight="1" x14ac:dyDescent="0.3">
      <c r="A562" s="765"/>
      <c r="E562" s="258" t="str">
        <f>$AX$97</f>
        <v>Fordított gólkülönbség: 1 p</v>
      </c>
      <c r="H562" s="676" t="str">
        <f t="shared" ref="H562:AK562" si="391">IF(OR(BC556,NOT($AS$30)),"",IF(AND(NOT($AS$32),COUNTIF(H557:H561,"ü")&gt;0),"",IF(AND(H555-H556=$E556-$E555,H555&lt;&gt;H556),"ü"," ")))</f>
        <v/>
      </c>
      <c r="I562" s="677" t="str">
        <f t="shared" si="391"/>
        <v/>
      </c>
      <c r="J562" s="677" t="str">
        <f t="shared" si="391"/>
        <v/>
      </c>
      <c r="K562" s="677" t="str">
        <f t="shared" si="391"/>
        <v/>
      </c>
      <c r="L562" s="677" t="str">
        <f t="shared" si="391"/>
        <v/>
      </c>
      <c r="M562" s="677" t="str">
        <f t="shared" si="391"/>
        <v/>
      </c>
      <c r="N562" s="677" t="str">
        <f t="shared" si="391"/>
        <v/>
      </c>
      <c r="O562" s="677" t="str">
        <f t="shared" si="391"/>
        <v/>
      </c>
      <c r="P562" s="677" t="str">
        <f t="shared" si="391"/>
        <v/>
      </c>
      <c r="Q562" s="677" t="str">
        <f t="shared" si="391"/>
        <v/>
      </c>
      <c r="R562" s="677" t="str">
        <f t="shared" si="391"/>
        <v/>
      </c>
      <c r="S562" s="677" t="str">
        <f t="shared" si="391"/>
        <v/>
      </c>
      <c r="T562" s="677" t="str">
        <f t="shared" si="391"/>
        <v/>
      </c>
      <c r="U562" s="677" t="str">
        <f t="shared" si="391"/>
        <v/>
      </c>
      <c r="V562" s="677" t="str">
        <f t="shared" si="391"/>
        <v/>
      </c>
      <c r="W562" s="677" t="str">
        <f t="shared" si="391"/>
        <v/>
      </c>
      <c r="X562" s="677" t="str">
        <f t="shared" si="391"/>
        <v/>
      </c>
      <c r="Y562" s="677" t="str">
        <f t="shared" si="391"/>
        <v/>
      </c>
      <c r="Z562" s="677" t="str">
        <f t="shared" si="391"/>
        <v/>
      </c>
      <c r="AA562" s="677" t="str">
        <f t="shared" si="391"/>
        <v/>
      </c>
      <c r="AB562" s="677" t="str">
        <f t="shared" si="391"/>
        <v/>
      </c>
      <c r="AC562" s="677" t="str">
        <f t="shared" si="391"/>
        <v/>
      </c>
      <c r="AD562" s="677" t="str">
        <f t="shared" si="391"/>
        <v/>
      </c>
      <c r="AE562" s="677" t="str">
        <f t="shared" si="391"/>
        <v/>
      </c>
      <c r="AF562" s="677" t="str">
        <f t="shared" si="391"/>
        <v/>
      </c>
      <c r="AG562" s="677" t="str">
        <f t="shared" si="391"/>
        <v/>
      </c>
      <c r="AH562" s="677" t="str">
        <f t="shared" si="391"/>
        <v/>
      </c>
      <c r="AI562" s="677" t="str">
        <f t="shared" si="391"/>
        <v/>
      </c>
      <c r="AJ562" s="677" t="str">
        <f t="shared" si="391"/>
        <v/>
      </c>
      <c r="AK562" s="678" t="str">
        <f t="shared" si="391"/>
        <v/>
      </c>
      <c r="AL562" s="15"/>
      <c r="AM562" s="15"/>
      <c r="AP562" s="536"/>
      <c r="AR562" s="537"/>
      <c r="AS562" s="529"/>
      <c r="AW562" s="390" t="str">
        <f>""</f>
        <v/>
      </c>
      <c r="AX562" s="531"/>
      <c r="AY562" s="390" t="str">
        <f>""</f>
        <v/>
      </c>
      <c r="BD562" s="520"/>
      <c r="BE562" s="520"/>
      <c r="BF562" s="520"/>
      <c r="BG562" s="520"/>
      <c r="BH562" s="520"/>
      <c r="BI562" s="520"/>
      <c r="BJ562" s="520"/>
      <c r="BK562" s="520"/>
      <c r="BL562" s="520"/>
      <c r="BM562" s="520"/>
      <c r="BN562" s="520"/>
      <c r="BO562" s="520"/>
      <c r="BP562" s="520"/>
      <c r="BQ562" s="520"/>
      <c r="BR562" s="520"/>
      <c r="BS562" s="520"/>
      <c r="BT562" s="520"/>
      <c r="BU562" s="520"/>
      <c r="BV562" s="520"/>
      <c r="BW562" s="520"/>
      <c r="BX562" s="520"/>
      <c r="BY562" s="520"/>
    </row>
    <row r="563" spans="1:84" ht="15" customHeight="1" x14ac:dyDescent="0.3">
      <c r="A563" s="765"/>
      <c r="E563" s="79" t="s">
        <v>799</v>
      </c>
      <c r="H563" s="679">
        <f t="shared" ref="H563:AK563" si="392">IF(NOT(H$13),"",SUMPRODUCT((H557:H562="ü")*($AW$92:$AW$97)))</f>
        <v>0</v>
      </c>
      <c r="I563" s="680">
        <f t="shared" si="392"/>
        <v>0</v>
      </c>
      <c r="J563" s="680">
        <f t="shared" si="392"/>
        <v>0</v>
      </c>
      <c r="K563" s="680">
        <f t="shared" si="392"/>
        <v>0</v>
      </c>
      <c r="L563" s="680">
        <f t="shared" si="392"/>
        <v>0</v>
      </c>
      <c r="M563" s="680">
        <f t="shared" si="392"/>
        <v>0</v>
      </c>
      <c r="N563" s="680">
        <f t="shared" si="392"/>
        <v>0</v>
      </c>
      <c r="O563" s="680">
        <f t="shared" si="392"/>
        <v>0</v>
      </c>
      <c r="P563" s="680">
        <f t="shared" si="392"/>
        <v>0</v>
      </c>
      <c r="Q563" s="680">
        <f t="shared" si="392"/>
        <v>0</v>
      </c>
      <c r="R563" s="680">
        <f t="shared" si="392"/>
        <v>0</v>
      </c>
      <c r="S563" s="680">
        <f t="shared" si="392"/>
        <v>0</v>
      </c>
      <c r="T563" s="680">
        <f t="shared" si="392"/>
        <v>0</v>
      </c>
      <c r="U563" s="680">
        <f t="shared" si="392"/>
        <v>0</v>
      </c>
      <c r="V563" s="680">
        <f t="shared" si="392"/>
        <v>0</v>
      </c>
      <c r="W563" s="680">
        <f t="shared" si="392"/>
        <v>0</v>
      </c>
      <c r="X563" s="680">
        <f t="shared" si="392"/>
        <v>0</v>
      </c>
      <c r="Y563" s="680">
        <f t="shared" si="392"/>
        <v>0</v>
      </c>
      <c r="Z563" s="680">
        <f t="shared" si="392"/>
        <v>0</v>
      </c>
      <c r="AA563" s="680">
        <f t="shared" si="392"/>
        <v>0</v>
      </c>
      <c r="AB563" s="680">
        <f t="shared" si="392"/>
        <v>0</v>
      </c>
      <c r="AC563" s="680">
        <f t="shared" si="392"/>
        <v>0</v>
      </c>
      <c r="AD563" s="680">
        <f t="shared" si="392"/>
        <v>0</v>
      </c>
      <c r="AE563" s="680" t="str">
        <f t="shared" si="392"/>
        <v/>
      </c>
      <c r="AF563" s="680" t="str">
        <f t="shared" si="392"/>
        <v/>
      </c>
      <c r="AG563" s="680" t="str">
        <f t="shared" si="392"/>
        <v/>
      </c>
      <c r="AH563" s="680" t="str">
        <f t="shared" si="392"/>
        <v/>
      </c>
      <c r="AI563" s="680" t="str">
        <f t="shared" si="392"/>
        <v/>
      </c>
      <c r="AJ563" s="680" t="str">
        <f t="shared" si="392"/>
        <v/>
      </c>
      <c r="AK563" s="681" t="str">
        <f t="shared" si="392"/>
        <v/>
      </c>
      <c r="AP563" s="536"/>
      <c r="AR563" s="537"/>
      <c r="AS563" s="529"/>
    </row>
    <row r="564" spans="1:84" ht="9" customHeight="1" x14ac:dyDescent="0.3">
      <c r="A564" s="765"/>
      <c r="D564" s="15"/>
      <c r="E564" s="15"/>
      <c r="F564" s="15"/>
      <c r="G564" s="15"/>
      <c r="H564" s="15"/>
      <c r="I564" s="16"/>
      <c r="J564" s="15"/>
      <c r="K564" s="15"/>
      <c r="L564" s="16"/>
      <c r="M564" s="15"/>
      <c r="N564" s="15"/>
      <c r="O564" s="16"/>
      <c r="P564" s="15"/>
      <c r="Q564" s="15"/>
      <c r="R564" s="16"/>
      <c r="S564" s="15"/>
      <c r="T564" s="15"/>
      <c r="U564" s="16"/>
      <c r="V564" s="15"/>
      <c r="W564" s="15"/>
      <c r="X564" s="16"/>
      <c r="Y564" s="15"/>
      <c r="Z564" s="15"/>
      <c r="AA564" s="16"/>
      <c r="AB564" s="15"/>
      <c r="AC564" s="15"/>
      <c r="AD564" s="16"/>
      <c r="AE564" s="15"/>
      <c r="AF564" s="15"/>
      <c r="AG564" s="16"/>
      <c r="AH564" s="15"/>
      <c r="AI564" s="15"/>
      <c r="AJ564" s="16"/>
      <c r="AK564" s="15"/>
      <c r="AP564" s="536"/>
      <c r="AR564" s="537"/>
      <c r="AS564" s="529"/>
    </row>
    <row r="565" spans="1:84" ht="15" customHeight="1" x14ac:dyDescent="0.3">
      <c r="A565" s="765"/>
      <c r="C565" s="27" t="str">
        <f>" "&amp;VLOOKUP(AQ566,schedule,18,FALSE)&amp;"  ("&amp;VLOOKUP(AQ566,schedule,3,FALSE)&amp;" PÁRHARC)"</f>
        <v xml:space="preserve"> JÚNIUS 28. – HÉTFŐ 18:00  (4/8 PÁRHARC)</v>
      </c>
      <c r="D565" s="27"/>
      <c r="E565" s="26"/>
      <c r="F565" s="26"/>
      <c r="G565" s="26"/>
      <c r="H565" s="26"/>
      <c r="I565" s="26"/>
      <c r="J565" s="26"/>
      <c r="AP565" s="536"/>
      <c r="AR565" s="537"/>
      <c r="AS565" s="529"/>
    </row>
    <row r="566" spans="1:84" ht="15" customHeight="1" x14ac:dyDescent="0.3">
      <c r="A566" s="765"/>
      <c r="C566" s="661"/>
      <c r="D566" s="662" t="str">
        <f>IF(INDEX(n.er,$AR566,8)="","",INDEX(n.er,$AR566,8))</f>
        <v>D csoport 2. hely</v>
      </c>
      <c r="E566" s="663" t="str">
        <f>IF(NOT($AS566),"",INDEX(n.er,$AR566,9))</f>
        <v/>
      </c>
      <c r="F566" s="662"/>
      <c r="G566" s="259"/>
      <c r="H566" s="664"/>
      <c r="I566" s="665"/>
      <c r="J566" s="665"/>
      <c r="K566" s="665"/>
      <c r="L566" s="665"/>
      <c r="M566" s="665"/>
      <c r="N566" s="665"/>
      <c r="O566" s="665"/>
      <c r="P566" s="665"/>
      <c r="Q566" s="665"/>
      <c r="R566" s="665"/>
      <c r="S566" s="665"/>
      <c r="T566" s="665"/>
      <c r="U566" s="665"/>
      <c r="V566" s="665"/>
      <c r="W566" s="665"/>
      <c r="X566" s="665"/>
      <c r="Y566" s="665"/>
      <c r="Z566" s="665"/>
      <c r="AA566" s="665"/>
      <c r="AB566" s="665"/>
      <c r="AC566" s="665"/>
      <c r="AD566" s="665"/>
      <c r="AE566" s="665"/>
      <c r="AF566" s="665"/>
      <c r="AG566" s="665"/>
      <c r="AH566" s="665"/>
      <c r="AI566" s="665"/>
      <c r="AJ566" s="665"/>
      <c r="AK566" s="666"/>
      <c r="AP566" s="52">
        <f>AP555+1</f>
        <v>41</v>
      </c>
      <c r="AQ566" s="311">
        <f>INDEX(schedule,AP566,1)</f>
        <v>42</v>
      </c>
      <c r="AR566" s="311">
        <f>MATCH(AQ566,n.er.index,0)</f>
        <v>103</v>
      </c>
      <c r="AS566" s="532" t="b">
        <f>INDEX(n.er,$AR566,3)</f>
        <v>0</v>
      </c>
      <c r="AT566" s="531"/>
      <c r="AU566" s="531"/>
      <c r="AV566" s="531"/>
      <c r="AW566" s="531"/>
      <c r="AX566" s="531"/>
      <c r="BC566" s="525" t="b">
        <f t="shared" ref="BC566:CF566" si="393">IF(AND(ISNUMBER(H566),ISNUMBER(H567),H566&lt;&gt;"",H567&lt;&gt;""),AND(H566&gt;=0,H567&gt;=0,MOD(H566+H567,1)=0),FALSE)</f>
        <v>0</v>
      </c>
      <c r="BD566" s="525" t="b">
        <f t="shared" si="393"/>
        <v>0</v>
      </c>
      <c r="BE566" s="525" t="b">
        <f t="shared" si="393"/>
        <v>0</v>
      </c>
      <c r="BF566" s="525" t="b">
        <f t="shared" si="393"/>
        <v>0</v>
      </c>
      <c r="BG566" s="525" t="b">
        <f t="shared" si="393"/>
        <v>0</v>
      </c>
      <c r="BH566" s="525" t="b">
        <f t="shared" si="393"/>
        <v>0</v>
      </c>
      <c r="BI566" s="525" t="b">
        <f t="shared" si="393"/>
        <v>0</v>
      </c>
      <c r="BJ566" s="525" t="b">
        <f t="shared" si="393"/>
        <v>0</v>
      </c>
      <c r="BK566" s="525" t="b">
        <f t="shared" si="393"/>
        <v>0</v>
      </c>
      <c r="BL566" s="525" t="b">
        <f t="shared" si="393"/>
        <v>0</v>
      </c>
      <c r="BM566" s="525" t="b">
        <f t="shared" si="393"/>
        <v>0</v>
      </c>
      <c r="BN566" s="525" t="b">
        <f t="shared" si="393"/>
        <v>0</v>
      </c>
      <c r="BO566" s="525" t="b">
        <f t="shared" si="393"/>
        <v>0</v>
      </c>
      <c r="BP566" s="525" t="b">
        <f t="shared" si="393"/>
        <v>0</v>
      </c>
      <c r="BQ566" s="525" t="b">
        <f t="shared" si="393"/>
        <v>0</v>
      </c>
      <c r="BR566" s="525" t="b">
        <f t="shared" si="393"/>
        <v>0</v>
      </c>
      <c r="BS566" s="525" t="b">
        <f t="shared" si="393"/>
        <v>0</v>
      </c>
      <c r="BT566" s="525" t="b">
        <f t="shared" si="393"/>
        <v>0</v>
      </c>
      <c r="BU566" s="525" t="b">
        <f t="shared" si="393"/>
        <v>0</v>
      </c>
      <c r="BV566" s="525" t="b">
        <f t="shared" si="393"/>
        <v>0</v>
      </c>
      <c r="BW566" s="525" t="b">
        <f t="shared" si="393"/>
        <v>0</v>
      </c>
      <c r="BX566" s="525" t="b">
        <f t="shared" si="393"/>
        <v>0</v>
      </c>
      <c r="BY566" s="525" t="b">
        <f t="shared" si="393"/>
        <v>0</v>
      </c>
      <c r="BZ566" s="525" t="b">
        <f t="shared" si="393"/>
        <v>0</v>
      </c>
      <c r="CA566" s="525" t="b">
        <f t="shared" si="393"/>
        <v>0</v>
      </c>
      <c r="CB566" s="525" t="b">
        <f t="shared" si="393"/>
        <v>0</v>
      </c>
      <c r="CC566" s="525" t="b">
        <f t="shared" si="393"/>
        <v>0</v>
      </c>
      <c r="CD566" s="525" t="b">
        <f t="shared" si="393"/>
        <v>0</v>
      </c>
      <c r="CE566" s="525" t="b">
        <f t="shared" si="393"/>
        <v>0</v>
      </c>
      <c r="CF566" s="525" t="b">
        <f t="shared" si="393"/>
        <v>0</v>
      </c>
    </row>
    <row r="567" spans="1:84" ht="15" customHeight="1" x14ac:dyDescent="0.3">
      <c r="A567" s="765"/>
      <c r="C567" s="695"/>
      <c r="D567" s="696" t="str">
        <f>IF(INDEX(n.er,$AR566,11)="","",INDEX(n.er,$AR566,11))</f>
        <v>E csoport 2. hely</v>
      </c>
      <c r="E567" s="697" t="str">
        <f>IF(NOT($AS566),"",INDEX(n.er,$AR566,10))</f>
        <v/>
      </c>
      <c r="F567" s="696"/>
      <c r="G567" s="259"/>
      <c r="H567" s="667"/>
      <c r="I567" s="668"/>
      <c r="J567" s="668"/>
      <c r="K567" s="668"/>
      <c r="L567" s="668"/>
      <c r="M567" s="668"/>
      <c r="N567" s="668"/>
      <c r="O567" s="668"/>
      <c r="P567" s="668"/>
      <c r="Q567" s="668"/>
      <c r="R567" s="668"/>
      <c r="S567" s="668"/>
      <c r="T567" s="668"/>
      <c r="U567" s="668"/>
      <c r="V567" s="668"/>
      <c r="W567" s="668"/>
      <c r="X567" s="668"/>
      <c r="Y567" s="668"/>
      <c r="Z567" s="668"/>
      <c r="AA567" s="668"/>
      <c r="AB567" s="668"/>
      <c r="AC567" s="668"/>
      <c r="AD567" s="668"/>
      <c r="AE567" s="668"/>
      <c r="AF567" s="668"/>
      <c r="AG567" s="668"/>
      <c r="AH567" s="668"/>
      <c r="AI567" s="668"/>
      <c r="AJ567" s="668"/>
      <c r="AK567" s="669"/>
      <c r="AP567" s="533"/>
      <c r="AQ567" s="577"/>
      <c r="AR567" s="534"/>
      <c r="AS567" s="535"/>
      <c r="AX567" s="531"/>
      <c r="BC567" s="34" t="b">
        <f t="shared" ref="BC567:CF567" si="394">OR(NOT(H$13),NOT($AS566),NOT(BC566))</f>
        <v>1</v>
      </c>
      <c r="BD567" s="34" t="b">
        <f t="shared" si="394"/>
        <v>1</v>
      </c>
      <c r="BE567" s="34" t="b">
        <f t="shared" si="394"/>
        <v>1</v>
      </c>
      <c r="BF567" s="34" t="b">
        <f t="shared" si="394"/>
        <v>1</v>
      </c>
      <c r="BG567" s="34" t="b">
        <f t="shared" si="394"/>
        <v>1</v>
      </c>
      <c r="BH567" s="34" t="b">
        <f t="shared" si="394"/>
        <v>1</v>
      </c>
      <c r="BI567" s="34" t="b">
        <f t="shared" si="394"/>
        <v>1</v>
      </c>
      <c r="BJ567" s="34" t="b">
        <f t="shared" si="394"/>
        <v>1</v>
      </c>
      <c r="BK567" s="34" t="b">
        <f t="shared" si="394"/>
        <v>1</v>
      </c>
      <c r="BL567" s="34" t="b">
        <f t="shared" si="394"/>
        <v>1</v>
      </c>
      <c r="BM567" s="34" t="b">
        <f t="shared" si="394"/>
        <v>1</v>
      </c>
      <c r="BN567" s="34" t="b">
        <f t="shared" si="394"/>
        <v>1</v>
      </c>
      <c r="BO567" s="34" t="b">
        <f t="shared" si="394"/>
        <v>1</v>
      </c>
      <c r="BP567" s="34" t="b">
        <f t="shared" si="394"/>
        <v>1</v>
      </c>
      <c r="BQ567" s="34" t="b">
        <f t="shared" si="394"/>
        <v>1</v>
      </c>
      <c r="BR567" s="34" t="b">
        <f t="shared" si="394"/>
        <v>1</v>
      </c>
      <c r="BS567" s="34" t="b">
        <f t="shared" si="394"/>
        <v>1</v>
      </c>
      <c r="BT567" s="34" t="b">
        <f t="shared" si="394"/>
        <v>1</v>
      </c>
      <c r="BU567" s="34" t="b">
        <f t="shared" si="394"/>
        <v>1</v>
      </c>
      <c r="BV567" s="34" t="b">
        <f t="shared" si="394"/>
        <v>1</v>
      </c>
      <c r="BW567" s="34" t="b">
        <f t="shared" si="394"/>
        <v>1</v>
      </c>
      <c r="BX567" s="34" t="b">
        <f t="shared" si="394"/>
        <v>1</v>
      </c>
      <c r="BY567" s="34" t="b">
        <f t="shared" si="394"/>
        <v>1</v>
      </c>
      <c r="BZ567" s="34" t="b">
        <f t="shared" si="394"/>
        <v>1</v>
      </c>
      <c r="CA567" s="34" t="b">
        <f t="shared" si="394"/>
        <v>1</v>
      </c>
      <c r="CB567" s="34" t="b">
        <f t="shared" si="394"/>
        <v>1</v>
      </c>
      <c r="CC567" s="34" t="b">
        <f t="shared" si="394"/>
        <v>1</v>
      </c>
      <c r="CD567" s="34" t="b">
        <f t="shared" si="394"/>
        <v>1</v>
      </c>
      <c r="CE567" s="34" t="b">
        <f t="shared" si="394"/>
        <v>1</v>
      </c>
      <c r="CF567" s="34" t="b">
        <f t="shared" si="394"/>
        <v>1</v>
      </c>
    </row>
    <row r="568" spans="1:84" ht="12" customHeight="1" x14ac:dyDescent="0.3">
      <c r="A568" s="765"/>
      <c r="E568" s="258" t="str">
        <f>$AX$92</f>
        <v>Telitalálat: 10 p</v>
      </c>
      <c r="H568" s="670" t="str">
        <f t="shared" ref="H568:AK568" si="395">IF(OR(BC567,NOT($AS$20)),"",IF(AND(H566=$E566,H567=$E567),"ü",""))</f>
        <v/>
      </c>
      <c r="I568" s="671" t="str">
        <f t="shared" si="395"/>
        <v/>
      </c>
      <c r="J568" s="671" t="str">
        <f t="shared" si="395"/>
        <v/>
      </c>
      <c r="K568" s="671" t="str">
        <f t="shared" si="395"/>
        <v/>
      </c>
      <c r="L568" s="671" t="str">
        <f t="shared" si="395"/>
        <v/>
      </c>
      <c r="M568" s="671" t="str">
        <f t="shared" si="395"/>
        <v/>
      </c>
      <c r="N568" s="671" t="str">
        <f t="shared" si="395"/>
        <v/>
      </c>
      <c r="O568" s="671" t="str">
        <f t="shared" si="395"/>
        <v/>
      </c>
      <c r="P568" s="671" t="str">
        <f t="shared" si="395"/>
        <v/>
      </c>
      <c r="Q568" s="671" t="str">
        <f t="shared" si="395"/>
        <v/>
      </c>
      <c r="R568" s="671" t="str">
        <f t="shared" si="395"/>
        <v/>
      </c>
      <c r="S568" s="671" t="str">
        <f t="shared" si="395"/>
        <v/>
      </c>
      <c r="T568" s="671" t="str">
        <f t="shared" si="395"/>
        <v/>
      </c>
      <c r="U568" s="671" t="str">
        <f t="shared" si="395"/>
        <v/>
      </c>
      <c r="V568" s="671" t="str">
        <f t="shared" si="395"/>
        <v/>
      </c>
      <c r="W568" s="671" t="str">
        <f t="shared" si="395"/>
        <v/>
      </c>
      <c r="X568" s="671" t="str">
        <f t="shared" si="395"/>
        <v/>
      </c>
      <c r="Y568" s="671" t="str">
        <f t="shared" si="395"/>
        <v/>
      </c>
      <c r="Z568" s="671" t="str">
        <f t="shared" si="395"/>
        <v/>
      </c>
      <c r="AA568" s="671" t="str">
        <f t="shared" si="395"/>
        <v/>
      </c>
      <c r="AB568" s="671" t="str">
        <f t="shared" si="395"/>
        <v/>
      </c>
      <c r="AC568" s="671" t="str">
        <f t="shared" si="395"/>
        <v/>
      </c>
      <c r="AD568" s="671" t="str">
        <f t="shared" si="395"/>
        <v/>
      </c>
      <c r="AE568" s="671" t="str">
        <f t="shared" si="395"/>
        <v/>
      </c>
      <c r="AF568" s="671" t="str">
        <f t="shared" si="395"/>
        <v/>
      </c>
      <c r="AG568" s="671" t="str">
        <f t="shared" si="395"/>
        <v/>
      </c>
      <c r="AH568" s="671" t="str">
        <f t="shared" si="395"/>
        <v/>
      </c>
      <c r="AI568" s="671" t="str">
        <f t="shared" si="395"/>
        <v/>
      </c>
      <c r="AJ568" s="671" t="str">
        <f t="shared" si="395"/>
        <v/>
      </c>
      <c r="AK568" s="672" t="str">
        <f t="shared" si="395"/>
        <v/>
      </c>
      <c r="AL568" s="15"/>
      <c r="AM568" s="15"/>
      <c r="AP568" s="536"/>
      <c r="AR568" s="537"/>
      <c r="AS568" s="529"/>
      <c r="AW568" s="390" t="str">
        <f>""</f>
        <v/>
      </c>
      <c r="AX568" s="531"/>
      <c r="AY568" s="390" t="str">
        <f>""</f>
        <v/>
      </c>
      <c r="BD568" s="520"/>
      <c r="BE568" s="520"/>
      <c r="BF568" s="520"/>
      <c r="BG568" s="520"/>
      <c r="BH568" s="520"/>
      <c r="BI568" s="520"/>
      <c r="BJ568" s="520"/>
      <c r="BK568" s="520"/>
      <c r="BL568" s="520"/>
      <c r="BM568" s="520"/>
      <c r="BN568" s="520"/>
      <c r="BO568" s="520"/>
      <c r="BP568" s="520"/>
      <c r="BQ568" s="520"/>
      <c r="BR568" s="520"/>
      <c r="BS568" s="520"/>
      <c r="BT568" s="520"/>
      <c r="BU568" s="520"/>
      <c r="BV568" s="520"/>
      <c r="BW568" s="520"/>
      <c r="BX568" s="520"/>
      <c r="BY568" s="520"/>
    </row>
    <row r="569" spans="1:84" ht="12" customHeight="1" x14ac:dyDescent="0.3">
      <c r="A569" s="765"/>
      <c r="E569" s="258" t="str">
        <f>$AX$93</f>
        <v>Gólkülönbség: 6 p</v>
      </c>
      <c r="H569" s="673" t="str">
        <f t="shared" ref="H569:AK569" si="396">IF(OR(BC567,NOT($AS$22)),"",IF(AND(NOT($AS$32),H568="ü"),"",IF(H566-H567=$E566-$E567,"ü"," ")))</f>
        <v/>
      </c>
      <c r="I569" s="674" t="str">
        <f t="shared" si="396"/>
        <v/>
      </c>
      <c r="J569" s="674" t="str">
        <f t="shared" si="396"/>
        <v/>
      </c>
      <c r="K569" s="674" t="str">
        <f t="shared" si="396"/>
        <v/>
      </c>
      <c r="L569" s="674" t="str">
        <f t="shared" si="396"/>
        <v/>
      </c>
      <c r="M569" s="674" t="str">
        <f t="shared" si="396"/>
        <v/>
      </c>
      <c r="N569" s="674" t="str">
        <f t="shared" si="396"/>
        <v/>
      </c>
      <c r="O569" s="674" t="str">
        <f t="shared" si="396"/>
        <v/>
      </c>
      <c r="P569" s="674" t="str">
        <f t="shared" si="396"/>
        <v/>
      </c>
      <c r="Q569" s="674" t="str">
        <f t="shared" si="396"/>
        <v/>
      </c>
      <c r="R569" s="674" t="str">
        <f t="shared" si="396"/>
        <v/>
      </c>
      <c r="S569" s="674" t="str">
        <f t="shared" si="396"/>
        <v/>
      </c>
      <c r="T569" s="674" t="str">
        <f t="shared" si="396"/>
        <v/>
      </c>
      <c r="U569" s="674" t="str">
        <f t="shared" si="396"/>
        <v/>
      </c>
      <c r="V569" s="674" t="str">
        <f t="shared" si="396"/>
        <v/>
      </c>
      <c r="W569" s="674" t="str">
        <f t="shared" si="396"/>
        <v/>
      </c>
      <c r="X569" s="674" t="str">
        <f t="shared" si="396"/>
        <v/>
      </c>
      <c r="Y569" s="674" t="str">
        <f t="shared" si="396"/>
        <v/>
      </c>
      <c r="Z569" s="674" t="str">
        <f t="shared" si="396"/>
        <v/>
      </c>
      <c r="AA569" s="674" t="str">
        <f t="shared" si="396"/>
        <v/>
      </c>
      <c r="AB569" s="674" t="str">
        <f t="shared" si="396"/>
        <v/>
      </c>
      <c r="AC569" s="674" t="str">
        <f t="shared" si="396"/>
        <v/>
      </c>
      <c r="AD569" s="674" t="str">
        <f t="shared" si="396"/>
        <v/>
      </c>
      <c r="AE569" s="674" t="str">
        <f t="shared" si="396"/>
        <v/>
      </c>
      <c r="AF569" s="674" t="str">
        <f t="shared" si="396"/>
        <v/>
      </c>
      <c r="AG569" s="674" t="str">
        <f t="shared" si="396"/>
        <v/>
      </c>
      <c r="AH569" s="674" t="str">
        <f t="shared" si="396"/>
        <v/>
      </c>
      <c r="AI569" s="674" t="str">
        <f t="shared" si="396"/>
        <v/>
      </c>
      <c r="AJ569" s="674" t="str">
        <f t="shared" si="396"/>
        <v/>
      </c>
      <c r="AK569" s="675" t="str">
        <f t="shared" si="396"/>
        <v/>
      </c>
      <c r="AL569" s="15"/>
      <c r="AM569" s="15"/>
      <c r="AP569" s="536"/>
      <c r="AR569" s="537"/>
      <c r="AS569" s="529"/>
      <c r="AW569" s="390" t="str">
        <f>""</f>
        <v/>
      </c>
      <c r="AX569" s="531"/>
      <c r="AY569" s="390" t="str">
        <f>""</f>
        <v/>
      </c>
      <c r="BD569" s="520"/>
      <c r="BE569" s="520"/>
      <c r="BF569" s="520"/>
      <c r="BG569" s="520"/>
      <c r="BH569" s="520"/>
      <c r="BI569" s="520"/>
      <c r="BJ569" s="520"/>
      <c r="BK569" s="520"/>
      <c r="BL569" s="520"/>
      <c r="BM569" s="520"/>
      <c r="BN569" s="520"/>
      <c r="BO569" s="520"/>
      <c r="BP569" s="520"/>
      <c r="BQ569" s="520"/>
      <c r="BR569" s="520"/>
      <c r="BS569" s="520"/>
      <c r="BT569" s="520"/>
      <c r="BU569" s="520"/>
      <c r="BV569" s="520"/>
      <c r="BW569" s="520"/>
      <c r="BX569" s="520"/>
      <c r="BY569" s="520"/>
    </row>
    <row r="570" spans="1:84" ht="12" customHeight="1" x14ac:dyDescent="0.3">
      <c r="A570" s="765"/>
      <c r="E570" s="258" t="str">
        <f>$AX$94</f>
        <v>Mérkőzés kimenetele: 4 p</v>
      </c>
      <c r="H570" s="673" t="str">
        <f t="shared" ref="H570:AK570" si="397">IF(OR(BC567,NOT($AS$24)),"",IF(AND(NOT($AS$32),COUNTIF(H568:H569,"ü")&gt;0),"",IF(SIGN(H566-H567)=SIGN($E566-$E567),"ü"," ")))</f>
        <v/>
      </c>
      <c r="I570" s="674" t="str">
        <f t="shared" si="397"/>
        <v/>
      </c>
      <c r="J570" s="674" t="str">
        <f t="shared" si="397"/>
        <v/>
      </c>
      <c r="K570" s="674" t="str">
        <f t="shared" si="397"/>
        <v/>
      </c>
      <c r="L570" s="674" t="str">
        <f t="shared" si="397"/>
        <v/>
      </c>
      <c r="M570" s="674" t="str">
        <f t="shared" si="397"/>
        <v/>
      </c>
      <c r="N570" s="674" t="str">
        <f t="shared" si="397"/>
        <v/>
      </c>
      <c r="O570" s="674" t="str">
        <f t="shared" si="397"/>
        <v/>
      </c>
      <c r="P570" s="674" t="str">
        <f t="shared" si="397"/>
        <v/>
      </c>
      <c r="Q570" s="674" t="str">
        <f t="shared" si="397"/>
        <v/>
      </c>
      <c r="R570" s="674" t="str">
        <f t="shared" si="397"/>
        <v/>
      </c>
      <c r="S570" s="674" t="str">
        <f t="shared" si="397"/>
        <v/>
      </c>
      <c r="T570" s="674" t="str">
        <f t="shared" si="397"/>
        <v/>
      </c>
      <c r="U570" s="674" t="str">
        <f t="shared" si="397"/>
        <v/>
      </c>
      <c r="V570" s="674" t="str">
        <f t="shared" si="397"/>
        <v/>
      </c>
      <c r="W570" s="674" t="str">
        <f t="shared" si="397"/>
        <v/>
      </c>
      <c r="X570" s="674" t="str">
        <f t="shared" si="397"/>
        <v/>
      </c>
      <c r="Y570" s="674" t="str">
        <f t="shared" si="397"/>
        <v/>
      </c>
      <c r="Z570" s="674" t="str">
        <f t="shared" si="397"/>
        <v/>
      </c>
      <c r="AA570" s="674" t="str">
        <f t="shared" si="397"/>
        <v/>
      </c>
      <c r="AB570" s="674" t="str">
        <f t="shared" si="397"/>
        <v/>
      </c>
      <c r="AC570" s="674" t="str">
        <f t="shared" si="397"/>
        <v/>
      </c>
      <c r="AD570" s="674" t="str">
        <f t="shared" si="397"/>
        <v/>
      </c>
      <c r="AE570" s="674" t="str">
        <f t="shared" si="397"/>
        <v/>
      </c>
      <c r="AF570" s="674" t="str">
        <f t="shared" si="397"/>
        <v/>
      </c>
      <c r="AG570" s="674" t="str">
        <f t="shared" si="397"/>
        <v/>
      </c>
      <c r="AH570" s="674" t="str">
        <f t="shared" si="397"/>
        <v/>
      </c>
      <c r="AI570" s="674" t="str">
        <f t="shared" si="397"/>
        <v/>
      </c>
      <c r="AJ570" s="674" t="str">
        <f t="shared" si="397"/>
        <v/>
      </c>
      <c r="AK570" s="675" t="str">
        <f t="shared" si="397"/>
        <v/>
      </c>
      <c r="AL570" s="15"/>
      <c r="AM570" s="15"/>
      <c r="AP570" s="536"/>
      <c r="AR570" s="537"/>
      <c r="AS570" s="529"/>
      <c r="AW570" s="390" t="str">
        <f>""</f>
        <v/>
      </c>
      <c r="AX570" s="531"/>
      <c r="AY570" s="390" t="str">
        <f>""</f>
        <v/>
      </c>
      <c r="BD570" s="520"/>
      <c r="BE570" s="520"/>
      <c r="BF570" s="520"/>
      <c r="BG570" s="520"/>
      <c r="BH570" s="520"/>
      <c r="BI570" s="520"/>
      <c r="BJ570" s="520"/>
      <c r="BK570" s="520"/>
      <c r="BL570" s="520"/>
      <c r="BM570" s="520"/>
      <c r="BN570" s="520"/>
      <c r="BO570" s="520"/>
      <c r="BP570" s="520"/>
      <c r="BQ570" s="520"/>
      <c r="BR570" s="520"/>
      <c r="BS570" s="520"/>
      <c r="BT570" s="520"/>
      <c r="BU570" s="520"/>
      <c r="BV570" s="520"/>
      <c r="BW570" s="520"/>
      <c r="BX570" s="520"/>
      <c r="BY570" s="520"/>
    </row>
    <row r="571" spans="1:84" ht="12" customHeight="1" x14ac:dyDescent="0.3">
      <c r="A571" s="765"/>
      <c r="E571" s="258" t="str">
        <f>$AX$95</f>
        <v>Egyik csapat góljainak száma: 3 p</v>
      </c>
      <c r="H571" s="673" t="str">
        <f t="shared" ref="H571:AK571" si="398">IF(OR(BC567,NOT($AS$26)),"",IF(AND(NOT($AS$32),COUNTIF(H568:H570,"ü")&gt;0),"",IF(OR(H566=$E566,H567=$E567),"ü"," ")))</f>
        <v/>
      </c>
      <c r="I571" s="674" t="str">
        <f t="shared" si="398"/>
        <v/>
      </c>
      <c r="J571" s="674" t="str">
        <f t="shared" si="398"/>
        <v/>
      </c>
      <c r="K571" s="674" t="str">
        <f t="shared" si="398"/>
        <v/>
      </c>
      <c r="L571" s="674" t="str">
        <f t="shared" si="398"/>
        <v/>
      </c>
      <c r="M571" s="674" t="str">
        <f t="shared" si="398"/>
        <v/>
      </c>
      <c r="N571" s="674" t="str">
        <f t="shared" si="398"/>
        <v/>
      </c>
      <c r="O571" s="674" t="str">
        <f t="shared" si="398"/>
        <v/>
      </c>
      <c r="P571" s="674" t="str">
        <f t="shared" si="398"/>
        <v/>
      </c>
      <c r="Q571" s="674" t="str">
        <f t="shared" si="398"/>
        <v/>
      </c>
      <c r="R571" s="674" t="str">
        <f t="shared" si="398"/>
        <v/>
      </c>
      <c r="S571" s="674" t="str">
        <f t="shared" si="398"/>
        <v/>
      </c>
      <c r="T571" s="674" t="str">
        <f t="shared" si="398"/>
        <v/>
      </c>
      <c r="U571" s="674" t="str">
        <f t="shared" si="398"/>
        <v/>
      </c>
      <c r="V571" s="674" t="str">
        <f t="shared" si="398"/>
        <v/>
      </c>
      <c r="W571" s="674" t="str">
        <f t="shared" si="398"/>
        <v/>
      </c>
      <c r="X571" s="674" t="str">
        <f t="shared" si="398"/>
        <v/>
      </c>
      <c r="Y571" s="674" t="str">
        <f t="shared" si="398"/>
        <v/>
      </c>
      <c r="Z571" s="674" t="str">
        <f t="shared" si="398"/>
        <v/>
      </c>
      <c r="AA571" s="674" t="str">
        <f t="shared" si="398"/>
        <v/>
      </c>
      <c r="AB571" s="674" t="str">
        <f t="shared" si="398"/>
        <v/>
      </c>
      <c r="AC571" s="674" t="str">
        <f t="shared" si="398"/>
        <v/>
      </c>
      <c r="AD571" s="674" t="str">
        <f t="shared" si="398"/>
        <v/>
      </c>
      <c r="AE571" s="674" t="str">
        <f t="shared" si="398"/>
        <v/>
      </c>
      <c r="AF571" s="674" t="str">
        <f t="shared" si="398"/>
        <v/>
      </c>
      <c r="AG571" s="674" t="str">
        <f t="shared" si="398"/>
        <v/>
      </c>
      <c r="AH571" s="674" t="str">
        <f t="shared" si="398"/>
        <v/>
      </c>
      <c r="AI571" s="674" t="str">
        <f t="shared" si="398"/>
        <v/>
      </c>
      <c r="AJ571" s="674" t="str">
        <f t="shared" si="398"/>
        <v/>
      </c>
      <c r="AK571" s="675" t="str">
        <f t="shared" si="398"/>
        <v/>
      </c>
      <c r="AL571" s="15"/>
      <c r="AM571" s="15"/>
      <c r="AP571" s="536"/>
      <c r="AR571" s="537"/>
      <c r="AS571" s="529"/>
      <c r="AW571" s="390" t="str">
        <f>""</f>
        <v/>
      </c>
      <c r="AX571" s="531"/>
      <c r="AY571" s="390" t="str">
        <f>""</f>
        <v/>
      </c>
      <c r="BD571" s="520"/>
      <c r="BE571" s="520"/>
      <c r="BF571" s="520"/>
      <c r="BG571" s="520"/>
      <c r="BH571" s="520"/>
      <c r="BI571" s="520"/>
      <c r="BJ571" s="520"/>
      <c r="BK571" s="520"/>
      <c r="BL571" s="520"/>
      <c r="BM571" s="520"/>
      <c r="BN571" s="520"/>
      <c r="BO571" s="520"/>
      <c r="BP571" s="520"/>
      <c r="BQ571" s="520"/>
      <c r="BR571" s="520"/>
      <c r="BS571" s="520"/>
      <c r="BT571" s="520"/>
      <c r="BU571" s="520"/>
      <c r="BV571" s="520"/>
      <c r="BW571" s="520"/>
      <c r="BX571" s="520"/>
      <c r="BY571" s="520"/>
    </row>
    <row r="572" spans="1:84" ht="12" customHeight="1" x14ac:dyDescent="0.3">
      <c r="A572" s="765"/>
      <c r="E572" s="258" t="str">
        <f>$AX$96</f>
        <v>Összes gól: 2 p</v>
      </c>
      <c r="H572" s="673" t="str">
        <f t="shared" ref="H572:AK572" si="399">IF(OR(BC567,NOT($AS$28)),"",IF(AND(NOT($AS$32),COUNTIF(H568:H571,"ü")&gt;0),"",IF(H566+H567=$E566+$E567,"ü"," ")))</f>
        <v/>
      </c>
      <c r="I572" s="674" t="str">
        <f t="shared" si="399"/>
        <v/>
      </c>
      <c r="J572" s="674" t="str">
        <f t="shared" si="399"/>
        <v/>
      </c>
      <c r="K572" s="674" t="str">
        <f t="shared" si="399"/>
        <v/>
      </c>
      <c r="L572" s="674" t="str">
        <f t="shared" si="399"/>
        <v/>
      </c>
      <c r="M572" s="674" t="str">
        <f t="shared" si="399"/>
        <v/>
      </c>
      <c r="N572" s="674" t="str">
        <f t="shared" si="399"/>
        <v/>
      </c>
      <c r="O572" s="674" t="str">
        <f t="shared" si="399"/>
        <v/>
      </c>
      <c r="P572" s="674" t="str">
        <f t="shared" si="399"/>
        <v/>
      </c>
      <c r="Q572" s="674" t="str">
        <f t="shared" si="399"/>
        <v/>
      </c>
      <c r="R572" s="674" t="str">
        <f t="shared" si="399"/>
        <v/>
      </c>
      <c r="S572" s="674" t="str">
        <f t="shared" si="399"/>
        <v/>
      </c>
      <c r="T572" s="674" t="str">
        <f t="shared" si="399"/>
        <v/>
      </c>
      <c r="U572" s="674" t="str">
        <f t="shared" si="399"/>
        <v/>
      </c>
      <c r="V572" s="674" t="str">
        <f t="shared" si="399"/>
        <v/>
      </c>
      <c r="W572" s="674" t="str">
        <f t="shared" si="399"/>
        <v/>
      </c>
      <c r="X572" s="674" t="str">
        <f t="shared" si="399"/>
        <v/>
      </c>
      <c r="Y572" s="674" t="str">
        <f t="shared" si="399"/>
        <v/>
      </c>
      <c r="Z572" s="674" t="str">
        <f t="shared" si="399"/>
        <v/>
      </c>
      <c r="AA572" s="674" t="str">
        <f t="shared" si="399"/>
        <v/>
      </c>
      <c r="AB572" s="674" t="str">
        <f t="shared" si="399"/>
        <v/>
      </c>
      <c r="AC572" s="674" t="str">
        <f t="shared" si="399"/>
        <v/>
      </c>
      <c r="AD572" s="674" t="str">
        <f t="shared" si="399"/>
        <v/>
      </c>
      <c r="AE572" s="674" t="str">
        <f t="shared" si="399"/>
        <v/>
      </c>
      <c r="AF572" s="674" t="str">
        <f t="shared" si="399"/>
        <v/>
      </c>
      <c r="AG572" s="674" t="str">
        <f t="shared" si="399"/>
        <v/>
      </c>
      <c r="AH572" s="674" t="str">
        <f t="shared" si="399"/>
        <v/>
      </c>
      <c r="AI572" s="674" t="str">
        <f t="shared" si="399"/>
        <v/>
      </c>
      <c r="AJ572" s="674" t="str">
        <f t="shared" si="399"/>
        <v/>
      </c>
      <c r="AK572" s="675" t="str">
        <f t="shared" si="399"/>
        <v/>
      </c>
      <c r="AL572" s="15"/>
      <c r="AM572" s="15"/>
      <c r="AP572" s="536"/>
      <c r="AR572" s="537"/>
      <c r="AS572" s="529"/>
      <c r="AW572" s="390" t="str">
        <f>""</f>
        <v/>
      </c>
      <c r="AX572" s="531"/>
      <c r="AY572" s="390" t="str">
        <f>""</f>
        <v/>
      </c>
      <c r="BD572" s="520"/>
      <c r="BE572" s="520"/>
      <c r="BF572" s="520"/>
      <c r="BG572" s="520"/>
      <c r="BH572" s="520"/>
      <c r="BI572" s="520"/>
      <c r="BJ572" s="520"/>
      <c r="BK572" s="520"/>
      <c r="BL572" s="520"/>
      <c r="BM572" s="520"/>
      <c r="BN572" s="520"/>
      <c r="BO572" s="520"/>
      <c r="BP572" s="520"/>
      <c r="BQ572" s="520"/>
      <c r="BR572" s="520"/>
      <c r="BS572" s="520"/>
      <c r="BT572" s="520"/>
      <c r="BU572" s="520"/>
      <c r="BV572" s="520"/>
      <c r="BW572" s="520"/>
      <c r="BX572" s="520"/>
      <c r="BY572" s="520"/>
    </row>
    <row r="573" spans="1:84" ht="12" customHeight="1" x14ac:dyDescent="0.3">
      <c r="A573" s="765"/>
      <c r="E573" s="258" t="str">
        <f>$AX$97</f>
        <v>Fordított gólkülönbség: 1 p</v>
      </c>
      <c r="H573" s="676" t="str">
        <f t="shared" ref="H573:AK573" si="400">IF(OR(BC567,NOT($AS$30)),"",IF(AND(NOT($AS$32),COUNTIF(H568:H572,"ü")&gt;0),"",IF(AND(H566-H567=$E567-$E566,H566&lt;&gt;H567),"ü"," ")))</f>
        <v/>
      </c>
      <c r="I573" s="677" t="str">
        <f t="shared" si="400"/>
        <v/>
      </c>
      <c r="J573" s="677" t="str">
        <f t="shared" si="400"/>
        <v/>
      </c>
      <c r="K573" s="677" t="str">
        <f t="shared" si="400"/>
        <v/>
      </c>
      <c r="L573" s="677" t="str">
        <f t="shared" si="400"/>
        <v/>
      </c>
      <c r="M573" s="677" t="str">
        <f t="shared" si="400"/>
        <v/>
      </c>
      <c r="N573" s="677" t="str">
        <f t="shared" si="400"/>
        <v/>
      </c>
      <c r="O573" s="677" t="str">
        <f t="shared" si="400"/>
        <v/>
      </c>
      <c r="P573" s="677" t="str">
        <f t="shared" si="400"/>
        <v/>
      </c>
      <c r="Q573" s="677" t="str">
        <f t="shared" si="400"/>
        <v/>
      </c>
      <c r="R573" s="677" t="str">
        <f t="shared" si="400"/>
        <v/>
      </c>
      <c r="S573" s="677" t="str">
        <f t="shared" si="400"/>
        <v/>
      </c>
      <c r="T573" s="677" t="str">
        <f t="shared" si="400"/>
        <v/>
      </c>
      <c r="U573" s="677" t="str">
        <f t="shared" si="400"/>
        <v/>
      </c>
      <c r="V573" s="677" t="str">
        <f t="shared" si="400"/>
        <v/>
      </c>
      <c r="W573" s="677" t="str">
        <f t="shared" si="400"/>
        <v/>
      </c>
      <c r="X573" s="677" t="str">
        <f t="shared" si="400"/>
        <v/>
      </c>
      <c r="Y573" s="677" t="str">
        <f t="shared" si="400"/>
        <v/>
      </c>
      <c r="Z573" s="677" t="str">
        <f t="shared" si="400"/>
        <v/>
      </c>
      <c r="AA573" s="677" t="str">
        <f t="shared" si="400"/>
        <v/>
      </c>
      <c r="AB573" s="677" t="str">
        <f t="shared" si="400"/>
        <v/>
      </c>
      <c r="AC573" s="677" t="str">
        <f t="shared" si="400"/>
        <v/>
      </c>
      <c r="AD573" s="677" t="str">
        <f t="shared" si="400"/>
        <v/>
      </c>
      <c r="AE573" s="677" t="str">
        <f t="shared" si="400"/>
        <v/>
      </c>
      <c r="AF573" s="677" t="str">
        <f t="shared" si="400"/>
        <v/>
      </c>
      <c r="AG573" s="677" t="str">
        <f t="shared" si="400"/>
        <v/>
      </c>
      <c r="AH573" s="677" t="str">
        <f t="shared" si="400"/>
        <v/>
      </c>
      <c r="AI573" s="677" t="str">
        <f t="shared" si="400"/>
        <v/>
      </c>
      <c r="AJ573" s="677" t="str">
        <f t="shared" si="400"/>
        <v/>
      </c>
      <c r="AK573" s="678" t="str">
        <f t="shared" si="400"/>
        <v/>
      </c>
      <c r="AL573" s="15"/>
      <c r="AM573" s="15"/>
      <c r="AP573" s="536"/>
      <c r="AR573" s="537"/>
      <c r="AS573" s="529"/>
      <c r="AW573" s="390" t="str">
        <f>""</f>
        <v/>
      </c>
      <c r="AX573" s="531"/>
      <c r="AY573" s="390" t="str">
        <f>""</f>
        <v/>
      </c>
      <c r="BD573" s="520"/>
      <c r="BE573" s="520"/>
      <c r="BF573" s="520"/>
      <c r="BG573" s="520"/>
      <c r="BH573" s="520"/>
      <c r="BI573" s="520"/>
      <c r="BJ573" s="520"/>
      <c r="BK573" s="520"/>
      <c r="BL573" s="520"/>
      <c r="BM573" s="520"/>
      <c r="BN573" s="520"/>
      <c r="BO573" s="520"/>
      <c r="BP573" s="520"/>
      <c r="BQ573" s="520"/>
      <c r="BR573" s="520"/>
      <c r="BS573" s="520"/>
      <c r="BT573" s="520"/>
      <c r="BU573" s="520"/>
      <c r="BV573" s="520"/>
      <c r="BW573" s="520"/>
      <c r="BX573" s="520"/>
      <c r="BY573" s="520"/>
    </row>
    <row r="574" spans="1:84" ht="15" customHeight="1" x14ac:dyDescent="0.3">
      <c r="A574" s="765"/>
      <c r="E574" s="79" t="s">
        <v>799</v>
      </c>
      <c r="H574" s="679">
        <f t="shared" ref="H574:AK574" si="401">IF(NOT(H$13),"",SUMPRODUCT((H568:H573="ü")*($AW$92:$AW$97)))</f>
        <v>0</v>
      </c>
      <c r="I574" s="680">
        <f t="shared" si="401"/>
        <v>0</v>
      </c>
      <c r="J574" s="680">
        <f t="shared" si="401"/>
        <v>0</v>
      </c>
      <c r="K574" s="680">
        <f t="shared" si="401"/>
        <v>0</v>
      </c>
      <c r="L574" s="680">
        <f t="shared" si="401"/>
        <v>0</v>
      </c>
      <c r="M574" s="680">
        <f t="shared" si="401"/>
        <v>0</v>
      </c>
      <c r="N574" s="680">
        <f t="shared" si="401"/>
        <v>0</v>
      </c>
      <c r="O574" s="680">
        <f t="shared" si="401"/>
        <v>0</v>
      </c>
      <c r="P574" s="680">
        <f t="shared" si="401"/>
        <v>0</v>
      </c>
      <c r="Q574" s="680">
        <f t="shared" si="401"/>
        <v>0</v>
      </c>
      <c r="R574" s="680">
        <f t="shared" si="401"/>
        <v>0</v>
      </c>
      <c r="S574" s="680">
        <f t="shared" si="401"/>
        <v>0</v>
      </c>
      <c r="T574" s="680">
        <f t="shared" si="401"/>
        <v>0</v>
      </c>
      <c r="U574" s="680">
        <f t="shared" si="401"/>
        <v>0</v>
      </c>
      <c r="V574" s="680">
        <f t="shared" si="401"/>
        <v>0</v>
      </c>
      <c r="W574" s="680">
        <f t="shared" si="401"/>
        <v>0</v>
      </c>
      <c r="X574" s="680">
        <f t="shared" si="401"/>
        <v>0</v>
      </c>
      <c r="Y574" s="680">
        <f t="shared" si="401"/>
        <v>0</v>
      </c>
      <c r="Z574" s="680">
        <f t="shared" si="401"/>
        <v>0</v>
      </c>
      <c r="AA574" s="680">
        <f t="shared" si="401"/>
        <v>0</v>
      </c>
      <c r="AB574" s="680">
        <f t="shared" si="401"/>
        <v>0</v>
      </c>
      <c r="AC574" s="680">
        <f t="shared" si="401"/>
        <v>0</v>
      </c>
      <c r="AD574" s="680">
        <f t="shared" si="401"/>
        <v>0</v>
      </c>
      <c r="AE574" s="680" t="str">
        <f t="shared" si="401"/>
        <v/>
      </c>
      <c r="AF574" s="680" t="str">
        <f t="shared" si="401"/>
        <v/>
      </c>
      <c r="AG574" s="680" t="str">
        <f t="shared" si="401"/>
        <v/>
      </c>
      <c r="AH574" s="680" t="str">
        <f t="shared" si="401"/>
        <v/>
      </c>
      <c r="AI574" s="680" t="str">
        <f t="shared" si="401"/>
        <v/>
      </c>
      <c r="AJ574" s="680" t="str">
        <f t="shared" si="401"/>
        <v/>
      </c>
      <c r="AK574" s="681" t="str">
        <f t="shared" si="401"/>
        <v/>
      </c>
      <c r="AP574" s="536"/>
      <c r="AR574" s="537"/>
      <c r="AS574" s="529"/>
    </row>
    <row r="575" spans="1:84" ht="9" customHeight="1" x14ac:dyDescent="0.3">
      <c r="A575" s="765"/>
      <c r="D575" s="15"/>
      <c r="E575" s="15"/>
      <c r="F575" s="15"/>
      <c r="G575" s="15"/>
      <c r="H575" s="15"/>
      <c r="I575" s="16"/>
      <c r="J575" s="15"/>
      <c r="K575" s="15"/>
      <c r="L575" s="16"/>
      <c r="M575" s="15"/>
      <c r="N575" s="15"/>
      <c r="O575" s="16"/>
      <c r="P575" s="15"/>
      <c r="Q575" s="15"/>
      <c r="R575" s="16"/>
      <c r="S575" s="15"/>
      <c r="T575" s="15"/>
      <c r="U575" s="16"/>
      <c r="V575" s="15"/>
      <c r="W575" s="15"/>
      <c r="X575" s="16"/>
      <c r="Y575" s="15"/>
      <c r="Z575" s="15"/>
      <c r="AA575" s="16"/>
      <c r="AB575" s="15"/>
      <c r="AC575" s="15"/>
      <c r="AD575" s="16"/>
      <c r="AE575" s="15"/>
      <c r="AF575" s="15"/>
      <c r="AG575" s="16"/>
      <c r="AH575" s="15"/>
      <c r="AI575" s="15"/>
      <c r="AJ575" s="16"/>
      <c r="AK575" s="15"/>
      <c r="AP575" s="536"/>
      <c r="AR575" s="537"/>
      <c r="AS575" s="529"/>
    </row>
    <row r="576" spans="1:84" ht="15" customHeight="1" x14ac:dyDescent="0.3">
      <c r="A576" s="765"/>
      <c r="C576" s="27" t="str">
        <f>" "&amp;VLOOKUP(AQ577,schedule,18,FALSE)&amp;"  ("&amp;VLOOKUP(AQ577,schedule,3,FALSE)&amp;" PÁRHARC)"</f>
        <v xml:space="preserve"> JÚNIUS 28. – HÉTFŐ 21:00  (3/8 PÁRHARC)</v>
      </c>
      <c r="D576" s="27"/>
      <c r="E576" s="26"/>
      <c r="F576" s="26"/>
      <c r="G576" s="26"/>
      <c r="H576" s="26"/>
      <c r="I576" s="26"/>
      <c r="J576" s="26"/>
      <c r="AP576" s="536"/>
      <c r="AR576" s="537"/>
      <c r="AS576" s="529"/>
    </row>
    <row r="577" spans="1:84" ht="15" customHeight="1" x14ac:dyDescent="0.3">
      <c r="A577" s="765"/>
      <c r="C577" s="661"/>
      <c r="D577" s="662" t="str">
        <f>IF(INDEX(n.er,$AR577,8)="","",INDEX(n.er,$AR577,8))</f>
        <v>F csoport 1. hely</v>
      </c>
      <c r="E577" s="663" t="str">
        <f>IF(NOT($AS577),"",INDEX(n.er,$AR577,9))</f>
        <v/>
      </c>
      <c r="F577" s="662"/>
      <c r="G577" s="259"/>
      <c r="H577" s="664"/>
      <c r="I577" s="665"/>
      <c r="J577" s="665"/>
      <c r="K577" s="665"/>
      <c r="L577" s="665"/>
      <c r="M577" s="665"/>
      <c r="N577" s="665"/>
      <c r="O577" s="665"/>
      <c r="P577" s="665"/>
      <c r="Q577" s="665"/>
      <c r="R577" s="665"/>
      <c r="S577" s="665"/>
      <c r="T577" s="665"/>
      <c r="U577" s="665"/>
      <c r="V577" s="665"/>
      <c r="W577" s="665"/>
      <c r="X577" s="665"/>
      <c r="Y577" s="665"/>
      <c r="Z577" s="665"/>
      <c r="AA577" s="665"/>
      <c r="AB577" s="665"/>
      <c r="AC577" s="665"/>
      <c r="AD577" s="665"/>
      <c r="AE577" s="665"/>
      <c r="AF577" s="665"/>
      <c r="AG577" s="665"/>
      <c r="AH577" s="665"/>
      <c r="AI577" s="665"/>
      <c r="AJ577" s="665"/>
      <c r="AK577" s="666"/>
      <c r="AP577" s="52">
        <f>AP566+1</f>
        <v>42</v>
      </c>
      <c r="AQ577" s="311">
        <f>INDEX(schedule,AP577,1)</f>
        <v>41</v>
      </c>
      <c r="AR577" s="311">
        <f>MATCH(AQ577,n.er.index,0)</f>
        <v>104</v>
      </c>
      <c r="AS577" s="532" t="b">
        <f>INDEX(n.er,$AR577,3)</f>
        <v>0</v>
      </c>
      <c r="AT577" s="531"/>
      <c r="AU577" s="531"/>
      <c r="AV577" s="531"/>
      <c r="AW577" s="531"/>
      <c r="AX577" s="531"/>
      <c r="BC577" s="525" t="b">
        <f t="shared" ref="BC577:CF577" si="402">IF(AND(ISNUMBER(H577),ISNUMBER(H578),H577&lt;&gt;"",H578&lt;&gt;""),AND(H577&gt;=0,H578&gt;=0,MOD(H577+H578,1)=0),FALSE)</f>
        <v>0</v>
      </c>
      <c r="BD577" s="525" t="b">
        <f t="shared" si="402"/>
        <v>0</v>
      </c>
      <c r="BE577" s="525" t="b">
        <f t="shared" si="402"/>
        <v>0</v>
      </c>
      <c r="BF577" s="525" t="b">
        <f t="shared" si="402"/>
        <v>0</v>
      </c>
      <c r="BG577" s="525" t="b">
        <f t="shared" si="402"/>
        <v>0</v>
      </c>
      <c r="BH577" s="525" t="b">
        <f t="shared" si="402"/>
        <v>0</v>
      </c>
      <c r="BI577" s="525" t="b">
        <f t="shared" si="402"/>
        <v>0</v>
      </c>
      <c r="BJ577" s="525" t="b">
        <f t="shared" si="402"/>
        <v>0</v>
      </c>
      <c r="BK577" s="525" t="b">
        <f t="shared" si="402"/>
        <v>0</v>
      </c>
      <c r="BL577" s="525" t="b">
        <f t="shared" si="402"/>
        <v>0</v>
      </c>
      <c r="BM577" s="525" t="b">
        <f t="shared" si="402"/>
        <v>0</v>
      </c>
      <c r="BN577" s="525" t="b">
        <f t="shared" si="402"/>
        <v>0</v>
      </c>
      <c r="BO577" s="525" t="b">
        <f t="shared" si="402"/>
        <v>0</v>
      </c>
      <c r="BP577" s="525" t="b">
        <f t="shared" si="402"/>
        <v>0</v>
      </c>
      <c r="BQ577" s="525" t="b">
        <f t="shared" si="402"/>
        <v>0</v>
      </c>
      <c r="BR577" s="525" t="b">
        <f t="shared" si="402"/>
        <v>0</v>
      </c>
      <c r="BS577" s="525" t="b">
        <f t="shared" si="402"/>
        <v>0</v>
      </c>
      <c r="BT577" s="525" t="b">
        <f t="shared" si="402"/>
        <v>0</v>
      </c>
      <c r="BU577" s="525" t="b">
        <f t="shared" si="402"/>
        <v>0</v>
      </c>
      <c r="BV577" s="525" t="b">
        <f t="shared" si="402"/>
        <v>0</v>
      </c>
      <c r="BW577" s="525" t="b">
        <f t="shared" si="402"/>
        <v>0</v>
      </c>
      <c r="BX577" s="525" t="b">
        <f t="shared" si="402"/>
        <v>0</v>
      </c>
      <c r="BY577" s="525" t="b">
        <f t="shared" si="402"/>
        <v>0</v>
      </c>
      <c r="BZ577" s="525" t="b">
        <f t="shared" si="402"/>
        <v>0</v>
      </c>
      <c r="CA577" s="525" t="b">
        <f t="shared" si="402"/>
        <v>0</v>
      </c>
      <c r="CB577" s="525" t="b">
        <f t="shared" si="402"/>
        <v>0</v>
      </c>
      <c r="CC577" s="525" t="b">
        <f t="shared" si="402"/>
        <v>0</v>
      </c>
      <c r="CD577" s="525" t="b">
        <f t="shared" si="402"/>
        <v>0</v>
      </c>
      <c r="CE577" s="525" t="b">
        <f t="shared" si="402"/>
        <v>0</v>
      </c>
      <c r="CF577" s="525" t="b">
        <f t="shared" si="402"/>
        <v>0</v>
      </c>
    </row>
    <row r="578" spans="1:84" ht="15" customHeight="1" x14ac:dyDescent="0.3">
      <c r="A578" s="765"/>
      <c r="C578" s="695"/>
      <c r="D578" s="696" t="str">
        <f>IF(INDEX(n.er,$AR577,11)="","",INDEX(n.er,$AR577,11))</f>
        <v>A/B/C csoport 3. hely</v>
      </c>
      <c r="E578" s="697" t="str">
        <f>IF(NOT($AS577),"",INDEX(n.er,$AR577,10))</f>
        <v/>
      </c>
      <c r="F578" s="696"/>
      <c r="G578" s="259"/>
      <c r="H578" s="667"/>
      <c r="I578" s="668"/>
      <c r="J578" s="668"/>
      <c r="K578" s="668"/>
      <c r="L578" s="668"/>
      <c r="M578" s="668"/>
      <c r="N578" s="668"/>
      <c r="O578" s="668"/>
      <c r="P578" s="668"/>
      <c r="Q578" s="668"/>
      <c r="R578" s="668"/>
      <c r="S578" s="668"/>
      <c r="T578" s="668"/>
      <c r="U578" s="668"/>
      <c r="V578" s="668"/>
      <c r="W578" s="668"/>
      <c r="X578" s="668"/>
      <c r="Y578" s="668"/>
      <c r="Z578" s="668"/>
      <c r="AA578" s="668"/>
      <c r="AB578" s="668"/>
      <c r="AC578" s="668"/>
      <c r="AD578" s="668"/>
      <c r="AE578" s="668"/>
      <c r="AF578" s="668"/>
      <c r="AG578" s="668"/>
      <c r="AH578" s="668"/>
      <c r="AI578" s="668"/>
      <c r="AJ578" s="668"/>
      <c r="AK578" s="669"/>
      <c r="AP578" s="533"/>
      <c r="AQ578" s="577"/>
      <c r="AR578" s="534"/>
      <c r="AS578" s="535"/>
      <c r="AX578" s="531"/>
      <c r="BC578" s="34" t="b">
        <f t="shared" ref="BC578:CF578" si="403">OR(NOT(H$13),NOT($AS577),NOT(BC577))</f>
        <v>1</v>
      </c>
      <c r="BD578" s="34" t="b">
        <f t="shared" si="403"/>
        <v>1</v>
      </c>
      <c r="BE578" s="34" t="b">
        <f t="shared" si="403"/>
        <v>1</v>
      </c>
      <c r="BF578" s="34" t="b">
        <f t="shared" si="403"/>
        <v>1</v>
      </c>
      <c r="BG578" s="34" t="b">
        <f t="shared" si="403"/>
        <v>1</v>
      </c>
      <c r="BH578" s="34" t="b">
        <f t="shared" si="403"/>
        <v>1</v>
      </c>
      <c r="BI578" s="34" t="b">
        <f t="shared" si="403"/>
        <v>1</v>
      </c>
      <c r="BJ578" s="34" t="b">
        <f t="shared" si="403"/>
        <v>1</v>
      </c>
      <c r="BK578" s="34" t="b">
        <f t="shared" si="403"/>
        <v>1</v>
      </c>
      <c r="BL578" s="34" t="b">
        <f t="shared" si="403"/>
        <v>1</v>
      </c>
      <c r="BM578" s="34" t="b">
        <f t="shared" si="403"/>
        <v>1</v>
      </c>
      <c r="BN578" s="34" t="b">
        <f t="shared" si="403"/>
        <v>1</v>
      </c>
      <c r="BO578" s="34" t="b">
        <f t="shared" si="403"/>
        <v>1</v>
      </c>
      <c r="BP578" s="34" t="b">
        <f t="shared" si="403"/>
        <v>1</v>
      </c>
      <c r="BQ578" s="34" t="b">
        <f t="shared" si="403"/>
        <v>1</v>
      </c>
      <c r="BR578" s="34" t="b">
        <f t="shared" si="403"/>
        <v>1</v>
      </c>
      <c r="BS578" s="34" t="b">
        <f t="shared" si="403"/>
        <v>1</v>
      </c>
      <c r="BT578" s="34" t="b">
        <f t="shared" si="403"/>
        <v>1</v>
      </c>
      <c r="BU578" s="34" t="b">
        <f t="shared" si="403"/>
        <v>1</v>
      </c>
      <c r="BV578" s="34" t="b">
        <f t="shared" si="403"/>
        <v>1</v>
      </c>
      <c r="BW578" s="34" t="b">
        <f t="shared" si="403"/>
        <v>1</v>
      </c>
      <c r="BX578" s="34" t="b">
        <f t="shared" si="403"/>
        <v>1</v>
      </c>
      <c r="BY578" s="34" t="b">
        <f t="shared" si="403"/>
        <v>1</v>
      </c>
      <c r="BZ578" s="34" t="b">
        <f t="shared" si="403"/>
        <v>1</v>
      </c>
      <c r="CA578" s="34" t="b">
        <f t="shared" si="403"/>
        <v>1</v>
      </c>
      <c r="CB578" s="34" t="b">
        <f t="shared" si="403"/>
        <v>1</v>
      </c>
      <c r="CC578" s="34" t="b">
        <f t="shared" si="403"/>
        <v>1</v>
      </c>
      <c r="CD578" s="34" t="b">
        <f t="shared" si="403"/>
        <v>1</v>
      </c>
      <c r="CE578" s="34" t="b">
        <f t="shared" si="403"/>
        <v>1</v>
      </c>
      <c r="CF578" s="34" t="b">
        <f t="shared" si="403"/>
        <v>1</v>
      </c>
    </row>
    <row r="579" spans="1:84" ht="12" customHeight="1" x14ac:dyDescent="0.3">
      <c r="A579" s="765"/>
      <c r="E579" s="258" t="str">
        <f>$AX$92</f>
        <v>Telitalálat: 10 p</v>
      </c>
      <c r="H579" s="670" t="str">
        <f t="shared" ref="H579:AK579" si="404">IF(OR(BC578,NOT($AS$20)),"",IF(AND(H577=$E577,H578=$E578),"ü",""))</f>
        <v/>
      </c>
      <c r="I579" s="671" t="str">
        <f t="shared" si="404"/>
        <v/>
      </c>
      <c r="J579" s="671" t="str">
        <f t="shared" si="404"/>
        <v/>
      </c>
      <c r="K579" s="671" t="str">
        <f t="shared" si="404"/>
        <v/>
      </c>
      <c r="L579" s="671" t="str">
        <f t="shared" si="404"/>
        <v/>
      </c>
      <c r="M579" s="671" t="str">
        <f t="shared" si="404"/>
        <v/>
      </c>
      <c r="N579" s="671" t="str">
        <f t="shared" si="404"/>
        <v/>
      </c>
      <c r="O579" s="671" t="str">
        <f t="shared" si="404"/>
        <v/>
      </c>
      <c r="P579" s="671" t="str">
        <f t="shared" si="404"/>
        <v/>
      </c>
      <c r="Q579" s="671" t="str">
        <f t="shared" si="404"/>
        <v/>
      </c>
      <c r="R579" s="671" t="str">
        <f t="shared" si="404"/>
        <v/>
      </c>
      <c r="S579" s="671" t="str">
        <f t="shared" si="404"/>
        <v/>
      </c>
      <c r="T579" s="671" t="str">
        <f t="shared" si="404"/>
        <v/>
      </c>
      <c r="U579" s="671" t="str">
        <f t="shared" si="404"/>
        <v/>
      </c>
      <c r="V579" s="671" t="str">
        <f t="shared" si="404"/>
        <v/>
      </c>
      <c r="W579" s="671" t="str">
        <f t="shared" si="404"/>
        <v/>
      </c>
      <c r="X579" s="671" t="str">
        <f t="shared" si="404"/>
        <v/>
      </c>
      <c r="Y579" s="671" t="str">
        <f t="shared" si="404"/>
        <v/>
      </c>
      <c r="Z579" s="671" t="str">
        <f t="shared" si="404"/>
        <v/>
      </c>
      <c r="AA579" s="671" t="str">
        <f t="shared" si="404"/>
        <v/>
      </c>
      <c r="AB579" s="671" t="str">
        <f t="shared" si="404"/>
        <v/>
      </c>
      <c r="AC579" s="671" t="str">
        <f t="shared" si="404"/>
        <v/>
      </c>
      <c r="AD579" s="671" t="str">
        <f t="shared" si="404"/>
        <v/>
      </c>
      <c r="AE579" s="671" t="str">
        <f t="shared" si="404"/>
        <v/>
      </c>
      <c r="AF579" s="671" t="str">
        <f t="shared" si="404"/>
        <v/>
      </c>
      <c r="AG579" s="671" t="str">
        <f t="shared" si="404"/>
        <v/>
      </c>
      <c r="AH579" s="671" t="str">
        <f t="shared" si="404"/>
        <v/>
      </c>
      <c r="AI579" s="671" t="str">
        <f t="shared" si="404"/>
        <v/>
      </c>
      <c r="AJ579" s="671" t="str">
        <f t="shared" si="404"/>
        <v/>
      </c>
      <c r="AK579" s="672" t="str">
        <f t="shared" si="404"/>
        <v/>
      </c>
      <c r="AL579" s="15"/>
      <c r="AM579" s="15"/>
      <c r="AP579" s="536"/>
      <c r="AR579" s="537"/>
      <c r="AS579" s="529"/>
      <c r="AW579" s="390" t="str">
        <f>""</f>
        <v/>
      </c>
      <c r="AX579" s="531"/>
      <c r="AY579" s="390" t="str">
        <f>""</f>
        <v/>
      </c>
      <c r="BD579" s="520"/>
      <c r="BE579" s="520"/>
      <c r="BF579" s="520"/>
      <c r="BG579" s="520"/>
      <c r="BH579" s="520"/>
      <c r="BI579" s="520"/>
      <c r="BJ579" s="520"/>
      <c r="BK579" s="520"/>
      <c r="BL579" s="520"/>
      <c r="BM579" s="520"/>
      <c r="BN579" s="520"/>
      <c r="BO579" s="520"/>
      <c r="BP579" s="520"/>
      <c r="BQ579" s="520"/>
      <c r="BR579" s="520"/>
      <c r="BS579" s="520"/>
      <c r="BT579" s="520"/>
      <c r="BU579" s="520"/>
      <c r="BV579" s="520"/>
      <c r="BW579" s="520"/>
      <c r="BX579" s="520"/>
      <c r="BY579" s="520"/>
    </row>
    <row r="580" spans="1:84" ht="12" customHeight="1" x14ac:dyDescent="0.3">
      <c r="A580" s="765"/>
      <c r="E580" s="258" t="str">
        <f>$AX$93</f>
        <v>Gólkülönbség: 6 p</v>
      </c>
      <c r="H580" s="673" t="str">
        <f t="shared" ref="H580:AK580" si="405">IF(OR(BC578,NOT($AS$22)),"",IF(AND(NOT($AS$32),H579="ü"),"",IF(H577-H578=$E577-$E578,"ü"," ")))</f>
        <v/>
      </c>
      <c r="I580" s="674" t="str">
        <f t="shared" si="405"/>
        <v/>
      </c>
      <c r="J580" s="674" t="str">
        <f t="shared" si="405"/>
        <v/>
      </c>
      <c r="K580" s="674" t="str">
        <f t="shared" si="405"/>
        <v/>
      </c>
      <c r="L580" s="674" t="str">
        <f t="shared" si="405"/>
        <v/>
      </c>
      <c r="M580" s="674" t="str">
        <f t="shared" si="405"/>
        <v/>
      </c>
      <c r="N580" s="674" t="str">
        <f t="shared" si="405"/>
        <v/>
      </c>
      <c r="O580" s="674" t="str">
        <f t="shared" si="405"/>
        <v/>
      </c>
      <c r="P580" s="674" t="str">
        <f t="shared" si="405"/>
        <v/>
      </c>
      <c r="Q580" s="674" t="str">
        <f t="shared" si="405"/>
        <v/>
      </c>
      <c r="R580" s="674" t="str">
        <f t="shared" si="405"/>
        <v/>
      </c>
      <c r="S580" s="674" t="str">
        <f t="shared" si="405"/>
        <v/>
      </c>
      <c r="T580" s="674" t="str">
        <f t="shared" si="405"/>
        <v/>
      </c>
      <c r="U580" s="674" t="str">
        <f t="shared" si="405"/>
        <v/>
      </c>
      <c r="V580" s="674" t="str">
        <f t="shared" si="405"/>
        <v/>
      </c>
      <c r="W580" s="674" t="str">
        <f t="shared" si="405"/>
        <v/>
      </c>
      <c r="X580" s="674" t="str">
        <f t="shared" si="405"/>
        <v/>
      </c>
      <c r="Y580" s="674" t="str">
        <f t="shared" si="405"/>
        <v/>
      </c>
      <c r="Z580" s="674" t="str">
        <f t="shared" si="405"/>
        <v/>
      </c>
      <c r="AA580" s="674" t="str">
        <f t="shared" si="405"/>
        <v/>
      </c>
      <c r="AB580" s="674" t="str">
        <f t="shared" si="405"/>
        <v/>
      </c>
      <c r="AC580" s="674" t="str">
        <f t="shared" si="405"/>
        <v/>
      </c>
      <c r="AD580" s="674" t="str">
        <f t="shared" si="405"/>
        <v/>
      </c>
      <c r="AE580" s="674" t="str">
        <f t="shared" si="405"/>
        <v/>
      </c>
      <c r="AF580" s="674" t="str">
        <f t="shared" si="405"/>
        <v/>
      </c>
      <c r="AG580" s="674" t="str">
        <f t="shared" si="405"/>
        <v/>
      </c>
      <c r="AH580" s="674" t="str">
        <f t="shared" si="405"/>
        <v/>
      </c>
      <c r="AI580" s="674" t="str">
        <f t="shared" si="405"/>
        <v/>
      </c>
      <c r="AJ580" s="674" t="str">
        <f t="shared" si="405"/>
        <v/>
      </c>
      <c r="AK580" s="675" t="str">
        <f t="shared" si="405"/>
        <v/>
      </c>
      <c r="AL580" s="15"/>
      <c r="AM580" s="15"/>
      <c r="AP580" s="536"/>
      <c r="AR580" s="537"/>
      <c r="AS580" s="529"/>
      <c r="AW580" s="390" t="str">
        <f>""</f>
        <v/>
      </c>
      <c r="AX580" s="531"/>
      <c r="AY580" s="390" t="str">
        <f>""</f>
        <v/>
      </c>
      <c r="BD580" s="520"/>
      <c r="BE580" s="520"/>
      <c r="BF580" s="520"/>
      <c r="BG580" s="520"/>
      <c r="BH580" s="520"/>
      <c r="BI580" s="520"/>
      <c r="BJ580" s="520"/>
      <c r="BK580" s="520"/>
      <c r="BL580" s="520"/>
      <c r="BM580" s="520"/>
      <c r="BN580" s="520"/>
      <c r="BO580" s="520"/>
      <c r="BP580" s="520"/>
      <c r="BQ580" s="520"/>
      <c r="BR580" s="520"/>
      <c r="BS580" s="520"/>
      <c r="BT580" s="520"/>
      <c r="BU580" s="520"/>
      <c r="BV580" s="520"/>
      <c r="BW580" s="520"/>
      <c r="BX580" s="520"/>
      <c r="BY580" s="520"/>
    </row>
    <row r="581" spans="1:84" ht="12" customHeight="1" x14ac:dyDescent="0.3">
      <c r="A581" s="765"/>
      <c r="E581" s="258" t="str">
        <f>$AX$94</f>
        <v>Mérkőzés kimenetele: 4 p</v>
      </c>
      <c r="H581" s="673" t="str">
        <f t="shared" ref="H581:AK581" si="406">IF(OR(BC578,NOT($AS$24)),"",IF(AND(NOT($AS$32),COUNTIF(H579:H580,"ü")&gt;0),"",IF(SIGN(H577-H578)=SIGN($E577-$E578),"ü"," ")))</f>
        <v/>
      </c>
      <c r="I581" s="674" t="str">
        <f t="shared" si="406"/>
        <v/>
      </c>
      <c r="J581" s="674" t="str">
        <f t="shared" si="406"/>
        <v/>
      </c>
      <c r="K581" s="674" t="str">
        <f t="shared" si="406"/>
        <v/>
      </c>
      <c r="L581" s="674" t="str">
        <f t="shared" si="406"/>
        <v/>
      </c>
      <c r="M581" s="674" t="str">
        <f t="shared" si="406"/>
        <v/>
      </c>
      <c r="N581" s="674" t="str">
        <f t="shared" si="406"/>
        <v/>
      </c>
      <c r="O581" s="674" t="str">
        <f t="shared" si="406"/>
        <v/>
      </c>
      <c r="P581" s="674" t="str">
        <f t="shared" si="406"/>
        <v/>
      </c>
      <c r="Q581" s="674" t="str">
        <f t="shared" si="406"/>
        <v/>
      </c>
      <c r="R581" s="674" t="str">
        <f t="shared" si="406"/>
        <v/>
      </c>
      <c r="S581" s="674" t="str">
        <f t="shared" si="406"/>
        <v/>
      </c>
      <c r="T581" s="674" t="str">
        <f t="shared" si="406"/>
        <v/>
      </c>
      <c r="U581" s="674" t="str">
        <f t="shared" si="406"/>
        <v/>
      </c>
      <c r="V581" s="674" t="str">
        <f t="shared" si="406"/>
        <v/>
      </c>
      <c r="W581" s="674" t="str">
        <f t="shared" si="406"/>
        <v/>
      </c>
      <c r="X581" s="674" t="str">
        <f t="shared" si="406"/>
        <v/>
      </c>
      <c r="Y581" s="674" t="str">
        <f t="shared" si="406"/>
        <v/>
      </c>
      <c r="Z581" s="674" t="str">
        <f t="shared" si="406"/>
        <v/>
      </c>
      <c r="AA581" s="674" t="str">
        <f t="shared" si="406"/>
        <v/>
      </c>
      <c r="AB581" s="674" t="str">
        <f t="shared" si="406"/>
        <v/>
      </c>
      <c r="AC581" s="674" t="str">
        <f t="shared" si="406"/>
        <v/>
      </c>
      <c r="AD581" s="674" t="str">
        <f t="shared" si="406"/>
        <v/>
      </c>
      <c r="AE581" s="674" t="str">
        <f t="shared" si="406"/>
        <v/>
      </c>
      <c r="AF581" s="674" t="str">
        <f t="shared" si="406"/>
        <v/>
      </c>
      <c r="AG581" s="674" t="str">
        <f t="shared" si="406"/>
        <v/>
      </c>
      <c r="AH581" s="674" t="str">
        <f t="shared" si="406"/>
        <v/>
      </c>
      <c r="AI581" s="674" t="str">
        <f t="shared" si="406"/>
        <v/>
      </c>
      <c r="AJ581" s="674" t="str">
        <f t="shared" si="406"/>
        <v/>
      </c>
      <c r="AK581" s="675" t="str">
        <f t="shared" si="406"/>
        <v/>
      </c>
      <c r="AL581" s="15"/>
      <c r="AM581" s="15"/>
      <c r="AP581" s="536"/>
      <c r="AR581" s="537"/>
      <c r="AS581" s="529"/>
      <c r="AW581" s="390" t="str">
        <f>""</f>
        <v/>
      </c>
      <c r="AX581" s="531"/>
      <c r="AY581" s="390" t="str">
        <f>""</f>
        <v/>
      </c>
      <c r="BD581" s="520"/>
      <c r="BE581" s="520"/>
      <c r="BF581" s="520"/>
      <c r="BG581" s="520"/>
      <c r="BH581" s="520"/>
      <c r="BI581" s="520"/>
      <c r="BJ581" s="520"/>
      <c r="BK581" s="520"/>
      <c r="BL581" s="520"/>
      <c r="BM581" s="520"/>
      <c r="BN581" s="520"/>
      <c r="BO581" s="520"/>
      <c r="BP581" s="520"/>
      <c r="BQ581" s="520"/>
      <c r="BR581" s="520"/>
      <c r="BS581" s="520"/>
      <c r="BT581" s="520"/>
      <c r="BU581" s="520"/>
      <c r="BV581" s="520"/>
      <c r="BW581" s="520"/>
      <c r="BX581" s="520"/>
      <c r="BY581" s="520"/>
    </row>
    <row r="582" spans="1:84" ht="12" customHeight="1" x14ac:dyDescent="0.3">
      <c r="A582" s="765"/>
      <c r="E582" s="258" t="str">
        <f>$AX$95</f>
        <v>Egyik csapat góljainak száma: 3 p</v>
      </c>
      <c r="H582" s="673" t="str">
        <f t="shared" ref="H582:AK582" si="407">IF(OR(BC578,NOT($AS$26)),"",IF(AND(NOT($AS$32),COUNTIF(H579:H581,"ü")&gt;0),"",IF(OR(H577=$E577,H578=$E578),"ü"," ")))</f>
        <v/>
      </c>
      <c r="I582" s="674" t="str">
        <f t="shared" si="407"/>
        <v/>
      </c>
      <c r="J582" s="674" t="str">
        <f t="shared" si="407"/>
        <v/>
      </c>
      <c r="K582" s="674" t="str">
        <f t="shared" si="407"/>
        <v/>
      </c>
      <c r="L582" s="674" t="str">
        <f t="shared" si="407"/>
        <v/>
      </c>
      <c r="M582" s="674" t="str">
        <f t="shared" si="407"/>
        <v/>
      </c>
      <c r="N582" s="674" t="str">
        <f t="shared" si="407"/>
        <v/>
      </c>
      <c r="O582" s="674" t="str">
        <f t="shared" si="407"/>
        <v/>
      </c>
      <c r="P582" s="674" t="str">
        <f t="shared" si="407"/>
        <v/>
      </c>
      <c r="Q582" s="674" t="str">
        <f t="shared" si="407"/>
        <v/>
      </c>
      <c r="R582" s="674" t="str">
        <f t="shared" si="407"/>
        <v/>
      </c>
      <c r="S582" s="674" t="str">
        <f t="shared" si="407"/>
        <v/>
      </c>
      <c r="T582" s="674" t="str">
        <f t="shared" si="407"/>
        <v/>
      </c>
      <c r="U582" s="674" t="str">
        <f t="shared" si="407"/>
        <v/>
      </c>
      <c r="V582" s="674" t="str">
        <f t="shared" si="407"/>
        <v/>
      </c>
      <c r="W582" s="674" t="str">
        <f t="shared" si="407"/>
        <v/>
      </c>
      <c r="X582" s="674" t="str">
        <f t="shared" si="407"/>
        <v/>
      </c>
      <c r="Y582" s="674" t="str">
        <f t="shared" si="407"/>
        <v/>
      </c>
      <c r="Z582" s="674" t="str">
        <f t="shared" si="407"/>
        <v/>
      </c>
      <c r="AA582" s="674" t="str">
        <f t="shared" si="407"/>
        <v/>
      </c>
      <c r="AB582" s="674" t="str">
        <f t="shared" si="407"/>
        <v/>
      </c>
      <c r="AC582" s="674" t="str">
        <f t="shared" si="407"/>
        <v/>
      </c>
      <c r="AD582" s="674" t="str">
        <f t="shared" si="407"/>
        <v/>
      </c>
      <c r="AE582" s="674" t="str">
        <f t="shared" si="407"/>
        <v/>
      </c>
      <c r="AF582" s="674" t="str">
        <f t="shared" si="407"/>
        <v/>
      </c>
      <c r="AG582" s="674" t="str">
        <f t="shared" si="407"/>
        <v/>
      </c>
      <c r="AH582" s="674" t="str">
        <f t="shared" si="407"/>
        <v/>
      </c>
      <c r="AI582" s="674" t="str">
        <f t="shared" si="407"/>
        <v/>
      </c>
      <c r="AJ582" s="674" t="str">
        <f t="shared" si="407"/>
        <v/>
      </c>
      <c r="AK582" s="675" t="str">
        <f t="shared" si="407"/>
        <v/>
      </c>
      <c r="AL582" s="15"/>
      <c r="AM582" s="15"/>
      <c r="AP582" s="536"/>
      <c r="AR582" s="537"/>
      <c r="AS582" s="529"/>
      <c r="AW582" s="390" t="str">
        <f>""</f>
        <v/>
      </c>
      <c r="AX582" s="531"/>
      <c r="AY582" s="390" t="str">
        <f>""</f>
        <v/>
      </c>
      <c r="BD582" s="520"/>
      <c r="BE582" s="520"/>
      <c r="BF582" s="520"/>
      <c r="BG582" s="520"/>
      <c r="BH582" s="520"/>
      <c r="BI582" s="520"/>
      <c r="BJ582" s="520"/>
      <c r="BK582" s="520"/>
      <c r="BL582" s="520"/>
      <c r="BM582" s="520"/>
      <c r="BN582" s="520"/>
      <c r="BO582" s="520"/>
      <c r="BP582" s="520"/>
      <c r="BQ582" s="520"/>
      <c r="BR582" s="520"/>
      <c r="BS582" s="520"/>
      <c r="BT582" s="520"/>
      <c r="BU582" s="520"/>
      <c r="BV582" s="520"/>
      <c r="BW582" s="520"/>
      <c r="BX582" s="520"/>
      <c r="BY582" s="520"/>
    </row>
    <row r="583" spans="1:84" ht="12" customHeight="1" x14ac:dyDescent="0.3">
      <c r="A583" s="765"/>
      <c r="E583" s="258" t="str">
        <f>$AX$96</f>
        <v>Összes gól: 2 p</v>
      </c>
      <c r="H583" s="673" t="str">
        <f t="shared" ref="H583:AK583" si="408">IF(OR(BC578,NOT($AS$28)),"",IF(AND(NOT($AS$32),COUNTIF(H579:H582,"ü")&gt;0),"",IF(H577+H578=$E577+$E578,"ü"," ")))</f>
        <v/>
      </c>
      <c r="I583" s="674" t="str">
        <f t="shared" si="408"/>
        <v/>
      </c>
      <c r="J583" s="674" t="str">
        <f t="shared" si="408"/>
        <v/>
      </c>
      <c r="K583" s="674" t="str">
        <f t="shared" si="408"/>
        <v/>
      </c>
      <c r="L583" s="674" t="str">
        <f t="shared" si="408"/>
        <v/>
      </c>
      <c r="M583" s="674" t="str">
        <f t="shared" si="408"/>
        <v/>
      </c>
      <c r="N583" s="674" t="str">
        <f t="shared" si="408"/>
        <v/>
      </c>
      <c r="O583" s="674" t="str">
        <f t="shared" si="408"/>
        <v/>
      </c>
      <c r="P583" s="674" t="str">
        <f t="shared" si="408"/>
        <v/>
      </c>
      <c r="Q583" s="674" t="str">
        <f t="shared" si="408"/>
        <v/>
      </c>
      <c r="R583" s="674" t="str">
        <f t="shared" si="408"/>
        <v/>
      </c>
      <c r="S583" s="674" t="str">
        <f t="shared" si="408"/>
        <v/>
      </c>
      <c r="T583" s="674" t="str">
        <f t="shared" si="408"/>
        <v/>
      </c>
      <c r="U583" s="674" t="str">
        <f t="shared" si="408"/>
        <v/>
      </c>
      <c r="V583" s="674" t="str">
        <f t="shared" si="408"/>
        <v/>
      </c>
      <c r="W583" s="674" t="str">
        <f t="shared" si="408"/>
        <v/>
      </c>
      <c r="X583" s="674" t="str">
        <f t="shared" si="408"/>
        <v/>
      </c>
      <c r="Y583" s="674" t="str">
        <f t="shared" si="408"/>
        <v/>
      </c>
      <c r="Z583" s="674" t="str">
        <f t="shared" si="408"/>
        <v/>
      </c>
      <c r="AA583" s="674" t="str">
        <f t="shared" si="408"/>
        <v/>
      </c>
      <c r="AB583" s="674" t="str">
        <f t="shared" si="408"/>
        <v/>
      </c>
      <c r="AC583" s="674" t="str">
        <f t="shared" si="408"/>
        <v/>
      </c>
      <c r="AD583" s="674" t="str">
        <f t="shared" si="408"/>
        <v/>
      </c>
      <c r="AE583" s="674" t="str">
        <f t="shared" si="408"/>
        <v/>
      </c>
      <c r="AF583" s="674" t="str">
        <f t="shared" si="408"/>
        <v/>
      </c>
      <c r="AG583" s="674" t="str">
        <f t="shared" si="408"/>
        <v/>
      </c>
      <c r="AH583" s="674" t="str">
        <f t="shared" si="408"/>
        <v/>
      </c>
      <c r="AI583" s="674" t="str">
        <f t="shared" si="408"/>
        <v/>
      </c>
      <c r="AJ583" s="674" t="str">
        <f t="shared" si="408"/>
        <v/>
      </c>
      <c r="AK583" s="675" t="str">
        <f t="shared" si="408"/>
        <v/>
      </c>
      <c r="AL583" s="15"/>
      <c r="AM583" s="15"/>
      <c r="AP583" s="536"/>
      <c r="AR583" s="537"/>
      <c r="AS583" s="529"/>
      <c r="AW583" s="390" t="str">
        <f>""</f>
        <v/>
      </c>
      <c r="AX583" s="531"/>
      <c r="AY583" s="390" t="str">
        <f>""</f>
        <v/>
      </c>
      <c r="BD583" s="520"/>
      <c r="BE583" s="520"/>
      <c r="BF583" s="520"/>
      <c r="BG583" s="520"/>
      <c r="BH583" s="520"/>
      <c r="BI583" s="520"/>
      <c r="BJ583" s="520"/>
      <c r="BK583" s="520"/>
      <c r="BL583" s="520"/>
      <c r="BM583" s="520"/>
      <c r="BN583" s="520"/>
      <c r="BO583" s="520"/>
      <c r="BP583" s="520"/>
      <c r="BQ583" s="520"/>
      <c r="BR583" s="520"/>
      <c r="BS583" s="520"/>
      <c r="BT583" s="520"/>
      <c r="BU583" s="520"/>
      <c r="BV583" s="520"/>
      <c r="BW583" s="520"/>
      <c r="BX583" s="520"/>
      <c r="BY583" s="520"/>
    </row>
    <row r="584" spans="1:84" ht="12" customHeight="1" x14ac:dyDescent="0.3">
      <c r="A584" s="765"/>
      <c r="E584" s="258" t="str">
        <f>$AX$97</f>
        <v>Fordított gólkülönbség: 1 p</v>
      </c>
      <c r="H584" s="676" t="str">
        <f t="shared" ref="H584:AK584" si="409">IF(OR(BC578,NOT($AS$30)),"",IF(AND(NOT($AS$32),COUNTIF(H579:H583,"ü")&gt;0),"",IF(AND(H577-H578=$E578-$E577,H577&lt;&gt;H578),"ü"," ")))</f>
        <v/>
      </c>
      <c r="I584" s="677" t="str">
        <f t="shared" si="409"/>
        <v/>
      </c>
      <c r="J584" s="677" t="str">
        <f t="shared" si="409"/>
        <v/>
      </c>
      <c r="K584" s="677" t="str">
        <f t="shared" si="409"/>
        <v/>
      </c>
      <c r="L584" s="677" t="str">
        <f t="shared" si="409"/>
        <v/>
      </c>
      <c r="M584" s="677" t="str">
        <f t="shared" si="409"/>
        <v/>
      </c>
      <c r="N584" s="677" t="str">
        <f t="shared" si="409"/>
        <v/>
      </c>
      <c r="O584" s="677" t="str">
        <f t="shared" si="409"/>
        <v/>
      </c>
      <c r="P584" s="677" t="str">
        <f t="shared" si="409"/>
        <v/>
      </c>
      <c r="Q584" s="677" t="str">
        <f t="shared" si="409"/>
        <v/>
      </c>
      <c r="R584" s="677" t="str">
        <f t="shared" si="409"/>
        <v/>
      </c>
      <c r="S584" s="677" t="str">
        <f t="shared" si="409"/>
        <v/>
      </c>
      <c r="T584" s="677" t="str">
        <f t="shared" si="409"/>
        <v/>
      </c>
      <c r="U584" s="677" t="str">
        <f t="shared" si="409"/>
        <v/>
      </c>
      <c r="V584" s="677" t="str">
        <f t="shared" si="409"/>
        <v/>
      </c>
      <c r="W584" s="677" t="str">
        <f t="shared" si="409"/>
        <v/>
      </c>
      <c r="X584" s="677" t="str">
        <f t="shared" si="409"/>
        <v/>
      </c>
      <c r="Y584" s="677" t="str">
        <f t="shared" si="409"/>
        <v/>
      </c>
      <c r="Z584" s="677" t="str">
        <f t="shared" si="409"/>
        <v/>
      </c>
      <c r="AA584" s="677" t="str">
        <f t="shared" si="409"/>
        <v/>
      </c>
      <c r="AB584" s="677" t="str">
        <f t="shared" si="409"/>
        <v/>
      </c>
      <c r="AC584" s="677" t="str">
        <f t="shared" si="409"/>
        <v/>
      </c>
      <c r="AD584" s="677" t="str">
        <f t="shared" si="409"/>
        <v/>
      </c>
      <c r="AE584" s="677" t="str">
        <f t="shared" si="409"/>
        <v/>
      </c>
      <c r="AF584" s="677" t="str">
        <f t="shared" si="409"/>
        <v/>
      </c>
      <c r="AG584" s="677" t="str">
        <f t="shared" si="409"/>
        <v/>
      </c>
      <c r="AH584" s="677" t="str">
        <f t="shared" si="409"/>
        <v/>
      </c>
      <c r="AI584" s="677" t="str">
        <f t="shared" si="409"/>
        <v/>
      </c>
      <c r="AJ584" s="677" t="str">
        <f t="shared" si="409"/>
        <v/>
      </c>
      <c r="AK584" s="678" t="str">
        <f t="shared" si="409"/>
        <v/>
      </c>
      <c r="AL584" s="15"/>
      <c r="AM584" s="15"/>
      <c r="AP584" s="536"/>
      <c r="AR584" s="537"/>
      <c r="AS584" s="529"/>
      <c r="AW584" s="390" t="str">
        <f>""</f>
        <v/>
      </c>
      <c r="AX584" s="531"/>
      <c r="AY584" s="390" t="str">
        <f>""</f>
        <v/>
      </c>
      <c r="BD584" s="520"/>
      <c r="BE584" s="520"/>
      <c r="BF584" s="520"/>
      <c r="BG584" s="520"/>
      <c r="BH584" s="520"/>
      <c r="BI584" s="520"/>
      <c r="BJ584" s="520"/>
      <c r="BK584" s="520"/>
      <c r="BL584" s="520"/>
      <c r="BM584" s="520"/>
      <c r="BN584" s="520"/>
      <c r="BO584" s="520"/>
      <c r="BP584" s="520"/>
      <c r="BQ584" s="520"/>
      <c r="BR584" s="520"/>
      <c r="BS584" s="520"/>
      <c r="BT584" s="520"/>
      <c r="BU584" s="520"/>
      <c r="BV584" s="520"/>
      <c r="BW584" s="520"/>
      <c r="BX584" s="520"/>
      <c r="BY584" s="520"/>
    </row>
    <row r="585" spans="1:84" ht="15" customHeight="1" x14ac:dyDescent="0.3">
      <c r="A585" s="765"/>
      <c r="E585" s="79" t="s">
        <v>799</v>
      </c>
      <c r="H585" s="679">
        <f t="shared" ref="H585:AK585" si="410">IF(NOT(H$13),"",SUMPRODUCT((H579:H584="ü")*($AW$92:$AW$97)))</f>
        <v>0</v>
      </c>
      <c r="I585" s="680">
        <f t="shared" si="410"/>
        <v>0</v>
      </c>
      <c r="J585" s="680">
        <f t="shared" si="410"/>
        <v>0</v>
      </c>
      <c r="K585" s="680">
        <f t="shared" si="410"/>
        <v>0</v>
      </c>
      <c r="L585" s="680">
        <f t="shared" si="410"/>
        <v>0</v>
      </c>
      <c r="M585" s="680">
        <f t="shared" si="410"/>
        <v>0</v>
      </c>
      <c r="N585" s="680">
        <f t="shared" si="410"/>
        <v>0</v>
      </c>
      <c r="O585" s="680">
        <f t="shared" si="410"/>
        <v>0</v>
      </c>
      <c r="P585" s="680">
        <f t="shared" si="410"/>
        <v>0</v>
      </c>
      <c r="Q585" s="680">
        <f t="shared" si="410"/>
        <v>0</v>
      </c>
      <c r="R585" s="680">
        <f t="shared" si="410"/>
        <v>0</v>
      </c>
      <c r="S585" s="680">
        <f t="shared" si="410"/>
        <v>0</v>
      </c>
      <c r="T585" s="680">
        <f t="shared" si="410"/>
        <v>0</v>
      </c>
      <c r="U585" s="680">
        <f t="shared" si="410"/>
        <v>0</v>
      </c>
      <c r="V585" s="680">
        <f t="shared" si="410"/>
        <v>0</v>
      </c>
      <c r="W585" s="680">
        <f t="shared" si="410"/>
        <v>0</v>
      </c>
      <c r="X585" s="680">
        <f t="shared" si="410"/>
        <v>0</v>
      </c>
      <c r="Y585" s="680">
        <f t="shared" si="410"/>
        <v>0</v>
      </c>
      <c r="Z585" s="680">
        <f t="shared" si="410"/>
        <v>0</v>
      </c>
      <c r="AA585" s="680">
        <f t="shared" si="410"/>
        <v>0</v>
      </c>
      <c r="AB585" s="680">
        <f t="shared" si="410"/>
        <v>0</v>
      </c>
      <c r="AC585" s="680">
        <f t="shared" si="410"/>
        <v>0</v>
      </c>
      <c r="AD585" s="680">
        <f t="shared" si="410"/>
        <v>0</v>
      </c>
      <c r="AE585" s="680" t="str">
        <f t="shared" si="410"/>
        <v/>
      </c>
      <c r="AF585" s="680" t="str">
        <f t="shared" si="410"/>
        <v/>
      </c>
      <c r="AG585" s="680" t="str">
        <f t="shared" si="410"/>
        <v/>
      </c>
      <c r="AH585" s="680" t="str">
        <f t="shared" si="410"/>
        <v/>
      </c>
      <c r="AI585" s="680" t="str">
        <f t="shared" si="410"/>
        <v/>
      </c>
      <c r="AJ585" s="680" t="str">
        <f t="shared" si="410"/>
        <v/>
      </c>
      <c r="AK585" s="681" t="str">
        <f t="shared" si="410"/>
        <v/>
      </c>
      <c r="AP585" s="536"/>
      <c r="AR585" s="537"/>
      <c r="AS585" s="529"/>
    </row>
    <row r="586" spans="1:84" ht="9" customHeight="1" x14ac:dyDescent="0.3">
      <c r="A586" s="765"/>
      <c r="D586" s="15"/>
      <c r="E586" s="15"/>
      <c r="F586" s="15"/>
      <c r="G586" s="15"/>
      <c r="H586" s="15"/>
      <c r="I586" s="16"/>
      <c r="J586" s="15"/>
      <c r="K586" s="15"/>
      <c r="L586" s="16"/>
      <c r="M586" s="15"/>
      <c r="N586" s="15"/>
      <c r="O586" s="16"/>
      <c r="P586" s="15"/>
      <c r="Q586" s="15"/>
      <c r="R586" s="16"/>
      <c r="S586" s="15"/>
      <c r="T586" s="15"/>
      <c r="U586" s="16"/>
      <c r="V586" s="15"/>
      <c r="W586" s="15"/>
      <c r="X586" s="16"/>
      <c r="Y586" s="15"/>
      <c r="Z586" s="15"/>
      <c r="AA586" s="16"/>
      <c r="AB586" s="15"/>
      <c r="AC586" s="15"/>
      <c r="AD586" s="16"/>
      <c r="AE586" s="15"/>
      <c r="AF586" s="15"/>
      <c r="AG586" s="16"/>
      <c r="AH586" s="15"/>
      <c r="AI586" s="15"/>
      <c r="AJ586" s="16"/>
      <c r="AK586" s="15"/>
      <c r="AP586" s="536"/>
      <c r="AR586" s="537"/>
      <c r="AS586" s="529"/>
    </row>
    <row r="587" spans="1:84" ht="15" customHeight="1" x14ac:dyDescent="0.3">
      <c r="A587" s="765"/>
      <c r="C587" s="27" t="str">
        <f>" "&amp;VLOOKUP(AQ588,schedule,18,FALSE)&amp;"  ("&amp;VLOOKUP(AQ588,schedule,3,FALSE)&amp;" PÁRHARC)"</f>
        <v xml:space="preserve"> JÚNIUS 29. – KEDD 18:00  (6/8 PÁRHARC)</v>
      </c>
      <c r="D587" s="27"/>
      <c r="E587" s="26"/>
      <c r="F587" s="26"/>
      <c r="G587" s="26"/>
      <c r="H587" s="26"/>
      <c r="I587" s="26"/>
      <c r="J587" s="26"/>
      <c r="AP587" s="536"/>
      <c r="AR587" s="537"/>
      <c r="AS587" s="529"/>
    </row>
    <row r="588" spans="1:84" ht="15" customHeight="1" x14ac:dyDescent="0.3">
      <c r="A588" s="765"/>
      <c r="C588" s="661"/>
      <c r="D588" s="662" t="str">
        <f>IF(INDEX(n.er,$AR588,8)="","",INDEX(n.er,$AR588,8))</f>
        <v>D csoport 1. hely</v>
      </c>
      <c r="E588" s="663" t="str">
        <f>IF(NOT($AS588),"",INDEX(n.er,$AR588,9))</f>
        <v/>
      </c>
      <c r="F588" s="662"/>
      <c r="G588" s="259"/>
      <c r="H588" s="664"/>
      <c r="I588" s="665"/>
      <c r="J588" s="665"/>
      <c r="K588" s="665"/>
      <c r="L588" s="665"/>
      <c r="M588" s="665"/>
      <c r="N588" s="665"/>
      <c r="O588" s="665"/>
      <c r="P588" s="665"/>
      <c r="Q588" s="665"/>
      <c r="R588" s="665"/>
      <c r="S588" s="665"/>
      <c r="T588" s="665"/>
      <c r="U588" s="665"/>
      <c r="V588" s="665"/>
      <c r="W588" s="665"/>
      <c r="X588" s="665"/>
      <c r="Y588" s="665"/>
      <c r="Z588" s="665"/>
      <c r="AA588" s="665"/>
      <c r="AB588" s="665"/>
      <c r="AC588" s="665"/>
      <c r="AD588" s="665"/>
      <c r="AE588" s="665"/>
      <c r="AF588" s="665"/>
      <c r="AG588" s="665"/>
      <c r="AH588" s="665"/>
      <c r="AI588" s="665"/>
      <c r="AJ588" s="665"/>
      <c r="AK588" s="666"/>
      <c r="AP588" s="52">
        <f>AP577+1</f>
        <v>43</v>
      </c>
      <c r="AQ588" s="311">
        <f>INDEX(schedule,AP588,1)</f>
        <v>44</v>
      </c>
      <c r="AR588" s="311">
        <f>MATCH(AQ588,n.er.index,0)</f>
        <v>109</v>
      </c>
      <c r="AS588" s="532" t="b">
        <f>INDEX(n.er,$AR588,3)</f>
        <v>0</v>
      </c>
      <c r="AT588" s="531"/>
      <c r="AU588" s="531"/>
      <c r="AV588" s="531"/>
      <c r="AW588" s="531"/>
      <c r="AX588" s="531"/>
      <c r="BC588" s="525" t="b">
        <f t="shared" ref="BC588:CF588" si="411">IF(AND(ISNUMBER(H588),ISNUMBER(H589),H588&lt;&gt;"",H589&lt;&gt;""),AND(H588&gt;=0,H589&gt;=0,MOD(H588+H589,1)=0),FALSE)</f>
        <v>0</v>
      </c>
      <c r="BD588" s="525" t="b">
        <f t="shared" si="411"/>
        <v>0</v>
      </c>
      <c r="BE588" s="525" t="b">
        <f t="shared" si="411"/>
        <v>0</v>
      </c>
      <c r="BF588" s="525" t="b">
        <f t="shared" si="411"/>
        <v>0</v>
      </c>
      <c r="BG588" s="525" t="b">
        <f t="shared" si="411"/>
        <v>0</v>
      </c>
      <c r="BH588" s="525" t="b">
        <f t="shared" si="411"/>
        <v>0</v>
      </c>
      <c r="BI588" s="525" t="b">
        <f t="shared" si="411"/>
        <v>0</v>
      </c>
      <c r="BJ588" s="525" t="b">
        <f t="shared" si="411"/>
        <v>0</v>
      </c>
      <c r="BK588" s="525" t="b">
        <f t="shared" si="411"/>
        <v>0</v>
      </c>
      <c r="BL588" s="525" t="b">
        <f t="shared" si="411"/>
        <v>0</v>
      </c>
      <c r="BM588" s="525" t="b">
        <f t="shared" si="411"/>
        <v>0</v>
      </c>
      <c r="BN588" s="525" t="b">
        <f t="shared" si="411"/>
        <v>0</v>
      </c>
      <c r="BO588" s="525" t="b">
        <f t="shared" si="411"/>
        <v>0</v>
      </c>
      <c r="BP588" s="525" t="b">
        <f t="shared" si="411"/>
        <v>0</v>
      </c>
      <c r="BQ588" s="525" t="b">
        <f t="shared" si="411"/>
        <v>0</v>
      </c>
      <c r="BR588" s="525" t="b">
        <f t="shared" si="411"/>
        <v>0</v>
      </c>
      <c r="BS588" s="525" t="b">
        <f t="shared" si="411"/>
        <v>0</v>
      </c>
      <c r="BT588" s="525" t="b">
        <f t="shared" si="411"/>
        <v>0</v>
      </c>
      <c r="BU588" s="525" t="b">
        <f t="shared" si="411"/>
        <v>0</v>
      </c>
      <c r="BV588" s="525" t="b">
        <f t="shared" si="411"/>
        <v>0</v>
      </c>
      <c r="BW588" s="525" t="b">
        <f t="shared" si="411"/>
        <v>0</v>
      </c>
      <c r="BX588" s="525" t="b">
        <f t="shared" si="411"/>
        <v>0</v>
      </c>
      <c r="BY588" s="525" t="b">
        <f t="shared" si="411"/>
        <v>0</v>
      </c>
      <c r="BZ588" s="525" t="b">
        <f t="shared" si="411"/>
        <v>0</v>
      </c>
      <c r="CA588" s="525" t="b">
        <f t="shared" si="411"/>
        <v>0</v>
      </c>
      <c r="CB588" s="525" t="b">
        <f t="shared" si="411"/>
        <v>0</v>
      </c>
      <c r="CC588" s="525" t="b">
        <f t="shared" si="411"/>
        <v>0</v>
      </c>
      <c r="CD588" s="525" t="b">
        <f t="shared" si="411"/>
        <v>0</v>
      </c>
      <c r="CE588" s="525" t="b">
        <f t="shared" si="411"/>
        <v>0</v>
      </c>
      <c r="CF588" s="525" t="b">
        <f t="shared" si="411"/>
        <v>0</v>
      </c>
    </row>
    <row r="589" spans="1:84" ht="15" customHeight="1" x14ac:dyDescent="0.3">
      <c r="A589" s="765"/>
      <c r="C589" s="695"/>
      <c r="D589" s="696" t="str">
        <f>IF(INDEX(n.er,$AR588,11)="","",INDEX(n.er,$AR588,11))</f>
        <v>F csoport 2. hely</v>
      </c>
      <c r="E589" s="697" t="str">
        <f>IF(NOT($AS588),"",INDEX(n.er,$AR588,10))</f>
        <v/>
      </c>
      <c r="F589" s="696"/>
      <c r="G589" s="259"/>
      <c r="H589" s="667"/>
      <c r="I589" s="668"/>
      <c r="J589" s="668"/>
      <c r="K589" s="668"/>
      <c r="L589" s="668"/>
      <c r="M589" s="668"/>
      <c r="N589" s="668"/>
      <c r="O589" s="668"/>
      <c r="P589" s="668"/>
      <c r="Q589" s="668"/>
      <c r="R589" s="668"/>
      <c r="S589" s="668"/>
      <c r="T589" s="668"/>
      <c r="U589" s="668"/>
      <c r="V589" s="668"/>
      <c r="W589" s="668"/>
      <c r="X589" s="668"/>
      <c r="Y589" s="668"/>
      <c r="Z589" s="668"/>
      <c r="AA589" s="668"/>
      <c r="AB589" s="668"/>
      <c r="AC589" s="668"/>
      <c r="AD589" s="668"/>
      <c r="AE589" s="668"/>
      <c r="AF589" s="668"/>
      <c r="AG589" s="668"/>
      <c r="AH589" s="668"/>
      <c r="AI589" s="668"/>
      <c r="AJ589" s="668"/>
      <c r="AK589" s="669"/>
      <c r="AP589" s="533"/>
      <c r="AQ589" s="577"/>
      <c r="AR589" s="534"/>
      <c r="AS589" s="535"/>
      <c r="AX589" s="531"/>
      <c r="BC589" s="34" t="b">
        <f t="shared" ref="BC589:CF589" si="412">OR(NOT(H$13),NOT($AS588),NOT(BC588))</f>
        <v>1</v>
      </c>
      <c r="BD589" s="34" t="b">
        <f t="shared" si="412"/>
        <v>1</v>
      </c>
      <c r="BE589" s="34" t="b">
        <f t="shared" si="412"/>
        <v>1</v>
      </c>
      <c r="BF589" s="34" t="b">
        <f t="shared" si="412"/>
        <v>1</v>
      </c>
      <c r="BG589" s="34" t="b">
        <f t="shared" si="412"/>
        <v>1</v>
      </c>
      <c r="BH589" s="34" t="b">
        <f t="shared" si="412"/>
        <v>1</v>
      </c>
      <c r="BI589" s="34" t="b">
        <f t="shared" si="412"/>
        <v>1</v>
      </c>
      <c r="BJ589" s="34" t="b">
        <f t="shared" si="412"/>
        <v>1</v>
      </c>
      <c r="BK589" s="34" t="b">
        <f t="shared" si="412"/>
        <v>1</v>
      </c>
      <c r="BL589" s="34" t="b">
        <f t="shared" si="412"/>
        <v>1</v>
      </c>
      <c r="BM589" s="34" t="b">
        <f t="shared" si="412"/>
        <v>1</v>
      </c>
      <c r="BN589" s="34" t="b">
        <f t="shared" si="412"/>
        <v>1</v>
      </c>
      <c r="BO589" s="34" t="b">
        <f t="shared" si="412"/>
        <v>1</v>
      </c>
      <c r="BP589" s="34" t="b">
        <f t="shared" si="412"/>
        <v>1</v>
      </c>
      <c r="BQ589" s="34" t="b">
        <f t="shared" si="412"/>
        <v>1</v>
      </c>
      <c r="BR589" s="34" t="b">
        <f t="shared" si="412"/>
        <v>1</v>
      </c>
      <c r="BS589" s="34" t="b">
        <f t="shared" si="412"/>
        <v>1</v>
      </c>
      <c r="BT589" s="34" t="b">
        <f t="shared" si="412"/>
        <v>1</v>
      </c>
      <c r="BU589" s="34" t="b">
        <f t="shared" si="412"/>
        <v>1</v>
      </c>
      <c r="BV589" s="34" t="b">
        <f t="shared" si="412"/>
        <v>1</v>
      </c>
      <c r="BW589" s="34" t="b">
        <f t="shared" si="412"/>
        <v>1</v>
      </c>
      <c r="BX589" s="34" t="b">
        <f t="shared" si="412"/>
        <v>1</v>
      </c>
      <c r="BY589" s="34" t="b">
        <f t="shared" si="412"/>
        <v>1</v>
      </c>
      <c r="BZ589" s="34" t="b">
        <f t="shared" si="412"/>
        <v>1</v>
      </c>
      <c r="CA589" s="34" t="b">
        <f t="shared" si="412"/>
        <v>1</v>
      </c>
      <c r="CB589" s="34" t="b">
        <f t="shared" si="412"/>
        <v>1</v>
      </c>
      <c r="CC589" s="34" t="b">
        <f t="shared" si="412"/>
        <v>1</v>
      </c>
      <c r="CD589" s="34" t="b">
        <f t="shared" si="412"/>
        <v>1</v>
      </c>
      <c r="CE589" s="34" t="b">
        <f t="shared" si="412"/>
        <v>1</v>
      </c>
      <c r="CF589" s="34" t="b">
        <f t="shared" si="412"/>
        <v>1</v>
      </c>
    </row>
    <row r="590" spans="1:84" ht="12" customHeight="1" x14ac:dyDescent="0.3">
      <c r="A590" s="765"/>
      <c r="E590" s="258" t="str">
        <f>$AX$92</f>
        <v>Telitalálat: 10 p</v>
      </c>
      <c r="H590" s="670" t="str">
        <f t="shared" ref="H590:AK590" si="413">IF(OR(BC589,NOT($AS$20)),"",IF(AND(H588=$E588,H589=$E589),"ü",""))</f>
        <v/>
      </c>
      <c r="I590" s="671" t="str">
        <f t="shared" si="413"/>
        <v/>
      </c>
      <c r="J590" s="671" t="str">
        <f t="shared" si="413"/>
        <v/>
      </c>
      <c r="K590" s="671" t="str">
        <f t="shared" si="413"/>
        <v/>
      </c>
      <c r="L590" s="671" t="str">
        <f t="shared" si="413"/>
        <v/>
      </c>
      <c r="M590" s="671" t="str">
        <f t="shared" si="413"/>
        <v/>
      </c>
      <c r="N590" s="671" t="str">
        <f t="shared" si="413"/>
        <v/>
      </c>
      <c r="O590" s="671" t="str">
        <f t="shared" si="413"/>
        <v/>
      </c>
      <c r="P590" s="671" t="str">
        <f t="shared" si="413"/>
        <v/>
      </c>
      <c r="Q590" s="671" t="str">
        <f t="shared" si="413"/>
        <v/>
      </c>
      <c r="R590" s="671" t="str">
        <f t="shared" si="413"/>
        <v/>
      </c>
      <c r="S590" s="671" t="str">
        <f t="shared" si="413"/>
        <v/>
      </c>
      <c r="T590" s="671" t="str">
        <f t="shared" si="413"/>
        <v/>
      </c>
      <c r="U590" s="671" t="str">
        <f t="shared" si="413"/>
        <v/>
      </c>
      <c r="V590" s="671" t="str">
        <f t="shared" si="413"/>
        <v/>
      </c>
      <c r="W590" s="671" t="str">
        <f t="shared" si="413"/>
        <v/>
      </c>
      <c r="X590" s="671" t="str">
        <f t="shared" si="413"/>
        <v/>
      </c>
      <c r="Y590" s="671" t="str">
        <f t="shared" si="413"/>
        <v/>
      </c>
      <c r="Z590" s="671" t="str">
        <f t="shared" si="413"/>
        <v/>
      </c>
      <c r="AA590" s="671" t="str">
        <f t="shared" si="413"/>
        <v/>
      </c>
      <c r="AB590" s="671" t="str">
        <f t="shared" si="413"/>
        <v/>
      </c>
      <c r="AC590" s="671" t="str">
        <f t="shared" si="413"/>
        <v/>
      </c>
      <c r="AD590" s="671" t="str">
        <f t="shared" si="413"/>
        <v/>
      </c>
      <c r="AE590" s="671" t="str">
        <f t="shared" si="413"/>
        <v/>
      </c>
      <c r="AF590" s="671" t="str">
        <f t="shared" si="413"/>
        <v/>
      </c>
      <c r="AG590" s="671" t="str">
        <f t="shared" si="413"/>
        <v/>
      </c>
      <c r="AH590" s="671" t="str">
        <f t="shared" si="413"/>
        <v/>
      </c>
      <c r="AI590" s="671" t="str">
        <f t="shared" si="413"/>
        <v/>
      </c>
      <c r="AJ590" s="671" t="str">
        <f t="shared" si="413"/>
        <v/>
      </c>
      <c r="AK590" s="672" t="str">
        <f t="shared" si="413"/>
        <v/>
      </c>
      <c r="AL590" s="15"/>
      <c r="AM590" s="15"/>
      <c r="AP590" s="536"/>
      <c r="AR590" s="537"/>
      <c r="AS590" s="529"/>
      <c r="AW590" s="390" t="str">
        <f>""</f>
        <v/>
      </c>
      <c r="AX590" s="531"/>
      <c r="AY590" s="390" t="str">
        <f>""</f>
        <v/>
      </c>
      <c r="BD590" s="520"/>
      <c r="BE590" s="520"/>
      <c r="BF590" s="520"/>
      <c r="BG590" s="520"/>
      <c r="BH590" s="520"/>
      <c r="BI590" s="520"/>
      <c r="BJ590" s="520"/>
      <c r="BK590" s="520"/>
      <c r="BL590" s="520"/>
      <c r="BM590" s="520"/>
      <c r="BN590" s="520"/>
      <c r="BO590" s="520"/>
      <c r="BP590" s="520"/>
      <c r="BQ590" s="520"/>
      <c r="BR590" s="520"/>
      <c r="BS590" s="520"/>
      <c r="BT590" s="520"/>
      <c r="BU590" s="520"/>
      <c r="BV590" s="520"/>
      <c r="BW590" s="520"/>
      <c r="BX590" s="520"/>
      <c r="BY590" s="520"/>
    </row>
    <row r="591" spans="1:84" ht="12" customHeight="1" x14ac:dyDescent="0.3">
      <c r="A591" s="765"/>
      <c r="E591" s="258" t="str">
        <f>$AX$93</f>
        <v>Gólkülönbség: 6 p</v>
      </c>
      <c r="H591" s="673" t="str">
        <f t="shared" ref="H591:AK591" si="414">IF(OR(BC589,NOT($AS$22)),"",IF(AND(NOT($AS$32),H590="ü"),"",IF(H588-H589=$E588-$E589,"ü"," ")))</f>
        <v/>
      </c>
      <c r="I591" s="674" t="str">
        <f t="shared" si="414"/>
        <v/>
      </c>
      <c r="J591" s="674" t="str">
        <f t="shared" si="414"/>
        <v/>
      </c>
      <c r="K591" s="674" t="str">
        <f t="shared" si="414"/>
        <v/>
      </c>
      <c r="L591" s="674" t="str">
        <f t="shared" si="414"/>
        <v/>
      </c>
      <c r="M591" s="674" t="str">
        <f t="shared" si="414"/>
        <v/>
      </c>
      <c r="N591" s="674" t="str">
        <f t="shared" si="414"/>
        <v/>
      </c>
      <c r="O591" s="674" t="str">
        <f t="shared" si="414"/>
        <v/>
      </c>
      <c r="P591" s="674" t="str">
        <f t="shared" si="414"/>
        <v/>
      </c>
      <c r="Q591" s="674" t="str">
        <f t="shared" si="414"/>
        <v/>
      </c>
      <c r="R591" s="674" t="str">
        <f t="shared" si="414"/>
        <v/>
      </c>
      <c r="S591" s="674" t="str">
        <f t="shared" si="414"/>
        <v/>
      </c>
      <c r="T591" s="674" t="str">
        <f t="shared" si="414"/>
        <v/>
      </c>
      <c r="U591" s="674" t="str">
        <f t="shared" si="414"/>
        <v/>
      </c>
      <c r="V591" s="674" t="str">
        <f t="shared" si="414"/>
        <v/>
      </c>
      <c r="W591" s="674" t="str">
        <f t="shared" si="414"/>
        <v/>
      </c>
      <c r="X591" s="674" t="str">
        <f t="shared" si="414"/>
        <v/>
      </c>
      <c r="Y591" s="674" t="str">
        <f t="shared" si="414"/>
        <v/>
      </c>
      <c r="Z591" s="674" t="str">
        <f t="shared" si="414"/>
        <v/>
      </c>
      <c r="AA591" s="674" t="str">
        <f t="shared" si="414"/>
        <v/>
      </c>
      <c r="AB591" s="674" t="str">
        <f t="shared" si="414"/>
        <v/>
      </c>
      <c r="AC591" s="674" t="str">
        <f t="shared" si="414"/>
        <v/>
      </c>
      <c r="AD591" s="674" t="str">
        <f t="shared" si="414"/>
        <v/>
      </c>
      <c r="AE591" s="674" t="str">
        <f t="shared" si="414"/>
        <v/>
      </c>
      <c r="AF591" s="674" t="str">
        <f t="shared" si="414"/>
        <v/>
      </c>
      <c r="AG591" s="674" t="str">
        <f t="shared" si="414"/>
        <v/>
      </c>
      <c r="AH591" s="674" t="str">
        <f t="shared" si="414"/>
        <v/>
      </c>
      <c r="AI591" s="674" t="str">
        <f t="shared" si="414"/>
        <v/>
      </c>
      <c r="AJ591" s="674" t="str">
        <f t="shared" si="414"/>
        <v/>
      </c>
      <c r="AK591" s="675" t="str">
        <f t="shared" si="414"/>
        <v/>
      </c>
      <c r="AL591" s="15"/>
      <c r="AM591" s="15"/>
      <c r="AP591" s="536"/>
      <c r="AR591" s="537"/>
      <c r="AS591" s="529"/>
      <c r="AW591" s="390" t="str">
        <f>""</f>
        <v/>
      </c>
      <c r="AX591" s="531"/>
      <c r="AY591" s="390" t="str">
        <f>""</f>
        <v/>
      </c>
      <c r="BD591" s="520"/>
      <c r="BE591" s="520"/>
      <c r="BF591" s="520"/>
      <c r="BG591" s="520"/>
      <c r="BH591" s="520"/>
      <c r="BI591" s="520"/>
      <c r="BJ591" s="520"/>
      <c r="BK591" s="520"/>
      <c r="BL591" s="520"/>
      <c r="BM591" s="520"/>
      <c r="BN591" s="520"/>
      <c r="BO591" s="520"/>
      <c r="BP591" s="520"/>
      <c r="BQ591" s="520"/>
      <c r="BR591" s="520"/>
      <c r="BS591" s="520"/>
      <c r="BT591" s="520"/>
      <c r="BU591" s="520"/>
      <c r="BV591" s="520"/>
      <c r="BW591" s="520"/>
      <c r="BX591" s="520"/>
      <c r="BY591" s="520"/>
    </row>
    <row r="592" spans="1:84" ht="12" customHeight="1" x14ac:dyDescent="0.3">
      <c r="A592" s="765"/>
      <c r="E592" s="258" t="str">
        <f>$AX$94</f>
        <v>Mérkőzés kimenetele: 4 p</v>
      </c>
      <c r="H592" s="673" t="str">
        <f t="shared" ref="H592:AK592" si="415">IF(OR(BC589,NOT($AS$24)),"",IF(AND(NOT($AS$32),COUNTIF(H590:H591,"ü")&gt;0),"",IF(SIGN(H588-H589)=SIGN($E588-$E589),"ü"," ")))</f>
        <v/>
      </c>
      <c r="I592" s="674" t="str">
        <f t="shared" si="415"/>
        <v/>
      </c>
      <c r="J592" s="674" t="str">
        <f t="shared" si="415"/>
        <v/>
      </c>
      <c r="K592" s="674" t="str">
        <f t="shared" si="415"/>
        <v/>
      </c>
      <c r="L592" s="674" t="str">
        <f t="shared" si="415"/>
        <v/>
      </c>
      <c r="M592" s="674" t="str">
        <f t="shared" si="415"/>
        <v/>
      </c>
      <c r="N592" s="674" t="str">
        <f t="shared" si="415"/>
        <v/>
      </c>
      <c r="O592" s="674" t="str">
        <f t="shared" si="415"/>
        <v/>
      </c>
      <c r="P592" s="674" t="str">
        <f t="shared" si="415"/>
        <v/>
      </c>
      <c r="Q592" s="674" t="str">
        <f t="shared" si="415"/>
        <v/>
      </c>
      <c r="R592" s="674" t="str">
        <f t="shared" si="415"/>
        <v/>
      </c>
      <c r="S592" s="674" t="str">
        <f t="shared" si="415"/>
        <v/>
      </c>
      <c r="T592" s="674" t="str">
        <f t="shared" si="415"/>
        <v/>
      </c>
      <c r="U592" s="674" t="str">
        <f t="shared" si="415"/>
        <v/>
      </c>
      <c r="V592" s="674" t="str">
        <f t="shared" si="415"/>
        <v/>
      </c>
      <c r="W592" s="674" t="str">
        <f t="shared" si="415"/>
        <v/>
      </c>
      <c r="X592" s="674" t="str">
        <f t="shared" si="415"/>
        <v/>
      </c>
      <c r="Y592" s="674" t="str">
        <f t="shared" si="415"/>
        <v/>
      </c>
      <c r="Z592" s="674" t="str">
        <f t="shared" si="415"/>
        <v/>
      </c>
      <c r="AA592" s="674" t="str">
        <f t="shared" si="415"/>
        <v/>
      </c>
      <c r="AB592" s="674" t="str">
        <f t="shared" si="415"/>
        <v/>
      </c>
      <c r="AC592" s="674" t="str">
        <f t="shared" si="415"/>
        <v/>
      </c>
      <c r="AD592" s="674" t="str">
        <f t="shared" si="415"/>
        <v/>
      </c>
      <c r="AE592" s="674" t="str">
        <f t="shared" si="415"/>
        <v/>
      </c>
      <c r="AF592" s="674" t="str">
        <f t="shared" si="415"/>
        <v/>
      </c>
      <c r="AG592" s="674" t="str">
        <f t="shared" si="415"/>
        <v/>
      </c>
      <c r="AH592" s="674" t="str">
        <f t="shared" si="415"/>
        <v/>
      </c>
      <c r="AI592" s="674" t="str">
        <f t="shared" si="415"/>
        <v/>
      </c>
      <c r="AJ592" s="674" t="str">
        <f t="shared" si="415"/>
        <v/>
      </c>
      <c r="AK592" s="675" t="str">
        <f t="shared" si="415"/>
        <v/>
      </c>
      <c r="AL592" s="15"/>
      <c r="AM592" s="15"/>
      <c r="AP592" s="536"/>
      <c r="AR592" s="537"/>
      <c r="AS592" s="529"/>
      <c r="AW592" s="390" t="str">
        <f>""</f>
        <v/>
      </c>
      <c r="AX592" s="531"/>
      <c r="AY592" s="390" t="str">
        <f>""</f>
        <v/>
      </c>
      <c r="BD592" s="520"/>
      <c r="BE592" s="520"/>
      <c r="BF592" s="520"/>
      <c r="BG592" s="520"/>
      <c r="BH592" s="520"/>
      <c r="BI592" s="520"/>
      <c r="BJ592" s="520"/>
      <c r="BK592" s="520"/>
      <c r="BL592" s="520"/>
      <c r="BM592" s="520"/>
      <c r="BN592" s="520"/>
      <c r="BO592" s="520"/>
      <c r="BP592" s="520"/>
      <c r="BQ592" s="520"/>
      <c r="BR592" s="520"/>
      <c r="BS592" s="520"/>
      <c r="BT592" s="520"/>
      <c r="BU592" s="520"/>
      <c r="BV592" s="520"/>
      <c r="BW592" s="520"/>
      <c r="BX592" s="520"/>
      <c r="BY592" s="520"/>
    </row>
    <row r="593" spans="1:84" ht="12" customHeight="1" x14ac:dyDescent="0.3">
      <c r="A593" s="765"/>
      <c r="E593" s="258" t="str">
        <f>$AX$95</f>
        <v>Egyik csapat góljainak száma: 3 p</v>
      </c>
      <c r="H593" s="673" t="str">
        <f t="shared" ref="H593:AK593" si="416">IF(OR(BC589,NOT($AS$26)),"",IF(AND(NOT($AS$32),COUNTIF(H590:H592,"ü")&gt;0),"",IF(OR(H588=$E588,H589=$E589),"ü"," ")))</f>
        <v/>
      </c>
      <c r="I593" s="674" t="str">
        <f t="shared" si="416"/>
        <v/>
      </c>
      <c r="J593" s="674" t="str">
        <f t="shared" si="416"/>
        <v/>
      </c>
      <c r="K593" s="674" t="str">
        <f t="shared" si="416"/>
        <v/>
      </c>
      <c r="L593" s="674" t="str">
        <f t="shared" si="416"/>
        <v/>
      </c>
      <c r="M593" s="674" t="str">
        <f t="shared" si="416"/>
        <v/>
      </c>
      <c r="N593" s="674" t="str">
        <f t="shared" si="416"/>
        <v/>
      </c>
      <c r="O593" s="674" t="str">
        <f t="shared" si="416"/>
        <v/>
      </c>
      <c r="P593" s="674" t="str">
        <f t="shared" si="416"/>
        <v/>
      </c>
      <c r="Q593" s="674" t="str">
        <f t="shared" si="416"/>
        <v/>
      </c>
      <c r="R593" s="674" t="str">
        <f t="shared" si="416"/>
        <v/>
      </c>
      <c r="S593" s="674" t="str">
        <f t="shared" si="416"/>
        <v/>
      </c>
      <c r="T593" s="674" t="str">
        <f t="shared" si="416"/>
        <v/>
      </c>
      <c r="U593" s="674" t="str">
        <f t="shared" si="416"/>
        <v/>
      </c>
      <c r="V593" s="674" t="str">
        <f t="shared" si="416"/>
        <v/>
      </c>
      <c r="W593" s="674" t="str">
        <f t="shared" si="416"/>
        <v/>
      </c>
      <c r="X593" s="674" t="str">
        <f t="shared" si="416"/>
        <v/>
      </c>
      <c r="Y593" s="674" t="str">
        <f t="shared" si="416"/>
        <v/>
      </c>
      <c r="Z593" s="674" t="str">
        <f t="shared" si="416"/>
        <v/>
      </c>
      <c r="AA593" s="674" t="str">
        <f t="shared" si="416"/>
        <v/>
      </c>
      <c r="AB593" s="674" t="str">
        <f t="shared" si="416"/>
        <v/>
      </c>
      <c r="AC593" s="674" t="str">
        <f t="shared" si="416"/>
        <v/>
      </c>
      <c r="AD593" s="674" t="str">
        <f t="shared" si="416"/>
        <v/>
      </c>
      <c r="AE593" s="674" t="str">
        <f t="shared" si="416"/>
        <v/>
      </c>
      <c r="AF593" s="674" t="str">
        <f t="shared" si="416"/>
        <v/>
      </c>
      <c r="AG593" s="674" t="str">
        <f t="shared" si="416"/>
        <v/>
      </c>
      <c r="AH593" s="674" t="str">
        <f t="shared" si="416"/>
        <v/>
      </c>
      <c r="AI593" s="674" t="str">
        <f t="shared" si="416"/>
        <v/>
      </c>
      <c r="AJ593" s="674" t="str">
        <f t="shared" si="416"/>
        <v/>
      </c>
      <c r="AK593" s="675" t="str">
        <f t="shared" si="416"/>
        <v/>
      </c>
      <c r="AL593" s="15"/>
      <c r="AM593" s="15"/>
      <c r="AP593" s="536"/>
      <c r="AR593" s="537"/>
      <c r="AS593" s="529"/>
      <c r="AW593" s="390" t="str">
        <f>""</f>
        <v/>
      </c>
      <c r="AX593" s="531"/>
      <c r="AY593" s="390" t="str">
        <f>""</f>
        <v/>
      </c>
      <c r="BD593" s="520"/>
      <c r="BE593" s="520"/>
      <c r="BF593" s="520"/>
      <c r="BG593" s="520"/>
      <c r="BH593" s="520"/>
      <c r="BI593" s="520"/>
      <c r="BJ593" s="520"/>
      <c r="BK593" s="520"/>
      <c r="BL593" s="520"/>
      <c r="BM593" s="520"/>
      <c r="BN593" s="520"/>
      <c r="BO593" s="520"/>
      <c r="BP593" s="520"/>
      <c r="BQ593" s="520"/>
      <c r="BR593" s="520"/>
      <c r="BS593" s="520"/>
      <c r="BT593" s="520"/>
      <c r="BU593" s="520"/>
      <c r="BV593" s="520"/>
      <c r="BW593" s="520"/>
      <c r="BX593" s="520"/>
      <c r="BY593" s="520"/>
    </row>
    <row r="594" spans="1:84" ht="12" customHeight="1" x14ac:dyDescent="0.3">
      <c r="A594" s="765"/>
      <c r="E594" s="258" t="str">
        <f>$AX$96</f>
        <v>Összes gól: 2 p</v>
      </c>
      <c r="H594" s="673" t="str">
        <f t="shared" ref="H594:AK594" si="417">IF(OR(BC589,NOT($AS$28)),"",IF(AND(NOT($AS$32),COUNTIF(H590:H593,"ü")&gt;0),"",IF(H588+H589=$E588+$E589,"ü"," ")))</f>
        <v/>
      </c>
      <c r="I594" s="674" t="str">
        <f t="shared" si="417"/>
        <v/>
      </c>
      <c r="J594" s="674" t="str">
        <f t="shared" si="417"/>
        <v/>
      </c>
      <c r="K594" s="674" t="str">
        <f t="shared" si="417"/>
        <v/>
      </c>
      <c r="L594" s="674" t="str">
        <f t="shared" si="417"/>
        <v/>
      </c>
      <c r="M594" s="674" t="str">
        <f t="shared" si="417"/>
        <v/>
      </c>
      <c r="N594" s="674" t="str">
        <f t="shared" si="417"/>
        <v/>
      </c>
      <c r="O594" s="674" t="str">
        <f t="shared" si="417"/>
        <v/>
      </c>
      <c r="P594" s="674" t="str">
        <f t="shared" si="417"/>
        <v/>
      </c>
      <c r="Q594" s="674" t="str">
        <f t="shared" si="417"/>
        <v/>
      </c>
      <c r="R594" s="674" t="str">
        <f t="shared" si="417"/>
        <v/>
      </c>
      <c r="S594" s="674" t="str">
        <f t="shared" si="417"/>
        <v/>
      </c>
      <c r="T594" s="674" t="str">
        <f t="shared" si="417"/>
        <v/>
      </c>
      <c r="U594" s="674" t="str">
        <f t="shared" si="417"/>
        <v/>
      </c>
      <c r="V594" s="674" t="str">
        <f t="shared" si="417"/>
        <v/>
      </c>
      <c r="W594" s="674" t="str">
        <f t="shared" si="417"/>
        <v/>
      </c>
      <c r="X594" s="674" t="str">
        <f t="shared" si="417"/>
        <v/>
      </c>
      <c r="Y594" s="674" t="str">
        <f t="shared" si="417"/>
        <v/>
      </c>
      <c r="Z594" s="674" t="str">
        <f t="shared" si="417"/>
        <v/>
      </c>
      <c r="AA594" s="674" t="str">
        <f t="shared" si="417"/>
        <v/>
      </c>
      <c r="AB594" s="674" t="str">
        <f t="shared" si="417"/>
        <v/>
      </c>
      <c r="AC594" s="674" t="str">
        <f t="shared" si="417"/>
        <v/>
      </c>
      <c r="AD594" s="674" t="str">
        <f t="shared" si="417"/>
        <v/>
      </c>
      <c r="AE594" s="674" t="str">
        <f t="shared" si="417"/>
        <v/>
      </c>
      <c r="AF594" s="674" t="str">
        <f t="shared" si="417"/>
        <v/>
      </c>
      <c r="AG594" s="674" t="str">
        <f t="shared" si="417"/>
        <v/>
      </c>
      <c r="AH594" s="674" t="str">
        <f t="shared" si="417"/>
        <v/>
      </c>
      <c r="AI594" s="674" t="str">
        <f t="shared" si="417"/>
        <v/>
      </c>
      <c r="AJ594" s="674" t="str">
        <f t="shared" si="417"/>
        <v/>
      </c>
      <c r="AK594" s="675" t="str">
        <f t="shared" si="417"/>
        <v/>
      </c>
      <c r="AL594" s="15"/>
      <c r="AM594" s="15"/>
      <c r="AP594" s="536"/>
      <c r="AR594" s="537"/>
      <c r="AS594" s="529"/>
      <c r="AW594" s="390" t="str">
        <f>""</f>
        <v/>
      </c>
      <c r="AX594" s="531"/>
      <c r="AY594" s="390" t="str">
        <f>""</f>
        <v/>
      </c>
      <c r="BD594" s="520"/>
      <c r="BE594" s="520"/>
      <c r="BF594" s="520"/>
      <c r="BG594" s="520"/>
      <c r="BH594" s="520"/>
      <c r="BI594" s="520"/>
      <c r="BJ594" s="520"/>
      <c r="BK594" s="520"/>
      <c r="BL594" s="520"/>
      <c r="BM594" s="520"/>
      <c r="BN594" s="520"/>
      <c r="BO594" s="520"/>
      <c r="BP594" s="520"/>
      <c r="BQ594" s="520"/>
      <c r="BR594" s="520"/>
      <c r="BS594" s="520"/>
      <c r="BT594" s="520"/>
      <c r="BU594" s="520"/>
      <c r="BV594" s="520"/>
      <c r="BW594" s="520"/>
      <c r="BX594" s="520"/>
      <c r="BY594" s="520"/>
    </row>
    <row r="595" spans="1:84" ht="12" customHeight="1" x14ac:dyDescent="0.3">
      <c r="A595" s="765"/>
      <c r="E595" s="258" t="str">
        <f>$AX$97</f>
        <v>Fordított gólkülönbség: 1 p</v>
      </c>
      <c r="H595" s="676" t="str">
        <f t="shared" ref="H595:AK595" si="418">IF(OR(BC589,NOT($AS$30)),"",IF(AND(NOT($AS$32),COUNTIF(H590:H594,"ü")&gt;0),"",IF(AND(H588-H589=$E589-$E588,H588&lt;&gt;H589),"ü"," ")))</f>
        <v/>
      </c>
      <c r="I595" s="677" t="str">
        <f t="shared" si="418"/>
        <v/>
      </c>
      <c r="J595" s="677" t="str">
        <f t="shared" si="418"/>
        <v/>
      </c>
      <c r="K595" s="677" t="str">
        <f t="shared" si="418"/>
        <v/>
      </c>
      <c r="L595" s="677" t="str">
        <f t="shared" si="418"/>
        <v/>
      </c>
      <c r="M595" s="677" t="str">
        <f t="shared" si="418"/>
        <v/>
      </c>
      <c r="N595" s="677" t="str">
        <f t="shared" si="418"/>
        <v/>
      </c>
      <c r="O595" s="677" t="str">
        <f t="shared" si="418"/>
        <v/>
      </c>
      <c r="P595" s="677" t="str">
        <f t="shared" si="418"/>
        <v/>
      </c>
      <c r="Q595" s="677" t="str">
        <f t="shared" si="418"/>
        <v/>
      </c>
      <c r="R595" s="677" t="str">
        <f t="shared" si="418"/>
        <v/>
      </c>
      <c r="S595" s="677" t="str">
        <f t="shared" si="418"/>
        <v/>
      </c>
      <c r="T595" s="677" t="str">
        <f t="shared" si="418"/>
        <v/>
      </c>
      <c r="U595" s="677" t="str">
        <f t="shared" si="418"/>
        <v/>
      </c>
      <c r="V595" s="677" t="str">
        <f t="shared" si="418"/>
        <v/>
      </c>
      <c r="W595" s="677" t="str">
        <f t="shared" si="418"/>
        <v/>
      </c>
      <c r="X595" s="677" t="str">
        <f t="shared" si="418"/>
        <v/>
      </c>
      <c r="Y595" s="677" t="str">
        <f t="shared" si="418"/>
        <v/>
      </c>
      <c r="Z595" s="677" t="str">
        <f t="shared" si="418"/>
        <v/>
      </c>
      <c r="AA595" s="677" t="str">
        <f t="shared" si="418"/>
        <v/>
      </c>
      <c r="AB595" s="677" t="str">
        <f t="shared" si="418"/>
        <v/>
      </c>
      <c r="AC595" s="677" t="str">
        <f t="shared" si="418"/>
        <v/>
      </c>
      <c r="AD595" s="677" t="str">
        <f t="shared" si="418"/>
        <v/>
      </c>
      <c r="AE595" s="677" t="str">
        <f t="shared" si="418"/>
        <v/>
      </c>
      <c r="AF595" s="677" t="str">
        <f t="shared" si="418"/>
        <v/>
      </c>
      <c r="AG595" s="677" t="str">
        <f t="shared" si="418"/>
        <v/>
      </c>
      <c r="AH595" s="677" t="str">
        <f t="shared" si="418"/>
        <v/>
      </c>
      <c r="AI595" s="677" t="str">
        <f t="shared" si="418"/>
        <v/>
      </c>
      <c r="AJ595" s="677" t="str">
        <f t="shared" si="418"/>
        <v/>
      </c>
      <c r="AK595" s="678" t="str">
        <f t="shared" si="418"/>
        <v/>
      </c>
      <c r="AL595" s="15"/>
      <c r="AM595" s="15"/>
      <c r="AP595" s="536"/>
      <c r="AR595" s="537"/>
      <c r="AS595" s="529"/>
      <c r="AW595" s="390" t="str">
        <f>""</f>
        <v/>
      </c>
      <c r="AX595" s="531"/>
      <c r="AY595" s="390" t="str">
        <f>""</f>
        <v/>
      </c>
      <c r="BD595" s="520"/>
      <c r="BE595" s="520"/>
      <c r="BF595" s="520"/>
      <c r="BG595" s="520"/>
      <c r="BH595" s="520"/>
      <c r="BI595" s="520"/>
      <c r="BJ595" s="520"/>
      <c r="BK595" s="520"/>
      <c r="BL595" s="520"/>
      <c r="BM595" s="520"/>
      <c r="BN595" s="520"/>
      <c r="BO595" s="520"/>
      <c r="BP595" s="520"/>
      <c r="BQ595" s="520"/>
      <c r="BR595" s="520"/>
      <c r="BS595" s="520"/>
      <c r="BT595" s="520"/>
      <c r="BU595" s="520"/>
      <c r="BV595" s="520"/>
      <c r="BW595" s="520"/>
      <c r="BX595" s="520"/>
      <c r="BY595" s="520"/>
    </row>
    <row r="596" spans="1:84" ht="15" customHeight="1" x14ac:dyDescent="0.3">
      <c r="A596" s="765"/>
      <c r="E596" s="79" t="s">
        <v>799</v>
      </c>
      <c r="H596" s="679">
        <f t="shared" ref="H596:AK596" si="419">IF(NOT(H$13),"",SUMPRODUCT((H590:H595="ü")*($AW$92:$AW$97)))</f>
        <v>0</v>
      </c>
      <c r="I596" s="680">
        <f t="shared" si="419"/>
        <v>0</v>
      </c>
      <c r="J596" s="680">
        <f t="shared" si="419"/>
        <v>0</v>
      </c>
      <c r="K596" s="680">
        <f t="shared" si="419"/>
        <v>0</v>
      </c>
      <c r="L596" s="680">
        <f t="shared" si="419"/>
        <v>0</v>
      </c>
      <c r="M596" s="680">
        <f t="shared" si="419"/>
        <v>0</v>
      </c>
      <c r="N596" s="680">
        <f t="shared" si="419"/>
        <v>0</v>
      </c>
      <c r="O596" s="680">
        <f t="shared" si="419"/>
        <v>0</v>
      </c>
      <c r="P596" s="680">
        <f t="shared" si="419"/>
        <v>0</v>
      </c>
      <c r="Q596" s="680">
        <f t="shared" si="419"/>
        <v>0</v>
      </c>
      <c r="R596" s="680">
        <f t="shared" si="419"/>
        <v>0</v>
      </c>
      <c r="S596" s="680">
        <f t="shared" si="419"/>
        <v>0</v>
      </c>
      <c r="T596" s="680">
        <f t="shared" si="419"/>
        <v>0</v>
      </c>
      <c r="U596" s="680">
        <f t="shared" si="419"/>
        <v>0</v>
      </c>
      <c r="V596" s="680">
        <f t="shared" si="419"/>
        <v>0</v>
      </c>
      <c r="W596" s="680">
        <f t="shared" si="419"/>
        <v>0</v>
      </c>
      <c r="X596" s="680">
        <f t="shared" si="419"/>
        <v>0</v>
      </c>
      <c r="Y596" s="680">
        <f t="shared" si="419"/>
        <v>0</v>
      </c>
      <c r="Z596" s="680">
        <f t="shared" si="419"/>
        <v>0</v>
      </c>
      <c r="AA596" s="680">
        <f t="shared" si="419"/>
        <v>0</v>
      </c>
      <c r="AB596" s="680">
        <f t="shared" si="419"/>
        <v>0</v>
      </c>
      <c r="AC596" s="680">
        <f t="shared" si="419"/>
        <v>0</v>
      </c>
      <c r="AD596" s="680">
        <f t="shared" si="419"/>
        <v>0</v>
      </c>
      <c r="AE596" s="680" t="str">
        <f t="shared" si="419"/>
        <v/>
      </c>
      <c r="AF596" s="680" t="str">
        <f t="shared" si="419"/>
        <v/>
      </c>
      <c r="AG596" s="680" t="str">
        <f t="shared" si="419"/>
        <v/>
      </c>
      <c r="AH596" s="680" t="str">
        <f t="shared" si="419"/>
        <v/>
      </c>
      <c r="AI596" s="680" t="str">
        <f t="shared" si="419"/>
        <v/>
      </c>
      <c r="AJ596" s="680" t="str">
        <f t="shared" si="419"/>
        <v/>
      </c>
      <c r="AK596" s="681" t="str">
        <f t="shared" si="419"/>
        <v/>
      </c>
      <c r="AP596" s="536"/>
      <c r="AR596" s="537"/>
      <c r="AS596" s="529"/>
    </row>
    <row r="597" spans="1:84" ht="9" customHeight="1" x14ac:dyDescent="0.3">
      <c r="A597" s="765"/>
      <c r="D597" s="15"/>
      <c r="E597" s="15"/>
      <c r="F597" s="15"/>
      <c r="G597" s="15"/>
      <c r="H597" s="15"/>
      <c r="I597" s="16"/>
      <c r="J597" s="15"/>
      <c r="K597" s="15"/>
      <c r="L597" s="16"/>
      <c r="M597" s="15"/>
      <c r="N597" s="15"/>
      <c r="O597" s="16"/>
      <c r="P597" s="15"/>
      <c r="Q597" s="15"/>
      <c r="R597" s="16"/>
      <c r="S597" s="15"/>
      <c r="T597" s="15"/>
      <c r="U597" s="16"/>
      <c r="V597" s="15"/>
      <c r="W597" s="15"/>
      <c r="X597" s="16"/>
      <c r="Y597" s="15"/>
      <c r="Z597" s="15"/>
      <c r="AA597" s="16"/>
      <c r="AB597" s="15"/>
      <c r="AC597" s="15"/>
      <c r="AD597" s="16"/>
      <c r="AE597" s="15"/>
      <c r="AF597" s="15"/>
      <c r="AG597" s="16"/>
      <c r="AH597" s="15"/>
      <c r="AI597" s="15"/>
      <c r="AJ597" s="16"/>
      <c r="AK597" s="15"/>
      <c r="AP597" s="536"/>
      <c r="AR597" s="537"/>
      <c r="AS597" s="529"/>
    </row>
    <row r="598" spans="1:84" ht="15" customHeight="1" x14ac:dyDescent="0.3">
      <c r="A598" s="765"/>
      <c r="C598" s="27" t="str">
        <f>" "&amp;VLOOKUP(AQ599,schedule,18,FALSE)&amp;"  ("&amp;VLOOKUP(AQ599,schedule,3,FALSE)&amp;" PÁRHARC)"</f>
        <v xml:space="preserve"> JÚNIUS 29. – KEDD 21:00  (5/8 PÁRHARC)</v>
      </c>
      <c r="D598" s="27"/>
      <c r="E598" s="26"/>
      <c r="F598" s="26"/>
      <c r="G598" s="26"/>
      <c r="H598" s="26"/>
      <c r="I598" s="26"/>
      <c r="J598" s="26"/>
      <c r="AP598" s="536"/>
      <c r="AR598" s="537"/>
      <c r="AS598" s="529"/>
    </row>
    <row r="599" spans="1:84" ht="15" customHeight="1" x14ac:dyDescent="0.3">
      <c r="A599" s="765"/>
      <c r="C599" s="661"/>
      <c r="D599" s="662" t="str">
        <f>IF(INDEX(n.er,$AR599,8)="","",INDEX(n.er,$AR599,8))</f>
        <v>E csoport 1. hely</v>
      </c>
      <c r="E599" s="663" t="str">
        <f>IF(NOT($AS599),"",INDEX(n.er,$AR599,9))</f>
        <v/>
      </c>
      <c r="F599" s="662"/>
      <c r="G599" s="259"/>
      <c r="H599" s="664"/>
      <c r="I599" s="665"/>
      <c r="J599" s="665"/>
      <c r="K599" s="665"/>
      <c r="L599" s="665"/>
      <c r="M599" s="665"/>
      <c r="N599" s="665"/>
      <c r="O599" s="665"/>
      <c r="P599" s="665"/>
      <c r="Q599" s="665"/>
      <c r="R599" s="665"/>
      <c r="S599" s="665"/>
      <c r="T599" s="665"/>
      <c r="U599" s="665"/>
      <c r="V599" s="665"/>
      <c r="W599" s="665"/>
      <c r="X599" s="665"/>
      <c r="Y599" s="665"/>
      <c r="Z599" s="665"/>
      <c r="AA599" s="665"/>
      <c r="AB599" s="665"/>
      <c r="AC599" s="665"/>
      <c r="AD599" s="665"/>
      <c r="AE599" s="665"/>
      <c r="AF599" s="665"/>
      <c r="AG599" s="665"/>
      <c r="AH599" s="665"/>
      <c r="AI599" s="665"/>
      <c r="AJ599" s="665"/>
      <c r="AK599" s="666"/>
      <c r="AP599" s="52">
        <f>AP588+1</f>
        <v>44</v>
      </c>
      <c r="AQ599" s="311">
        <f>INDEX(schedule,AP599,1)</f>
        <v>43</v>
      </c>
      <c r="AR599" s="311">
        <f>MATCH(AQ599,n.er.index,0)</f>
        <v>110</v>
      </c>
      <c r="AS599" s="532" t="b">
        <f>INDEX(n.er,$AR599,3)</f>
        <v>0</v>
      </c>
      <c r="AT599" s="531"/>
      <c r="AU599" s="531"/>
      <c r="AV599" s="531"/>
      <c r="AW599" s="531"/>
      <c r="AX599" s="531"/>
      <c r="BC599" s="525" t="b">
        <f t="shared" ref="BC599:CF599" si="420">IF(AND(ISNUMBER(H599),ISNUMBER(H600),H599&lt;&gt;"",H600&lt;&gt;""),AND(H599&gt;=0,H600&gt;=0,MOD(H599+H600,1)=0),FALSE)</f>
        <v>0</v>
      </c>
      <c r="BD599" s="525" t="b">
        <f t="shared" si="420"/>
        <v>0</v>
      </c>
      <c r="BE599" s="525" t="b">
        <f t="shared" si="420"/>
        <v>0</v>
      </c>
      <c r="BF599" s="525" t="b">
        <f t="shared" si="420"/>
        <v>0</v>
      </c>
      <c r="BG599" s="525" t="b">
        <f t="shared" si="420"/>
        <v>0</v>
      </c>
      <c r="BH599" s="525" t="b">
        <f t="shared" si="420"/>
        <v>0</v>
      </c>
      <c r="BI599" s="525" t="b">
        <f t="shared" si="420"/>
        <v>0</v>
      </c>
      <c r="BJ599" s="525" t="b">
        <f t="shared" si="420"/>
        <v>0</v>
      </c>
      <c r="BK599" s="525" t="b">
        <f t="shared" si="420"/>
        <v>0</v>
      </c>
      <c r="BL599" s="525" t="b">
        <f t="shared" si="420"/>
        <v>0</v>
      </c>
      <c r="BM599" s="525" t="b">
        <f t="shared" si="420"/>
        <v>0</v>
      </c>
      <c r="BN599" s="525" t="b">
        <f t="shared" si="420"/>
        <v>0</v>
      </c>
      <c r="BO599" s="525" t="b">
        <f t="shared" si="420"/>
        <v>0</v>
      </c>
      <c r="BP599" s="525" t="b">
        <f t="shared" si="420"/>
        <v>0</v>
      </c>
      <c r="BQ599" s="525" t="b">
        <f t="shared" si="420"/>
        <v>0</v>
      </c>
      <c r="BR599" s="525" t="b">
        <f t="shared" si="420"/>
        <v>0</v>
      </c>
      <c r="BS599" s="525" t="b">
        <f t="shared" si="420"/>
        <v>0</v>
      </c>
      <c r="BT599" s="525" t="b">
        <f t="shared" si="420"/>
        <v>0</v>
      </c>
      <c r="BU599" s="525" t="b">
        <f t="shared" si="420"/>
        <v>0</v>
      </c>
      <c r="BV599" s="525" t="b">
        <f t="shared" si="420"/>
        <v>0</v>
      </c>
      <c r="BW599" s="525" t="b">
        <f t="shared" si="420"/>
        <v>0</v>
      </c>
      <c r="BX599" s="525" t="b">
        <f t="shared" si="420"/>
        <v>0</v>
      </c>
      <c r="BY599" s="525" t="b">
        <f t="shared" si="420"/>
        <v>0</v>
      </c>
      <c r="BZ599" s="525" t="b">
        <f t="shared" si="420"/>
        <v>0</v>
      </c>
      <c r="CA599" s="525" t="b">
        <f t="shared" si="420"/>
        <v>0</v>
      </c>
      <c r="CB599" s="525" t="b">
        <f t="shared" si="420"/>
        <v>0</v>
      </c>
      <c r="CC599" s="525" t="b">
        <f t="shared" si="420"/>
        <v>0</v>
      </c>
      <c r="CD599" s="525" t="b">
        <f t="shared" si="420"/>
        <v>0</v>
      </c>
      <c r="CE599" s="525" t="b">
        <f t="shared" si="420"/>
        <v>0</v>
      </c>
      <c r="CF599" s="525" t="b">
        <f t="shared" si="420"/>
        <v>0</v>
      </c>
    </row>
    <row r="600" spans="1:84" ht="15" customHeight="1" x14ac:dyDescent="0.3">
      <c r="A600" s="765"/>
      <c r="C600" s="695"/>
      <c r="D600" s="696" t="str">
        <f>IF(INDEX(n.er,$AR599,11)="","",INDEX(n.er,$AR599,11))</f>
        <v>A/B/C/D csoport 3. hely</v>
      </c>
      <c r="E600" s="697" t="str">
        <f>IF(NOT($AS599),"",INDEX(n.er,$AR599,10))</f>
        <v/>
      </c>
      <c r="F600" s="696"/>
      <c r="G600" s="259"/>
      <c r="H600" s="667"/>
      <c r="I600" s="668"/>
      <c r="J600" s="668"/>
      <c r="K600" s="668"/>
      <c r="L600" s="668"/>
      <c r="M600" s="668"/>
      <c r="N600" s="668"/>
      <c r="O600" s="668"/>
      <c r="P600" s="668"/>
      <c r="Q600" s="668"/>
      <c r="R600" s="668"/>
      <c r="S600" s="668"/>
      <c r="T600" s="668"/>
      <c r="U600" s="668"/>
      <c r="V600" s="668"/>
      <c r="W600" s="668"/>
      <c r="X600" s="668"/>
      <c r="Y600" s="668"/>
      <c r="Z600" s="668"/>
      <c r="AA600" s="668"/>
      <c r="AB600" s="668"/>
      <c r="AC600" s="668"/>
      <c r="AD600" s="668"/>
      <c r="AE600" s="668"/>
      <c r="AF600" s="668"/>
      <c r="AG600" s="668"/>
      <c r="AH600" s="668"/>
      <c r="AI600" s="668"/>
      <c r="AJ600" s="668"/>
      <c r="AK600" s="669"/>
      <c r="AP600" s="533"/>
      <c r="AQ600" s="577"/>
      <c r="AR600" s="534"/>
      <c r="AS600" s="535"/>
      <c r="AX600" s="531"/>
      <c r="BC600" s="34" t="b">
        <f t="shared" ref="BC600:CF600" si="421">OR(NOT(H$13),NOT($AS599),NOT(BC599))</f>
        <v>1</v>
      </c>
      <c r="BD600" s="34" t="b">
        <f t="shared" si="421"/>
        <v>1</v>
      </c>
      <c r="BE600" s="34" t="b">
        <f t="shared" si="421"/>
        <v>1</v>
      </c>
      <c r="BF600" s="34" t="b">
        <f t="shared" si="421"/>
        <v>1</v>
      </c>
      <c r="BG600" s="34" t="b">
        <f t="shared" si="421"/>
        <v>1</v>
      </c>
      <c r="BH600" s="34" t="b">
        <f t="shared" si="421"/>
        <v>1</v>
      </c>
      <c r="BI600" s="34" t="b">
        <f t="shared" si="421"/>
        <v>1</v>
      </c>
      <c r="BJ600" s="34" t="b">
        <f t="shared" si="421"/>
        <v>1</v>
      </c>
      <c r="BK600" s="34" t="b">
        <f t="shared" si="421"/>
        <v>1</v>
      </c>
      <c r="BL600" s="34" t="b">
        <f t="shared" si="421"/>
        <v>1</v>
      </c>
      <c r="BM600" s="34" t="b">
        <f t="shared" si="421"/>
        <v>1</v>
      </c>
      <c r="BN600" s="34" t="b">
        <f t="shared" si="421"/>
        <v>1</v>
      </c>
      <c r="BO600" s="34" t="b">
        <f t="shared" si="421"/>
        <v>1</v>
      </c>
      <c r="BP600" s="34" t="b">
        <f t="shared" si="421"/>
        <v>1</v>
      </c>
      <c r="BQ600" s="34" t="b">
        <f t="shared" si="421"/>
        <v>1</v>
      </c>
      <c r="BR600" s="34" t="b">
        <f t="shared" si="421"/>
        <v>1</v>
      </c>
      <c r="BS600" s="34" t="b">
        <f t="shared" si="421"/>
        <v>1</v>
      </c>
      <c r="BT600" s="34" t="b">
        <f t="shared" si="421"/>
        <v>1</v>
      </c>
      <c r="BU600" s="34" t="b">
        <f t="shared" si="421"/>
        <v>1</v>
      </c>
      <c r="BV600" s="34" t="b">
        <f t="shared" si="421"/>
        <v>1</v>
      </c>
      <c r="BW600" s="34" t="b">
        <f t="shared" si="421"/>
        <v>1</v>
      </c>
      <c r="BX600" s="34" t="b">
        <f t="shared" si="421"/>
        <v>1</v>
      </c>
      <c r="BY600" s="34" t="b">
        <f t="shared" si="421"/>
        <v>1</v>
      </c>
      <c r="BZ600" s="34" t="b">
        <f t="shared" si="421"/>
        <v>1</v>
      </c>
      <c r="CA600" s="34" t="b">
        <f t="shared" si="421"/>
        <v>1</v>
      </c>
      <c r="CB600" s="34" t="b">
        <f t="shared" si="421"/>
        <v>1</v>
      </c>
      <c r="CC600" s="34" t="b">
        <f t="shared" si="421"/>
        <v>1</v>
      </c>
      <c r="CD600" s="34" t="b">
        <f t="shared" si="421"/>
        <v>1</v>
      </c>
      <c r="CE600" s="34" t="b">
        <f t="shared" si="421"/>
        <v>1</v>
      </c>
      <c r="CF600" s="34" t="b">
        <f t="shared" si="421"/>
        <v>1</v>
      </c>
    </row>
    <row r="601" spans="1:84" ht="12" customHeight="1" x14ac:dyDescent="0.3">
      <c r="A601" s="765"/>
      <c r="E601" s="258" t="str">
        <f>$AX$92</f>
        <v>Telitalálat: 10 p</v>
      </c>
      <c r="H601" s="670" t="str">
        <f t="shared" ref="H601:AK601" si="422">IF(OR(BC600,NOT($AS$20)),"",IF(AND(H599=$E599,H600=$E600),"ü",""))</f>
        <v/>
      </c>
      <c r="I601" s="671" t="str">
        <f t="shared" si="422"/>
        <v/>
      </c>
      <c r="J601" s="671" t="str">
        <f t="shared" si="422"/>
        <v/>
      </c>
      <c r="K601" s="671" t="str">
        <f t="shared" si="422"/>
        <v/>
      </c>
      <c r="L601" s="671" t="str">
        <f t="shared" si="422"/>
        <v/>
      </c>
      <c r="M601" s="671" t="str">
        <f t="shared" si="422"/>
        <v/>
      </c>
      <c r="N601" s="671" t="str">
        <f t="shared" si="422"/>
        <v/>
      </c>
      <c r="O601" s="671" t="str">
        <f t="shared" si="422"/>
        <v/>
      </c>
      <c r="P601" s="671" t="str">
        <f t="shared" si="422"/>
        <v/>
      </c>
      <c r="Q601" s="671" t="str">
        <f t="shared" si="422"/>
        <v/>
      </c>
      <c r="R601" s="671" t="str">
        <f t="shared" si="422"/>
        <v/>
      </c>
      <c r="S601" s="671" t="str">
        <f t="shared" si="422"/>
        <v/>
      </c>
      <c r="T601" s="671" t="str">
        <f t="shared" si="422"/>
        <v/>
      </c>
      <c r="U601" s="671" t="str">
        <f t="shared" si="422"/>
        <v/>
      </c>
      <c r="V601" s="671" t="str">
        <f t="shared" si="422"/>
        <v/>
      </c>
      <c r="W601" s="671" t="str">
        <f t="shared" si="422"/>
        <v/>
      </c>
      <c r="X601" s="671" t="str">
        <f t="shared" si="422"/>
        <v/>
      </c>
      <c r="Y601" s="671" t="str">
        <f t="shared" si="422"/>
        <v/>
      </c>
      <c r="Z601" s="671" t="str">
        <f t="shared" si="422"/>
        <v/>
      </c>
      <c r="AA601" s="671" t="str">
        <f t="shared" si="422"/>
        <v/>
      </c>
      <c r="AB601" s="671" t="str">
        <f t="shared" si="422"/>
        <v/>
      </c>
      <c r="AC601" s="671" t="str">
        <f t="shared" si="422"/>
        <v/>
      </c>
      <c r="AD601" s="671" t="str">
        <f t="shared" si="422"/>
        <v/>
      </c>
      <c r="AE601" s="671" t="str">
        <f t="shared" si="422"/>
        <v/>
      </c>
      <c r="AF601" s="671" t="str">
        <f t="shared" si="422"/>
        <v/>
      </c>
      <c r="AG601" s="671" t="str">
        <f t="shared" si="422"/>
        <v/>
      </c>
      <c r="AH601" s="671" t="str">
        <f t="shared" si="422"/>
        <v/>
      </c>
      <c r="AI601" s="671" t="str">
        <f t="shared" si="422"/>
        <v/>
      </c>
      <c r="AJ601" s="671" t="str">
        <f t="shared" si="422"/>
        <v/>
      </c>
      <c r="AK601" s="672" t="str">
        <f t="shared" si="422"/>
        <v/>
      </c>
      <c r="AL601" s="15"/>
      <c r="AM601" s="15"/>
      <c r="AP601" s="536"/>
      <c r="AR601" s="537"/>
      <c r="AS601" s="529"/>
      <c r="AW601" s="390" t="str">
        <f>""</f>
        <v/>
      </c>
      <c r="AX601" s="531"/>
      <c r="AY601" s="390" t="str">
        <f>""</f>
        <v/>
      </c>
      <c r="BD601" s="520"/>
      <c r="BE601" s="520"/>
      <c r="BF601" s="520"/>
      <c r="BG601" s="520"/>
      <c r="BH601" s="520"/>
      <c r="BI601" s="520"/>
      <c r="BJ601" s="520"/>
      <c r="BK601" s="520"/>
      <c r="BL601" s="520"/>
      <c r="BM601" s="520"/>
      <c r="BN601" s="520"/>
      <c r="BO601" s="520"/>
      <c r="BP601" s="520"/>
      <c r="BQ601" s="520"/>
      <c r="BR601" s="520"/>
      <c r="BS601" s="520"/>
      <c r="BT601" s="520"/>
      <c r="BU601" s="520"/>
      <c r="BV601" s="520"/>
      <c r="BW601" s="520"/>
      <c r="BX601" s="520"/>
      <c r="BY601" s="520"/>
    </row>
    <row r="602" spans="1:84" ht="12" customHeight="1" x14ac:dyDescent="0.3">
      <c r="A602" s="765"/>
      <c r="E602" s="258" t="str">
        <f>$AX$93</f>
        <v>Gólkülönbség: 6 p</v>
      </c>
      <c r="H602" s="673" t="str">
        <f t="shared" ref="H602:AK602" si="423">IF(OR(BC600,NOT($AS$22)),"",IF(AND(NOT($AS$32),H601="ü"),"",IF(H599-H600=$E599-$E600,"ü"," ")))</f>
        <v/>
      </c>
      <c r="I602" s="674" t="str">
        <f t="shared" si="423"/>
        <v/>
      </c>
      <c r="J602" s="674" t="str">
        <f t="shared" si="423"/>
        <v/>
      </c>
      <c r="K602" s="674" t="str">
        <f t="shared" si="423"/>
        <v/>
      </c>
      <c r="L602" s="674" t="str">
        <f t="shared" si="423"/>
        <v/>
      </c>
      <c r="M602" s="674" t="str">
        <f t="shared" si="423"/>
        <v/>
      </c>
      <c r="N602" s="674" t="str">
        <f t="shared" si="423"/>
        <v/>
      </c>
      <c r="O602" s="674" t="str">
        <f t="shared" si="423"/>
        <v/>
      </c>
      <c r="P602" s="674" t="str">
        <f t="shared" si="423"/>
        <v/>
      </c>
      <c r="Q602" s="674" t="str">
        <f t="shared" si="423"/>
        <v/>
      </c>
      <c r="R602" s="674" t="str">
        <f t="shared" si="423"/>
        <v/>
      </c>
      <c r="S602" s="674" t="str">
        <f t="shared" si="423"/>
        <v/>
      </c>
      <c r="T602" s="674" t="str">
        <f t="shared" si="423"/>
        <v/>
      </c>
      <c r="U602" s="674" t="str">
        <f t="shared" si="423"/>
        <v/>
      </c>
      <c r="V602" s="674" t="str">
        <f t="shared" si="423"/>
        <v/>
      </c>
      <c r="W602" s="674" t="str">
        <f t="shared" si="423"/>
        <v/>
      </c>
      <c r="X602" s="674" t="str">
        <f t="shared" si="423"/>
        <v/>
      </c>
      <c r="Y602" s="674" t="str">
        <f t="shared" si="423"/>
        <v/>
      </c>
      <c r="Z602" s="674" t="str">
        <f t="shared" si="423"/>
        <v/>
      </c>
      <c r="AA602" s="674" t="str">
        <f t="shared" si="423"/>
        <v/>
      </c>
      <c r="AB602" s="674" t="str">
        <f t="shared" si="423"/>
        <v/>
      </c>
      <c r="AC602" s="674" t="str">
        <f t="shared" si="423"/>
        <v/>
      </c>
      <c r="AD602" s="674" t="str">
        <f t="shared" si="423"/>
        <v/>
      </c>
      <c r="AE602" s="674" t="str">
        <f t="shared" si="423"/>
        <v/>
      </c>
      <c r="AF602" s="674" t="str">
        <f t="shared" si="423"/>
        <v/>
      </c>
      <c r="AG602" s="674" t="str">
        <f t="shared" si="423"/>
        <v/>
      </c>
      <c r="AH602" s="674" t="str">
        <f t="shared" si="423"/>
        <v/>
      </c>
      <c r="AI602" s="674" t="str">
        <f t="shared" si="423"/>
        <v/>
      </c>
      <c r="AJ602" s="674" t="str">
        <f t="shared" si="423"/>
        <v/>
      </c>
      <c r="AK602" s="675" t="str">
        <f t="shared" si="423"/>
        <v/>
      </c>
      <c r="AL602" s="15"/>
      <c r="AM602" s="15"/>
      <c r="AP602" s="536"/>
      <c r="AR602" s="537"/>
      <c r="AS602" s="529"/>
      <c r="AW602" s="390" t="str">
        <f>""</f>
        <v/>
      </c>
      <c r="AX602" s="531"/>
      <c r="AY602" s="390" t="str">
        <f>""</f>
        <v/>
      </c>
      <c r="BD602" s="520"/>
      <c r="BE602" s="520"/>
      <c r="BF602" s="520"/>
      <c r="BG602" s="520"/>
      <c r="BH602" s="520"/>
      <c r="BI602" s="520"/>
      <c r="BJ602" s="520"/>
      <c r="BK602" s="520"/>
      <c r="BL602" s="520"/>
      <c r="BM602" s="520"/>
      <c r="BN602" s="520"/>
      <c r="BO602" s="520"/>
      <c r="BP602" s="520"/>
      <c r="BQ602" s="520"/>
      <c r="BR602" s="520"/>
      <c r="BS602" s="520"/>
      <c r="BT602" s="520"/>
      <c r="BU602" s="520"/>
      <c r="BV602" s="520"/>
      <c r="BW602" s="520"/>
      <c r="BX602" s="520"/>
      <c r="BY602" s="520"/>
    </row>
    <row r="603" spans="1:84" ht="12" customHeight="1" x14ac:dyDescent="0.3">
      <c r="A603" s="765"/>
      <c r="E603" s="258" t="str">
        <f>$AX$94</f>
        <v>Mérkőzés kimenetele: 4 p</v>
      </c>
      <c r="H603" s="673" t="str">
        <f t="shared" ref="H603:AK603" si="424">IF(OR(BC600,NOT($AS$24)),"",IF(AND(NOT($AS$32),COUNTIF(H601:H602,"ü")&gt;0),"",IF(SIGN(H599-H600)=SIGN($E599-$E600),"ü"," ")))</f>
        <v/>
      </c>
      <c r="I603" s="674" t="str">
        <f t="shared" si="424"/>
        <v/>
      </c>
      <c r="J603" s="674" t="str">
        <f t="shared" si="424"/>
        <v/>
      </c>
      <c r="K603" s="674" t="str">
        <f t="shared" si="424"/>
        <v/>
      </c>
      <c r="L603" s="674" t="str">
        <f t="shared" si="424"/>
        <v/>
      </c>
      <c r="M603" s="674" t="str">
        <f t="shared" si="424"/>
        <v/>
      </c>
      <c r="N603" s="674" t="str">
        <f t="shared" si="424"/>
        <v/>
      </c>
      <c r="O603" s="674" t="str">
        <f t="shared" si="424"/>
        <v/>
      </c>
      <c r="P603" s="674" t="str">
        <f t="shared" si="424"/>
        <v/>
      </c>
      <c r="Q603" s="674" t="str">
        <f t="shared" si="424"/>
        <v/>
      </c>
      <c r="R603" s="674" t="str">
        <f t="shared" si="424"/>
        <v/>
      </c>
      <c r="S603" s="674" t="str">
        <f t="shared" si="424"/>
        <v/>
      </c>
      <c r="T603" s="674" t="str">
        <f t="shared" si="424"/>
        <v/>
      </c>
      <c r="U603" s="674" t="str">
        <f t="shared" si="424"/>
        <v/>
      </c>
      <c r="V603" s="674" t="str">
        <f t="shared" si="424"/>
        <v/>
      </c>
      <c r="W603" s="674" t="str">
        <f t="shared" si="424"/>
        <v/>
      </c>
      <c r="X603" s="674" t="str">
        <f t="shared" si="424"/>
        <v/>
      </c>
      <c r="Y603" s="674" t="str">
        <f t="shared" si="424"/>
        <v/>
      </c>
      <c r="Z603" s="674" t="str">
        <f t="shared" si="424"/>
        <v/>
      </c>
      <c r="AA603" s="674" t="str">
        <f t="shared" si="424"/>
        <v/>
      </c>
      <c r="AB603" s="674" t="str">
        <f t="shared" si="424"/>
        <v/>
      </c>
      <c r="AC603" s="674" t="str">
        <f t="shared" si="424"/>
        <v/>
      </c>
      <c r="AD603" s="674" t="str">
        <f t="shared" si="424"/>
        <v/>
      </c>
      <c r="AE603" s="674" t="str">
        <f t="shared" si="424"/>
        <v/>
      </c>
      <c r="AF603" s="674" t="str">
        <f t="shared" si="424"/>
        <v/>
      </c>
      <c r="AG603" s="674" t="str">
        <f t="shared" si="424"/>
        <v/>
      </c>
      <c r="AH603" s="674" t="str">
        <f t="shared" si="424"/>
        <v/>
      </c>
      <c r="AI603" s="674" t="str">
        <f t="shared" si="424"/>
        <v/>
      </c>
      <c r="AJ603" s="674" t="str">
        <f t="shared" si="424"/>
        <v/>
      </c>
      <c r="AK603" s="675" t="str">
        <f t="shared" si="424"/>
        <v/>
      </c>
      <c r="AL603" s="15"/>
      <c r="AM603" s="15"/>
      <c r="AP603" s="536"/>
      <c r="AR603" s="537"/>
      <c r="AS603" s="529"/>
      <c r="AW603" s="390" t="str">
        <f>""</f>
        <v/>
      </c>
      <c r="AX603" s="531"/>
      <c r="AY603" s="390" t="str">
        <f>""</f>
        <v/>
      </c>
      <c r="BD603" s="520"/>
      <c r="BE603" s="520"/>
      <c r="BF603" s="520"/>
      <c r="BG603" s="520"/>
      <c r="BH603" s="520"/>
      <c r="BI603" s="520"/>
      <c r="BJ603" s="520"/>
      <c r="BK603" s="520"/>
      <c r="BL603" s="520"/>
      <c r="BM603" s="520"/>
      <c r="BN603" s="520"/>
      <c r="BO603" s="520"/>
      <c r="BP603" s="520"/>
      <c r="BQ603" s="520"/>
      <c r="BR603" s="520"/>
      <c r="BS603" s="520"/>
      <c r="BT603" s="520"/>
      <c r="BU603" s="520"/>
      <c r="BV603" s="520"/>
      <c r="BW603" s="520"/>
      <c r="BX603" s="520"/>
      <c r="BY603" s="520"/>
    </row>
    <row r="604" spans="1:84" ht="12" customHeight="1" x14ac:dyDescent="0.3">
      <c r="A604" s="765"/>
      <c r="E604" s="258" t="str">
        <f>$AX$95</f>
        <v>Egyik csapat góljainak száma: 3 p</v>
      </c>
      <c r="H604" s="673" t="str">
        <f t="shared" ref="H604:AK604" si="425">IF(OR(BC600,NOT($AS$26)),"",IF(AND(NOT($AS$32),COUNTIF(H601:H603,"ü")&gt;0),"",IF(OR(H599=$E599,H600=$E600),"ü"," ")))</f>
        <v/>
      </c>
      <c r="I604" s="674" t="str">
        <f t="shared" si="425"/>
        <v/>
      </c>
      <c r="J604" s="674" t="str">
        <f t="shared" si="425"/>
        <v/>
      </c>
      <c r="K604" s="674" t="str">
        <f t="shared" si="425"/>
        <v/>
      </c>
      <c r="L604" s="674" t="str">
        <f t="shared" si="425"/>
        <v/>
      </c>
      <c r="M604" s="674" t="str">
        <f t="shared" si="425"/>
        <v/>
      </c>
      <c r="N604" s="674" t="str">
        <f t="shared" si="425"/>
        <v/>
      </c>
      <c r="O604" s="674" t="str">
        <f t="shared" si="425"/>
        <v/>
      </c>
      <c r="P604" s="674" t="str">
        <f t="shared" si="425"/>
        <v/>
      </c>
      <c r="Q604" s="674" t="str">
        <f t="shared" si="425"/>
        <v/>
      </c>
      <c r="R604" s="674" t="str">
        <f t="shared" si="425"/>
        <v/>
      </c>
      <c r="S604" s="674" t="str">
        <f t="shared" si="425"/>
        <v/>
      </c>
      <c r="T604" s="674" t="str">
        <f t="shared" si="425"/>
        <v/>
      </c>
      <c r="U604" s="674" t="str">
        <f t="shared" si="425"/>
        <v/>
      </c>
      <c r="V604" s="674" t="str">
        <f t="shared" si="425"/>
        <v/>
      </c>
      <c r="W604" s="674" t="str">
        <f t="shared" si="425"/>
        <v/>
      </c>
      <c r="X604" s="674" t="str">
        <f t="shared" si="425"/>
        <v/>
      </c>
      <c r="Y604" s="674" t="str">
        <f t="shared" si="425"/>
        <v/>
      </c>
      <c r="Z604" s="674" t="str">
        <f t="shared" si="425"/>
        <v/>
      </c>
      <c r="AA604" s="674" t="str">
        <f t="shared" si="425"/>
        <v/>
      </c>
      <c r="AB604" s="674" t="str">
        <f t="shared" si="425"/>
        <v/>
      </c>
      <c r="AC604" s="674" t="str">
        <f t="shared" si="425"/>
        <v/>
      </c>
      <c r="AD604" s="674" t="str">
        <f t="shared" si="425"/>
        <v/>
      </c>
      <c r="AE604" s="674" t="str">
        <f t="shared" si="425"/>
        <v/>
      </c>
      <c r="AF604" s="674" t="str">
        <f t="shared" si="425"/>
        <v/>
      </c>
      <c r="AG604" s="674" t="str">
        <f t="shared" si="425"/>
        <v/>
      </c>
      <c r="AH604" s="674" t="str">
        <f t="shared" si="425"/>
        <v/>
      </c>
      <c r="AI604" s="674" t="str">
        <f t="shared" si="425"/>
        <v/>
      </c>
      <c r="AJ604" s="674" t="str">
        <f t="shared" si="425"/>
        <v/>
      </c>
      <c r="AK604" s="675" t="str">
        <f t="shared" si="425"/>
        <v/>
      </c>
      <c r="AL604" s="15"/>
      <c r="AM604" s="15"/>
      <c r="AP604" s="536"/>
      <c r="AR604" s="537"/>
      <c r="AS604" s="529"/>
      <c r="AW604" s="390" t="str">
        <f>""</f>
        <v/>
      </c>
      <c r="AX604" s="531"/>
      <c r="AY604" s="390" t="str">
        <f>""</f>
        <v/>
      </c>
      <c r="BD604" s="520"/>
      <c r="BE604" s="520"/>
      <c r="BF604" s="520"/>
      <c r="BG604" s="520"/>
      <c r="BH604" s="520"/>
      <c r="BI604" s="520"/>
      <c r="BJ604" s="520"/>
      <c r="BK604" s="520"/>
      <c r="BL604" s="520"/>
      <c r="BM604" s="520"/>
      <c r="BN604" s="520"/>
      <c r="BO604" s="520"/>
      <c r="BP604" s="520"/>
      <c r="BQ604" s="520"/>
      <c r="BR604" s="520"/>
      <c r="BS604" s="520"/>
      <c r="BT604" s="520"/>
      <c r="BU604" s="520"/>
      <c r="BV604" s="520"/>
      <c r="BW604" s="520"/>
      <c r="BX604" s="520"/>
      <c r="BY604" s="520"/>
    </row>
    <row r="605" spans="1:84" ht="12" customHeight="1" x14ac:dyDescent="0.3">
      <c r="A605" s="765"/>
      <c r="E605" s="258" t="str">
        <f>$AX$96</f>
        <v>Összes gól: 2 p</v>
      </c>
      <c r="H605" s="673" t="str">
        <f t="shared" ref="H605:AK605" si="426">IF(OR(BC600,NOT($AS$28)),"",IF(AND(NOT($AS$32),COUNTIF(H601:H604,"ü")&gt;0),"",IF(H599+H600=$E599+$E600,"ü"," ")))</f>
        <v/>
      </c>
      <c r="I605" s="674" t="str">
        <f t="shared" si="426"/>
        <v/>
      </c>
      <c r="J605" s="674" t="str">
        <f t="shared" si="426"/>
        <v/>
      </c>
      <c r="K605" s="674" t="str">
        <f t="shared" si="426"/>
        <v/>
      </c>
      <c r="L605" s="674" t="str">
        <f t="shared" si="426"/>
        <v/>
      </c>
      <c r="M605" s="674" t="str">
        <f t="shared" si="426"/>
        <v/>
      </c>
      <c r="N605" s="674" t="str">
        <f t="shared" si="426"/>
        <v/>
      </c>
      <c r="O605" s="674" t="str">
        <f t="shared" si="426"/>
        <v/>
      </c>
      <c r="P605" s="674" t="str">
        <f t="shared" si="426"/>
        <v/>
      </c>
      <c r="Q605" s="674" t="str">
        <f t="shared" si="426"/>
        <v/>
      </c>
      <c r="R605" s="674" t="str">
        <f t="shared" si="426"/>
        <v/>
      </c>
      <c r="S605" s="674" t="str">
        <f t="shared" si="426"/>
        <v/>
      </c>
      <c r="T605" s="674" t="str">
        <f t="shared" si="426"/>
        <v/>
      </c>
      <c r="U605" s="674" t="str">
        <f t="shared" si="426"/>
        <v/>
      </c>
      <c r="V605" s="674" t="str">
        <f t="shared" si="426"/>
        <v/>
      </c>
      <c r="W605" s="674" t="str">
        <f t="shared" si="426"/>
        <v/>
      </c>
      <c r="X605" s="674" t="str">
        <f t="shared" si="426"/>
        <v/>
      </c>
      <c r="Y605" s="674" t="str">
        <f t="shared" si="426"/>
        <v/>
      </c>
      <c r="Z605" s="674" t="str">
        <f t="shared" si="426"/>
        <v/>
      </c>
      <c r="AA605" s="674" t="str">
        <f t="shared" si="426"/>
        <v/>
      </c>
      <c r="AB605" s="674" t="str">
        <f t="shared" si="426"/>
        <v/>
      </c>
      <c r="AC605" s="674" t="str">
        <f t="shared" si="426"/>
        <v/>
      </c>
      <c r="AD605" s="674" t="str">
        <f t="shared" si="426"/>
        <v/>
      </c>
      <c r="AE605" s="674" t="str">
        <f t="shared" si="426"/>
        <v/>
      </c>
      <c r="AF605" s="674" t="str">
        <f t="shared" si="426"/>
        <v/>
      </c>
      <c r="AG605" s="674" t="str">
        <f t="shared" si="426"/>
        <v/>
      </c>
      <c r="AH605" s="674" t="str">
        <f t="shared" si="426"/>
        <v/>
      </c>
      <c r="AI605" s="674" t="str">
        <f t="shared" si="426"/>
        <v/>
      </c>
      <c r="AJ605" s="674" t="str">
        <f t="shared" si="426"/>
        <v/>
      </c>
      <c r="AK605" s="675" t="str">
        <f t="shared" si="426"/>
        <v/>
      </c>
      <c r="AL605" s="15"/>
      <c r="AM605" s="15"/>
      <c r="AP605" s="536"/>
      <c r="AR605" s="537"/>
      <c r="AS605" s="529"/>
      <c r="AW605" s="390" t="str">
        <f>""</f>
        <v/>
      </c>
      <c r="AX605" s="531"/>
      <c r="AY605" s="390" t="str">
        <f>""</f>
        <v/>
      </c>
      <c r="BD605" s="520"/>
      <c r="BE605" s="520"/>
      <c r="BF605" s="520"/>
      <c r="BG605" s="520"/>
      <c r="BH605" s="520"/>
      <c r="BI605" s="520"/>
      <c r="BJ605" s="520"/>
      <c r="BK605" s="520"/>
      <c r="BL605" s="520"/>
      <c r="BM605" s="520"/>
      <c r="BN605" s="520"/>
      <c r="BO605" s="520"/>
      <c r="BP605" s="520"/>
      <c r="BQ605" s="520"/>
      <c r="BR605" s="520"/>
      <c r="BS605" s="520"/>
      <c r="BT605" s="520"/>
      <c r="BU605" s="520"/>
      <c r="BV605" s="520"/>
      <c r="BW605" s="520"/>
      <c r="BX605" s="520"/>
      <c r="BY605" s="520"/>
    </row>
    <row r="606" spans="1:84" ht="12" customHeight="1" x14ac:dyDescent="0.3">
      <c r="A606" s="765"/>
      <c r="E606" s="258" t="str">
        <f>$AX$97</f>
        <v>Fordított gólkülönbség: 1 p</v>
      </c>
      <c r="H606" s="676" t="str">
        <f t="shared" ref="H606:AK606" si="427">IF(OR(BC600,NOT($AS$30)),"",IF(AND(NOT($AS$32),COUNTIF(H601:H605,"ü")&gt;0),"",IF(AND(H599-H600=$E600-$E599,H599&lt;&gt;H600),"ü"," ")))</f>
        <v/>
      </c>
      <c r="I606" s="677" t="str">
        <f t="shared" si="427"/>
        <v/>
      </c>
      <c r="J606" s="677" t="str">
        <f t="shared" si="427"/>
        <v/>
      </c>
      <c r="K606" s="677" t="str">
        <f t="shared" si="427"/>
        <v/>
      </c>
      <c r="L606" s="677" t="str">
        <f t="shared" si="427"/>
        <v/>
      </c>
      <c r="M606" s="677" t="str">
        <f t="shared" si="427"/>
        <v/>
      </c>
      <c r="N606" s="677" t="str">
        <f t="shared" si="427"/>
        <v/>
      </c>
      <c r="O606" s="677" t="str">
        <f t="shared" si="427"/>
        <v/>
      </c>
      <c r="P606" s="677" t="str">
        <f t="shared" si="427"/>
        <v/>
      </c>
      <c r="Q606" s="677" t="str">
        <f t="shared" si="427"/>
        <v/>
      </c>
      <c r="R606" s="677" t="str">
        <f t="shared" si="427"/>
        <v/>
      </c>
      <c r="S606" s="677" t="str">
        <f t="shared" si="427"/>
        <v/>
      </c>
      <c r="T606" s="677" t="str">
        <f t="shared" si="427"/>
        <v/>
      </c>
      <c r="U606" s="677" t="str">
        <f t="shared" si="427"/>
        <v/>
      </c>
      <c r="V606" s="677" t="str">
        <f t="shared" si="427"/>
        <v/>
      </c>
      <c r="W606" s="677" t="str">
        <f t="shared" si="427"/>
        <v/>
      </c>
      <c r="X606" s="677" t="str">
        <f t="shared" si="427"/>
        <v/>
      </c>
      <c r="Y606" s="677" t="str">
        <f t="shared" si="427"/>
        <v/>
      </c>
      <c r="Z606" s="677" t="str">
        <f t="shared" si="427"/>
        <v/>
      </c>
      <c r="AA606" s="677" t="str">
        <f t="shared" si="427"/>
        <v/>
      </c>
      <c r="AB606" s="677" t="str">
        <f t="shared" si="427"/>
        <v/>
      </c>
      <c r="AC606" s="677" t="str">
        <f t="shared" si="427"/>
        <v/>
      </c>
      <c r="AD606" s="677" t="str">
        <f t="shared" si="427"/>
        <v/>
      </c>
      <c r="AE606" s="677" t="str">
        <f t="shared" si="427"/>
        <v/>
      </c>
      <c r="AF606" s="677" t="str">
        <f t="shared" si="427"/>
        <v/>
      </c>
      <c r="AG606" s="677" t="str">
        <f t="shared" si="427"/>
        <v/>
      </c>
      <c r="AH606" s="677" t="str">
        <f t="shared" si="427"/>
        <v/>
      </c>
      <c r="AI606" s="677" t="str">
        <f t="shared" si="427"/>
        <v/>
      </c>
      <c r="AJ606" s="677" t="str">
        <f t="shared" si="427"/>
        <v/>
      </c>
      <c r="AK606" s="678" t="str">
        <f t="shared" si="427"/>
        <v/>
      </c>
      <c r="AL606" s="15"/>
      <c r="AM606" s="15"/>
      <c r="AP606" s="536"/>
      <c r="AR606" s="537"/>
      <c r="AS606" s="529"/>
      <c r="AW606" s="390" t="str">
        <f>""</f>
        <v/>
      </c>
      <c r="AX606" s="531"/>
      <c r="AY606" s="390" t="str">
        <f>""</f>
        <v/>
      </c>
      <c r="BD606" s="520"/>
      <c r="BE606" s="520"/>
      <c r="BF606" s="520"/>
      <c r="BG606" s="520"/>
      <c r="BH606" s="520"/>
      <c r="BI606" s="520"/>
      <c r="BJ606" s="520"/>
      <c r="BK606" s="520"/>
      <c r="BL606" s="520"/>
      <c r="BM606" s="520"/>
      <c r="BN606" s="520"/>
      <c r="BO606" s="520"/>
      <c r="BP606" s="520"/>
      <c r="BQ606" s="520"/>
      <c r="BR606" s="520"/>
      <c r="BS606" s="520"/>
      <c r="BT606" s="520"/>
      <c r="BU606" s="520"/>
      <c r="BV606" s="520"/>
      <c r="BW606" s="520"/>
      <c r="BX606" s="520"/>
      <c r="BY606" s="520"/>
    </row>
    <row r="607" spans="1:84" ht="15" customHeight="1" x14ac:dyDescent="0.3">
      <c r="A607" s="765"/>
      <c r="E607" s="79" t="s">
        <v>799</v>
      </c>
      <c r="H607" s="679">
        <f t="shared" ref="H607:AK607" si="428">IF(NOT(H$13),"",SUMPRODUCT((H601:H606="ü")*($AW$92:$AW$97)))</f>
        <v>0</v>
      </c>
      <c r="I607" s="680">
        <f t="shared" si="428"/>
        <v>0</v>
      </c>
      <c r="J607" s="680">
        <f t="shared" si="428"/>
        <v>0</v>
      </c>
      <c r="K607" s="680">
        <f t="shared" si="428"/>
        <v>0</v>
      </c>
      <c r="L607" s="680">
        <f t="shared" si="428"/>
        <v>0</v>
      </c>
      <c r="M607" s="680">
        <f t="shared" si="428"/>
        <v>0</v>
      </c>
      <c r="N607" s="680">
        <f t="shared" si="428"/>
        <v>0</v>
      </c>
      <c r="O607" s="680">
        <f t="shared" si="428"/>
        <v>0</v>
      </c>
      <c r="P607" s="680">
        <f t="shared" si="428"/>
        <v>0</v>
      </c>
      <c r="Q607" s="680">
        <f t="shared" si="428"/>
        <v>0</v>
      </c>
      <c r="R607" s="680">
        <f t="shared" si="428"/>
        <v>0</v>
      </c>
      <c r="S607" s="680">
        <f t="shared" si="428"/>
        <v>0</v>
      </c>
      <c r="T607" s="680">
        <f t="shared" si="428"/>
        <v>0</v>
      </c>
      <c r="U607" s="680">
        <f t="shared" si="428"/>
        <v>0</v>
      </c>
      <c r="V607" s="680">
        <f t="shared" si="428"/>
        <v>0</v>
      </c>
      <c r="W607" s="680">
        <f t="shared" si="428"/>
        <v>0</v>
      </c>
      <c r="X607" s="680">
        <f t="shared" si="428"/>
        <v>0</v>
      </c>
      <c r="Y607" s="680">
        <f t="shared" si="428"/>
        <v>0</v>
      </c>
      <c r="Z607" s="680">
        <f t="shared" si="428"/>
        <v>0</v>
      </c>
      <c r="AA607" s="680">
        <f t="shared" si="428"/>
        <v>0</v>
      </c>
      <c r="AB607" s="680">
        <f t="shared" si="428"/>
        <v>0</v>
      </c>
      <c r="AC607" s="680">
        <f t="shared" si="428"/>
        <v>0</v>
      </c>
      <c r="AD607" s="680">
        <f t="shared" si="428"/>
        <v>0</v>
      </c>
      <c r="AE607" s="680" t="str">
        <f t="shared" si="428"/>
        <v/>
      </c>
      <c r="AF607" s="680" t="str">
        <f t="shared" si="428"/>
        <v/>
      </c>
      <c r="AG607" s="680" t="str">
        <f t="shared" si="428"/>
        <v/>
      </c>
      <c r="AH607" s="680" t="str">
        <f t="shared" si="428"/>
        <v/>
      </c>
      <c r="AI607" s="680" t="str">
        <f t="shared" si="428"/>
        <v/>
      </c>
      <c r="AJ607" s="680" t="str">
        <f t="shared" si="428"/>
        <v/>
      </c>
      <c r="AK607" s="681" t="str">
        <f t="shared" si="428"/>
        <v/>
      </c>
      <c r="AP607" s="538"/>
      <c r="AQ607" s="699"/>
      <c r="AR607" s="539"/>
      <c r="AS607" s="540"/>
    </row>
    <row r="608" spans="1:84" ht="9" customHeight="1" x14ac:dyDescent="0.3">
      <c r="A608" s="765"/>
      <c r="D608" s="15"/>
      <c r="E608" s="15"/>
      <c r="F608" s="15"/>
      <c r="G608" s="15"/>
      <c r="H608" s="15"/>
      <c r="I608" s="16"/>
      <c r="J608" s="15"/>
      <c r="K608" s="15"/>
      <c r="L608" s="16"/>
      <c r="M608" s="15"/>
      <c r="N608" s="15"/>
      <c r="O608" s="16"/>
      <c r="P608" s="15"/>
      <c r="Q608" s="15"/>
      <c r="R608" s="16"/>
      <c r="S608" s="15"/>
      <c r="T608" s="15"/>
      <c r="U608" s="16"/>
      <c r="V608" s="15"/>
      <c r="W608" s="15"/>
      <c r="X608" s="16"/>
      <c r="Y608" s="15"/>
      <c r="Z608" s="15"/>
      <c r="AA608" s="16"/>
      <c r="AB608" s="15"/>
      <c r="AC608" s="15"/>
      <c r="AD608" s="16"/>
      <c r="AE608" s="15"/>
      <c r="AF608" s="15"/>
      <c r="AG608" s="16"/>
      <c r="AH608" s="15"/>
      <c r="AI608" s="15"/>
      <c r="AJ608" s="16"/>
      <c r="AK608" s="15"/>
    </row>
    <row r="609" spans="1:86" x14ac:dyDescent="0.3">
      <c r="A609" s="765"/>
    </row>
    <row r="610" spans="1:86" x14ac:dyDescent="0.3">
      <c r="A610" s="765"/>
    </row>
    <row r="611" spans="1:86" x14ac:dyDescent="0.3">
      <c r="A611" s="765"/>
    </row>
    <row r="612" spans="1:86" x14ac:dyDescent="0.3">
      <c r="A612" s="765"/>
    </row>
    <row r="613" spans="1:86" x14ac:dyDescent="0.3">
      <c r="A613" s="765"/>
    </row>
    <row r="614" spans="1:86" x14ac:dyDescent="0.3">
      <c r="A614" s="765"/>
    </row>
    <row r="615" spans="1:86" x14ac:dyDescent="0.3">
      <c r="A615" s="765"/>
    </row>
    <row r="616" spans="1:86" x14ac:dyDescent="0.3">
      <c r="A616" s="765"/>
    </row>
    <row r="617" spans="1:86" x14ac:dyDescent="0.3">
      <c r="A617" s="765"/>
    </row>
    <row r="618" spans="1:86" x14ac:dyDescent="0.3">
      <c r="A618" s="765"/>
    </row>
    <row r="619" spans="1:86" ht="12" customHeight="1" x14ac:dyDescent="0.3">
      <c r="A619" s="765"/>
      <c r="D619" s="15"/>
      <c r="E619" s="15"/>
      <c r="F619" s="15"/>
      <c r="G619" s="15"/>
      <c r="H619" s="15"/>
      <c r="I619" s="16"/>
      <c r="J619" s="15"/>
      <c r="K619" s="15"/>
      <c r="L619" s="16"/>
      <c r="M619" s="15"/>
      <c r="N619" s="15"/>
      <c r="O619" s="16"/>
      <c r="P619" s="15"/>
      <c r="Q619" s="15"/>
      <c r="R619" s="16"/>
      <c r="S619" s="15"/>
      <c r="T619" s="15"/>
      <c r="U619" s="16"/>
      <c r="V619" s="15"/>
      <c r="W619" s="15"/>
      <c r="X619" s="16"/>
      <c r="Y619" s="15"/>
      <c r="Z619" s="15"/>
      <c r="AA619" s="16"/>
      <c r="AB619" s="15"/>
      <c r="AC619" s="15"/>
      <c r="AD619" s="16"/>
      <c r="AE619" s="15"/>
      <c r="AF619" s="15"/>
      <c r="AG619" s="16"/>
      <c r="AH619" s="15"/>
      <c r="AI619" s="15"/>
      <c r="AJ619" s="16"/>
      <c r="AK619" s="15"/>
    </row>
    <row r="620" spans="1:86" ht="15" customHeight="1" x14ac:dyDescent="0.3">
      <c r="A620" s="765"/>
      <c r="C620" s="657"/>
      <c r="D620" s="652" t="s">
        <v>806</v>
      </c>
      <c r="E620" s="658"/>
      <c r="F620" s="659"/>
      <c r="G620" s="659"/>
      <c r="H620" s="659"/>
      <c r="I620" s="660"/>
      <c r="J620" s="659"/>
      <c r="K620" s="659"/>
      <c r="L620" s="660"/>
      <c r="M620" s="659"/>
      <c r="N620" s="659"/>
      <c r="O620" s="660"/>
      <c r="P620" s="659"/>
      <c r="Q620" s="659"/>
      <c r="R620" s="660"/>
      <c r="S620" s="659"/>
      <c r="T620" s="659"/>
      <c r="U620" s="660"/>
      <c r="V620" s="659"/>
      <c r="W620" s="659"/>
      <c r="X620" s="660"/>
      <c r="Y620" s="659"/>
      <c r="Z620" s="659"/>
      <c r="AA620" s="660"/>
      <c r="AB620" s="659"/>
      <c r="AC620" s="659"/>
      <c r="AD620" s="660"/>
      <c r="AE620" s="659"/>
      <c r="AF620" s="659"/>
      <c r="AG620" s="660"/>
      <c r="AH620" s="659"/>
      <c r="AI620" s="659"/>
      <c r="AJ620" s="660"/>
      <c r="AK620" s="659"/>
    </row>
    <row r="621" spans="1:86" s="31" customFormat="1" ht="15" customHeight="1" x14ac:dyDescent="0.3">
      <c r="A621" s="765"/>
      <c r="B621" s="29"/>
      <c r="C621" s="654"/>
      <c r="D621" s="653"/>
      <c r="E621" s="84" t="s">
        <v>801</v>
      </c>
      <c r="F621" s="41"/>
      <c r="G621" s="655"/>
      <c r="H621" s="656">
        <f t="shared" ref="H621:AK621" si="429">IF(NOT(H$13),"",SUMIF($E632:$E665,$E$98,H632:H665))</f>
        <v>0</v>
      </c>
      <c r="I621" s="656">
        <f t="shared" si="429"/>
        <v>0</v>
      </c>
      <c r="J621" s="656">
        <f t="shared" si="429"/>
        <v>0</v>
      </c>
      <c r="K621" s="656">
        <f t="shared" si="429"/>
        <v>0</v>
      </c>
      <c r="L621" s="656">
        <f t="shared" si="429"/>
        <v>0</v>
      </c>
      <c r="M621" s="656">
        <f t="shared" si="429"/>
        <v>0</v>
      </c>
      <c r="N621" s="656">
        <f t="shared" si="429"/>
        <v>0</v>
      </c>
      <c r="O621" s="656">
        <f t="shared" si="429"/>
        <v>0</v>
      </c>
      <c r="P621" s="656">
        <f t="shared" si="429"/>
        <v>0</v>
      </c>
      <c r="Q621" s="656">
        <f t="shared" si="429"/>
        <v>0</v>
      </c>
      <c r="R621" s="656">
        <f t="shared" si="429"/>
        <v>0</v>
      </c>
      <c r="S621" s="656">
        <f t="shared" si="429"/>
        <v>0</v>
      </c>
      <c r="T621" s="656">
        <f t="shared" si="429"/>
        <v>0</v>
      </c>
      <c r="U621" s="656">
        <f t="shared" si="429"/>
        <v>0</v>
      </c>
      <c r="V621" s="656">
        <f t="shared" si="429"/>
        <v>0</v>
      </c>
      <c r="W621" s="656">
        <f t="shared" si="429"/>
        <v>0</v>
      </c>
      <c r="X621" s="656">
        <f t="shared" si="429"/>
        <v>0</v>
      </c>
      <c r="Y621" s="656">
        <f t="shared" si="429"/>
        <v>0</v>
      </c>
      <c r="Z621" s="656">
        <f t="shared" si="429"/>
        <v>0</v>
      </c>
      <c r="AA621" s="656">
        <f t="shared" si="429"/>
        <v>0</v>
      </c>
      <c r="AB621" s="656">
        <f t="shared" si="429"/>
        <v>0</v>
      </c>
      <c r="AC621" s="656">
        <f t="shared" si="429"/>
        <v>0</v>
      </c>
      <c r="AD621" s="656">
        <f t="shared" si="429"/>
        <v>0</v>
      </c>
      <c r="AE621" s="656" t="str">
        <f t="shared" si="429"/>
        <v/>
      </c>
      <c r="AF621" s="656" t="str">
        <f t="shared" si="429"/>
        <v/>
      </c>
      <c r="AG621" s="656" t="str">
        <f t="shared" si="429"/>
        <v/>
      </c>
      <c r="AH621" s="656" t="str">
        <f t="shared" si="429"/>
        <v/>
      </c>
      <c r="AI621" s="656" t="str">
        <f t="shared" si="429"/>
        <v/>
      </c>
      <c r="AJ621" s="656" t="str">
        <f t="shared" si="429"/>
        <v/>
      </c>
      <c r="AK621" s="656" t="str">
        <f t="shared" si="429"/>
        <v/>
      </c>
      <c r="AL621" s="30"/>
      <c r="AM621" s="30"/>
      <c r="AN621" s="14"/>
      <c r="AO621" s="390"/>
      <c r="AP621" s="390"/>
      <c r="AQ621" s="390"/>
      <c r="AR621" s="390"/>
      <c r="AS621" s="543" t="s">
        <v>800</v>
      </c>
      <c r="AT621" s="390"/>
      <c r="AU621" s="390"/>
      <c r="AV621" s="390"/>
      <c r="AW621" s="390"/>
      <c r="AX621" s="390"/>
      <c r="AY621" s="390"/>
      <c r="AZ621" s="14"/>
      <c r="BA621" s="520"/>
      <c r="BB621" s="520"/>
      <c r="BC621" s="520"/>
      <c r="BD621" s="390"/>
      <c r="BE621" s="390"/>
      <c r="BF621" s="390"/>
      <c r="BG621" s="390"/>
      <c r="BH621" s="390"/>
      <c r="BI621" s="390"/>
      <c r="BJ621" s="390"/>
      <c r="BK621" s="390"/>
      <c r="BL621" s="390"/>
      <c r="BM621" s="390"/>
      <c r="BN621" s="390"/>
      <c r="BO621" s="390"/>
      <c r="BP621" s="390"/>
      <c r="BQ621" s="390"/>
      <c r="BR621" s="390"/>
      <c r="BS621" s="390"/>
      <c r="BT621" s="390"/>
      <c r="BU621" s="390"/>
      <c r="BV621" s="390"/>
      <c r="BW621" s="390"/>
      <c r="BX621" s="390"/>
      <c r="BY621" s="390"/>
      <c r="BZ621" s="520"/>
      <c r="CA621" s="520"/>
      <c r="CB621" s="520"/>
      <c r="CC621" s="520"/>
      <c r="CD621" s="520"/>
      <c r="CE621" s="520"/>
      <c r="CF621" s="520"/>
      <c r="CG621" s="520"/>
      <c r="CH621" s="14"/>
    </row>
    <row r="622" spans="1:86" s="281" customFormat="1" ht="12" customHeight="1" x14ac:dyDescent="0.2">
      <c r="A622" s="765"/>
      <c r="C622" s="284"/>
      <c r="D622" s="284"/>
      <c r="E622" s="79"/>
      <c r="F622" s="27"/>
      <c r="G622" s="284"/>
      <c r="H622" s="283"/>
      <c r="I622" s="283"/>
      <c r="J622" s="283"/>
      <c r="K622" s="283"/>
      <c r="L622" s="283"/>
      <c r="M622" s="283"/>
      <c r="N622" s="283"/>
      <c r="O622" s="283"/>
      <c r="P622" s="283"/>
      <c r="Q622" s="283"/>
      <c r="R622" s="283"/>
      <c r="S622" s="283"/>
      <c r="T622" s="283"/>
      <c r="U622" s="283"/>
      <c r="V622" s="283"/>
      <c r="W622" s="283"/>
      <c r="X622" s="283"/>
      <c r="Y622" s="283"/>
      <c r="Z622" s="283"/>
      <c r="AA622" s="283"/>
      <c r="AB622" s="283"/>
      <c r="AC622" s="283"/>
      <c r="AD622" s="283"/>
      <c r="AE622" s="283"/>
      <c r="AF622" s="283"/>
      <c r="AG622" s="283"/>
      <c r="AH622" s="283"/>
      <c r="AI622" s="283"/>
      <c r="AJ622" s="283"/>
      <c r="AK622" s="283"/>
      <c r="AN622" s="282"/>
      <c r="AO622" s="524"/>
      <c r="AP622" s="524"/>
      <c r="AQ622" s="524"/>
      <c r="AR622" s="524"/>
      <c r="AS622" s="524"/>
      <c r="AT622" s="524"/>
      <c r="AU622" s="524"/>
      <c r="AV622" s="524"/>
      <c r="AW622" s="524"/>
      <c r="AX622" s="524"/>
      <c r="AY622" s="524"/>
      <c r="AZ622" s="282"/>
      <c r="BA622" s="523"/>
      <c r="BB622" s="523"/>
      <c r="BC622" s="523"/>
      <c r="BD622" s="524"/>
      <c r="BE622" s="524"/>
      <c r="BF622" s="524"/>
      <c r="BG622" s="524"/>
      <c r="BH622" s="524"/>
      <c r="BI622" s="524"/>
      <c r="BJ622" s="524"/>
      <c r="BK622" s="524"/>
      <c r="BL622" s="524"/>
      <c r="BM622" s="524"/>
      <c r="BN622" s="524"/>
      <c r="BO622" s="524"/>
      <c r="BP622" s="524"/>
      <c r="BQ622" s="524"/>
      <c r="BR622" s="524"/>
      <c r="BS622" s="524"/>
      <c r="BT622" s="524"/>
      <c r="BU622" s="524"/>
      <c r="BV622" s="524"/>
      <c r="BW622" s="524"/>
      <c r="BX622" s="524"/>
      <c r="BY622" s="524"/>
      <c r="BZ622" s="523"/>
      <c r="CA622" s="523"/>
      <c r="CB622" s="523"/>
      <c r="CC622" s="523"/>
      <c r="CD622" s="523"/>
      <c r="CE622" s="523"/>
      <c r="CF622" s="523"/>
      <c r="CG622" s="523"/>
      <c r="CH622" s="282"/>
    </row>
    <row r="623" spans="1:86" ht="15" customHeight="1" x14ac:dyDescent="0.3">
      <c r="A623" s="765"/>
      <c r="C623" s="27" t="str">
        <f>" "&amp;VLOOKUP(AQ624,schedule,18,FALSE)&amp;"  ("&amp;VLOOKUP(AQ624,schedule,3,FALSE)&amp;" PÁRHARC)"</f>
        <v xml:space="preserve"> JÚLIUS 2. – PÉNTEK 18:00  (2/4 PÁRHARC)</v>
      </c>
      <c r="D623" s="27"/>
      <c r="E623" s="26"/>
      <c r="F623" s="26"/>
      <c r="G623" s="26"/>
      <c r="H623" s="26"/>
      <c r="I623" s="26"/>
      <c r="J623" s="26"/>
    </row>
    <row r="624" spans="1:86" ht="15" customHeight="1" x14ac:dyDescent="0.3">
      <c r="A624" s="765"/>
      <c r="C624" s="661"/>
      <c r="D624" s="662" t="str">
        <f>IF(INDEX(n.er,$AR624,8)="","",INDEX(n.er,$AR624,8))</f>
        <v>3/8 győztese</v>
      </c>
      <c r="E624" s="663" t="str">
        <f>IF(NOT($AS624),"",INDEX(n.er,$AR624,9))</f>
        <v/>
      </c>
      <c r="F624" s="662"/>
      <c r="G624" s="259"/>
      <c r="H624" s="664"/>
      <c r="I624" s="665"/>
      <c r="J624" s="665"/>
      <c r="K624" s="665"/>
      <c r="L624" s="665"/>
      <c r="M624" s="665"/>
      <c r="N624" s="665"/>
      <c r="O624" s="665"/>
      <c r="P624" s="665"/>
      <c r="Q624" s="665"/>
      <c r="R624" s="665"/>
      <c r="S624" s="665"/>
      <c r="T624" s="665"/>
      <c r="U624" s="665"/>
      <c r="V624" s="665"/>
      <c r="W624" s="665"/>
      <c r="X624" s="665"/>
      <c r="Y624" s="665"/>
      <c r="Z624" s="665"/>
      <c r="AA624" s="665"/>
      <c r="AB624" s="665"/>
      <c r="AC624" s="665"/>
      <c r="AD624" s="665"/>
      <c r="AE624" s="665"/>
      <c r="AF624" s="665"/>
      <c r="AG624" s="665"/>
      <c r="AH624" s="665"/>
      <c r="AI624" s="665"/>
      <c r="AJ624" s="665"/>
      <c r="AK624" s="666"/>
      <c r="AP624" s="52">
        <f>AP599+1</f>
        <v>45</v>
      </c>
      <c r="AQ624" s="311">
        <f>INDEX(schedule,AP624,1)</f>
        <v>45</v>
      </c>
      <c r="AR624" s="311">
        <f>MATCH(AQ624,n.er.index,0)</f>
        <v>117</v>
      </c>
      <c r="AS624" s="532" t="b">
        <f>INDEX(n.er,$AR624,3)</f>
        <v>0</v>
      </c>
      <c r="AT624" s="531"/>
      <c r="AU624" s="531"/>
      <c r="AV624" s="531"/>
      <c r="AW624" s="531"/>
      <c r="AX624" s="531"/>
      <c r="BC624" s="525" t="b">
        <f t="shared" ref="BC624:CF624" si="430">IF(AND(ISNUMBER(H624),ISNUMBER(H625),H624&lt;&gt;"",H625&lt;&gt;""),AND(H624&gt;=0,H625&gt;=0,MOD(H624+H625,1)=0),FALSE)</f>
        <v>0</v>
      </c>
      <c r="BD624" s="525" t="b">
        <f t="shared" si="430"/>
        <v>0</v>
      </c>
      <c r="BE624" s="525" t="b">
        <f t="shared" si="430"/>
        <v>0</v>
      </c>
      <c r="BF624" s="525" t="b">
        <f t="shared" si="430"/>
        <v>0</v>
      </c>
      <c r="BG624" s="525" t="b">
        <f t="shared" si="430"/>
        <v>0</v>
      </c>
      <c r="BH624" s="525" t="b">
        <f t="shared" si="430"/>
        <v>0</v>
      </c>
      <c r="BI624" s="525" t="b">
        <f t="shared" si="430"/>
        <v>0</v>
      </c>
      <c r="BJ624" s="525" t="b">
        <f t="shared" si="430"/>
        <v>0</v>
      </c>
      <c r="BK624" s="525" t="b">
        <f t="shared" si="430"/>
        <v>0</v>
      </c>
      <c r="BL624" s="525" t="b">
        <f t="shared" si="430"/>
        <v>0</v>
      </c>
      <c r="BM624" s="525" t="b">
        <f t="shared" si="430"/>
        <v>0</v>
      </c>
      <c r="BN624" s="525" t="b">
        <f t="shared" si="430"/>
        <v>0</v>
      </c>
      <c r="BO624" s="525" t="b">
        <f t="shared" si="430"/>
        <v>0</v>
      </c>
      <c r="BP624" s="525" t="b">
        <f t="shared" si="430"/>
        <v>0</v>
      </c>
      <c r="BQ624" s="525" t="b">
        <f t="shared" si="430"/>
        <v>0</v>
      </c>
      <c r="BR624" s="525" t="b">
        <f t="shared" si="430"/>
        <v>0</v>
      </c>
      <c r="BS624" s="525" t="b">
        <f t="shared" si="430"/>
        <v>0</v>
      </c>
      <c r="BT624" s="525" t="b">
        <f t="shared" si="430"/>
        <v>0</v>
      </c>
      <c r="BU624" s="525" t="b">
        <f t="shared" si="430"/>
        <v>0</v>
      </c>
      <c r="BV624" s="525" t="b">
        <f t="shared" si="430"/>
        <v>0</v>
      </c>
      <c r="BW624" s="525" t="b">
        <f t="shared" si="430"/>
        <v>0</v>
      </c>
      <c r="BX624" s="525" t="b">
        <f t="shared" si="430"/>
        <v>0</v>
      </c>
      <c r="BY624" s="525" t="b">
        <f t="shared" si="430"/>
        <v>0</v>
      </c>
      <c r="BZ624" s="525" t="b">
        <f t="shared" si="430"/>
        <v>0</v>
      </c>
      <c r="CA624" s="525" t="b">
        <f t="shared" si="430"/>
        <v>0</v>
      </c>
      <c r="CB624" s="525" t="b">
        <f t="shared" si="430"/>
        <v>0</v>
      </c>
      <c r="CC624" s="525" t="b">
        <f t="shared" si="430"/>
        <v>0</v>
      </c>
      <c r="CD624" s="525" t="b">
        <f t="shared" si="430"/>
        <v>0</v>
      </c>
      <c r="CE624" s="525" t="b">
        <f t="shared" si="430"/>
        <v>0</v>
      </c>
      <c r="CF624" s="525" t="b">
        <f t="shared" si="430"/>
        <v>0</v>
      </c>
    </row>
    <row r="625" spans="1:84" ht="15" customHeight="1" x14ac:dyDescent="0.3">
      <c r="A625" s="765"/>
      <c r="C625" s="695"/>
      <c r="D625" s="696" t="str">
        <f>IF(INDEX(n.er,$AR624,11)="","",INDEX(n.er,$AR624,11))</f>
        <v>4/8 győztese</v>
      </c>
      <c r="E625" s="697" t="str">
        <f>IF(NOT($AS624),"",INDEX(n.er,$AR624,10))</f>
        <v/>
      </c>
      <c r="F625" s="696"/>
      <c r="G625" s="259"/>
      <c r="H625" s="667"/>
      <c r="I625" s="668"/>
      <c r="J625" s="668"/>
      <c r="K625" s="668"/>
      <c r="L625" s="668"/>
      <c r="M625" s="668"/>
      <c r="N625" s="668"/>
      <c r="O625" s="668"/>
      <c r="P625" s="668"/>
      <c r="Q625" s="668"/>
      <c r="R625" s="668"/>
      <c r="S625" s="668"/>
      <c r="T625" s="668"/>
      <c r="U625" s="668"/>
      <c r="V625" s="668"/>
      <c r="W625" s="668"/>
      <c r="X625" s="668"/>
      <c r="Y625" s="668"/>
      <c r="Z625" s="668"/>
      <c r="AA625" s="668"/>
      <c r="AB625" s="668"/>
      <c r="AC625" s="668"/>
      <c r="AD625" s="668"/>
      <c r="AE625" s="668"/>
      <c r="AF625" s="668"/>
      <c r="AG625" s="668"/>
      <c r="AH625" s="668"/>
      <c r="AI625" s="668"/>
      <c r="AJ625" s="668"/>
      <c r="AK625" s="669"/>
      <c r="AP625" s="533"/>
      <c r="AQ625" s="577"/>
      <c r="AR625" s="534"/>
      <c r="AS625" s="535"/>
      <c r="AX625" s="531"/>
      <c r="BC625" s="34" t="b">
        <f t="shared" ref="BC625:CF625" si="431">OR(NOT(H$13),NOT($AS624),NOT(BC624))</f>
        <v>1</v>
      </c>
      <c r="BD625" s="34" t="b">
        <f t="shared" si="431"/>
        <v>1</v>
      </c>
      <c r="BE625" s="34" t="b">
        <f t="shared" si="431"/>
        <v>1</v>
      </c>
      <c r="BF625" s="34" t="b">
        <f t="shared" si="431"/>
        <v>1</v>
      </c>
      <c r="BG625" s="34" t="b">
        <f t="shared" si="431"/>
        <v>1</v>
      </c>
      <c r="BH625" s="34" t="b">
        <f t="shared" si="431"/>
        <v>1</v>
      </c>
      <c r="BI625" s="34" t="b">
        <f t="shared" si="431"/>
        <v>1</v>
      </c>
      <c r="BJ625" s="34" t="b">
        <f t="shared" si="431"/>
        <v>1</v>
      </c>
      <c r="BK625" s="34" t="b">
        <f t="shared" si="431"/>
        <v>1</v>
      </c>
      <c r="BL625" s="34" t="b">
        <f t="shared" si="431"/>
        <v>1</v>
      </c>
      <c r="BM625" s="34" t="b">
        <f t="shared" si="431"/>
        <v>1</v>
      </c>
      <c r="BN625" s="34" t="b">
        <f t="shared" si="431"/>
        <v>1</v>
      </c>
      <c r="BO625" s="34" t="b">
        <f t="shared" si="431"/>
        <v>1</v>
      </c>
      <c r="BP625" s="34" t="b">
        <f t="shared" si="431"/>
        <v>1</v>
      </c>
      <c r="BQ625" s="34" t="b">
        <f t="shared" si="431"/>
        <v>1</v>
      </c>
      <c r="BR625" s="34" t="b">
        <f t="shared" si="431"/>
        <v>1</v>
      </c>
      <c r="BS625" s="34" t="b">
        <f t="shared" si="431"/>
        <v>1</v>
      </c>
      <c r="BT625" s="34" t="b">
        <f t="shared" si="431"/>
        <v>1</v>
      </c>
      <c r="BU625" s="34" t="b">
        <f t="shared" si="431"/>
        <v>1</v>
      </c>
      <c r="BV625" s="34" t="b">
        <f t="shared" si="431"/>
        <v>1</v>
      </c>
      <c r="BW625" s="34" t="b">
        <f t="shared" si="431"/>
        <v>1</v>
      </c>
      <c r="BX625" s="34" t="b">
        <f t="shared" si="431"/>
        <v>1</v>
      </c>
      <c r="BY625" s="34" t="b">
        <f t="shared" si="431"/>
        <v>1</v>
      </c>
      <c r="BZ625" s="34" t="b">
        <f t="shared" si="431"/>
        <v>1</v>
      </c>
      <c r="CA625" s="34" t="b">
        <f t="shared" si="431"/>
        <v>1</v>
      </c>
      <c r="CB625" s="34" t="b">
        <f t="shared" si="431"/>
        <v>1</v>
      </c>
      <c r="CC625" s="34" t="b">
        <f t="shared" si="431"/>
        <v>1</v>
      </c>
      <c r="CD625" s="34" t="b">
        <f t="shared" si="431"/>
        <v>1</v>
      </c>
      <c r="CE625" s="34" t="b">
        <f t="shared" si="431"/>
        <v>1</v>
      </c>
      <c r="CF625" s="34" t="b">
        <f t="shared" si="431"/>
        <v>1</v>
      </c>
    </row>
    <row r="626" spans="1:84" ht="12" customHeight="1" x14ac:dyDescent="0.3">
      <c r="A626" s="765"/>
      <c r="E626" s="258" t="str">
        <f>$AX$92</f>
        <v>Telitalálat: 10 p</v>
      </c>
      <c r="H626" s="670" t="str">
        <f t="shared" ref="H626:AK626" si="432">IF(OR(BC625,NOT($AS$20)),"",IF(AND(H624=$E624,H625=$E625),"ü",""))</f>
        <v/>
      </c>
      <c r="I626" s="671" t="str">
        <f t="shared" si="432"/>
        <v/>
      </c>
      <c r="J626" s="671" t="str">
        <f t="shared" si="432"/>
        <v/>
      </c>
      <c r="K626" s="671" t="str">
        <f t="shared" si="432"/>
        <v/>
      </c>
      <c r="L626" s="671" t="str">
        <f t="shared" si="432"/>
        <v/>
      </c>
      <c r="M626" s="671" t="str">
        <f t="shared" si="432"/>
        <v/>
      </c>
      <c r="N626" s="671" t="str">
        <f t="shared" si="432"/>
        <v/>
      </c>
      <c r="O626" s="671" t="str">
        <f t="shared" si="432"/>
        <v/>
      </c>
      <c r="P626" s="671" t="str">
        <f t="shared" si="432"/>
        <v/>
      </c>
      <c r="Q626" s="671" t="str">
        <f t="shared" si="432"/>
        <v/>
      </c>
      <c r="R626" s="671" t="str">
        <f t="shared" si="432"/>
        <v/>
      </c>
      <c r="S626" s="671" t="str">
        <f t="shared" si="432"/>
        <v/>
      </c>
      <c r="T626" s="671" t="str">
        <f t="shared" si="432"/>
        <v/>
      </c>
      <c r="U626" s="671" t="str">
        <f t="shared" si="432"/>
        <v/>
      </c>
      <c r="V626" s="671" t="str">
        <f t="shared" si="432"/>
        <v/>
      </c>
      <c r="W626" s="671" t="str">
        <f t="shared" si="432"/>
        <v/>
      </c>
      <c r="X626" s="671" t="str">
        <f t="shared" si="432"/>
        <v/>
      </c>
      <c r="Y626" s="671" t="str">
        <f t="shared" si="432"/>
        <v/>
      </c>
      <c r="Z626" s="671" t="str">
        <f t="shared" si="432"/>
        <v/>
      </c>
      <c r="AA626" s="671" t="str">
        <f t="shared" si="432"/>
        <v/>
      </c>
      <c r="AB626" s="671" t="str">
        <f t="shared" si="432"/>
        <v/>
      </c>
      <c r="AC626" s="671" t="str">
        <f t="shared" si="432"/>
        <v/>
      </c>
      <c r="AD626" s="671" t="str">
        <f t="shared" si="432"/>
        <v/>
      </c>
      <c r="AE626" s="671" t="str">
        <f t="shared" si="432"/>
        <v/>
      </c>
      <c r="AF626" s="671" t="str">
        <f t="shared" si="432"/>
        <v/>
      </c>
      <c r="AG626" s="671" t="str">
        <f t="shared" si="432"/>
        <v/>
      </c>
      <c r="AH626" s="671" t="str">
        <f t="shared" si="432"/>
        <v/>
      </c>
      <c r="AI626" s="671" t="str">
        <f t="shared" si="432"/>
        <v/>
      </c>
      <c r="AJ626" s="671" t="str">
        <f t="shared" si="432"/>
        <v/>
      </c>
      <c r="AK626" s="672" t="str">
        <f t="shared" si="432"/>
        <v/>
      </c>
      <c r="AL626" s="15"/>
      <c r="AM626" s="15"/>
      <c r="AP626" s="536"/>
      <c r="AR626" s="537"/>
      <c r="AS626" s="529"/>
      <c r="AW626" s="390" t="str">
        <f>""</f>
        <v/>
      </c>
      <c r="AX626" s="531"/>
      <c r="AY626" s="390" t="str">
        <f>""</f>
        <v/>
      </c>
      <c r="BD626" s="520"/>
      <c r="BE626" s="520"/>
      <c r="BF626" s="520"/>
      <c r="BG626" s="520"/>
      <c r="BH626" s="520"/>
      <c r="BI626" s="520"/>
      <c r="BJ626" s="520"/>
      <c r="BK626" s="520"/>
      <c r="BL626" s="520"/>
      <c r="BM626" s="520"/>
      <c r="BN626" s="520"/>
      <c r="BO626" s="520"/>
      <c r="BP626" s="520"/>
      <c r="BQ626" s="520"/>
      <c r="BR626" s="520"/>
      <c r="BS626" s="520"/>
      <c r="BT626" s="520"/>
      <c r="BU626" s="520"/>
      <c r="BV626" s="520"/>
      <c r="BW626" s="520"/>
      <c r="BX626" s="520"/>
      <c r="BY626" s="520"/>
    </row>
    <row r="627" spans="1:84" ht="12" customHeight="1" x14ac:dyDescent="0.3">
      <c r="A627" s="765"/>
      <c r="E627" s="258" t="str">
        <f>$AX$93</f>
        <v>Gólkülönbség: 6 p</v>
      </c>
      <c r="H627" s="673" t="str">
        <f t="shared" ref="H627:AK627" si="433">IF(OR(BC625,NOT($AS$22)),"",IF(AND(NOT($AS$32),H626="ü"),"",IF(H624-H625=$E624-$E625,"ü"," ")))</f>
        <v/>
      </c>
      <c r="I627" s="674" t="str">
        <f t="shared" si="433"/>
        <v/>
      </c>
      <c r="J627" s="674" t="str">
        <f t="shared" si="433"/>
        <v/>
      </c>
      <c r="K627" s="674" t="str">
        <f t="shared" si="433"/>
        <v/>
      </c>
      <c r="L627" s="674" t="str">
        <f t="shared" si="433"/>
        <v/>
      </c>
      <c r="M627" s="674" t="str">
        <f t="shared" si="433"/>
        <v/>
      </c>
      <c r="N627" s="674" t="str">
        <f t="shared" si="433"/>
        <v/>
      </c>
      <c r="O627" s="674" t="str">
        <f t="shared" si="433"/>
        <v/>
      </c>
      <c r="P627" s="674" t="str">
        <f t="shared" si="433"/>
        <v/>
      </c>
      <c r="Q627" s="674" t="str">
        <f t="shared" si="433"/>
        <v/>
      </c>
      <c r="R627" s="674" t="str">
        <f t="shared" si="433"/>
        <v/>
      </c>
      <c r="S627" s="674" t="str">
        <f t="shared" si="433"/>
        <v/>
      </c>
      <c r="T627" s="674" t="str">
        <f t="shared" si="433"/>
        <v/>
      </c>
      <c r="U627" s="674" t="str">
        <f t="shared" si="433"/>
        <v/>
      </c>
      <c r="V627" s="674" t="str">
        <f t="shared" si="433"/>
        <v/>
      </c>
      <c r="W627" s="674" t="str">
        <f t="shared" si="433"/>
        <v/>
      </c>
      <c r="X627" s="674" t="str">
        <f t="shared" si="433"/>
        <v/>
      </c>
      <c r="Y627" s="674" t="str">
        <f t="shared" si="433"/>
        <v/>
      </c>
      <c r="Z627" s="674" t="str">
        <f t="shared" si="433"/>
        <v/>
      </c>
      <c r="AA627" s="674" t="str">
        <f t="shared" si="433"/>
        <v/>
      </c>
      <c r="AB627" s="674" t="str">
        <f t="shared" si="433"/>
        <v/>
      </c>
      <c r="AC627" s="674" t="str">
        <f t="shared" si="433"/>
        <v/>
      </c>
      <c r="AD627" s="674" t="str">
        <f t="shared" si="433"/>
        <v/>
      </c>
      <c r="AE627" s="674" t="str">
        <f t="shared" si="433"/>
        <v/>
      </c>
      <c r="AF627" s="674" t="str">
        <f t="shared" si="433"/>
        <v/>
      </c>
      <c r="AG627" s="674" t="str">
        <f t="shared" si="433"/>
        <v/>
      </c>
      <c r="AH627" s="674" t="str">
        <f t="shared" si="433"/>
        <v/>
      </c>
      <c r="AI627" s="674" t="str">
        <f t="shared" si="433"/>
        <v/>
      </c>
      <c r="AJ627" s="674" t="str">
        <f t="shared" si="433"/>
        <v/>
      </c>
      <c r="AK627" s="675" t="str">
        <f t="shared" si="433"/>
        <v/>
      </c>
      <c r="AL627" s="15"/>
      <c r="AM627" s="15"/>
      <c r="AP627" s="536"/>
      <c r="AR627" s="537"/>
      <c r="AS627" s="529"/>
      <c r="AW627" s="390" t="str">
        <f>""</f>
        <v/>
      </c>
      <c r="AX627" s="531"/>
      <c r="AY627" s="390" t="str">
        <f>""</f>
        <v/>
      </c>
      <c r="BD627" s="520"/>
      <c r="BE627" s="520"/>
      <c r="BF627" s="520"/>
      <c r="BG627" s="520"/>
      <c r="BH627" s="520"/>
      <c r="BI627" s="520"/>
      <c r="BJ627" s="520"/>
      <c r="BK627" s="520"/>
      <c r="BL627" s="520"/>
      <c r="BM627" s="520"/>
      <c r="BN627" s="520"/>
      <c r="BO627" s="520"/>
      <c r="BP627" s="520"/>
      <c r="BQ627" s="520"/>
      <c r="BR627" s="520"/>
      <c r="BS627" s="520"/>
      <c r="BT627" s="520"/>
      <c r="BU627" s="520"/>
      <c r="BV627" s="520"/>
      <c r="BW627" s="520"/>
      <c r="BX627" s="520"/>
      <c r="BY627" s="520"/>
    </row>
    <row r="628" spans="1:84" ht="12" customHeight="1" x14ac:dyDescent="0.3">
      <c r="A628" s="765"/>
      <c r="E628" s="258" t="str">
        <f>$AX$94</f>
        <v>Mérkőzés kimenetele: 4 p</v>
      </c>
      <c r="H628" s="673" t="str">
        <f t="shared" ref="H628:AK628" si="434">IF(OR(BC625,NOT($AS$24)),"",IF(AND(NOT($AS$32),COUNTIF(H626:H627,"ü")&gt;0),"",IF(SIGN(H624-H625)=SIGN($E624-$E625),"ü"," ")))</f>
        <v/>
      </c>
      <c r="I628" s="674" t="str">
        <f t="shared" si="434"/>
        <v/>
      </c>
      <c r="J628" s="674" t="str">
        <f t="shared" si="434"/>
        <v/>
      </c>
      <c r="K628" s="674" t="str">
        <f t="shared" si="434"/>
        <v/>
      </c>
      <c r="L628" s="674" t="str">
        <f t="shared" si="434"/>
        <v/>
      </c>
      <c r="M628" s="674" t="str">
        <f t="shared" si="434"/>
        <v/>
      </c>
      <c r="N628" s="674" t="str">
        <f t="shared" si="434"/>
        <v/>
      </c>
      <c r="O628" s="674" t="str">
        <f t="shared" si="434"/>
        <v/>
      </c>
      <c r="P628" s="674" t="str">
        <f t="shared" si="434"/>
        <v/>
      </c>
      <c r="Q628" s="674" t="str">
        <f t="shared" si="434"/>
        <v/>
      </c>
      <c r="R628" s="674" t="str">
        <f t="shared" si="434"/>
        <v/>
      </c>
      <c r="S628" s="674" t="str">
        <f t="shared" si="434"/>
        <v/>
      </c>
      <c r="T628" s="674" t="str">
        <f t="shared" si="434"/>
        <v/>
      </c>
      <c r="U628" s="674" t="str">
        <f t="shared" si="434"/>
        <v/>
      </c>
      <c r="V628" s="674" t="str">
        <f t="shared" si="434"/>
        <v/>
      </c>
      <c r="W628" s="674" t="str">
        <f t="shared" si="434"/>
        <v/>
      </c>
      <c r="X628" s="674" t="str">
        <f t="shared" si="434"/>
        <v/>
      </c>
      <c r="Y628" s="674" t="str">
        <f t="shared" si="434"/>
        <v/>
      </c>
      <c r="Z628" s="674" t="str">
        <f t="shared" si="434"/>
        <v/>
      </c>
      <c r="AA628" s="674" t="str">
        <f t="shared" si="434"/>
        <v/>
      </c>
      <c r="AB628" s="674" t="str">
        <f t="shared" si="434"/>
        <v/>
      </c>
      <c r="AC628" s="674" t="str">
        <f t="shared" si="434"/>
        <v/>
      </c>
      <c r="AD628" s="674" t="str">
        <f t="shared" si="434"/>
        <v/>
      </c>
      <c r="AE628" s="674" t="str">
        <f t="shared" si="434"/>
        <v/>
      </c>
      <c r="AF628" s="674" t="str">
        <f t="shared" si="434"/>
        <v/>
      </c>
      <c r="AG628" s="674" t="str">
        <f t="shared" si="434"/>
        <v/>
      </c>
      <c r="AH628" s="674" t="str">
        <f t="shared" si="434"/>
        <v/>
      </c>
      <c r="AI628" s="674" t="str">
        <f t="shared" si="434"/>
        <v/>
      </c>
      <c r="AJ628" s="674" t="str">
        <f t="shared" si="434"/>
        <v/>
      </c>
      <c r="AK628" s="675" t="str">
        <f t="shared" si="434"/>
        <v/>
      </c>
      <c r="AL628" s="15"/>
      <c r="AM628" s="15"/>
      <c r="AP628" s="536"/>
      <c r="AR628" s="537"/>
      <c r="AS628" s="529"/>
      <c r="AW628" s="390" t="str">
        <f>""</f>
        <v/>
      </c>
      <c r="AX628" s="531"/>
      <c r="AY628" s="390" t="str">
        <f>""</f>
        <v/>
      </c>
      <c r="BD628" s="520"/>
      <c r="BE628" s="520"/>
      <c r="BF628" s="520"/>
      <c r="BG628" s="520"/>
      <c r="BH628" s="520"/>
      <c r="BI628" s="520"/>
      <c r="BJ628" s="520"/>
      <c r="BK628" s="520"/>
      <c r="BL628" s="520"/>
      <c r="BM628" s="520"/>
      <c r="BN628" s="520"/>
      <c r="BO628" s="520"/>
      <c r="BP628" s="520"/>
      <c r="BQ628" s="520"/>
      <c r="BR628" s="520"/>
      <c r="BS628" s="520"/>
      <c r="BT628" s="520"/>
      <c r="BU628" s="520"/>
      <c r="BV628" s="520"/>
      <c r="BW628" s="520"/>
      <c r="BX628" s="520"/>
      <c r="BY628" s="520"/>
    </row>
    <row r="629" spans="1:84" ht="12" customHeight="1" x14ac:dyDescent="0.3">
      <c r="A629" s="765"/>
      <c r="E629" s="258" t="str">
        <f>$AX$95</f>
        <v>Egyik csapat góljainak száma: 3 p</v>
      </c>
      <c r="H629" s="673" t="str">
        <f t="shared" ref="H629:AK629" si="435">IF(OR(BC625,NOT($AS$26)),"",IF(AND(NOT($AS$32),COUNTIF(H626:H628,"ü")&gt;0),"",IF(OR(H624=$E624,H625=$E625),"ü"," ")))</f>
        <v/>
      </c>
      <c r="I629" s="674" t="str">
        <f t="shared" si="435"/>
        <v/>
      </c>
      <c r="J629" s="674" t="str">
        <f t="shared" si="435"/>
        <v/>
      </c>
      <c r="K629" s="674" t="str">
        <f t="shared" si="435"/>
        <v/>
      </c>
      <c r="L629" s="674" t="str">
        <f t="shared" si="435"/>
        <v/>
      </c>
      <c r="M629" s="674" t="str">
        <f t="shared" si="435"/>
        <v/>
      </c>
      <c r="N629" s="674" t="str">
        <f t="shared" si="435"/>
        <v/>
      </c>
      <c r="O629" s="674" t="str">
        <f t="shared" si="435"/>
        <v/>
      </c>
      <c r="P629" s="674" t="str">
        <f t="shared" si="435"/>
        <v/>
      </c>
      <c r="Q629" s="674" t="str">
        <f t="shared" si="435"/>
        <v/>
      </c>
      <c r="R629" s="674" t="str">
        <f t="shared" si="435"/>
        <v/>
      </c>
      <c r="S629" s="674" t="str">
        <f t="shared" si="435"/>
        <v/>
      </c>
      <c r="T629" s="674" t="str">
        <f t="shared" si="435"/>
        <v/>
      </c>
      <c r="U629" s="674" t="str">
        <f t="shared" si="435"/>
        <v/>
      </c>
      <c r="V629" s="674" t="str">
        <f t="shared" si="435"/>
        <v/>
      </c>
      <c r="W629" s="674" t="str">
        <f t="shared" si="435"/>
        <v/>
      </c>
      <c r="X629" s="674" t="str">
        <f t="shared" si="435"/>
        <v/>
      </c>
      <c r="Y629" s="674" t="str">
        <f t="shared" si="435"/>
        <v/>
      </c>
      <c r="Z629" s="674" t="str">
        <f t="shared" si="435"/>
        <v/>
      </c>
      <c r="AA629" s="674" t="str">
        <f t="shared" si="435"/>
        <v/>
      </c>
      <c r="AB629" s="674" t="str">
        <f t="shared" si="435"/>
        <v/>
      </c>
      <c r="AC629" s="674" t="str">
        <f t="shared" si="435"/>
        <v/>
      </c>
      <c r="AD629" s="674" t="str">
        <f t="shared" si="435"/>
        <v/>
      </c>
      <c r="AE629" s="674" t="str">
        <f t="shared" si="435"/>
        <v/>
      </c>
      <c r="AF629" s="674" t="str">
        <f t="shared" si="435"/>
        <v/>
      </c>
      <c r="AG629" s="674" t="str">
        <f t="shared" si="435"/>
        <v/>
      </c>
      <c r="AH629" s="674" t="str">
        <f t="shared" si="435"/>
        <v/>
      </c>
      <c r="AI629" s="674" t="str">
        <f t="shared" si="435"/>
        <v/>
      </c>
      <c r="AJ629" s="674" t="str">
        <f t="shared" si="435"/>
        <v/>
      </c>
      <c r="AK629" s="675" t="str">
        <f t="shared" si="435"/>
        <v/>
      </c>
      <c r="AL629" s="15"/>
      <c r="AM629" s="15"/>
      <c r="AP629" s="536"/>
      <c r="AR629" s="537"/>
      <c r="AS629" s="529"/>
      <c r="AW629" s="390" t="str">
        <f>""</f>
        <v/>
      </c>
      <c r="AX629" s="531"/>
      <c r="AY629" s="390" t="str">
        <f>""</f>
        <v/>
      </c>
      <c r="BD629" s="520"/>
      <c r="BE629" s="520"/>
      <c r="BF629" s="520"/>
      <c r="BG629" s="520"/>
      <c r="BH629" s="520"/>
      <c r="BI629" s="520"/>
      <c r="BJ629" s="520"/>
      <c r="BK629" s="520"/>
      <c r="BL629" s="520"/>
      <c r="BM629" s="520"/>
      <c r="BN629" s="520"/>
      <c r="BO629" s="520"/>
      <c r="BP629" s="520"/>
      <c r="BQ629" s="520"/>
      <c r="BR629" s="520"/>
      <c r="BS629" s="520"/>
      <c r="BT629" s="520"/>
      <c r="BU629" s="520"/>
      <c r="BV629" s="520"/>
      <c r="BW629" s="520"/>
      <c r="BX629" s="520"/>
      <c r="BY629" s="520"/>
    </row>
    <row r="630" spans="1:84" ht="12" customHeight="1" x14ac:dyDescent="0.3">
      <c r="A630" s="765"/>
      <c r="E630" s="258" t="str">
        <f>$AX$96</f>
        <v>Összes gól: 2 p</v>
      </c>
      <c r="H630" s="673" t="str">
        <f t="shared" ref="H630:AK630" si="436">IF(OR(BC625,NOT($AS$28)),"",IF(AND(NOT($AS$32),COUNTIF(H626:H629,"ü")&gt;0),"",IF(H624+H625=$E624+$E625,"ü"," ")))</f>
        <v/>
      </c>
      <c r="I630" s="674" t="str">
        <f t="shared" si="436"/>
        <v/>
      </c>
      <c r="J630" s="674" t="str">
        <f t="shared" si="436"/>
        <v/>
      </c>
      <c r="K630" s="674" t="str">
        <f t="shared" si="436"/>
        <v/>
      </c>
      <c r="L630" s="674" t="str">
        <f t="shared" si="436"/>
        <v/>
      </c>
      <c r="M630" s="674" t="str">
        <f t="shared" si="436"/>
        <v/>
      </c>
      <c r="N630" s="674" t="str">
        <f t="shared" si="436"/>
        <v/>
      </c>
      <c r="O630" s="674" t="str">
        <f t="shared" si="436"/>
        <v/>
      </c>
      <c r="P630" s="674" t="str">
        <f t="shared" si="436"/>
        <v/>
      </c>
      <c r="Q630" s="674" t="str">
        <f t="shared" si="436"/>
        <v/>
      </c>
      <c r="R630" s="674" t="str">
        <f t="shared" si="436"/>
        <v/>
      </c>
      <c r="S630" s="674" t="str">
        <f t="shared" si="436"/>
        <v/>
      </c>
      <c r="T630" s="674" t="str">
        <f t="shared" si="436"/>
        <v/>
      </c>
      <c r="U630" s="674" t="str">
        <f t="shared" si="436"/>
        <v/>
      </c>
      <c r="V630" s="674" t="str">
        <f t="shared" si="436"/>
        <v/>
      </c>
      <c r="W630" s="674" t="str">
        <f t="shared" si="436"/>
        <v/>
      </c>
      <c r="X630" s="674" t="str">
        <f t="shared" si="436"/>
        <v/>
      </c>
      <c r="Y630" s="674" t="str">
        <f t="shared" si="436"/>
        <v/>
      </c>
      <c r="Z630" s="674" t="str">
        <f t="shared" si="436"/>
        <v/>
      </c>
      <c r="AA630" s="674" t="str">
        <f t="shared" si="436"/>
        <v/>
      </c>
      <c r="AB630" s="674" t="str">
        <f t="shared" si="436"/>
        <v/>
      </c>
      <c r="AC630" s="674" t="str">
        <f t="shared" si="436"/>
        <v/>
      </c>
      <c r="AD630" s="674" t="str">
        <f t="shared" si="436"/>
        <v/>
      </c>
      <c r="AE630" s="674" t="str">
        <f t="shared" si="436"/>
        <v/>
      </c>
      <c r="AF630" s="674" t="str">
        <f t="shared" si="436"/>
        <v/>
      </c>
      <c r="AG630" s="674" t="str">
        <f t="shared" si="436"/>
        <v/>
      </c>
      <c r="AH630" s="674" t="str">
        <f t="shared" si="436"/>
        <v/>
      </c>
      <c r="AI630" s="674" t="str">
        <f t="shared" si="436"/>
        <v/>
      </c>
      <c r="AJ630" s="674" t="str">
        <f t="shared" si="436"/>
        <v/>
      </c>
      <c r="AK630" s="675" t="str">
        <f t="shared" si="436"/>
        <v/>
      </c>
      <c r="AL630" s="15"/>
      <c r="AM630" s="15"/>
      <c r="AP630" s="536"/>
      <c r="AR630" s="537"/>
      <c r="AS630" s="529"/>
      <c r="AW630" s="390" t="str">
        <f>""</f>
        <v/>
      </c>
      <c r="AX630" s="531"/>
      <c r="AY630" s="390" t="str">
        <f>""</f>
        <v/>
      </c>
      <c r="BD630" s="520"/>
      <c r="BE630" s="520"/>
      <c r="BF630" s="520"/>
      <c r="BG630" s="520"/>
      <c r="BH630" s="520"/>
      <c r="BI630" s="520"/>
      <c r="BJ630" s="520"/>
      <c r="BK630" s="520"/>
      <c r="BL630" s="520"/>
      <c r="BM630" s="520"/>
      <c r="BN630" s="520"/>
      <c r="BO630" s="520"/>
      <c r="BP630" s="520"/>
      <c r="BQ630" s="520"/>
      <c r="BR630" s="520"/>
      <c r="BS630" s="520"/>
      <c r="BT630" s="520"/>
      <c r="BU630" s="520"/>
      <c r="BV630" s="520"/>
      <c r="BW630" s="520"/>
      <c r="BX630" s="520"/>
      <c r="BY630" s="520"/>
    </row>
    <row r="631" spans="1:84" ht="12" customHeight="1" x14ac:dyDescent="0.3">
      <c r="A631" s="765"/>
      <c r="E631" s="258" t="str">
        <f>$AX$97</f>
        <v>Fordított gólkülönbség: 1 p</v>
      </c>
      <c r="H631" s="676" t="str">
        <f t="shared" ref="H631:AK631" si="437">IF(OR(BC625,NOT($AS$30)),"",IF(AND(NOT($AS$32),COUNTIF(H626:H630,"ü")&gt;0),"",IF(AND(H624-H625=$E625-$E624,H624&lt;&gt;H625),"ü"," ")))</f>
        <v/>
      </c>
      <c r="I631" s="677" t="str">
        <f t="shared" si="437"/>
        <v/>
      </c>
      <c r="J631" s="677" t="str">
        <f t="shared" si="437"/>
        <v/>
      </c>
      <c r="K631" s="677" t="str">
        <f t="shared" si="437"/>
        <v/>
      </c>
      <c r="L631" s="677" t="str">
        <f t="shared" si="437"/>
        <v/>
      </c>
      <c r="M631" s="677" t="str">
        <f t="shared" si="437"/>
        <v/>
      </c>
      <c r="N631" s="677" t="str">
        <f t="shared" si="437"/>
        <v/>
      </c>
      <c r="O631" s="677" t="str">
        <f t="shared" si="437"/>
        <v/>
      </c>
      <c r="P631" s="677" t="str">
        <f t="shared" si="437"/>
        <v/>
      </c>
      <c r="Q631" s="677" t="str">
        <f t="shared" si="437"/>
        <v/>
      </c>
      <c r="R631" s="677" t="str">
        <f t="shared" si="437"/>
        <v/>
      </c>
      <c r="S631" s="677" t="str">
        <f t="shared" si="437"/>
        <v/>
      </c>
      <c r="T631" s="677" t="str">
        <f t="shared" si="437"/>
        <v/>
      </c>
      <c r="U631" s="677" t="str">
        <f t="shared" si="437"/>
        <v/>
      </c>
      <c r="V631" s="677" t="str">
        <f t="shared" si="437"/>
        <v/>
      </c>
      <c r="W631" s="677" t="str">
        <f t="shared" si="437"/>
        <v/>
      </c>
      <c r="X631" s="677" t="str">
        <f t="shared" si="437"/>
        <v/>
      </c>
      <c r="Y631" s="677" t="str">
        <f t="shared" si="437"/>
        <v/>
      </c>
      <c r="Z631" s="677" t="str">
        <f t="shared" si="437"/>
        <v/>
      </c>
      <c r="AA631" s="677" t="str">
        <f t="shared" si="437"/>
        <v/>
      </c>
      <c r="AB631" s="677" t="str">
        <f t="shared" si="437"/>
        <v/>
      </c>
      <c r="AC631" s="677" t="str">
        <f t="shared" si="437"/>
        <v/>
      </c>
      <c r="AD631" s="677" t="str">
        <f t="shared" si="437"/>
        <v/>
      </c>
      <c r="AE631" s="677" t="str">
        <f t="shared" si="437"/>
        <v/>
      </c>
      <c r="AF631" s="677" t="str">
        <f t="shared" si="437"/>
        <v/>
      </c>
      <c r="AG631" s="677" t="str">
        <f t="shared" si="437"/>
        <v/>
      </c>
      <c r="AH631" s="677" t="str">
        <f t="shared" si="437"/>
        <v/>
      </c>
      <c r="AI631" s="677" t="str">
        <f t="shared" si="437"/>
        <v/>
      </c>
      <c r="AJ631" s="677" t="str">
        <f t="shared" si="437"/>
        <v/>
      </c>
      <c r="AK631" s="678" t="str">
        <f t="shared" si="437"/>
        <v/>
      </c>
      <c r="AL631" s="15"/>
      <c r="AM631" s="15"/>
      <c r="AP631" s="536"/>
      <c r="AR631" s="537"/>
      <c r="AS631" s="529"/>
      <c r="AW631" s="390" t="str">
        <f>""</f>
        <v/>
      </c>
      <c r="AX631" s="531"/>
      <c r="AY631" s="390" t="str">
        <f>""</f>
        <v/>
      </c>
      <c r="BD631" s="520"/>
      <c r="BE631" s="520"/>
      <c r="BF631" s="520"/>
      <c r="BG631" s="520"/>
      <c r="BH631" s="520"/>
      <c r="BI631" s="520"/>
      <c r="BJ631" s="520"/>
      <c r="BK631" s="520"/>
      <c r="BL631" s="520"/>
      <c r="BM631" s="520"/>
      <c r="BN631" s="520"/>
      <c r="BO631" s="520"/>
      <c r="BP631" s="520"/>
      <c r="BQ631" s="520"/>
      <c r="BR631" s="520"/>
      <c r="BS631" s="520"/>
      <c r="BT631" s="520"/>
      <c r="BU631" s="520"/>
      <c r="BV631" s="520"/>
      <c r="BW631" s="520"/>
      <c r="BX631" s="520"/>
      <c r="BY631" s="520"/>
    </row>
    <row r="632" spans="1:84" ht="15" customHeight="1" x14ac:dyDescent="0.3">
      <c r="A632" s="765"/>
      <c r="E632" s="79" t="s">
        <v>799</v>
      </c>
      <c r="H632" s="679">
        <f t="shared" ref="H632:AK632" si="438">IF(NOT(H$13),"",SUMPRODUCT((H626:H631="ü")*($AW$92:$AW$97)))</f>
        <v>0</v>
      </c>
      <c r="I632" s="680">
        <f t="shared" si="438"/>
        <v>0</v>
      </c>
      <c r="J632" s="680">
        <f t="shared" si="438"/>
        <v>0</v>
      </c>
      <c r="K632" s="680">
        <f t="shared" si="438"/>
        <v>0</v>
      </c>
      <c r="L632" s="680">
        <f t="shared" si="438"/>
        <v>0</v>
      </c>
      <c r="M632" s="680">
        <f t="shared" si="438"/>
        <v>0</v>
      </c>
      <c r="N632" s="680">
        <f t="shared" si="438"/>
        <v>0</v>
      </c>
      <c r="O632" s="680">
        <f t="shared" si="438"/>
        <v>0</v>
      </c>
      <c r="P632" s="680">
        <f t="shared" si="438"/>
        <v>0</v>
      </c>
      <c r="Q632" s="680">
        <f t="shared" si="438"/>
        <v>0</v>
      </c>
      <c r="R632" s="680">
        <f t="shared" si="438"/>
        <v>0</v>
      </c>
      <c r="S632" s="680">
        <f t="shared" si="438"/>
        <v>0</v>
      </c>
      <c r="T632" s="680">
        <f t="shared" si="438"/>
        <v>0</v>
      </c>
      <c r="U632" s="680">
        <f t="shared" si="438"/>
        <v>0</v>
      </c>
      <c r="V632" s="680">
        <f t="shared" si="438"/>
        <v>0</v>
      </c>
      <c r="W632" s="680">
        <f t="shared" si="438"/>
        <v>0</v>
      </c>
      <c r="X632" s="680">
        <f t="shared" si="438"/>
        <v>0</v>
      </c>
      <c r="Y632" s="680">
        <f t="shared" si="438"/>
        <v>0</v>
      </c>
      <c r="Z632" s="680">
        <f t="shared" si="438"/>
        <v>0</v>
      </c>
      <c r="AA632" s="680">
        <f t="shared" si="438"/>
        <v>0</v>
      </c>
      <c r="AB632" s="680">
        <f t="shared" si="438"/>
        <v>0</v>
      </c>
      <c r="AC632" s="680">
        <f t="shared" si="438"/>
        <v>0</v>
      </c>
      <c r="AD632" s="680">
        <f t="shared" si="438"/>
        <v>0</v>
      </c>
      <c r="AE632" s="680" t="str">
        <f t="shared" si="438"/>
        <v/>
      </c>
      <c r="AF632" s="680" t="str">
        <f t="shared" si="438"/>
        <v/>
      </c>
      <c r="AG632" s="680" t="str">
        <f t="shared" si="438"/>
        <v/>
      </c>
      <c r="AH632" s="680" t="str">
        <f t="shared" si="438"/>
        <v/>
      </c>
      <c r="AI632" s="680" t="str">
        <f t="shared" si="438"/>
        <v/>
      </c>
      <c r="AJ632" s="680" t="str">
        <f t="shared" si="438"/>
        <v/>
      </c>
      <c r="AK632" s="681" t="str">
        <f t="shared" si="438"/>
        <v/>
      </c>
      <c r="AP632" s="536"/>
      <c r="AR632" s="537"/>
      <c r="AS632" s="529"/>
      <c r="AX632" s="531"/>
    </row>
    <row r="633" spans="1:84" ht="9" customHeight="1" x14ac:dyDescent="0.3">
      <c r="A633" s="765"/>
      <c r="D633" s="15"/>
      <c r="E633" s="15"/>
      <c r="F633" s="15"/>
      <c r="G633" s="15"/>
      <c r="H633" s="15"/>
      <c r="I633" s="16"/>
      <c r="J633" s="15"/>
      <c r="K633" s="15"/>
      <c r="L633" s="16"/>
      <c r="M633" s="15"/>
      <c r="N633" s="15"/>
      <c r="O633" s="16"/>
      <c r="P633" s="15"/>
      <c r="Q633" s="15"/>
      <c r="R633" s="16"/>
      <c r="S633" s="15"/>
      <c r="T633" s="15"/>
      <c r="U633" s="16"/>
      <c r="V633" s="15"/>
      <c r="W633" s="15"/>
      <c r="X633" s="16"/>
      <c r="Y633" s="15"/>
      <c r="Z633" s="15"/>
      <c r="AA633" s="16"/>
      <c r="AB633" s="15"/>
      <c r="AC633" s="15"/>
      <c r="AD633" s="16"/>
      <c r="AE633" s="15"/>
      <c r="AF633" s="15"/>
      <c r="AG633" s="16"/>
      <c r="AH633" s="15"/>
      <c r="AI633" s="15"/>
      <c r="AJ633" s="16"/>
      <c r="AK633" s="15"/>
      <c r="AP633" s="536"/>
      <c r="AR633" s="537"/>
      <c r="AS633" s="529"/>
      <c r="AX633" s="531"/>
    </row>
    <row r="634" spans="1:84" ht="15" customHeight="1" x14ac:dyDescent="0.3">
      <c r="A634" s="765"/>
      <c r="C634" s="27" t="str">
        <f>" "&amp;VLOOKUP(AQ635,schedule,18,FALSE)&amp;"  ("&amp;VLOOKUP(AQ635,schedule,3,FALSE)&amp;" PÁRHARC)"</f>
        <v xml:space="preserve"> JÚLIUS 2. – PÉNTEK 21:00  (1/4 PÁRHARC)</v>
      </c>
      <c r="D634" s="27"/>
      <c r="E634" s="26"/>
      <c r="F634" s="26"/>
      <c r="G634" s="26"/>
      <c r="H634" s="26"/>
      <c r="I634" s="26"/>
      <c r="J634" s="26"/>
      <c r="AP634" s="536"/>
      <c r="AR634" s="537"/>
      <c r="AS634" s="529"/>
    </row>
    <row r="635" spans="1:84" ht="15" customHeight="1" x14ac:dyDescent="0.3">
      <c r="A635" s="765"/>
      <c r="C635" s="661"/>
      <c r="D635" s="662" t="str">
        <f>IF(INDEX(n.er,$AR635,8)="","",INDEX(n.er,$AR635,8))</f>
        <v>1/8 győztese</v>
      </c>
      <c r="E635" s="663" t="str">
        <f>IF(NOT($AS635),"",INDEX(n.er,$AR635,9))</f>
        <v/>
      </c>
      <c r="F635" s="662"/>
      <c r="G635" s="259"/>
      <c r="H635" s="664"/>
      <c r="I635" s="665"/>
      <c r="J635" s="665"/>
      <c r="K635" s="665"/>
      <c r="L635" s="665"/>
      <c r="M635" s="665"/>
      <c r="N635" s="665"/>
      <c r="O635" s="665"/>
      <c r="P635" s="665"/>
      <c r="Q635" s="665"/>
      <c r="R635" s="665"/>
      <c r="S635" s="665"/>
      <c r="T635" s="665"/>
      <c r="U635" s="665"/>
      <c r="V635" s="665"/>
      <c r="W635" s="665"/>
      <c r="X635" s="665"/>
      <c r="Y635" s="665"/>
      <c r="Z635" s="665"/>
      <c r="AA635" s="665"/>
      <c r="AB635" s="665"/>
      <c r="AC635" s="665"/>
      <c r="AD635" s="665"/>
      <c r="AE635" s="665"/>
      <c r="AF635" s="665"/>
      <c r="AG635" s="665"/>
      <c r="AH635" s="665"/>
      <c r="AI635" s="665"/>
      <c r="AJ635" s="665"/>
      <c r="AK635" s="666"/>
      <c r="AP635" s="52">
        <f>AP624+1</f>
        <v>46</v>
      </c>
      <c r="AQ635" s="311">
        <f>INDEX(schedule,AP635,1)</f>
        <v>46</v>
      </c>
      <c r="AR635" s="311">
        <f>MATCH(AQ635,n.er.index,0)</f>
        <v>118</v>
      </c>
      <c r="AS635" s="532" t="b">
        <f>INDEX(n.er,$AR635,3)</f>
        <v>0</v>
      </c>
      <c r="AT635" s="531"/>
      <c r="AU635" s="531"/>
      <c r="AV635" s="531"/>
      <c r="AW635" s="531"/>
      <c r="AX635" s="531"/>
      <c r="BC635" s="525" t="b">
        <f t="shared" ref="BC635:CF635" si="439">IF(AND(ISNUMBER(H635),ISNUMBER(H636),H635&lt;&gt;"",H636&lt;&gt;""),AND(H635&gt;=0,H636&gt;=0,MOD(H635+H636,1)=0),FALSE)</f>
        <v>0</v>
      </c>
      <c r="BD635" s="525" t="b">
        <f t="shared" si="439"/>
        <v>0</v>
      </c>
      <c r="BE635" s="525" t="b">
        <f t="shared" si="439"/>
        <v>0</v>
      </c>
      <c r="BF635" s="525" t="b">
        <f t="shared" si="439"/>
        <v>0</v>
      </c>
      <c r="BG635" s="525" t="b">
        <f t="shared" si="439"/>
        <v>0</v>
      </c>
      <c r="BH635" s="525" t="b">
        <f t="shared" si="439"/>
        <v>0</v>
      </c>
      <c r="BI635" s="525" t="b">
        <f t="shared" si="439"/>
        <v>0</v>
      </c>
      <c r="BJ635" s="525" t="b">
        <f t="shared" si="439"/>
        <v>0</v>
      </c>
      <c r="BK635" s="525" t="b">
        <f t="shared" si="439"/>
        <v>0</v>
      </c>
      <c r="BL635" s="525" t="b">
        <f t="shared" si="439"/>
        <v>0</v>
      </c>
      <c r="BM635" s="525" t="b">
        <f t="shared" si="439"/>
        <v>0</v>
      </c>
      <c r="BN635" s="525" t="b">
        <f t="shared" si="439"/>
        <v>0</v>
      </c>
      <c r="BO635" s="525" t="b">
        <f t="shared" si="439"/>
        <v>0</v>
      </c>
      <c r="BP635" s="525" t="b">
        <f t="shared" si="439"/>
        <v>0</v>
      </c>
      <c r="BQ635" s="525" t="b">
        <f t="shared" si="439"/>
        <v>0</v>
      </c>
      <c r="BR635" s="525" t="b">
        <f t="shared" si="439"/>
        <v>0</v>
      </c>
      <c r="BS635" s="525" t="b">
        <f t="shared" si="439"/>
        <v>0</v>
      </c>
      <c r="BT635" s="525" t="b">
        <f t="shared" si="439"/>
        <v>0</v>
      </c>
      <c r="BU635" s="525" t="b">
        <f t="shared" si="439"/>
        <v>0</v>
      </c>
      <c r="BV635" s="525" t="b">
        <f t="shared" si="439"/>
        <v>0</v>
      </c>
      <c r="BW635" s="525" t="b">
        <f t="shared" si="439"/>
        <v>0</v>
      </c>
      <c r="BX635" s="525" t="b">
        <f t="shared" si="439"/>
        <v>0</v>
      </c>
      <c r="BY635" s="525" t="b">
        <f t="shared" si="439"/>
        <v>0</v>
      </c>
      <c r="BZ635" s="525" t="b">
        <f t="shared" si="439"/>
        <v>0</v>
      </c>
      <c r="CA635" s="525" t="b">
        <f t="shared" si="439"/>
        <v>0</v>
      </c>
      <c r="CB635" s="525" t="b">
        <f t="shared" si="439"/>
        <v>0</v>
      </c>
      <c r="CC635" s="525" t="b">
        <f t="shared" si="439"/>
        <v>0</v>
      </c>
      <c r="CD635" s="525" t="b">
        <f t="shared" si="439"/>
        <v>0</v>
      </c>
      <c r="CE635" s="525" t="b">
        <f t="shared" si="439"/>
        <v>0</v>
      </c>
      <c r="CF635" s="525" t="b">
        <f t="shared" si="439"/>
        <v>0</v>
      </c>
    </row>
    <row r="636" spans="1:84" ht="15" customHeight="1" x14ac:dyDescent="0.3">
      <c r="A636" s="765"/>
      <c r="C636" s="695"/>
      <c r="D636" s="696" t="str">
        <f>IF(INDEX(n.er,$AR635,11)="","",INDEX(n.er,$AR635,11))</f>
        <v>2/8 győztese</v>
      </c>
      <c r="E636" s="697" t="str">
        <f>IF(NOT($AS635),"",INDEX(n.er,$AR635,10))</f>
        <v/>
      </c>
      <c r="F636" s="696"/>
      <c r="G636" s="259"/>
      <c r="H636" s="667"/>
      <c r="I636" s="668"/>
      <c r="J636" s="668"/>
      <c r="K636" s="668"/>
      <c r="L636" s="668"/>
      <c r="M636" s="668"/>
      <c r="N636" s="668"/>
      <c r="O636" s="668"/>
      <c r="P636" s="668"/>
      <c r="Q636" s="668"/>
      <c r="R636" s="668"/>
      <c r="S636" s="668"/>
      <c r="T636" s="668"/>
      <c r="U636" s="668"/>
      <c r="V636" s="668"/>
      <c r="W636" s="668"/>
      <c r="X636" s="668"/>
      <c r="Y636" s="668"/>
      <c r="Z636" s="668"/>
      <c r="AA636" s="668"/>
      <c r="AB636" s="668"/>
      <c r="AC636" s="668"/>
      <c r="AD636" s="668"/>
      <c r="AE636" s="668"/>
      <c r="AF636" s="668"/>
      <c r="AG636" s="668"/>
      <c r="AH636" s="668"/>
      <c r="AI636" s="668"/>
      <c r="AJ636" s="668"/>
      <c r="AK636" s="669"/>
      <c r="AP636" s="533"/>
      <c r="AQ636" s="577"/>
      <c r="AR636" s="534"/>
      <c r="AS636" s="535"/>
      <c r="AX636" s="531"/>
      <c r="BC636" s="34" t="b">
        <f t="shared" ref="BC636:CF636" si="440">OR(NOT(H$13),NOT($AS635),NOT(BC635))</f>
        <v>1</v>
      </c>
      <c r="BD636" s="34" t="b">
        <f t="shared" si="440"/>
        <v>1</v>
      </c>
      <c r="BE636" s="34" t="b">
        <f t="shared" si="440"/>
        <v>1</v>
      </c>
      <c r="BF636" s="34" t="b">
        <f t="shared" si="440"/>
        <v>1</v>
      </c>
      <c r="BG636" s="34" t="b">
        <f t="shared" si="440"/>
        <v>1</v>
      </c>
      <c r="BH636" s="34" t="b">
        <f t="shared" si="440"/>
        <v>1</v>
      </c>
      <c r="BI636" s="34" t="b">
        <f t="shared" si="440"/>
        <v>1</v>
      </c>
      <c r="BJ636" s="34" t="b">
        <f t="shared" si="440"/>
        <v>1</v>
      </c>
      <c r="BK636" s="34" t="b">
        <f t="shared" si="440"/>
        <v>1</v>
      </c>
      <c r="BL636" s="34" t="b">
        <f t="shared" si="440"/>
        <v>1</v>
      </c>
      <c r="BM636" s="34" t="b">
        <f t="shared" si="440"/>
        <v>1</v>
      </c>
      <c r="BN636" s="34" t="b">
        <f t="shared" si="440"/>
        <v>1</v>
      </c>
      <c r="BO636" s="34" t="b">
        <f t="shared" si="440"/>
        <v>1</v>
      </c>
      <c r="BP636" s="34" t="b">
        <f t="shared" si="440"/>
        <v>1</v>
      </c>
      <c r="BQ636" s="34" t="b">
        <f t="shared" si="440"/>
        <v>1</v>
      </c>
      <c r="BR636" s="34" t="b">
        <f t="shared" si="440"/>
        <v>1</v>
      </c>
      <c r="BS636" s="34" t="b">
        <f t="shared" si="440"/>
        <v>1</v>
      </c>
      <c r="BT636" s="34" t="b">
        <f t="shared" si="440"/>
        <v>1</v>
      </c>
      <c r="BU636" s="34" t="b">
        <f t="shared" si="440"/>
        <v>1</v>
      </c>
      <c r="BV636" s="34" t="b">
        <f t="shared" si="440"/>
        <v>1</v>
      </c>
      <c r="BW636" s="34" t="b">
        <f t="shared" si="440"/>
        <v>1</v>
      </c>
      <c r="BX636" s="34" t="b">
        <f t="shared" si="440"/>
        <v>1</v>
      </c>
      <c r="BY636" s="34" t="b">
        <f t="shared" si="440"/>
        <v>1</v>
      </c>
      <c r="BZ636" s="34" t="b">
        <f t="shared" si="440"/>
        <v>1</v>
      </c>
      <c r="CA636" s="34" t="b">
        <f t="shared" si="440"/>
        <v>1</v>
      </c>
      <c r="CB636" s="34" t="b">
        <f t="shared" si="440"/>
        <v>1</v>
      </c>
      <c r="CC636" s="34" t="b">
        <f t="shared" si="440"/>
        <v>1</v>
      </c>
      <c r="CD636" s="34" t="b">
        <f t="shared" si="440"/>
        <v>1</v>
      </c>
      <c r="CE636" s="34" t="b">
        <f t="shared" si="440"/>
        <v>1</v>
      </c>
      <c r="CF636" s="34" t="b">
        <f t="shared" si="440"/>
        <v>1</v>
      </c>
    </row>
    <row r="637" spans="1:84" ht="12" customHeight="1" x14ac:dyDescent="0.3">
      <c r="A637" s="765"/>
      <c r="E637" s="258" t="str">
        <f>$AX$92</f>
        <v>Telitalálat: 10 p</v>
      </c>
      <c r="H637" s="670" t="str">
        <f t="shared" ref="H637:AK637" si="441">IF(OR(BC636,NOT($AS$20)),"",IF(AND(H635=$E635,H636=$E636),"ü",""))</f>
        <v/>
      </c>
      <c r="I637" s="671" t="str">
        <f t="shared" si="441"/>
        <v/>
      </c>
      <c r="J637" s="671" t="str">
        <f t="shared" si="441"/>
        <v/>
      </c>
      <c r="K637" s="671" t="str">
        <f t="shared" si="441"/>
        <v/>
      </c>
      <c r="L637" s="671" t="str">
        <f t="shared" si="441"/>
        <v/>
      </c>
      <c r="M637" s="671" t="str">
        <f t="shared" si="441"/>
        <v/>
      </c>
      <c r="N637" s="671" t="str">
        <f t="shared" si="441"/>
        <v/>
      </c>
      <c r="O637" s="671" t="str">
        <f t="shared" si="441"/>
        <v/>
      </c>
      <c r="P637" s="671" t="str">
        <f t="shared" si="441"/>
        <v/>
      </c>
      <c r="Q637" s="671" t="str">
        <f t="shared" si="441"/>
        <v/>
      </c>
      <c r="R637" s="671" t="str">
        <f t="shared" si="441"/>
        <v/>
      </c>
      <c r="S637" s="671" t="str">
        <f t="shared" si="441"/>
        <v/>
      </c>
      <c r="T637" s="671" t="str">
        <f t="shared" si="441"/>
        <v/>
      </c>
      <c r="U637" s="671" t="str">
        <f t="shared" si="441"/>
        <v/>
      </c>
      <c r="V637" s="671" t="str">
        <f t="shared" si="441"/>
        <v/>
      </c>
      <c r="W637" s="671" t="str">
        <f t="shared" si="441"/>
        <v/>
      </c>
      <c r="X637" s="671" t="str">
        <f t="shared" si="441"/>
        <v/>
      </c>
      <c r="Y637" s="671" t="str">
        <f t="shared" si="441"/>
        <v/>
      </c>
      <c r="Z637" s="671" t="str">
        <f t="shared" si="441"/>
        <v/>
      </c>
      <c r="AA637" s="671" t="str">
        <f t="shared" si="441"/>
        <v/>
      </c>
      <c r="AB637" s="671" t="str">
        <f t="shared" si="441"/>
        <v/>
      </c>
      <c r="AC637" s="671" t="str">
        <f t="shared" si="441"/>
        <v/>
      </c>
      <c r="AD637" s="671" t="str">
        <f t="shared" si="441"/>
        <v/>
      </c>
      <c r="AE637" s="671" t="str">
        <f t="shared" si="441"/>
        <v/>
      </c>
      <c r="AF637" s="671" t="str">
        <f t="shared" si="441"/>
        <v/>
      </c>
      <c r="AG637" s="671" t="str">
        <f t="shared" si="441"/>
        <v/>
      </c>
      <c r="AH637" s="671" t="str">
        <f t="shared" si="441"/>
        <v/>
      </c>
      <c r="AI637" s="671" t="str">
        <f t="shared" si="441"/>
        <v/>
      </c>
      <c r="AJ637" s="671" t="str">
        <f t="shared" si="441"/>
        <v/>
      </c>
      <c r="AK637" s="672" t="str">
        <f t="shared" si="441"/>
        <v/>
      </c>
      <c r="AL637" s="15"/>
      <c r="AM637" s="15"/>
      <c r="AP637" s="536"/>
      <c r="AR637" s="537"/>
      <c r="AS637" s="529"/>
      <c r="AW637" s="390" t="str">
        <f>""</f>
        <v/>
      </c>
      <c r="AX637" s="531"/>
      <c r="AY637" s="390" t="str">
        <f>""</f>
        <v/>
      </c>
      <c r="BD637" s="520"/>
      <c r="BE637" s="520"/>
      <c r="BF637" s="520"/>
      <c r="BG637" s="520"/>
      <c r="BH637" s="520"/>
      <c r="BI637" s="520"/>
      <c r="BJ637" s="520"/>
      <c r="BK637" s="520"/>
      <c r="BL637" s="520"/>
      <c r="BM637" s="520"/>
      <c r="BN637" s="520"/>
      <c r="BO637" s="520"/>
      <c r="BP637" s="520"/>
      <c r="BQ637" s="520"/>
      <c r="BR637" s="520"/>
      <c r="BS637" s="520"/>
      <c r="BT637" s="520"/>
      <c r="BU637" s="520"/>
      <c r="BV637" s="520"/>
      <c r="BW637" s="520"/>
      <c r="BX637" s="520"/>
      <c r="BY637" s="520"/>
    </row>
    <row r="638" spans="1:84" ht="12" customHeight="1" x14ac:dyDescent="0.3">
      <c r="A638" s="765"/>
      <c r="E638" s="258" t="str">
        <f>$AX$93</f>
        <v>Gólkülönbség: 6 p</v>
      </c>
      <c r="H638" s="673" t="str">
        <f t="shared" ref="H638:AK638" si="442">IF(OR(BC636,NOT($AS$22)),"",IF(AND(NOT($AS$32),H637="ü"),"",IF(H635-H636=$E635-$E636,"ü"," ")))</f>
        <v/>
      </c>
      <c r="I638" s="674" t="str">
        <f t="shared" si="442"/>
        <v/>
      </c>
      <c r="J638" s="674" t="str">
        <f t="shared" si="442"/>
        <v/>
      </c>
      <c r="K638" s="674" t="str">
        <f t="shared" si="442"/>
        <v/>
      </c>
      <c r="L638" s="674" t="str">
        <f t="shared" si="442"/>
        <v/>
      </c>
      <c r="M638" s="674" t="str">
        <f t="shared" si="442"/>
        <v/>
      </c>
      <c r="N638" s="674" t="str">
        <f t="shared" si="442"/>
        <v/>
      </c>
      <c r="O638" s="674" t="str">
        <f t="shared" si="442"/>
        <v/>
      </c>
      <c r="P638" s="674" t="str">
        <f t="shared" si="442"/>
        <v/>
      </c>
      <c r="Q638" s="674" t="str">
        <f t="shared" si="442"/>
        <v/>
      </c>
      <c r="R638" s="674" t="str">
        <f t="shared" si="442"/>
        <v/>
      </c>
      <c r="S638" s="674" t="str">
        <f t="shared" si="442"/>
        <v/>
      </c>
      <c r="T638" s="674" t="str">
        <f t="shared" si="442"/>
        <v/>
      </c>
      <c r="U638" s="674" t="str">
        <f t="shared" si="442"/>
        <v/>
      </c>
      <c r="V638" s="674" t="str">
        <f t="shared" si="442"/>
        <v/>
      </c>
      <c r="W638" s="674" t="str">
        <f t="shared" si="442"/>
        <v/>
      </c>
      <c r="X638" s="674" t="str">
        <f t="shared" si="442"/>
        <v/>
      </c>
      <c r="Y638" s="674" t="str">
        <f t="shared" si="442"/>
        <v/>
      </c>
      <c r="Z638" s="674" t="str">
        <f t="shared" si="442"/>
        <v/>
      </c>
      <c r="AA638" s="674" t="str">
        <f t="shared" si="442"/>
        <v/>
      </c>
      <c r="AB638" s="674" t="str">
        <f t="shared" si="442"/>
        <v/>
      </c>
      <c r="AC638" s="674" t="str">
        <f t="shared" si="442"/>
        <v/>
      </c>
      <c r="AD638" s="674" t="str">
        <f t="shared" si="442"/>
        <v/>
      </c>
      <c r="AE638" s="674" t="str">
        <f t="shared" si="442"/>
        <v/>
      </c>
      <c r="AF638" s="674" t="str">
        <f t="shared" si="442"/>
        <v/>
      </c>
      <c r="AG638" s="674" t="str">
        <f t="shared" si="442"/>
        <v/>
      </c>
      <c r="AH638" s="674" t="str">
        <f t="shared" si="442"/>
        <v/>
      </c>
      <c r="AI638" s="674" t="str">
        <f t="shared" si="442"/>
        <v/>
      </c>
      <c r="AJ638" s="674" t="str">
        <f t="shared" si="442"/>
        <v/>
      </c>
      <c r="AK638" s="675" t="str">
        <f t="shared" si="442"/>
        <v/>
      </c>
      <c r="AL638" s="15"/>
      <c r="AM638" s="15"/>
      <c r="AP638" s="536"/>
      <c r="AR638" s="537"/>
      <c r="AS638" s="529"/>
      <c r="AW638" s="390" t="str">
        <f>""</f>
        <v/>
      </c>
      <c r="AX638" s="531"/>
      <c r="AY638" s="390" t="str">
        <f>""</f>
        <v/>
      </c>
      <c r="BD638" s="520"/>
      <c r="BE638" s="520"/>
      <c r="BF638" s="520"/>
      <c r="BG638" s="520"/>
      <c r="BH638" s="520"/>
      <c r="BI638" s="520"/>
      <c r="BJ638" s="520"/>
      <c r="BK638" s="520"/>
      <c r="BL638" s="520"/>
      <c r="BM638" s="520"/>
      <c r="BN638" s="520"/>
      <c r="BO638" s="520"/>
      <c r="BP638" s="520"/>
      <c r="BQ638" s="520"/>
      <c r="BR638" s="520"/>
      <c r="BS638" s="520"/>
      <c r="BT638" s="520"/>
      <c r="BU638" s="520"/>
      <c r="BV638" s="520"/>
      <c r="BW638" s="520"/>
      <c r="BX638" s="520"/>
      <c r="BY638" s="520"/>
    </row>
    <row r="639" spans="1:84" ht="12" customHeight="1" x14ac:dyDescent="0.3">
      <c r="A639" s="765"/>
      <c r="E639" s="258" t="str">
        <f>$AX$94</f>
        <v>Mérkőzés kimenetele: 4 p</v>
      </c>
      <c r="H639" s="673" t="str">
        <f t="shared" ref="H639:AK639" si="443">IF(OR(BC636,NOT($AS$24)),"",IF(AND(NOT($AS$32),COUNTIF(H637:H638,"ü")&gt;0),"",IF(SIGN(H635-H636)=SIGN($E635-$E636),"ü"," ")))</f>
        <v/>
      </c>
      <c r="I639" s="674" t="str">
        <f t="shared" si="443"/>
        <v/>
      </c>
      <c r="J639" s="674" t="str">
        <f t="shared" si="443"/>
        <v/>
      </c>
      <c r="K639" s="674" t="str">
        <f t="shared" si="443"/>
        <v/>
      </c>
      <c r="L639" s="674" t="str">
        <f t="shared" si="443"/>
        <v/>
      </c>
      <c r="M639" s="674" t="str">
        <f t="shared" si="443"/>
        <v/>
      </c>
      <c r="N639" s="674" t="str">
        <f t="shared" si="443"/>
        <v/>
      </c>
      <c r="O639" s="674" t="str">
        <f t="shared" si="443"/>
        <v/>
      </c>
      <c r="P639" s="674" t="str">
        <f t="shared" si="443"/>
        <v/>
      </c>
      <c r="Q639" s="674" t="str">
        <f t="shared" si="443"/>
        <v/>
      </c>
      <c r="R639" s="674" t="str">
        <f t="shared" si="443"/>
        <v/>
      </c>
      <c r="S639" s="674" t="str">
        <f t="shared" si="443"/>
        <v/>
      </c>
      <c r="T639" s="674" t="str">
        <f t="shared" si="443"/>
        <v/>
      </c>
      <c r="U639" s="674" t="str">
        <f t="shared" si="443"/>
        <v/>
      </c>
      <c r="V639" s="674" t="str">
        <f t="shared" si="443"/>
        <v/>
      </c>
      <c r="W639" s="674" t="str">
        <f t="shared" si="443"/>
        <v/>
      </c>
      <c r="X639" s="674" t="str">
        <f t="shared" si="443"/>
        <v/>
      </c>
      <c r="Y639" s="674" t="str">
        <f t="shared" si="443"/>
        <v/>
      </c>
      <c r="Z639" s="674" t="str">
        <f t="shared" si="443"/>
        <v/>
      </c>
      <c r="AA639" s="674" t="str">
        <f t="shared" si="443"/>
        <v/>
      </c>
      <c r="AB639" s="674" t="str">
        <f t="shared" si="443"/>
        <v/>
      </c>
      <c r="AC639" s="674" t="str">
        <f t="shared" si="443"/>
        <v/>
      </c>
      <c r="AD639" s="674" t="str">
        <f t="shared" si="443"/>
        <v/>
      </c>
      <c r="AE639" s="674" t="str">
        <f t="shared" si="443"/>
        <v/>
      </c>
      <c r="AF639" s="674" t="str">
        <f t="shared" si="443"/>
        <v/>
      </c>
      <c r="AG639" s="674" t="str">
        <f t="shared" si="443"/>
        <v/>
      </c>
      <c r="AH639" s="674" t="str">
        <f t="shared" si="443"/>
        <v/>
      </c>
      <c r="AI639" s="674" t="str">
        <f t="shared" si="443"/>
        <v/>
      </c>
      <c r="AJ639" s="674" t="str">
        <f t="shared" si="443"/>
        <v/>
      </c>
      <c r="AK639" s="675" t="str">
        <f t="shared" si="443"/>
        <v/>
      </c>
      <c r="AL639" s="15"/>
      <c r="AM639" s="15"/>
      <c r="AP639" s="536"/>
      <c r="AR639" s="537"/>
      <c r="AS639" s="529"/>
      <c r="AW639" s="390" t="str">
        <f>""</f>
        <v/>
      </c>
      <c r="AX639" s="531"/>
      <c r="AY639" s="390" t="str">
        <f>""</f>
        <v/>
      </c>
      <c r="BD639" s="520"/>
      <c r="BE639" s="520"/>
      <c r="BF639" s="520"/>
      <c r="BG639" s="520"/>
      <c r="BH639" s="520"/>
      <c r="BI639" s="520"/>
      <c r="BJ639" s="520"/>
      <c r="BK639" s="520"/>
      <c r="BL639" s="520"/>
      <c r="BM639" s="520"/>
      <c r="BN639" s="520"/>
      <c r="BO639" s="520"/>
      <c r="BP639" s="520"/>
      <c r="BQ639" s="520"/>
      <c r="BR639" s="520"/>
      <c r="BS639" s="520"/>
      <c r="BT639" s="520"/>
      <c r="BU639" s="520"/>
      <c r="BV639" s="520"/>
      <c r="BW639" s="520"/>
      <c r="BX639" s="520"/>
      <c r="BY639" s="520"/>
    </row>
    <row r="640" spans="1:84" ht="12" customHeight="1" x14ac:dyDescent="0.3">
      <c r="A640" s="765"/>
      <c r="E640" s="258" t="str">
        <f>$AX$95</f>
        <v>Egyik csapat góljainak száma: 3 p</v>
      </c>
      <c r="H640" s="673" t="str">
        <f t="shared" ref="H640:AK640" si="444">IF(OR(BC636,NOT($AS$26)),"",IF(AND(NOT($AS$32),COUNTIF(H637:H639,"ü")&gt;0),"",IF(OR(H635=$E635,H636=$E636),"ü"," ")))</f>
        <v/>
      </c>
      <c r="I640" s="674" t="str">
        <f t="shared" si="444"/>
        <v/>
      </c>
      <c r="J640" s="674" t="str">
        <f t="shared" si="444"/>
        <v/>
      </c>
      <c r="K640" s="674" t="str">
        <f t="shared" si="444"/>
        <v/>
      </c>
      <c r="L640" s="674" t="str">
        <f t="shared" si="444"/>
        <v/>
      </c>
      <c r="M640" s="674" t="str">
        <f t="shared" si="444"/>
        <v/>
      </c>
      <c r="N640" s="674" t="str">
        <f t="shared" si="444"/>
        <v/>
      </c>
      <c r="O640" s="674" t="str">
        <f t="shared" si="444"/>
        <v/>
      </c>
      <c r="P640" s="674" t="str">
        <f t="shared" si="444"/>
        <v/>
      </c>
      <c r="Q640" s="674" t="str">
        <f t="shared" si="444"/>
        <v/>
      </c>
      <c r="R640" s="674" t="str">
        <f t="shared" si="444"/>
        <v/>
      </c>
      <c r="S640" s="674" t="str">
        <f t="shared" si="444"/>
        <v/>
      </c>
      <c r="T640" s="674" t="str">
        <f t="shared" si="444"/>
        <v/>
      </c>
      <c r="U640" s="674" t="str">
        <f t="shared" si="444"/>
        <v/>
      </c>
      <c r="V640" s="674" t="str">
        <f t="shared" si="444"/>
        <v/>
      </c>
      <c r="W640" s="674" t="str">
        <f t="shared" si="444"/>
        <v/>
      </c>
      <c r="X640" s="674" t="str">
        <f t="shared" si="444"/>
        <v/>
      </c>
      <c r="Y640" s="674" t="str">
        <f t="shared" si="444"/>
        <v/>
      </c>
      <c r="Z640" s="674" t="str">
        <f t="shared" si="444"/>
        <v/>
      </c>
      <c r="AA640" s="674" t="str">
        <f t="shared" si="444"/>
        <v/>
      </c>
      <c r="AB640" s="674" t="str">
        <f t="shared" si="444"/>
        <v/>
      </c>
      <c r="AC640" s="674" t="str">
        <f t="shared" si="444"/>
        <v/>
      </c>
      <c r="AD640" s="674" t="str">
        <f t="shared" si="444"/>
        <v/>
      </c>
      <c r="AE640" s="674" t="str">
        <f t="shared" si="444"/>
        <v/>
      </c>
      <c r="AF640" s="674" t="str">
        <f t="shared" si="444"/>
        <v/>
      </c>
      <c r="AG640" s="674" t="str">
        <f t="shared" si="444"/>
        <v/>
      </c>
      <c r="AH640" s="674" t="str">
        <f t="shared" si="444"/>
        <v/>
      </c>
      <c r="AI640" s="674" t="str">
        <f t="shared" si="444"/>
        <v/>
      </c>
      <c r="AJ640" s="674" t="str">
        <f t="shared" si="444"/>
        <v/>
      </c>
      <c r="AK640" s="675" t="str">
        <f t="shared" si="444"/>
        <v/>
      </c>
      <c r="AL640" s="15"/>
      <c r="AM640" s="15"/>
      <c r="AP640" s="536"/>
      <c r="AR640" s="537"/>
      <c r="AS640" s="529"/>
      <c r="AW640" s="390" t="str">
        <f>""</f>
        <v/>
      </c>
      <c r="AX640" s="531"/>
      <c r="AY640" s="390" t="str">
        <f>""</f>
        <v/>
      </c>
      <c r="BD640" s="520"/>
      <c r="BE640" s="520"/>
      <c r="BF640" s="520"/>
      <c r="BG640" s="520"/>
      <c r="BH640" s="520"/>
      <c r="BI640" s="520"/>
      <c r="BJ640" s="520"/>
      <c r="BK640" s="520"/>
      <c r="BL640" s="520"/>
      <c r="BM640" s="520"/>
      <c r="BN640" s="520"/>
      <c r="BO640" s="520"/>
      <c r="BP640" s="520"/>
      <c r="BQ640" s="520"/>
      <c r="BR640" s="520"/>
      <c r="BS640" s="520"/>
      <c r="BT640" s="520"/>
      <c r="BU640" s="520"/>
      <c r="BV640" s="520"/>
      <c r="BW640" s="520"/>
      <c r="BX640" s="520"/>
      <c r="BY640" s="520"/>
    </row>
    <row r="641" spans="1:84" ht="12" customHeight="1" x14ac:dyDescent="0.3">
      <c r="A641" s="765"/>
      <c r="E641" s="258" t="str">
        <f>$AX$96</f>
        <v>Összes gól: 2 p</v>
      </c>
      <c r="H641" s="673" t="str">
        <f t="shared" ref="H641:AK641" si="445">IF(OR(BC636,NOT($AS$28)),"",IF(AND(NOT($AS$32),COUNTIF(H637:H640,"ü")&gt;0),"",IF(H635+H636=$E635+$E636,"ü"," ")))</f>
        <v/>
      </c>
      <c r="I641" s="674" t="str">
        <f t="shared" si="445"/>
        <v/>
      </c>
      <c r="J641" s="674" t="str">
        <f t="shared" si="445"/>
        <v/>
      </c>
      <c r="K641" s="674" t="str">
        <f t="shared" si="445"/>
        <v/>
      </c>
      <c r="L641" s="674" t="str">
        <f t="shared" si="445"/>
        <v/>
      </c>
      <c r="M641" s="674" t="str">
        <f t="shared" si="445"/>
        <v/>
      </c>
      <c r="N641" s="674" t="str">
        <f t="shared" si="445"/>
        <v/>
      </c>
      <c r="O641" s="674" t="str">
        <f t="shared" si="445"/>
        <v/>
      </c>
      <c r="P641" s="674" t="str">
        <f t="shared" si="445"/>
        <v/>
      </c>
      <c r="Q641" s="674" t="str">
        <f t="shared" si="445"/>
        <v/>
      </c>
      <c r="R641" s="674" t="str">
        <f t="shared" si="445"/>
        <v/>
      </c>
      <c r="S641" s="674" t="str">
        <f t="shared" si="445"/>
        <v/>
      </c>
      <c r="T641" s="674" t="str">
        <f t="shared" si="445"/>
        <v/>
      </c>
      <c r="U641" s="674" t="str">
        <f t="shared" si="445"/>
        <v/>
      </c>
      <c r="V641" s="674" t="str">
        <f t="shared" si="445"/>
        <v/>
      </c>
      <c r="W641" s="674" t="str">
        <f t="shared" si="445"/>
        <v/>
      </c>
      <c r="X641" s="674" t="str">
        <f t="shared" si="445"/>
        <v/>
      </c>
      <c r="Y641" s="674" t="str">
        <f t="shared" si="445"/>
        <v/>
      </c>
      <c r="Z641" s="674" t="str">
        <f t="shared" si="445"/>
        <v/>
      </c>
      <c r="AA641" s="674" t="str">
        <f t="shared" si="445"/>
        <v/>
      </c>
      <c r="AB641" s="674" t="str">
        <f t="shared" si="445"/>
        <v/>
      </c>
      <c r="AC641" s="674" t="str">
        <f t="shared" si="445"/>
        <v/>
      </c>
      <c r="AD641" s="674" t="str">
        <f t="shared" si="445"/>
        <v/>
      </c>
      <c r="AE641" s="674" t="str">
        <f t="shared" si="445"/>
        <v/>
      </c>
      <c r="AF641" s="674" t="str">
        <f t="shared" si="445"/>
        <v/>
      </c>
      <c r="AG641" s="674" t="str">
        <f t="shared" si="445"/>
        <v/>
      </c>
      <c r="AH641" s="674" t="str">
        <f t="shared" si="445"/>
        <v/>
      </c>
      <c r="AI641" s="674" t="str">
        <f t="shared" si="445"/>
        <v/>
      </c>
      <c r="AJ641" s="674" t="str">
        <f t="shared" si="445"/>
        <v/>
      </c>
      <c r="AK641" s="675" t="str">
        <f t="shared" si="445"/>
        <v/>
      </c>
      <c r="AL641" s="15"/>
      <c r="AM641" s="15"/>
      <c r="AP641" s="536"/>
      <c r="AR641" s="537"/>
      <c r="AS641" s="529"/>
      <c r="AW641" s="390" t="str">
        <f>""</f>
        <v/>
      </c>
      <c r="AX641" s="531"/>
      <c r="AY641" s="390" t="str">
        <f>""</f>
        <v/>
      </c>
      <c r="BD641" s="520"/>
      <c r="BE641" s="520"/>
      <c r="BF641" s="520"/>
      <c r="BG641" s="520"/>
      <c r="BH641" s="520"/>
      <c r="BI641" s="520"/>
      <c r="BJ641" s="520"/>
      <c r="BK641" s="520"/>
      <c r="BL641" s="520"/>
      <c r="BM641" s="520"/>
      <c r="BN641" s="520"/>
      <c r="BO641" s="520"/>
      <c r="BP641" s="520"/>
      <c r="BQ641" s="520"/>
      <c r="BR641" s="520"/>
      <c r="BS641" s="520"/>
      <c r="BT641" s="520"/>
      <c r="BU641" s="520"/>
      <c r="BV641" s="520"/>
      <c r="BW641" s="520"/>
      <c r="BX641" s="520"/>
      <c r="BY641" s="520"/>
    </row>
    <row r="642" spans="1:84" ht="12" customHeight="1" x14ac:dyDescent="0.3">
      <c r="A642" s="765"/>
      <c r="E642" s="258" t="str">
        <f>$AX$97</f>
        <v>Fordított gólkülönbség: 1 p</v>
      </c>
      <c r="H642" s="676" t="str">
        <f t="shared" ref="H642:AK642" si="446">IF(OR(BC636,NOT($AS$30)),"",IF(AND(NOT($AS$32),COUNTIF(H637:H641,"ü")&gt;0),"",IF(AND(H635-H636=$E636-$E635,H635&lt;&gt;H636),"ü"," ")))</f>
        <v/>
      </c>
      <c r="I642" s="677" t="str">
        <f t="shared" si="446"/>
        <v/>
      </c>
      <c r="J642" s="677" t="str">
        <f t="shared" si="446"/>
        <v/>
      </c>
      <c r="K642" s="677" t="str">
        <f t="shared" si="446"/>
        <v/>
      </c>
      <c r="L642" s="677" t="str">
        <f t="shared" si="446"/>
        <v/>
      </c>
      <c r="M642" s="677" t="str">
        <f t="shared" si="446"/>
        <v/>
      </c>
      <c r="N642" s="677" t="str">
        <f t="shared" si="446"/>
        <v/>
      </c>
      <c r="O642" s="677" t="str">
        <f t="shared" si="446"/>
        <v/>
      </c>
      <c r="P642" s="677" t="str">
        <f t="shared" si="446"/>
        <v/>
      </c>
      <c r="Q642" s="677" t="str">
        <f t="shared" si="446"/>
        <v/>
      </c>
      <c r="R642" s="677" t="str">
        <f t="shared" si="446"/>
        <v/>
      </c>
      <c r="S642" s="677" t="str">
        <f t="shared" si="446"/>
        <v/>
      </c>
      <c r="T642" s="677" t="str">
        <f t="shared" si="446"/>
        <v/>
      </c>
      <c r="U642" s="677" t="str">
        <f t="shared" si="446"/>
        <v/>
      </c>
      <c r="V642" s="677" t="str">
        <f t="shared" si="446"/>
        <v/>
      </c>
      <c r="W642" s="677" t="str">
        <f t="shared" si="446"/>
        <v/>
      </c>
      <c r="X642" s="677" t="str">
        <f t="shared" si="446"/>
        <v/>
      </c>
      <c r="Y642" s="677" t="str">
        <f t="shared" si="446"/>
        <v/>
      </c>
      <c r="Z642" s="677" t="str">
        <f t="shared" si="446"/>
        <v/>
      </c>
      <c r="AA642" s="677" t="str">
        <f t="shared" si="446"/>
        <v/>
      </c>
      <c r="AB642" s="677" t="str">
        <f t="shared" si="446"/>
        <v/>
      </c>
      <c r="AC642" s="677" t="str">
        <f t="shared" si="446"/>
        <v/>
      </c>
      <c r="AD642" s="677" t="str">
        <f t="shared" si="446"/>
        <v/>
      </c>
      <c r="AE642" s="677" t="str">
        <f t="shared" si="446"/>
        <v/>
      </c>
      <c r="AF642" s="677" t="str">
        <f t="shared" si="446"/>
        <v/>
      </c>
      <c r="AG642" s="677" t="str">
        <f t="shared" si="446"/>
        <v/>
      </c>
      <c r="AH642" s="677" t="str">
        <f t="shared" si="446"/>
        <v/>
      </c>
      <c r="AI642" s="677" t="str">
        <f t="shared" si="446"/>
        <v/>
      </c>
      <c r="AJ642" s="677" t="str">
        <f t="shared" si="446"/>
        <v/>
      </c>
      <c r="AK642" s="678" t="str">
        <f t="shared" si="446"/>
        <v/>
      </c>
      <c r="AL642" s="15"/>
      <c r="AM642" s="15"/>
      <c r="AP642" s="536"/>
      <c r="AR642" s="537"/>
      <c r="AS642" s="529"/>
      <c r="AW642" s="390" t="str">
        <f>""</f>
        <v/>
      </c>
      <c r="AX642" s="531"/>
      <c r="AY642" s="390" t="str">
        <f>""</f>
        <v/>
      </c>
      <c r="BD642" s="520"/>
      <c r="BE642" s="520"/>
      <c r="BF642" s="520"/>
      <c r="BG642" s="520"/>
      <c r="BH642" s="520"/>
      <c r="BI642" s="520"/>
      <c r="BJ642" s="520"/>
      <c r="BK642" s="520"/>
      <c r="BL642" s="520"/>
      <c r="BM642" s="520"/>
      <c r="BN642" s="520"/>
      <c r="BO642" s="520"/>
      <c r="BP642" s="520"/>
      <c r="BQ642" s="520"/>
      <c r="BR642" s="520"/>
      <c r="BS642" s="520"/>
      <c r="BT642" s="520"/>
      <c r="BU642" s="520"/>
      <c r="BV642" s="520"/>
      <c r="BW642" s="520"/>
      <c r="BX642" s="520"/>
      <c r="BY642" s="520"/>
    </row>
    <row r="643" spans="1:84" ht="15" customHeight="1" x14ac:dyDescent="0.3">
      <c r="A643" s="765"/>
      <c r="E643" s="79" t="s">
        <v>799</v>
      </c>
      <c r="H643" s="679">
        <f t="shared" ref="H643:AK643" si="447">IF(NOT(H$13),"",SUMPRODUCT((H637:H642="ü")*($AW$92:$AW$97)))</f>
        <v>0</v>
      </c>
      <c r="I643" s="680">
        <f t="shared" si="447"/>
        <v>0</v>
      </c>
      <c r="J643" s="680">
        <f t="shared" si="447"/>
        <v>0</v>
      </c>
      <c r="K643" s="680">
        <f t="shared" si="447"/>
        <v>0</v>
      </c>
      <c r="L643" s="680">
        <f t="shared" si="447"/>
        <v>0</v>
      </c>
      <c r="M643" s="680">
        <f t="shared" si="447"/>
        <v>0</v>
      </c>
      <c r="N643" s="680">
        <f t="shared" si="447"/>
        <v>0</v>
      </c>
      <c r="O643" s="680">
        <f t="shared" si="447"/>
        <v>0</v>
      </c>
      <c r="P643" s="680">
        <f t="shared" si="447"/>
        <v>0</v>
      </c>
      <c r="Q643" s="680">
        <f t="shared" si="447"/>
        <v>0</v>
      </c>
      <c r="R643" s="680">
        <f t="shared" si="447"/>
        <v>0</v>
      </c>
      <c r="S643" s="680">
        <f t="shared" si="447"/>
        <v>0</v>
      </c>
      <c r="T643" s="680">
        <f t="shared" si="447"/>
        <v>0</v>
      </c>
      <c r="U643" s="680">
        <f t="shared" si="447"/>
        <v>0</v>
      </c>
      <c r="V643" s="680">
        <f t="shared" si="447"/>
        <v>0</v>
      </c>
      <c r="W643" s="680">
        <f t="shared" si="447"/>
        <v>0</v>
      </c>
      <c r="X643" s="680">
        <f t="shared" si="447"/>
        <v>0</v>
      </c>
      <c r="Y643" s="680">
        <f t="shared" si="447"/>
        <v>0</v>
      </c>
      <c r="Z643" s="680">
        <f t="shared" si="447"/>
        <v>0</v>
      </c>
      <c r="AA643" s="680">
        <f t="shared" si="447"/>
        <v>0</v>
      </c>
      <c r="AB643" s="680">
        <f t="shared" si="447"/>
        <v>0</v>
      </c>
      <c r="AC643" s="680">
        <f t="shared" si="447"/>
        <v>0</v>
      </c>
      <c r="AD643" s="680">
        <f t="shared" si="447"/>
        <v>0</v>
      </c>
      <c r="AE643" s="680" t="str">
        <f t="shared" si="447"/>
        <v/>
      </c>
      <c r="AF643" s="680" t="str">
        <f t="shared" si="447"/>
        <v/>
      </c>
      <c r="AG643" s="680" t="str">
        <f t="shared" si="447"/>
        <v/>
      </c>
      <c r="AH643" s="680" t="str">
        <f t="shared" si="447"/>
        <v/>
      </c>
      <c r="AI643" s="680" t="str">
        <f t="shared" si="447"/>
        <v/>
      </c>
      <c r="AJ643" s="680" t="str">
        <f t="shared" si="447"/>
        <v/>
      </c>
      <c r="AK643" s="681" t="str">
        <f t="shared" si="447"/>
        <v/>
      </c>
      <c r="AP643" s="536"/>
      <c r="AR643" s="537"/>
      <c r="AS643" s="529"/>
    </row>
    <row r="644" spans="1:84" ht="9" customHeight="1" x14ac:dyDescent="0.3">
      <c r="A644" s="765"/>
      <c r="D644" s="15"/>
      <c r="E644" s="15"/>
      <c r="F644" s="15"/>
      <c r="G644" s="15"/>
      <c r="H644" s="15"/>
      <c r="I644" s="16"/>
      <c r="J644" s="15"/>
      <c r="K644" s="15"/>
      <c r="L644" s="16"/>
      <c r="M644" s="15"/>
      <c r="N644" s="15"/>
      <c r="O644" s="16"/>
      <c r="P644" s="15"/>
      <c r="Q644" s="15"/>
      <c r="R644" s="16"/>
      <c r="S644" s="15"/>
      <c r="T644" s="15"/>
      <c r="U644" s="16"/>
      <c r="V644" s="15"/>
      <c r="W644" s="15"/>
      <c r="X644" s="16"/>
      <c r="Y644" s="15"/>
      <c r="Z644" s="15"/>
      <c r="AA644" s="16"/>
      <c r="AB644" s="15"/>
      <c r="AC644" s="15"/>
      <c r="AD644" s="16"/>
      <c r="AE644" s="15"/>
      <c r="AF644" s="15"/>
      <c r="AG644" s="16"/>
      <c r="AH644" s="15"/>
      <c r="AI644" s="15"/>
      <c r="AJ644" s="16"/>
      <c r="AK644" s="15"/>
      <c r="AP644" s="536"/>
      <c r="AR644" s="537"/>
      <c r="AS644" s="529"/>
    </row>
    <row r="645" spans="1:84" ht="15" customHeight="1" x14ac:dyDescent="0.3">
      <c r="A645" s="765"/>
      <c r="C645" s="27" t="str">
        <f>" "&amp;VLOOKUP(AQ646,schedule,18,FALSE)&amp;"  ("&amp;VLOOKUP(AQ646,schedule,3,FALSE)&amp;" PÁRHARC)"</f>
        <v xml:space="preserve"> JÚLIUS 3. – SZOMBAT 18:00  (4/4 PÁRHARC)</v>
      </c>
      <c r="D645" s="27"/>
      <c r="E645" s="26"/>
      <c r="F645" s="26"/>
      <c r="G645" s="26"/>
      <c r="H645" s="26"/>
      <c r="I645" s="26"/>
      <c r="J645" s="26"/>
      <c r="AP645" s="536"/>
      <c r="AR645" s="537"/>
      <c r="AS645" s="529"/>
    </row>
    <row r="646" spans="1:84" ht="15" customHeight="1" x14ac:dyDescent="0.3">
      <c r="A646" s="765"/>
      <c r="C646" s="661"/>
      <c r="D646" s="662" t="str">
        <f>IF(INDEX(n.er,$AR646,8)="","",INDEX(n.er,$AR646,8))</f>
        <v>7/8 győztese</v>
      </c>
      <c r="E646" s="663" t="str">
        <f>IF(NOT($AS646),"",INDEX(n.er,$AR646,9))</f>
        <v/>
      </c>
      <c r="F646" s="662"/>
      <c r="G646" s="259"/>
      <c r="H646" s="664"/>
      <c r="I646" s="665"/>
      <c r="J646" s="665"/>
      <c r="K646" s="665"/>
      <c r="L646" s="665"/>
      <c r="M646" s="665"/>
      <c r="N646" s="665"/>
      <c r="O646" s="665"/>
      <c r="P646" s="665"/>
      <c r="Q646" s="665"/>
      <c r="R646" s="665"/>
      <c r="S646" s="665"/>
      <c r="T646" s="665"/>
      <c r="U646" s="665"/>
      <c r="V646" s="665"/>
      <c r="W646" s="665"/>
      <c r="X646" s="665"/>
      <c r="Y646" s="665"/>
      <c r="Z646" s="665"/>
      <c r="AA646" s="665"/>
      <c r="AB646" s="665"/>
      <c r="AC646" s="665"/>
      <c r="AD646" s="665"/>
      <c r="AE646" s="665"/>
      <c r="AF646" s="665"/>
      <c r="AG646" s="665"/>
      <c r="AH646" s="665"/>
      <c r="AI646" s="665"/>
      <c r="AJ646" s="665"/>
      <c r="AK646" s="666"/>
      <c r="AP646" s="52">
        <f>AP635+1</f>
        <v>47</v>
      </c>
      <c r="AQ646" s="311">
        <f>INDEX(schedule,AP646,1)</f>
        <v>47</v>
      </c>
      <c r="AR646" s="311">
        <f>MATCH(AQ646,n.er.index,0)</f>
        <v>123</v>
      </c>
      <c r="AS646" s="532" t="b">
        <f>INDEX(n.er,$AR646,3)</f>
        <v>0</v>
      </c>
      <c r="AT646" s="531"/>
      <c r="AU646" s="531"/>
      <c r="AV646" s="531"/>
      <c r="AW646" s="531"/>
      <c r="AX646" s="531"/>
      <c r="BC646" s="525" t="b">
        <f t="shared" ref="BC646:CF646" si="448">IF(AND(ISNUMBER(H646),ISNUMBER(H647),H646&lt;&gt;"",H647&lt;&gt;""),AND(H646&gt;=0,H647&gt;=0,MOD(H646+H647,1)=0),FALSE)</f>
        <v>0</v>
      </c>
      <c r="BD646" s="525" t="b">
        <f t="shared" si="448"/>
        <v>0</v>
      </c>
      <c r="BE646" s="525" t="b">
        <f t="shared" si="448"/>
        <v>0</v>
      </c>
      <c r="BF646" s="525" t="b">
        <f t="shared" si="448"/>
        <v>0</v>
      </c>
      <c r="BG646" s="525" t="b">
        <f t="shared" si="448"/>
        <v>0</v>
      </c>
      <c r="BH646" s="525" t="b">
        <f t="shared" si="448"/>
        <v>0</v>
      </c>
      <c r="BI646" s="525" t="b">
        <f t="shared" si="448"/>
        <v>0</v>
      </c>
      <c r="BJ646" s="525" t="b">
        <f t="shared" si="448"/>
        <v>0</v>
      </c>
      <c r="BK646" s="525" t="b">
        <f t="shared" si="448"/>
        <v>0</v>
      </c>
      <c r="BL646" s="525" t="b">
        <f t="shared" si="448"/>
        <v>0</v>
      </c>
      <c r="BM646" s="525" t="b">
        <f t="shared" si="448"/>
        <v>0</v>
      </c>
      <c r="BN646" s="525" t="b">
        <f t="shared" si="448"/>
        <v>0</v>
      </c>
      <c r="BO646" s="525" t="b">
        <f t="shared" si="448"/>
        <v>0</v>
      </c>
      <c r="BP646" s="525" t="b">
        <f t="shared" si="448"/>
        <v>0</v>
      </c>
      <c r="BQ646" s="525" t="b">
        <f t="shared" si="448"/>
        <v>0</v>
      </c>
      <c r="BR646" s="525" t="b">
        <f t="shared" si="448"/>
        <v>0</v>
      </c>
      <c r="BS646" s="525" t="b">
        <f t="shared" si="448"/>
        <v>0</v>
      </c>
      <c r="BT646" s="525" t="b">
        <f t="shared" si="448"/>
        <v>0</v>
      </c>
      <c r="BU646" s="525" t="b">
        <f t="shared" si="448"/>
        <v>0</v>
      </c>
      <c r="BV646" s="525" t="b">
        <f t="shared" si="448"/>
        <v>0</v>
      </c>
      <c r="BW646" s="525" t="b">
        <f t="shared" si="448"/>
        <v>0</v>
      </c>
      <c r="BX646" s="525" t="b">
        <f t="shared" si="448"/>
        <v>0</v>
      </c>
      <c r="BY646" s="525" t="b">
        <f t="shared" si="448"/>
        <v>0</v>
      </c>
      <c r="BZ646" s="525" t="b">
        <f t="shared" si="448"/>
        <v>0</v>
      </c>
      <c r="CA646" s="525" t="b">
        <f t="shared" si="448"/>
        <v>0</v>
      </c>
      <c r="CB646" s="525" t="b">
        <f t="shared" si="448"/>
        <v>0</v>
      </c>
      <c r="CC646" s="525" t="b">
        <f t="shared" si="448"/>
        <v>0</v>
      </c>
      <c r="CD646" s="525" t="b">
        <f t="shared" si="448"/>
        <v>0</v>
      </c>
      <c r="CE646" s="525" t="b">
        <f t="shared" si="448"/>
        <v>0</v>
      </c>
      <c r="CF646" s="525" t="b">
        <f t="shared" si="448"/>
        <v>0</v>
      </c>
    </row>
    <row r="647" spans="1:84" ht="15" customHeight="1" x14ac:dyDescent="0.3">
      <c r="A647" s="765"/>
      <c r="C647" s="695"/>
      <c r="D647" s="696" t="str">
        <f>IF(INDEX(n.er,$AR646,11)="","",INDEX(n.er,$AR646,11))</f>
        <v>8/8 győztese</v>
      </c>
      <c r="E647" s="697" t="str">
        <f>IF(NOT($AS646),"",INDEX(n.er,$AR646,10))</f>
        <v/>
      </c>
      <c r="F647" s="696"/>
      <c r="G647" s="259"/>
      <c r="H647" s="667"/>
      <c r="I647" s="668"/>
      <c r="J647" s="668"/>
      <c r="K647" s="668"/>
      <c r="L647" s="668"/>
      <c r="M647" s="668"/>
      <c r="N647" s="668"/>
      <c r="O647" s="668"/>
      <c r="P647" s="668"/>
      <c r="Q647" s="668"/>
      <c r="R647" s="668"/>
      <c r="S647" s="668"/>
      <c r="T647" s="668"/>
      <c r="U647" s="668"/>
      <c r="V647" s="668"/>
      <c r="W647" s="668"/>
      <c r="X647" s="668"/>
      <c r="Y647" s="668"/>
      <c r="Z647" s="668"/>
      <c r="AA647" s="668"/>
      <c r="AB647" s="668"/>
      <c r="AC647" s="668"/>
      <c r="AD647" s="668"/>
      <c r="AE647" s="668"/>
      <c r="AF647" s="668"/>
      <c r="AG647" s="668"/>
      <c r="AH647" s="668"/>
      <c r="AI647" s="668"/>
      <c r="AJ647" s="668"/>
      <c r="AK647" s="669"/>
      <c r="AP647" s="533"/>
      <c r="AQ647" s="577"/>
      <c r="AR647" s="534"/>
      <c r="AS647" s="535"/>
      <c r="AX647" s="531"/>
      <c r="BC647" s="34" t="b">
        <f t="shared" ref="BC647:CF647" si="449">OR(NOT(H$13),NOT($AS646),NOT(BC646))</f>
        <v>1</v>
      </c>
      <c r="BD647" s="34" t="b">
        <f t="shared" si="449"/>
        <v>1</v>
      </c>
      <c r="BE647" s="34" t="b">
        <f t="shared" si="449"/>
        <v>1</v>
      </c>
      <c r="BF647" s="34" t="b">
        <f t="shared" si="449"/>
        <v>1</v>
      </c>
      <c r="BG647" s="34" t="b">
        <f t="shared" si="449"/>
        <v>1</v>
      </c>
      <c r="BH647" s="34" t="b">
        <f t="shared" si="449"/>
        <v>1</v>
      </c>
      <c r="BI647" s="34" t="b">
        <f t="shared" si="449"/>
        <v>1</v>
      </c>
      <c r="BJ647" s="34" t="b">
        <f t="shared" si="449"/>
        <v>1</v>
      </c>
      <c r="BK647" s="34" t="b">
        <f t="shared" si="449"/>
        <v>1</v>
      </c>
      <c r="BL647" s="34" t="b">
        <f t="shared" si="449"/>
        <v>1</v>
      </c>
      <c r="BM647" s="34" t="b">
        <f t="shared" si="449"/>
        <v>1</v>
      </c>
      <c r="BN647" s="34" t="b">
        <f t="shared" si="449"/>
        <v>1</v>
      </c>
      <c r="BO647" s="34" t="b">
        <f t="shared" si="449"/>
        <v>1</v>
      </c>
      <c r="BP647" s="34" t="b">
        <f t="shared" si="449"/>
        <v>1</v>
      </c>
      <c r="BQ647" s="34" t="b">
        <f t="shared" si="449"/>
        <v>1</v>
      </c>
      <c r="BR647" s="34" t="b">
        <f t="shared" si="449"/>
        <v>1</v>
      </c>
      <c r="BS647" s="34" t="b">
        <f t="shared" si="449"/>
        <v>1</v>
      </c>
      <c r="BT647" s="34" t="b">
        <f t="shared" si="449"/>
        <v>1</v>
      </c>
      <c r="BU647" s="34" t="b">
        <f t="shared" si="449"/>
        <v>1</v>
      </c>
      <c r="BV647" s="34" t="b">
        <f t="shared" si="449"/>
        <v>1</v>
      </c>
      <c r="BW647" s="34" t="b">
        <f t="shared" si="449"/>
        <v>1</v>
      </c>
      <c r="BX647" s="34" t="b">
        <f t="shared" si="449"/>
        <v>1</v>
      </c>
      <c r="BY647" s="34" t="b">
        <f t="shared" si="449"/>
        <v>1</v>
      </c>
      <c r="BZ647" s="34" t="b">
        <f t="shared" si="449"/>
        <v>1</v>
      </c>
      <c r="CA647" s="34" t="b">
        <f t="shared" si="449"/>
        <v>1</v>
      </c>
      <c r="CB647" s="34" t="b">
        <f t="shared" si="449"/>
        <v>1</v>
      </c>
      <c r="CC647" s="34" t="b">
        <f t="shared" si="449"/>
        <v>1</v>
      </c>
      <c r="CD647" s="34" t="b">
        <f t="shared" si="449"/>
        <v>1</v>
      </c>
      <c r="CE647" s="34" t="b">
        <f t="shared" si="449"/>
        <v>1</v>
      </c>
      <c r="CF647" s="34" t="b">
        <f t="shared" si="449"/>
        <v>1</v>
      </c>
    </row>
    <row r="648" spans="1:84" ht="12" customHeight="1" x14ac:dyDescent="0.3">
      <c r="A648" s="765"/>
      <c r="E648" s="258" t="str">
        <f>$AX$92</f>
        <v>Telitalálat: 10 p</v>
      </c>
      <c r="H648" s="670" t="str">
        <f t="shared" ref="H648:AK648" si="450">IF(OR(BC647,NOT($AS$20)),"",IF(AND(H646=$E646,H647=$E647),"ü",""))</f>
        <v/>
      </c>
      <c r="I648" s="671" t="str">
        <f t="shared" si="450"/>
        <v/>
      </c>
      <c r="J648" s="671" t="str">
        <f t="shared" si="450"/>
        <v/>
      </c>
      <c r="K648" s="671" t="str">
        <f t="shared" si="450"/>
        <v/>
      </c>
      <c r="L648" s="671" t="str">
        <f t="shared" si="450"/>
        <v/>
      </c>
      <c r="M648" s="671" t="str">
        <f t="shared" si="450"/>
        <v/>
      </c>
      <c r="N648" s="671" t="str">
        <f t="shared" si="450"/>
        <v/>
      </c>
      <c r="O648" s="671" t="str">
        <f t="shared" si="450"/>
        <v/>
      </c>
      <c r="P648" s="671" t="str">
        <f t="shared" si="450"/>
        <v/>
      </c>
      <c r="Q648" s="671" t="str">
        <f t="shared" si="450"/>
        <v/>
      </c>
      <c r="R648" s="671" t="str">
        <f t="shared" si="450"/>
        <v/>
      </c>
      <c r="S648" s="671" t="str">
        <f t="shared" si="450"/>
        <v/>
      </c>
      <c r="T648" s="671" t="str">
        <f t="shared" si="450"/>
        <v/>
      </c>
      <c r="U648" s="671" t="str">
        <f t="shared" si="450"/>
        <v/>
      </c>
      <c r="V648" s="671" t="str">
        <f t="shared" si="450"/>
        <v/>
      </c>
      <c r="W648" s="671" t="str">
        <f t="shared" si="450"/>
        <v/>
      </c>
      <c r="X648" s="671" t="str">
        <f t="shared" si="450"/>
        <v/>
      </c>
      <c r="Y648" s="671" t="str">
        <f t="shared" si="450"/>
        <v/>
      </c>
      <c r="Z648" s="671" t="str">
        <f t="shared" si="450"/>
        <v/>
      </c>
      <c r="AA648" s="671" t="str">
        <f t="shared" si="450"/>
        <v/>
      </c>
      <c r="AB648" s="671" t="str">
        <f t="shared" si="450"/>
        <v/>
      </c>
      <c r="AC648" s="671" t="str">
        <f t="shared" si="450"/>
        <v/>
      </c>
      <c r="AD648" s="671" t="str">
        <f t="shared" si="450"/>
        <v/>
      </c>
      <c r="AE648" s="671" t="str">
        <f t="shared" si="450"/>
        <v/>
      </c>
      <c r="AF648" s="671" t="str">
        <f t="shared" si="450"/>
        <v/>
      </c>
      <c r="AG648" s="671" t="str">
        <f t="shared" si="450"/>
        <v/>
      </c>
      <c r="AH648" s="671" t="str">
        <f t="shared" si="450"/>
        <v/>
      </c>
      <c r="AI648" s="671" t="str">
        <f t="shared" si="450"/>
        <v/>
      </c>
      <c r="AJ648" s="671" t="str">
        <f t="shared" si="450"/>
        <v/>
      </c>
      <c r="AK648" s="672" t="str">
        <f t="shared" si="450"/>
        <v/>
      </c>
      <c r="AL648" s="15"/>
      <c r="AM648" s="15"/>
      <c r="AP648" s="536"/>
      <c r="AR648" s="537"/>
      <c r="AS648" s="529"/>
      <c r="AW648" s="390" t="str">
        <f>""</f>
        <v/>
      </c>
      <c r="AX648" s="531"/>
      <c r="AY648" s="390" t="str">
        <f>""</f>
        <v/>
      </c>
      <c r="BD648" s="520"/>
      <c r="BE648" s="520"/>
      <c r="BF648" s="520"/>
      <c r="BG648" s="520"/>
      <c r="BH648" s="520"/>
      <c r="BI648" s="520"/>
      <c r="BJ648" s="520"/>
      <c r="BK648" s="520"/>
      <c r="BL648" s="520"/>
      <c r="BM648" s="520"/>
      <c r="BN648" s="520"/>
      <c r="BO648" s="520"/>
      <c r="BP648" s="520"/>
      <c r="BQ648" s="520"/>
      <c r="BR648" s="520"/>
      <c r="BS648" s="520"/>
      <c r="BT648" s="520"/>
      <c r="BU648" s="520"/>
      <c r="BV648" s="520"/>
      <c r="BW648" s="520"/>
      <c r="BX648" s="520"/>
      <c r="BY648" s="520"/>
    </row>
    <row r="649" spans="1:84" ht="12" customHeight="1" x14ac:dyDescent="0.3">
      <c r="A649" s="765"/>
      <c r="E649" s="258" t="str">
        <f>$AX$93</f>
        <v>Gólkülönbség: 6 p</v>
      </c>
      <c r="H649" s="673" t="str">
        <f t="shared" ref="H649:AK649" si="451">IF(OR(BC647,NOT($AS$22)),"",IF(AND(NOT($AS$32),H648="ü"),"",IF(H646-H647=$E646-$E647,"ü"," ")))</f>
        <v/>
      </c>
      <c r="I649" s="674" t="str">
        <f t="shared" si="451"/>
        <v/>
      </c>
      <c r="J649" s="674" t="str">
        <f t="shared" si="451"/>
        <v/>
      </c>
      <c r="K649" s="674" t="str">
        <f t="shared" si="451"/>
        <v/>
      </c>
      <c r="L649" s="674" t="str">
        <f t="shared" si="451"/>
        <v/>
      </c>
      <c r="M649" s="674" t="str">
        <f t="shared" si="451"/>
        <v/>
      </c>
      <c r="N649" s="674" t="str">
        <f t="shared" si="451"/>
        <v/>
      </c>
      <c r="O649" s="674" t="str">
        <f t="shared" si="451"/>
        <v/>
      </c>
      <c r="P649" s="674" t="str">
        <f t="shared" si="451"/>
        <v/>
      </c>
      <c r="Q649" s="674" t="str">
        <f t="shared" si="451"/>
        <v/>
      </c>
      <c r="R649" s="674" t="str">
        <f t="shared" si="451"/>
        <v/>
      </c>
      <c r="S649" s="674" t="str">
        <f t="shared" si="451"/>
        <v/>
      </c>
      <c r="T649" s="674" t="str">
        <f t="shared" si="451"/>
        <v/>
      </c>
      <c r="U649" s="674" t="str">
        <f t="shared" si="451"/>
        <v/>
      </c>
      <c r="V649" s="674" t="str">
        <f t="shared" si="451"/>
        <v/>
      </c>
      <c r="W649" s="674" t="str">
        <f t="shared" si="451"/>
        <v/>
      </c>
      <c r="X649" s="674" t="str">
        <f t="shared" si="451"/>
        <v/>
      </c>
      <c r="Y649" s="674" t="str">
        <f t="shared" si="451"/>
        <v/>
      </c>
      <c r="Z649" s="674" t="str">
        <f t="shared" si="451"/>
        <v/>
      </c>
      <c r="AA649" s="674" t="str">
        <f t="shared" si="451"/>
        <v/>
      </c>
      <c r="AB649" s="674" t="str">
        <f t="shared" si="451"/>
        <v/>
      </c>
      <c r="AC649" s="674" t="str">
        <f t="shared" si="451"/>
        <v/>
      </c>
      <c r="AD649" s="674" t="str">
        <f t="shared" si="451"/>
        <v/>
      </c>
      <c r="AE649" s="674" t="str">
        <f t="shared" si="451"/>
        <v/>
      </c>
      <c r="AF649" s="674" t="str">
        <f t="shared" si="451"/>
        <v/>
      </c>
      <c r="AG649" s="674" t="str">
        <f t="shared" si="451"/>
        <v/>
      </c>
      <c r="AH649" s="674" t="str">
        <f t="shared" si="451"/>
        <v/>
      </c>
      <c r="AI649" s="674" t="str">
        <f t="shared" si="451"/>
        <v/>
      </c>
      <c r="AJ649" s="674" t="str">
        <f t="shared" si="451"/>
        <v/>
      </c>
      <c r="AK649" s="675" t="str">
        <f t="shared" si="451"/>
        <v/>
      </c>
      <c r="AL649" s="15"/>
      <c r="AM649" s="15"/>
      <c r="AP649" s="536"/>
      <c r="AR649" s="537"/>
      <c r="AS649" s="529"/>
      <c r="AW649" s="390" t="str">
        <f>""</f>
        <v/>
      </c>
      <c r="AX649" s="531"/>
      <c r="AY649" s="390" t="str">
        <f>""</f>
        <v/>
      </c>
      <c r="BD649" s="520"/>
      <c r="BE649" s="520"/>
      <c r="BF649" s="520"/>
      <c r="BG649" s="520"/>
      <c r="BH649" s="520"/>
      <c r="BI649" s="520"/>
      <c r="BJ649" s="520"/>
      <c r="BK649" s="520"/>
      <c r="BL649" s="520"/>
      <c r="BM649" s="520"/>
      <c r="BN649" s="520"/>
      <c r="BO649" s="520"/>
      <c r="BP649" s="520"/>
      <c r="BQ649" s="520"/>
      <c r="BR649" s="520"/>
      <c r="BS649" s="520"/>
      <c r="BT649" s="520"/>
      <c r="BU649" s="520"/>
      <c r="BV649" s="520"/>
      <c r="BW649" s="520"/>
      <c r="BX649" s="520"/>
      <c r="BY649" s="520"/>
    </row>
    <row r="650" spans="1:84" ht="12" customHeight="1" x14ac:dyDescent="0.3">
      <c r="A650" s="765"/>
      <c r="E650" s="258" t="str">
        <f>$AX$94</f>
        <v>Mérkőzés kimenetele: 4 p</v>
      </c>
      <c r="H650" s="673" t="str">
        <f t="shared" ref="H650:AK650" si="452">IF(OR(BC647,NOT($AS$24)),"",IF(AND(NOT($AS$32),COUNTIF(H648:H649,"ü")&gt;0),"",IF(SIGN(H646-H647)=SIGN($E646-$E647),"ü"," ")))</f>
        <v/>
      </c>
      <c r="I650" s="674" t="str">
        <f t="shared" si="452"/>
        <v/>
      </c>
      <c r="J650" s="674" t="str">
        <f t="shared" si="452"/>
        <v/>
      </c>
      <c r="K650" s="674" t="str">
        <f t="shared" si="452"/>
        <v/>
      </c>
      <c r="L650" s="674" t="str">
        <f t="shared" si="452"/>
        <v/>
      </c>
      <c r="M650" s="674" t="str">
        <f t="shared" si="452"/>
        <v/>
      </c>
      <c r="N650" s="674" t="str">
        <f t="shared" si="452"/>
        <v/>
      </c>
      <c r="O650" s="674" t="str">
        <f t="shared" si="452"/>
        <v/>
      </c>
      <c r="P650" s="674" t="str">
        <f t="shared" si="452"/>
        <v/>
      </c>
      <c r="Q650" s="674" t="str">
        <f t="shared" si="452"/>
        <v/>
      </c>
      <c r="R650" s="674" t="str">
        <f t="shared" si="452"/>
        <v/>
      </c>
      <c r="S650" s="674" t="str">
        <f t="shared" si="452"/>
        <v/>
      </c>
      <c r="T650" s="674" t="str">
        <f t="shared" si="452"/>
        <v/>
      </c>
      <c r="U650" s="674" t="str">
        <f t="shared" si="452"/>
        <v/>
      </c>
      <c r="V650" s="674" t="str">
        <f t="shared" si="452"/>
        <v/>
      </c>
      <c r="W650" s="674" t="str">
        <f t="shared" si="452"/>
        <v/>
      </c>
      <c r="X650" s="674" t="str">
        <f t="shared" si="452"/>
        <v/>
      </c>
      <c r="Y650" s="674" t="str">
        <f t="shared" si="452"/>
        <v/>
      </c>
      <c r="Z650" s="674" t="str">
        <f t="shared" si="452"/>
        <v/>
      </c>
      <c r="AA650" s="674" t="str">
        <f t="shared" si="452"/>
        <v/>
      </c>
      <c r="AB650" s="674" t="str">
        <f t="shared" si="452"/>
        <v/>
      </c>
      <c r="AC650" s="674" t="str">
        <f t="shared" si="452"/>
        <v/>
      </c>
      <c r="AD650" s="674" t="str">
        <f t="shared" si="452"/>
        <v/>
      </c>
      <c r="AE650" s="674" t="str">
        <f t="shared" si="452"/>
        <v/>
      </c>
      <c r="AF650" s="674" t="str">
        <f t="shared" si="452"/>
        <v/>
      </c>
      <c r="AG650" s="674" t="str">
        <f t="shared" si="452"/>
        <v/>
      </c>
      <c r="AH650" s="674" t="str">
        <f t="shared" si="452"/>
        <v/>
      </c>
      <c r="AI650" s="674" t="str">
        <f t="shared" si="452"/>
        <v/>
      </c>
      <c r="AJ650" s="674" t="str">
        <f t="shared" si="452"/>
        <v/>
      </c>
      <c r="AK650" s="675" t="str">
        <f t="shared" si="452"/>
        <v/>
      </c>
      <c r="AL650" s="15"/>
      <c r="AM650" s="15"/>
      <c r="AP650" s="536"/>
      <c r="AR650" s="537"/>
      <c r="AS650" s="529"/>
      <c r="AW650" s="390" t="str">
        <f>""</f>
        <v/>
      </c>
      <c r="AX650" s="531"/>
      <c r="AY650" s="390" t="str">
        <f>""</f>
        <v/>
      </c>
      <c r="BD650" s="520"/>
      <c r="BE650" s="520"/>
      <c r="BF650" s="520"/>
      <c r="BG650" s="520"/>
      <c r="BH650" s="520"/>
      <c r="BI650" s="520"/>
      <c r="BJ650" s="520"/>
      <c r="BK650" s="520"/>
      <c r="BL650" s="520"/>
      <c r="BM650" s="520"/>
      <c r="BN650" s="520"/>
      <c r="BO650" s="520"/>
      <c r="BP650" s="520"/>
      <c r="BQ650" s="520"/>
      <c r="BR650" s="520"/>
      <c r="BS650" s="520"/>
      <c r="BT650" s="520"/>
      <c r="BU650" s="520"/>
      <c r="BV650" s="520"/>
      <c r="BW650" s="520"/>
      <c r="BX650" s="520"/>
      <c r="BY650" s="520"/>
    </row>
    <row r="651" spans="1:84" ht="12" customHeight="1" x14ac:dyDescent="0.3">
      <c r="A651" s="765"/>
      <c r="E651" s="258" t="str">
        <f>$AX$95</f>
        <v>Egyik csapat góljainak száma: 3 p</v>
      </c>
      <c r="H651" s="673" t="str">
        <f t="shared" ref="H651:AK651" si="453">IF(OR(BC647,NOT($AS$26)),"",IF(AND(NOT($AS$32),COUNTIF(H648:H650,"ü")&gt;0),"",IF(OR(H646=$E646,H647=$E647),"ü"," ")))</f>
        <v/>
      </c>
      <c r="I651" s="674" t="str">
        <f t="shared" si="453"/>
        <v/>
      </c>
      <c r="J651" s="674" t="str">
        <f t="shared" si="453"/>
        <v/>
      </c>
      <c r="K651" s="674" t="str">
        <f t="shared" si="453"/>
        <v/>
      </c>
      <c r="L651" s="674" t="str">
        <f t="shared" si="453"/>
        <v/>
      </c>
      <c r="M651" s="674" t="str">
        <f t="shared" si="453"/>
        <v/>
      </c>
      <c r="N651" s="674" t="str">
        <f t="shared" si="453"/>
        <v/>
      </c>
      <c r="O651" s="674" t="str">
        <f t="shared" si="453"/>
        <v/>
      </c>
      <c r="P651" s="674" t="str">
        <f t="shared" si="453"/>
        <v/>
      </c>
      <c r="Q651" s="674" t="str">
        <f t="shared" si="453"/>
        <v/>
      </c>
      <c r="R651" s="674" t="str">
        <f t="shared" si="453"/>
        <v/>
      </c>
      <c r="S651" s="674" t="str">
        <f t="shared" si="453"/>
        <v/>
      </c>
      <c r="T651" s="674" t="str">
        <f t="shared" si="453"/>
        <v/>
      </c>
      <c r="U651" s="674" t="str">
        <f t="shared" si="453"/>
        <v/>
      </c>
      <c r="V651" s="674" t="str">
        <f t="shared" si="453"/>
        <v/>
      </c>
      <c r="W651" s="674" t="str">
        <f t="shared" si="453"/>
        <v/>
      </c>
      <c r="X651" s="674" t="str">
        <f t="shared" si="453"/>
        <v/>
      </c>
      <c r="Y651" s="674" t="str">
        <f t="shared" si="453"/>
        <v/>
      </c>
      <c r="Z651" s="674" t="str">
        <f t="shared" si="453"/>
        <v/>
      </c>
      <c r="AA651" s="674" t="str">
        <f t="shared" si="453"/>
        <v/>
      </c>
      <c r="AB651" s="674" t="str">
        <f t="shared" si="453"/>
        <v/>
      </c>
      <c r="AC651" s="674" t="str">
        <f t="shared" si="453"/>
        <v/>
      </c>
      <c r="AD651" s="674" t="str">
        <f t="shared" si="453"/>
        <v/>
      </c>
      <c r="AE651" s="674" t="str">
        <f t="shared" si="453"/>
        <v/>
      </c>
      <c r="AF651" s="674" t="str">
        <f t="shared" si="453"/>
        <v/>
      </c>
      <c r="AG651" s="674" t="str">
        <f t="shared" si="453"/>
        <v/>
      </c>
      <c r="AH651" s="674" t="str">
        <f t="shared" si="453"/>
        <v/>
      </c>
      <c r="AI651" s="674" t="str">
        <f t="shared" si="453"/>
        <v/>
      </c>
      <c r="AJ651" s="674" t="str">
        <f t="shared" si="453"/>
        <v/>
      </c>
      <c r="AK651" s="675" t="str">
        <f t="shared" si="453"/>
        <v/>
      </c>
      <c r="AL651" s="15"/>
      <c r="AM651" s="15"/>
      <c r="AP651" s="536"/>
      <c r="AR651" s="537"/>
      <c r="AS651" s="529"/>
      <c r="AW651" s="390" t="str">
        <f>""</f>
        <v/>
      </c>
      <c r="AX651" s="531"/>
      <c r="AY651" s="390" t="str">
        <f>""</f>
        <v/>
      </c>
      <c r="BD651" s="520"/>
      <c r="BE651" s="520"/>
      <c r="BF651" s="520"/>
      <c r="BG651" s="520"/>
      <c r="BH651" s="520"/>
      <c r="BI651" s="520"/>
      <c r="BJ651" s="520"/>
      <c r="BK651" s="520"/>
      <c r="BL651" s="520"/>
      <c r="BM651" s="520"/>
      <c r="BN651" s="520"/>
      <c r="BO651" s="520"/>
      <c r="BP651" s="520"/>
      <c r="BQ651" s="520"/>
      <c r="BR651" s="520"/>
      <c r="BS651" s="520"/>
      <c r="BT651" s="520"/>
      <c r="BU651" s="520"/>
      <c r="BV651" s="520"/>
      <c r="BW651" s="520"/>
      <c r="BX651" s="520"/>
      <c r="BY651" s="520"/>
    </row>
    <row r="652" spans="1:84" ht="12" customHeight="1" x14ac:dyDescent="0.3">
      <c r="A652" s="765"/>
      <c r="E652" s="258" t="str">
        <f>$AX$96</f>
        <v>Összes gól: 2 p</v>
      </c>
      <c r="H652" s="673" t="str">
        <f t="shared" ref="H652:AK652" si="454">IF(OR(BC647,NOT($AS$28)),"",IF(AND(NOT($AS$32),COUNTIF(H648:H651,"ü")&gt;0),"",IF(H646+H647=$E646+$E647,"ü"," ")))</f>
        <v/>
      </c>
      <c r="I652" s="674" t="str">
        <f t="shared" si="454"/>
        <v/>
      </c>
      <c r="J652" s="674" t="str">
        <f t="shared" si="454"/>
        <v/>
      </c>
      <c r="K652" s="674" t="str">
        <f t="shared" si="454"/>
        <v/>
      </c>
      <c r="L652" s="674" t="str">
        <f t="shared" si="454"/>
        <v/>
      </c>
      <c r="M652" s="674" t="str">
        <f t="shared" si="454"/>
        <v/>
      </c>
      <c r="N652" s="674" t="str">
        <f t="shared" si="454"/>
        <v/>
      </c>
      <c r="O652" s="674" t="str">
        <f t="shared" si="454"/>
        <v/>
      </c>
      <c r="P652" s="674" t="str">
        <f t="shared" si="454"/>
        <v/>
      </c>
      <c r="Q652" s="674" t="str">
        <f t="shared" si="454"/>
        <v/>
      </c>
      <c r="R652" s="674" t="str">
        <f t="shared" si="454"/>
        <v/>
      </c>
      <c r="S652" s="674" t="str">
        <f t="shared" si="454"/>
        <v/>
      </c>
      <c r="T652" s="674" t="str">
        <f t="shared" si="454"/>
        <v/>
      </c>
      <c r="U652" s="674" t="str">
        <f t="shared" si="454"/>
        <v/>
      </c>
      <c r="V652" s="674" t="str">
        <f t="shared" si="454"/>
        <v/>
      </c>
      <c r="W652" s="674" t="str">
        <f t="shared" si="454"/>
        <v/>
      </c>
      <c r="X652" s="674" t="str">
        <f t="shared" si="454"/>
        <v/>
      </c>
      <c r="Y652" s="674" t="str">
        <f t="shared" si="454"/>
        <v/>
      </c>
      <c r="Z652" s="674" t="str">
        <f t="shared" si="454"/>
        <v/>
      </c>
      <c r="AA652" s="674" t="str">
        <f t="shared" si="454"/>
        <v/>
      </c>
      <c r="AB652" s="674" t="str">
        <f t="shared" si="454"/>
        <v/>
      </c>
      <c r="AC652" s="674" t="str">
        <f t="shared" si="454"/>
        <v/>
      </c>
      <c r="AD652" s="674" t="str">
        <f t="shared" si="454"/>
        <v/>
      </c>
      <c r="AE652" s="674" t="str">
        <f t="shared" si="454"/>
        <v/>
      </c>
      <c r="AF652" s="674" t="str">
        <f t="shared" si="454"/>
        <v/>
      </c>
      <c r="AG652" s="674" t="str">
        <f t="shared" si="454"/>
        <v/>
      </c>
      <c r="AH652" s="674" t="str">
        <f t="shared" si="454"/>
        <v/>
      </c>
      <c r="AI652" s="674" t="str">
        <f t="shared" si="454"/>
        <v/>
      </c>
      <c r="AJ652" s="674" t="str">
        <f t="shared" si="454"/>
        <v/>
      </c>
      <c r="AK652" s="675" t="str">
        <f t="shared" si="454"/>
        <v/>
      </c>
      <c r="AL652" s="15"/>
      <c r="AM652" s="15"/>
      <c r="AP652" s="536"/>
      <c r="AR652" s="537"/>
      <c r="AS652" s="529"/>
      <c r="AW652" s="390" t="str">
        <f>""</f>
        <v/>
      </c>
      <c r="AX652" s="531"/>
      <c r="AY652" s="390" t="str">
        <f>""</f>
        <v/>
      </c>
      <c r="BD652" s="520"/>
      <c r="BE652" s="520"/>
      <c r="BF652" s="520"/>
      <c r="BG652" s="520"/>
      <c r="BH652" s="520"/>
      <c r="BI652" s="520"/>
      <c r="BJ652" s="520"/>
      <c r="BK652" s="520"/>
      <c r="BL652" s="520"/>
      <c r="BM652" s="520"/>
      <c r="BN652" s="520"/>
      <c r="BO652" s="520"/>
      <c r="BP652" s="520"/>
      <c r="BQ652" s="520"/>
      <c r="BR652" s="520"/>
      <c r="BS652" s="520"/>
      <c r="BT652" s="520"/>
      <c r="BU652" s="520"/>
      <c r="BV652" s="520"/>
      <c r="BW652" s="520"/>
      <c r="BX652" s="520"/>
      <c r="BY652" s="520"/>
    </row>
    <row r="653" spans="1:84" ht="12" customHeight="1" x14ac:dyDescent="0.3">
      <c r="A653" s="765"/>
      <c r="E653" s="258" t="str">
        <f>$AX$97</f>
        <v>Fordított gólkülönbség: 1 p</v>
      </c>
      <c r="H653" s="676" t="str">
        <f t="shared" ref="H653:AK653" si="455">IF(OR(BC647,NOT($AS$30)),"",IF(AND(NOT($AS$32),COUNTIF(H648:H652,"ü")&gt;0),"",IF(AND(H646-H647=$E647-$E646,H646&lt;&gt;H647),"ü"," ")))</f>
        <v/>
      </c>
      <c r="I653" s="677" t="str">
        <f t="shared" si="455"/>
        <v/>
      </c>
      <c r="J653" s="677" t="str">
        <f t="shared" si="455"/>
        <v/>
      </c>
      <c r="K653" s="677" t="str">
        <f t="shared" si="455"/>
        <v/>
      </c>
      <c r="L653" s="677" t="str">
        <f t="shared" si="455"/>
        <v/>
      </c>
      <c r="M653" s="677" t="str">
        <f t="shared" si="455"/>
        <v/>
      </c>
      <c r="N653" s="677" t="str">
        <f t="shared" si="455"/>
        <v/>
      </c>
      <c r="O653" s="677" t="str">
        <f t="shared" si="455"/>
        <v/>
      </c>
      <c r="P653" s="677" t="str">
        <f t="shared" si="455"/>
        <v/>
      </c>
      <c r="Q653" s="677" t="str">
        <f t="shared" si="455"/>
        <v/>
      </c>
      <c r="R653" s="677" t="str">
        <f t="shared" si="455"/>
        <v/>
      </c>
      <c r="S653" s="677" t="str">
        <f t="shared" si="455"/>
        <v/>
      </c>
      <c r="T653" s="677" t="str">
        <f t="shared" si="455"/>
        <v/>
      </c>
      <c r="U653" s="677" t="str">
        <f t="shared" si="455"/>
        <v/>
      </c>
      <c r="V653" s="677" t="str">
        <f t="shared" si="455"/>
        <v/>
      </c>
      <c r="W653" s="677" t="str">
        <f t="shared" si="455"/>
        <v/>
      </c>
      <c r="X653" s="677" t="str">
        <f t="shared" si="455"/>
        <v/>
      </c>
      <c r="Y653" s="677" t="str">
        <f t="shared" si="455"/>
        <v/>
      </c>
      <c r="Z653" s="677" t="str">
        <f t="shared" si="455"/>
        <v/>
      </c>
      <c r="AA653" s="677" t="str">
        <f t="shared" si="455"/>
        <v/>
      </c>
      <c r="AB653" s="677" t="str">
        <f t="shared" si="455"/>
        <v/>
      </c>
      <c r="AC653" s="677" t="str">
        <f t="shared" si="455"/>
        <v/>
      </c>
      <c r="AD653" s="677" t="str">
        <f t="shared" si="455"/>
        <v/>
      </c>
      <c r="AE653" s="677" t="str">
        <f t="shared" si="455"/>
        <v/>
      </c>
      <c r="AF653" s="677" t="str">
        <f t="shared" si="455"/>
        <v/>
      </c>
      <c r="AG653" s="677" t="str">
        <f t="shared" si="455"/>
        <v/>
      </c>
      <c r="AH653" s="677" t="str">
        <f t="shared" si="455"/>
        <v/>
      </c>
      <c r="AI653" s="677" t="str">
        <f t="shared" si="455"/>
        <v/>
      </c>
      <c r="AJ653" s="677" t="str">
        <f t="shared" si="455"/>
        <v/>
      </c>
      <c r="AK653" s="678" t="str">
        <f t="shared" si="455"/>
        <v/>
      </c>
      <c r="AL653" s="15"/>
      <c r="AM653" s="15"/>
      <c r="AP653" s="536"/>
      <c r="AR653" s="537"/>
      <c r="AS653" s="529"/>
      <c r="AW653" s="390" t="str">
        <f>""</f>
        <v/>
      </c>
      <c r="AX653" s="531"/>
      <c r="AY653" s="390" t="str">
        <f>""</f>
        <v/>
      </c>
      <c r="BD653" s="520"/>
      <c r="BE653" s="520"/>
      <c r="BF653" s="520"/>
      <c r="BG653" s="520"/>
      <c r="BH653" s="520"/>
      <c r="BI653" s="520"/>
      <c r="BJ653" s="520"/>
      <c r="BK653" s="520"/>
      <c r="BL653" s="520"/>
      <c r="BM653" s="520"/>
      <c r="BN653" s="520"/>
      <c r="BO653" s="520"/>
      <c r="BP653" s="520"/>
      <c r="BQ653" s="520"/>
      <c r="BR653" s="520"/>
      <c r="BS653" s="520"/>
      <c r="BT653" s="520"/>
      <c r="BU653" s="520"/>
      <c r="BV653" s="520"/>
      <c r="BW653" s="520"/>
      <c r="BX653" s="520"/>
      <c r="BY653" s="520"/>
    </row>
    <row r="654" spans="1:84" ht="15" customHeight="1" x14ac:dyDescent="0.3">
      <c r="A654" s="765"/>
      <c r="E654" s="79" t="s">
        <v>799</v>
      </c>
      <c r="H654" s="679">
        <f t="shared" ref="H654:AK654" si="456">IF(NOT(H$13),"",SUMPRODUCT((H648:H653="ü")*($AW$92:$AW$97)))</f>
        <v>0</v>
      </c>
      <c r="I654" s="680">
        <f t="shared" si="456"/>
        <v>0</v>
      </c>
      <c r="J654" s="680">
        <f t="shared" si="456"/>
        <v>0</v>
      </c>
      <c r="K654" s="680">
        <f t="shared" si="456"/>
        <v>0</v>
      </c>
      <c r="L654" s="680">
        <f t="shared" si="456"/>
        <v>0</v>
      </c>
      <c r="M654" s="680">
        <f t="shared" si="456"/>
        <v>0</v>
      </c>
      <c r="N654" s="680">
        <f t="shared" si="456"/>
        <v>0</v>
      </c>
      <c r="O654" s="680">
        <f t="shared" si="456"/>
        <v>0</v>
      </c>
      <c r="P654" s="680">
        <f t="shared" si="456"/>
        <v>0</v>
      </c>
      <c r="Q654" s="680">
        <f t="shared" si="456"/>
        <v>0</v>
      </c>
      <c r="R654" s="680">
        <f t="shared" si="456"/>
        <v>0</v>
      </c>
      <c r="S654" s="680">
        <f t="shared" si="456"/>
        <v>0</v>
      </c>
      <c r="T654" s="680">
        <f t="shared" si="456"/>
        <v>0</v>
      </c>
      <c r="U654" s="680">
        <f t="shared" si="456"/>
        <v>0</v>
      </c>
      <c r="V654" s="680">
        <f t="shared" si="456"/>
        <v>0</v>
      </c>
      <c r="W654" s="680">
        <f t="shared" si="456"/>
        <v>0</v>
      </c>
      <c r="X654" s="680">
        <f t="shared" si="456"/>
        <v>0</v>
      </c>
      <c r="Y654" s="680">
        <f t="shared" si="456"/>
        <v>0</v>
      </c>
      <c r="Z654" s="680">
        <f t="shared" si="456"/>
        <v>0</v>
      </c>
      <c r="AA654" s="680">
        <f t="shared" si="456"/>
        <v>0</v>
      </c>
      <c r="AB654" s="680">
        <f t="shared" si="456"/>
        <v>0</v>
      </c>
      <c r="AC654" s="680">
        <f t="shared" si="456"/>
        <v>0</v>
      </c>
      <c r="AD654" s="680">
        <f t="shared" si="456"/>
        <v>0</v>
      </c>
      <c r="AE654" s="680" t="str">
        <f t="shared" si="456"/>
        <v/>
      </c>
      <c r="AF654" s="680" t="str">
        <f t="shared" si="456"/>
        <v/>
      </c>
      <c r="AG654" s="680" t="str">
        <f t="shared" si="456"/>
        <v/>
      </c>
      <c r="AH654" s="680" t="str">
        <f t="shared" si="456"/>
        <v/>
      </c>
      <c r="AI654" s="680" t="str">
        <f t="shared" si="456"/>
        <v/>
      </c>
      <c r="AJ654" s="680" t="str">
        <f t="shared" si="456"/>
        <v/>
      </c>
      <c r="AK654" s="681" t="str">
        <f t="shared" si="456"/>
        <v/>
      </c>
      <c r="AP654" s="536"/>
      <c r="AR654" s="537"/>
      <c r="AS654" s="529"/>
    </row>
    <row r="655" spans="1:84" ht="9" customHeight="1" x14ac:dyDescent="0.3">
      <c r="A655" s="765"/>
      <c r="D655" s="15"/>
      <c r="E655" s="15"/>
      <c r="F655" s="15"/>
      <c r="G655" s="15"/>
      <c r="H655" s="15"/>
      <c r="I655" s="16"/>
      <c r="J655" s="15"/>
      <c r="K655" s="15"/>
      <c r="L655" s="16"/>
      <c r="M655" s="15"/>
      <c r="N655" s="15"/>
      <c r="O655" s="16"/>
      <c r="P655" s="15"/>
      <c r="Q655" s="15"/>
      <c r="R655" s="16"/>
      <c r="S655" s="15"/>
      <c r="T655" s="15"/>
      <c r="U655" s="16"/>
      <c r="V655" s="15"/>
      <c r="W655" s="15"/>
      <c r="X655" s="16"/>
      <c r="Y655" s="15"/>
      <c r="Z655" s="15"/>
      <c r="AA655" s="16"/>
      <c r="AB655" s="15"/>
      <c r="AC655" s="15"/>
      <c r="AD655" s="16"/>
      <c r="AE655" s="15"/>
      <c r="AF655" s="15"/>
      <c r="AG655" s="16"/>
      <c r="AH655" s="15"/>
      <c r="AI655" s="15"/>
      <c r="AJ655" s="16"/>
      <c r="AK655" s="15"/>
      <c r="AP655" s="536"/>
      <c r="AR655" s="537"/>
      <c r="AS655" s="529"/>
    </row>
    <row r="656" spans="1:84" ht="15" customHeight="1" x14ac:dyDescent="0.3">
      <c r="A656" s="765"/>
      <c r="C656" s="27" t="str">
        <f>" "&amp;VLOOKUP(AQ657,schedule,18,FALSE)&amp;"  ("&amp;VLOOKUP(AQ657,schedule,3,FALSE)&amp;" PÁRHARC)"</f>
        <v xml:space="preserve"> JÚLIUS 3. – SZOMBAT 21:00  (3/4 PÁRHARC)</v>
      </c>
      <c r="D656" s="27"/>
      <c r="E656" s="26"/>
      <c r="F656" s="26"/>
      <c r="G656" s="26"/>
      <c r="H656" s="26"/>
      <c r="I656" s="26"/>
      <c r="J656" s="26"/>
      <c r="AP656" s="536"/>
      <c r="AR656" s="537"/>
      <c r="AS656" s="529"/>
    </row>
    <row r="657" spans="1:84" ht="15" customHeight="1" x14ac:dyDescent="0.3">
      <c r="A657" s="765"/>
      <c r="C657" s="661"/>
      <c r="D657" s="662" t="str">
        <f>IF(INDEX(n.er,$AR657,8)="","",INDEX(n.er,$AR657,8))</f>
        <v>5/8 győztese</v>
      </c>
      <c r="E657" s="663" t="str">
        <f>IF(NOT($AS657),"",INDEX(n.er,$AR657,9))</f>
        <v/>
      </c>
      <c r="F657" s="662"/>
      <c r="G657" s="259"/>
      <c r="H657" s="664"/>
      <c r="I657" s="665"/>
      <c r="J657" s="665"/>
      <c r="K657" s="665"/>
      <c r="L657" s="665"/>
      <c r="M657" s="665"/>
      <c r="N657" s="665"/>
      <c r="O657" s="665"/>
      <c r="P657" s="665"/>
      <c r="Q657" s="665"/>
      <c r="R657" s="665"/>
      <c r="S657" s="665"/>
      <c r="T657" s="665"/>
      <c r="U657" s="665"/>
      <c r="V657" s="665"/>
      <c r="W657" s="665"/>
      <c r="X657" s="665"/>
      <c r="Y657" s="665"/>
      <c r="Z657" s="665"/>
      <c r="AA657" s="665"/>
      <c r="AB657" s="665"/>
      <c r="AC657" s="665"/>
      <c r="AD657" s="665"/>
      <c r="AE657" s="665"/>
      <c r="AF657" s="665"/>
      <c r="AG657" s="665"/>
      <c r="AH657" s="665"/>
      <c r="AI657" s="665"/>
      <c r="AJ657" s="665"/>
      <c r="AK657" s="666"/>
      <c r="AP657" s="52">
        <f>AP646+1</f>
        <v>48</v>
      </c>
      <c r="AQ657" s="311">
        <f>INDEX(schedule,AP657,1)</f>
        <v>48</v>
      </c>
      <c r="AR657" s="311">
        <f>MATCH(AQ657,n.er.index,0)</f>
        <v>124</v>
      </c>
      <c r="AS657" s="532" t="b">
        <f>INDEX(n.er,$AR657,3)</f>
        <v>0</v>
      </c>
      <c r="AT657" s="531"/>
      <c r="AU657" s="531"/>
      <c r="AV657" s="531"/>
      <c r="AW657" s="531"/>
      <c r="AX657" s="531"/>
      <c r="BC657" s="525" t="b">
        <f t="shared" ref="BC657:CF657" si="457">IF(AND(ISNUMBER(H657),ISNUMBER(H658),H657&lt;&gt;"",H658&lt;&gt;""),AND(H657&gt;=0,H658&gt;=0,MOD(H657+H658,1)=0),FALSE)</f>
        <v>0</v>
      </c>
      <c r="BD657" s="525" t="b">
        <f t="shared" si="457"/>
        <v>0</v>
      </c>
      <c r="BE657" s="525" t="b">
        <f t="shared" si="457"/>
        <v>0</v>
      </c>
      <c r="BF657" s="525" t="b">
        <f t="shared" si="457"/>
        <v>0</v>
      </c>
      <c r="BG657" s="525" t="b">
        <f t="shared" si="457"/>
        <v>0</v>
      </c>
      <c r="BH657" s="525" t="b">
        <f t="shared" si="457"/>
        <v>0</v>
      </c>
      <c r="BI657" s="525" t="b">
        <f t="shared" si="457"/>
        <v>0</v>
      </c>
      <c r="BJ657" s="525" t="b">
        <f t="shared" si="457"/>
        <v>0</v>
      </c>
      <c r="BK657" s="525" t="b">
        <f t="shared" si="457"/>
        <v>0</v>
      </c>
      <c r="BL657" s="525" t="b">
        <f t="shared" si="457"/>
        <v>0</v>
      </c>
      <c r="BM657" s="525" t="b">
        <f t="shared" si="457"/>
        <v>0</v>
      </c>
      <c r="BN657" s="525" t="b">
        <f t="shared" si="457"/>
        <v>0</v>
      </c>
      <c r="BO657" s="525" t="b">
        <f t="shared" si="457"/>
        <v>0</v>
      </c>
      <c r="BP657" s="525" t="b">
        <f t="shared" si="457"/>
        <v>0</v>
      </c>
      <c r="BQ657" s="525" t="b">
        <f t="shared" si="457"/>
        <v>0</v>
      </c>
      <c r="BR657" s="525" t="b">
        <f t="shared" si="457"/>
        <v>0</v>
      </c>
      <c r="BS657" s="525" t="b">
        <f t="shared" si="457"/>
        <v>0</v>
      </c>
      <c r="BT657" s="525" t="b">
        <f t="shared" si="457"/>
        <v>0</v>
      </c>
      <c r="BU657" s="525" t="b">
        <f t="shared" si="457"/>
        <v>0</v>
      </c>
      <c r="BV657" s="525" t="b">
        <f t="shared" si="457"/>
        <v>0</v>
      </c>
      <c r="BW657" s="525" t="b">
        <f t="shared" si="457"/>
        <v>0</v>
      </c>
      <c r="BX657" s="525" t="b">
        <f t="shared" si="457"/>
        <v>0</v>
      </c>
      <c r="BY657" s="525" t="b">
        <f t="shared" si="457"/>
        <v>0</v>
      </c>
      <c r="BZ657" s="525" t="b">
        <f t="shared" si="457"/>
        <v>0</v>
      </c>
      <c r="CA657" s="525" t="b">
        <f t="shared" si="457"/>
        <v>0</v>
      </c>
      <c r="CB657" s="525" t="b">
        <f t="shared" si="457"/>
        <v>0</v>
      </c>
      <c r="CC657" s="525" t="b">
        <f t="shared" si="457"/>
        <v>0</v>
      </c>
      <c r="CD657" s="525" t="b">
        <f t="shared" si="457"/>
        <v>0</v>
      </c>
      <c r="CE657" s="525" t="b">
        <f t="shared" si="457"/>
        <v>0</v>
      </c>
      <c r="CF657" s="525" t="b">
        <f t="shared" si="457"/>
        <v>0</v>
      </c>
    </row>
    <row r="658" spans="1:84" ht="15" customHeight="1" x14ac:dyDescent="0.3">
      <c r="A658" s="765"/>
      <c r="C658" s="695"/>
      <c r="D658" s="696" t="str">
        <f>IF(INDEX(n.er,$AR657,11)="","",INDEX(n.er,$AR657,11))</f>
        <v>6/8 győztese</v>
      </c>
      <c r="E658" s="697" t="str">
        <f>IF(NOT($AS657),"",INDEX(n.er,$AR657,10))</f>
        <v/>
      </c>
      <c r="F658" s="696"/>
      <c r="G658" s="259"/>
      <c r="H658" s="667"/>
      <c r="I658" s="668"/>
      <c r="J658" s="668"/>
      <c r="K658" s="668"/>
      <c r="L658" s="668"/>
      <c r="M658" s="668"/>
      <c r="N658" s="668"/>
      <c r="O658" s="668"/>
      <c r="P658" s="668"/>
      <c r="Q658" s="668"/>
      <c r="R658" s="668"/>
      <c r="S658" s="668"/>
      <c r="T658" s="668"/>
      <c r="U658" s="668"/>
      <c r="V658" s="668"/>
      <c r="W658" s="668"/>
      <c r="X658" s="668"/>
      <c r="Y658" s="668"/>
      <c r="Z658" s="668"/>
      <c r="AA658" s="668"/>
      <c r="AB658" s="668"/>
      <c r="AC658" s="668"/>
      <c r="AD658" s="668"/>
      <c r="AE658" s="668"/>
      <c r="AF658" s="668"/>
      <c r="AG658" s="668"/>
      <c r="AH658" s="668"/>
      <c r="AI658" s="668"/>
      <c r="AJ658" s="668"/>
      <c r="AK658" s="669"/>
      <c r="AP658" s="533"/>
      <c r="AQ658" s="577"/>
      <c r="AR658" s="534"/>
      <c r="AS658" s="535"/>
      <c r="AX658" s="531"/>
      <c r="BC658" s="34" t="b">
        <f t="shared" ref="BC658:CF658" si="458">OR(NOT(H$13),NOT($AS657),NOT(BC657))</f>
        <v>1</v>
      </c>
      <c r="BD658" s="34" t="b">
        <f t="shared" si="458"/>
        <v>1</v>
      </c>
      <c r="BE658" s="34" t="b">
        <f t="shared" si="458"/>
        <v>1</v>
      </c>
      <c r="BF658" s="34" t="b">
        <f t="shared" si="458"/>
        <v>1</v>
      </c>
      <c r="BG658" s="34" t="b">
        <f t="shared" si="458"/>
        <v>1</v>
      </c>
      <c r="BH658" s="34" t="b">
        <f t="shared" si="458"/>
        <v>1</v>
      </c>
      <c r="BI658" s="34" t="b">
        <f t="shared" si="458"/>
        <v>1</v>
      </c>
      <c r="BJ658" s="34" t="b">
        <f t="shared" si="458"/>
        <v>1</v>
      </c>
      <c r="BK658" s="34" t="b">
        <f t="shared" si="458"/>
        <v>1</v>
      </c>
      <c r="BL658" s="34" t="b">
        <f t="shared" si="458"/>
        <v>1</v>
      </c>
      <c r="BM658" s="34" t="b">
        <f t="shared" si="458"/>
        <v>1</v>
      </c>
      <c r="BN658" s="34" t="b">
        <f t="shared" si="458"/>
        <v>1</v>
      </c>
      <c r="BO658" s="34" t="b">
        <f t="shared" si="458"/>
        <v>1</v>
      </c>
      <c r="BP658" s="34" t="b">
        <f t="shared" si="458"/>
        <v>1</v>
      </c>
      <c r="BQ658" s="34" t="b">
        <f t="shared" si="458"/>
        <v>1</v>
      </c>
      <c r="BR658" s="34" t="b">
        <f t="shared" si="458"/>
        <v>1</v>
      </c>
      <c r="BS658" s="34" t="b">
        <f t="shared" si="458"/>
        <v>1</v>
      </c>
      <c r="BT658" s="34" t="b">
        <f t="shared" si="458"/>
        <v>1</v>
      </c>
      <c r="BU658" s="34" t="b">
        <f t="shared" si="458"/>
        <v>1</v>
      </c>
      <c r="BV658" s="34" t="b">
        <f t="shared" si="458"/>
        <v>1</v>
      </c>
      <c r="BW658" s="34" t="b">
        <f t="shared" si="458"/>
        <v>1</v>
      </c>
      <c r="BX658" s="34" t="b">
        <f t="shared" si="458"/>
        <v>1</v>
      </c>
      <c r="BY658" s="34" t="b">
        <f t="shared" si="458"/>
        <v>1</v>
      </c>
      <c r="BZ658" s="34" t="b">
        <f t="shared" si="458"/>
        <v>1</v>
      </c>
      <c r="CA658" s="34" t="b">
        <f t="shared" si="458"/>
        <v>1</v>
      </c>
      <c r="CB658" s="34" t="b">
        <f t="shared" si="458"/>
        <v>1</v>
      </c>
      <c r="CC658" s="34" t="b">
        <f t="shared" si="458"/>
        <v>1</v>
      </c>
      <c r="CD658" s="34" t="b">
        <f t="shared" si="458"/>
        <v>1</v>
      </c>
      <c r="CE658" s="34" t="b">
        <f t="shared" si="458"/>
        <v>1</v>
      </c>
      <c r="CF658" s="34" t="b">
        <f t="shared" si="458"/>
        <v>1</v>
      </c>
    </row>
    <row r="659" spans="1:84" ht="12" customHeight="1" x14ac:dyDescent="0.3">
      <c r="A659" s="765"/>
      <c r="E659" s="258" t="str">
        <f>$AX$92</f>
        <v>Telitalálat: 10 p</v>
      </c>
      <c r="H659" s="670" t="str">
        <f t="shared" ref="H659:AK659" si="459">IF(OR(BC658,NOT($AS$20)),"",IF(AND(H657=$E657,H658=$E658),"ü",""))</f>
        <v/>
      </c>
      <c r="I659" s="671" t="str">
        <f t="shared" si="459"/>
        <v/>
      </c>
      <c r="J659" s="671" t="str">
        <f t="shared" si="459"/>
        <v/>
      </c>
      <c r="K659" s="671" t="str">
        <f t="shared" si="459"/>
        <v/>
      </c>
      <c r="L659" s="671" t="str">
        <f t="shared" si="459"/>
        <v/>
      </c>
      <c r="M659" s="671" t="str">
        <f t="shared" si="459"/>
        <v/>
      </c>
      <c r="N659" s="671" t="str">
        <f t="shared" si="459"/>
        <v/>
      </c>
      <c r="O659" s="671" t="str">
        <f t="shared" si="459"/>
        <v/>
      </c>
      <c r="P659" s="671" t="str">
        <f t="shared" si="459"/>
        <v/>
      </c>
      <c r="Q659" s="671" t="str">
        <f t="shared" si="459"/>
        <v/>
      </c>
      <c r="R659" s="671" t="str">
        <f t="shared" si="459"/>
        <v/>
      </c>
      <c r="S659" s="671" t="str">
        <f t="shared" si="459"/>
        <v/>
      </c>
      <c r="T659" s="671" t="str">
        <f t="shared" si="459"/>
        <v/>
      </c>
      <c r="U659" s="671" t="str">
        <f t="shared" si="459"/>
        <v/>
      </c>
      <c r="V659" s="671" t="str">
        <f t="shared" si="459"/>
        <v/>
      </c>
      <c r="W659" s="671" t="str">
        <f t="shared" si="459"/>
        <v/>
      </c>
      <c r="X659" s="671" t="str">
        <f t="shared" si="459"/>
        <v/>
      </c>
      <c r="Y659" s="671" t="str">
        <f t="shared" si="459"/>
        <v/>
      </c>
      <c r="Z659" s="671" t="str">
        <f t="shared" si="459"/>
        <v/>
      </c>
      <c r="AA659" s="671" t="str">
        <f t="shared" si="459"/>
        <v/>
      </c>
      <c r="AB659" s="671" t="str">
        <f t="shared" si="459"/>
        <v/>
      </c>
      <c r="AC659" s="671" t="str">
        <f t="shared" si="459"/>
        <v/>
      </c>
      <c r="AD659" s="671" t="str">
        <f t="shared" si="459"/>
        <v/>
      </c>
      <c r="AE659" s="671" t="str">
        <f t="shared" si="459"/>
        <v/>
      </c>
      <c r="AF659" s="671" t="str">
        <f t="shared" si="459"/>
        <v/>
      </c>
      <c r="AG659" s="671" t="str">
        <f t="shared" si="459"/>
        <v/>
      </c>
      <c r="AH659" s="671" t="str">
        <f t="shared" si="459"/>
        <v/>
      </c>
      <c r="AI659" s="671" t="str">
        <f t="shared" si="459"/>
        <v/>
      </c>
      <c r="AJ659" s="671" t="str">
        <f t="shared" si="459"/>
        <v/>
      </c>
      <c r="AK659" s="672" t="str">
        <f t="shared" si="459"/>
        <v/>
      </c>
      <c r="AL659" s="15"/>
      <c r="AM659" s="15"/>
      <c r="AP659" s="536"/>
      <c r="AR659" s="537"/>
      <c r="AS659" s="529"/>
      <c r="AW659" s="390" t="str">
        <f>""</f>
        <v/>
      </c>
      <c r="AX659" s="531"/>
      <c r="AY659" s="390" t="str">
        <f>""</f>
        <v/>
      </c>
      <c r="BD659" s="520"/>
      <c r="BE659" s="520"/>
      <c r="BF659" s="520"/>
      <c r="BG659" s="520"/>
      <c r="BH659" s="520"/>
      <c r="BI659" s="520"/>
      <c r="BJ659" s="520"/>
      <c r="BK659" s="520"/>
      <c r="BL659" s="520"/>
      <c r="BM659" s="520"/>
      <c r="BN659" s="520"/>
      <c r="BO659" s="520"/>
      <c r="BP659" s="520"/>
      <c r="BQ659" s="520"/>
      <c r="BR659" s="520"/>
      <c r="BS659" s="520"/>
      <c r="BT659" s="520"/>
      <c r="BU659" s="520"/>
      <c r="BV659" s="520"/>
      <c r="BW659" s="520"/>
      <c r="BX659" s="520"/>
      <c r="BY659" s="520"/>
    </row>
    <row r="660" spans="1:84" ht="12" customHeight="1" x14ac:dyDescent="0.3">
      <c r="A660" s="765"/>
      <c r="E660" s="258" t="str">
        <f>$AX$93</f>
        <v>Gólkülönbség: 6 p</v>
      </c>
      <c r="H660" s="673" t="str">
        <f t="shared" ref="H660:AK660" si="460">IF(OR(BC658,NOT($AS$22)),"",IF(AND(NOT($AS$32),H659="ü"),"",IF(H657-H658=$E657-$E658,"ü"," ")))</f>
        <v/>
      </c>
      <c r="I660" s="674" t="str">
        <f t="shared" si="460"/>
        <v/>
      </c>
      <c r="J660" s="674" t="str">
        <f t="shared" si="460"/>
        <v/>
      </c>
      <c r="K660" s="674" t="str">
        <f t="shared" si="460"/>
        <v/>
      </c>
      <c r="L660" s="674" t="str">
        <f t="shared" si="460"/>
        <v/>
      </c>
      <c r="M660" s="674" t="str">
        <f t="shared" si="460"/>
        <v/>
      </c>
      <c r="N660" s="674" t="str">
        <f t="shared" si="460"/>
        <v/>
      </c>
      <c r="O660" s="674" t="str">
        <f t="shared" si="460"/>
        <v/>
      </c>
      <c r="P660" s="674" t="str">
        <f t="shared" si="460"/>
        <v/>
      </c>
      <c r="Q660" s="674" t="str">
        <f t="shared" si="460"/>
        <v/>
      </c>
      <c r="R660" s="674" t="str">
        <f t="shared" si="460"/>
        <v/>
      </c>
      <c r="S660" s="674" t="str">
        <f t="shared" si="460"/>
        <v/>
      </c>
      <c r="T660" s="674" t="str">
        <f t="shared" si="460"/>
        <v/>
      </c>
      <c r="U660" s="674" t="str">
        <f t="shared" si="460"/>
        <v/>
      </c>
      <c r="V660" s="674" t="str">
        <f t="shared" si="460"/>
        <v/>
      </c>
      <c r="W660" s="674" t="str">
        <f t="shared" si="460"/>
        <v/>
      </c>
      <c r="X660" s="674" t="str">
        <f t="shared" si="460"/>
        <v/>
      </c>
      <c r="Y660" s="674" t="str">
        <f t="shared" si="460"/>
        <v/>
      </c>
      <c r="Z660" s="674" t="str">
        <f t="shared" si="460"/>
        <v/>
      </c>
      <c r="AA660" s="674" t="str">
        <f t="shared" si="460"/>
        <v/>
      </c>
      <c r="AB660" s="674" t="str">
        <f t="shared" si="460"/>
        <v/>
      </c>
      <c r="AC660" s="674" t="str">
        <f t="shared" si="460"/>
        <v/>
      </c>
      <c r="AD660" s="674" t="str">
        <f t="shared" si="460"/>
        <v/>
      </c>
      <c r="AE660" s="674" t="str">
        <f t="shared" si="460"/>
        <v/>
      </c>
      <c r="AF660" s="674" t="str">
        <f t="shared" si="460"/>
        <v/>
      </c>
      <c r="AG660" s="674" t="str">
        <f t="shared" si="460"/>
        <v/>
      </c>
      <c r="AH660" s="674" t="str">
        <f t="shared" si="460"/>
        <v/>
      </c>
      <c r="AI660" s="674" t="str">
        <f t="shared" si="460"/>
        <v/>
      </c>
      <c r="AJ660" s="674" t="str">
        <f t="shared" si="460"/>
        <v/>
      </c>
      <c r="AK660" s="675" t="str">
        <f t="shared" si="460"/>
        <v/>
      </c>
      <c r="AL660" s="15"/>
      <c r="AM660" s="15"/>
      <c r="AP660" s="536"/>
      <c r="AR660" s="537"/>
      <c r="AS660" s="529"/>
      <c r="AW660" s="390" t="str">
        <f>""</f>
        <v/>
      </c>
      <c r="AX660" s="531"/>
      <c r="AY660" s="390" t="str">
        <f>""</f>
        <v/>
      </c>
      <c r="BD660" s="520"/>
      <c r="BE660" s="520"/>
      <c r="BF660" s="520"/>
      <c r="BG660" s="520"/>
      <c r="BH660" s="520"/>
      <c r="BI660" s="520"/>
      <c r="BJ660" s="520"/>
      <c r="BK660" s="520"/>
      <c r="BL660" s="520"/>
      <c r="BM660" s="520"/>
      <c r="BN660" s="520"/>
      <c r="BO660" s="520"/>
      <c r="BP660" s="520"/>
      <c r="BQ660" s="520"/>
      <c r="BR660" s="520"/>
      <c r="BS660" s="520"/>
      <c r="BT660" s="520"/>
      <c r="BU660" s="520"/>
      <c r="BV660" s="520"/>
      <c r="BW660" s="520"/>
      <c r="BX660" s="520"/>
      <c r="BY660" s="520"/>
    </row>
    <row r="661" spans="1:84" ht="12" customHeight="1" x14ac:dyDescent="0.3">
      <c r="A661" s="765"/>
      <c r="E661" s="258" t="str">
        <f>$AX$94</f>
        <v>Mérkőzés kimenetele: 4 p</v>
      </c>
      <c r="H661" s="673" t="str">
        <f t="shared" ref="H661:AK661" si="461">IF(OR(BC658,NOT($AS$24)),"",IF(AND(NOT($AS$32),COUNTIF(H659:H660,"ü")&gt;0),"",IF(SIGN(H657-H658)=SIGN($E657-$E658),"ü"," ")))</f>
        <v/>
      </c>
      <c r="I661" s="674" t="str">
        <f t="shared" si="461"/>
        <v/>
      </c>
      <c r="J661" s="674" t="str">
        <f t="shared" si="461"/>
        <v/>
      </c>
      <c r="K661" s="674" t="str">
        <f t="shared" si="461"/>
        <v/>
      </c>
      <c r="L661" s="674" t="str">
        <f t="shared" si="461"/>
        <v/>
      </c>
      <c r="M661" s="674" t="str">
        <f t="shared" si="461"/>
        <v/>
      </c>
      <c r="N661" s="674" t="str">
        <f t="shared" si="461"/>
        <v/>
      </c>
      <c r="O661" s="674" t="str">
        <f t="shared" si="461"/>
        <v/>
      </c>
      <c r="P661" s="674" t="str">
        <f t="shared" si="461"/>
        <v/>
      </c>
      <c r="Q661" s="674" t="str">
        <f t="shared" si="461"/>
        <v/>
      </c>
      <c r="R661" s="674" t="str">
        <f t="shared" si="461"/>
        <v/>
      </c>
      <c r="S661" s="674" t="str">
        <f t="shared" si="461"/>
        <v/>
      </c>
      <c r="T661" s="674" t="str">
        <f t="shared" si="461"/>
        <v/>
      </c>
      <c r="U661" s="674" t="str">
        <f t="shared" si="461"/>
        <v/>
      </c>
      <c r="V661" s="674" t="str">
        <f t="shared" si="461"/>
        <v/>
      </c>
      <c r="W661" s="674" t="str">
        <f t="shared" si="461"/>
        <v/>
      </c>
      <c r="X661" s="674" t="str">
        <f t="shared" si="461"/>
        <v/>
      </c>
      <c r="Y661" s="674" t="str">
        <f t="shared" si="461"/>
        <v/>
      </c>
      <c r="Z661" s="674" t="str">
        <f t="shared" si="461"/>
        <v/>
      </c>
      <c r="AA661" s="674" t="str">
        <f t="shared" si="461"/>
        <v/>
      </c>
      <c r="AB661" s="674" t="str">
        <f t="shared" si="461"/>
        <v/>
      </c>
      <c r="AC661" s="674" t="str">
        <f t="shared" si="461"/>
        <v/>
      </c>
      <c r="AD661" s="674" t="str">
        <f t="shared" si="461"/>
        <v/>
      </c>
      <c r="AE661" s="674" t="str">
        <f t="shared" si="461"/>
        <v/>
      </c>
      <c r="AF661" s="674" t="str">
        <f t="shared" si="461"/>
        <v/>
      </c>
      <c r="AG661" s="674" t="str">
        <f t="shared" si="461"/>
        <v/>
      </c>
      <c r="AH661" s="674" t="str">
        <f t="shared" si="461"/>
        <v/>
      </c>
      <c r="AI661" s="674" t="str">
        <f t="shared" si="461"/>
        <v/>
      </c>
      <c r="AJ661" s="674" t="str">
        <f t="shared" si="461"/>
        <v/>
      </c>
      <c r="AK661" s="675" t="str">
        <f t="shared" si="461"/>
        <v/>
      </c>
      <c r="AL661" s="15"/>
      <c r="AM661" s="15"/>
      <c r="AP661" s="536"/>
      <c r="AR661" s="537"/>
      <c r="AS661" s="529"/>
      <c r="AW661" s="390" t="str">
        <f>""</f>
        <v/>
      </c>
      <c r="AX661" s="531"/>
      <c r="AY661" s="390" t="str">
        <f>""</f>
        <v/>
      </c>
      <c r="BD661" s="520"/>
      <c r="BE661" s="520"/>
      <c r="BF661" s="520"/>
      <c r="BG661" s="520"/>
      <c r="BH661" s="520"/>
      <c r="BI661" s="520"/>
      <c r="BJ661" s="520"/>
      <c r="BK661" s="520"/>
      <c r="BL661" s="520"/>
      <c r="BM661" s="520"/>
      <c r="BN661" s="520"/>
      <c r="BO661" s="520"/>
      <c r="BP661" s="520"/>
      <c r="BQ661" s="520"/>
      <c r="BR661" s="520"/>
      <c r="BS661" s="520"/>
      <c r="BT661" s="520"/>
      <c r="BU661" s="520"/>
      <c r="BV661" s="520"/>
      <c r="BW661" s="520"/>
      <c r="BX661" s="520"/>
      <c r="BY661" s="520"/>
    </row>
    <row r="662" spans="1:84" ht="12" customHeight="1" x14ac:dyDescent="0.3">
      <c r="A662" s="765"/>
      <c r="E662" s="258" t="str">
        <f>$AX$95</f>
        <v>Egyik csapat góljainak száma: 3 p</v>
      </c>
      <c r="H662" s="673" t="str">
        <f t="shared" ref="H662:AK662" si="462">IF(OR(BC658,NOT($AS$26)),"",IF(AND(NOT($AS$32),COUNTIF(H659:H661,"ü")&gt;0),"",IF(OR(H657=$E657,H658=$E658),"ü"," ")))</f>
        <v/>
      </c>
      <c r="I662" s="674" t="str">
        <f t="shared" si="462"/>
        <v/>
      </c>
      <c r="J662" s="674" t="str">
        <f t="shared" si="462"/>
        <v/>
      </c>
      <c r="K662" s="674" t="str">
        <f t="shared" si="462"/>
        <v/>
      </c>
      <c r="L662" s="674" t="str">
        <f t="shared" si="462"/>
        <v/>
      </c>
      <c r="M662" s="674" t="str">
        <f t="shared" si="462"/>
        <v/>
      </c>
      <c r="N662" s="674" t="str">
        <f t="shared" si="462"/>
        <v/>
      </c>
      <c r="O662" s="674" t="str">
        <f t="shared" si="462"/>
        <v/>
      </c>
      <c r="P662" s="674" t="str">
        <f t="shared" si="462"/>
        <v/>
      </c>
      <c r="Q662" s="674" t="str">
        <f t="shared" si="462"/>
        <v/>
      </c>
      <c r="R662" s="674" t="str">
        <f t="shared" si="462"/>
        <v/>
      </c>
      <c r="S662" s="674" t="str">
        <f t="shared" si="462"/>
        <v/>
      </c>
      <c r="T662" s="674" t="str">
        <f t="shared" si="462"/>
        <v/>
      </c>
      <c r="U662" s="674" t="str">
        <f t="shared" si="462"/>
        <v/>
      </c>
      <c r="V662" s="674" t="str">
        <f t="shared" si="462"/>
        <v/>
      </c>
      <c r="W662" s="674" t="str">
        <f t="shared" si="462"/>
        <v/>
      </c>
      <c r="X662" s="674" t="str">
        <f t="shared" si="462"/>
        <v/>
      </c>
      <c r="Y662" s="674" t="str">
        <f t="shared" si="462"/>
        <v/>
      </c>
      <c r="Z662" s="674" t="str">
        <f t="shared" si="462"/>
        <v/>
      </c>
      <c r="AA662" s="674" t="str">
        <f t="shared" si="462"/>
        <v/>
      </c>
      <c r="AB662" s="674" t="str">
        <f t="shared" si="462"/>
        <v/>
      </c>
      <c r="AC662" s="674" t="str">
        <f t="shared" si="462"/>
        <v/>
      </c>
      <c r="AD662" s="674" t="str">
        <f t="shared" si="462"/>
        <v/>
      </c>
      <c r="AE662" s="674" t="str">
        <f t="shared" si="462"/>
        <v/>
      </c>
      <c r="AF662" s="674" t="str">
        <f t="shared" si="462"/>
        <v/>
      </c>
      <c r="AG662" s="674" t="str">
        <f t="shared" si="462"/>
        <v/>
      </c>
      <c r="AH662" s="674" t="str">
        <f t="shared" si="462"/>
        <v/>
      </c>
      <c r="AI662" s="674" t="str">
        <f t="shared" si="462"/>
        <v/>
      </c>
      <c r="AJ662" s="674" t="str">
        <f t="shared" si="462"/>
        <v/>
      </c>
      <c r="AK662" s="675" t="str">
        <f t="shared" si="462"/>
        <v/>
      </c>
      <c r="AL662" s="15"/>
      <c r="AM662" s="15"/>
      <c r="AP662" s="536"/>
      <c r="AR662" s="537"/>
      <c r="AS662" s="529"/>
      <c r="AW662" s="390" t="str">
        <f>""</f>
        <v/>
      </c>
      <c r="AX662" s="531"/>
      <c r="AY662" s="390" t="str">
        <f>""</f>
        <v/>
      </c>
      <c r="BD662" s="520"/>
      <c r="BE662" s="520"/>
      <c r="BF662" s="520"/>
      <c r="BG662" s="520"/>
      <c r="BH662" s="520"/>
      <c r="BI662" s="520"/>
      <c r="BJ662" s="520"/>
      <c r="BK662" s="520"/>
      <c r="BL662" s="520"/>
      <c r="BM662" s="520"/>
      <c r="BN662" s="520"/>
      <c r="BO662" s="520"/>
      <c r="BP662" s="520"/>
      <c r="BQ662" s="520"/>
      <c r="BR662" s="520"/>
      <c r="BS662" s="520"/>
      <c r="BT662" s="520"/>
      <c r="BU662" s="520"/>
      <c r="BV662" s="520"/>
      <c r="BW662" s="520"/>
      <c r="BX662" s="520"/>
      <c r="BY662" s="520"/>
    </row>
    <row r="663" spans="1:84" ht="12" customHeight="1" x14ac:dyDescent="0.3">
      <c r="A663" s="765"/>
      <c r="E663" s="258" t="str">
        <f>$AX$96</f>
        <v>Összes gól: 2 p</v>
      </c>
      <c r="H663" s="673" t="str">
        <f t="shared" ref="H663:AK663" si="463">IF(OR(BC658,NOT($AS$28)),"",IF(AND(NOT($AS$32),COUNTIF(H659:H662,"ü")&gt;0),"",IF(H657+H658=$E657+$E658,"ü"," ")))</f>
        <v/>
      </c>
      <c r="I663" s="674" t="str">
        <f t="shared" si="463"/>
        <v/>
      </c>
      <c r="J663" s="674" t="str">
        <f t="shared" si="463"/>
        <v/>
      </c>
      <c r="K663" s="674" t="str">
        <f t="shared" si="463"/>
        <v/>
      </c>
      <c r="L663" s="674" t="str">
        <f t="shared" si="463"/>
        <v/>
      </c>
      <c r="M663" s="674" t="str">
        <f t="shared" si="463"/>
        <v/>
      </c>
      <c r="N663" s="674" t="str">
        <f t="shared" si="463"/>
        <v/>
      </c>
      <c r="O663" s="674" t="str">
        <f t="shared" si="463"/>
        <v/>
      </c>
      <c r="P663" s="674" t="str">
        <f t="shared" si="463"/>
        <v/>
      </c>
      <c r="Q663" s="674" t="str">
        <f t="shared" si="463"/>
        <v/>
      </c>
      <c r="R663" s="674" t="str">
        <f t="shared" si="463"/>
        <v/>
      </c>
      <c r="S663" s="674" t="str">
        <f t="shared" si="463"/>
        <v/>
      </c>
      <c r="T663" s="674" t="str">
        <f t="shared" si="463"/>
        <v/>
      </c>
      <c r="U663" s="674" t="str">
        <f t="shared" si="463"/>
        <v/>
      </c>
      <c r="V663" s="674" t="str">
        <f t="shared" si="463"/>
        <v/>
      </c>
      <c r="W663" s="674" t="str">
        <f t="shared" si="463"/>
        <v/>
      </c>
      <c r="X663" s="674" t="str">
        <f t="shared" si="463"/>
        <v/>
      </c>
      <c r="Y663" s="674" t="str">
        <f t="shared" si="463"/>
        <v/>
      </c>
      <c r="Z663" s="674" t="str">
        <f t="shared" si="463"/>
        <v/>
      </c>
      <c r="AA663" s="674" t="str">
        <f t="shared" si="463"/>
        <v/>
      </c>
      <c r="AB663" s="674" t="str">
        <f t="shared" si="463"/>
        <v/>
      </c>
      <c r="AC663" s="674" t="str">
        <f t="shared" si="463"/>
        <v/>
      </c>
      <c r="AD663" s="674" t="str">
        <f t="shared" si="463"/>
        <v/>
      </c>
      <c r="AE663" s="674" t="str">
        <f t="shared" si="463"/>
        <v/>
      </c>
      <c r="AF663" s="674" t="str">
        <f t="shared" si="463"/>
        <v/>
      </c>
      <c r="AG663" s="674" t="str">
        <f t="shared" si="463"/>
        <v/>
      </c>
      <c r="AH663" s="674" t="str">
        <f t="shared" si="463"/>
        <v/>
      </c>
      <c r="AI663" s="674" t="str">
        <f t="shared" si="463"/>
        <v/>
      </c>
      <c r="AJ663" s="674" t="str">
        <f t="shared" si="463"/>
        <v/>
      </c>
      <c r="AK663" s="675" t="str">
        <f t="shared" si="463"/>
        <v/>
      </c>
      <c r="AL663" s="15"/>
      <c r="AM663" s="15"/>
      <c r="AP663" s="536"/>
      <c r="AR663" s="537"/>
      <c r="AS663" s="529"/>
      <c r="AW663" s="390" t="str">
        <f>""</f>
        <v/>
      </c>
      <c r="AX663" s="531"/>
      <c r="AY663" s="390" t="str">
        <f>""</f>
        <v/>
      </c>
      <c r="BD663" s="520"/>
      <c r="BE663" s="520"/>
      <c r="BF663" s="520"/>
      <c r="BG663" s="520"/>
      <c r="BH663" s="520"/>
      <c r="BI663" s="520"/>
      <c r="BJ663" s="520"/>
      <c r="BK663" s="520"/>
      <c r="BL663" s="520"/>
      <c r="BM663" s="520"/>
      <c r="BN663" s="520"/>
      <c r="BO663" s="520"/>
      <c r="BP663" s="520"/>
      <c r="BQ663" s="520"/>
      <c r="BR663" s="520"/>
      <c r="BS663" s="520"/>
      <c r="BT663" s="520"/>
      <c r="BU663" s="520"/>
      <c r="BV663" s="520"/>
      <c r="BW663" s="520"/>
      <c r="BX663" s="520"/>
      <c r="BY663" s="520"/>
    </row>
    <row r="664" spans="1:84" ht="12" customHeight="1" x14ac:dyDescent="0.3">
      <c r="A664" s="765"/>
      <c r="E664" s="258" t="str">
        <f>$AX$97</f>
        <v>Fordított gólkülönbség: 1 p</v>
      </c>
      <c r="H664" s="676" t="str">
        <f t="shared" ref="H664:AK664" si="464">IF(OR(BC658,NOT($AS$30)),"",IF(AND(NOT($AS$32),COUNTIF(H659:H663,"ü")&gt;0),"",IF(AND(H657-H658=$E658-$E657,H657&lt;&gt;H658),"ü"," ")))</f>
        <v/>
      </c>
      <c r="I664" s="677" t="str">
        <f t="shared" si="464"/>
        <v/>
      </c>
      <c r="J664" s="677" t="str">
        <f t="shared" si="464"/>
        <v/>
      </c>
      <c r="K664" s="677" t="str">
        <f t="shared" si="464"/>
        <v/>
      </c>
      <c r="L664" s="677" t="str">
        <f t="shared" si="464"/>
        <v/>
      </c>
      <c r="M664" s="677" t="str">
        <f t="shared" si="464"/>
        <v/>
      </c>
      <c r="N664" s="677" t="str">
        <f t="shared" si="464"/>
        <v/>
      </c>
      <c r="O664" s="677" t="str">
        <f t="shared" si="464"/>
        <v/>
      </c>
      <c r="P664" s="677" t="str">
        <f t="shared" si="464"/>
        <v/>
      </c>
      <c r="Q664" s="677" t="str">
        <f t="shared" si="464"/>
        <v/>
      </c>
      <c r="R664" s="677" t="str">
        <f t="shared" si="464"/>
        <v/>
      </c>
      <c r="S664" s="677" t="str">
        <f t="shared" si="464"/>
        <v/>
      </c>
      <c r="T664" s="677" t="str">
        <f t="shared" si="464"/>
        <v/>
      </c>
      <c r="U664" s="677" t="str">
        <f t="shared" si="464"/>
        <v/>
      </c>
      <c r="V664" s="677" t="str">
        <f t="shared" si="464"/>
        <v/>
      </c>
      <c r="W664" s="677" t="str">
        <f t="shared" si="464"/>
        <v/>
      </c>
      <c r="X664" s="677" t="str">
        <f t="shared" si="464"/>
        <v/>
      </c>
      <c r="Y664" s="677" t="str">
        <f t="shared" si="464"/>
        <v/>
      </c>
      <c r="Z664" s="677" t="str">
        <f t="shared" si="464"/>
        <v/>
      </c>
      <c r="AA664" s="677" t="str">
        <f t="shared" si="464"/>
        <v/>
      </c>
      <c r="AB664" s="677" t="str">
        <f t="shared" si="464"/>
        <v/>
      </c>
      <c r="AC664" s="677" t="str">
        <f t="shared" si="464"/>
        <v/>
      </c>
      <c r="AD664" s="677" t="str">
        <f t="shared" si="464"/>
        <v/>
      </c>
      <c r="AE664" s="677" t="str">
        <f t="shared" si="464"/>
        <v/>
      </c>
      <c r="AF664" s="677" t="str">
        <f t="shared" si="464"/>
        <v/>
      </c>
      <c r="AG664" s="677" t="str">
        <f t="shared" si="464"/>
        <v/>
      </c>
      <c r="AH664" s="677" t="str">
        <f t="shared" si="464"/>
        <v/>
      </c>
      <c r="AI664" s="677" t="str">
        <f t="shared" si="464"/>
        <v/>
      </c>
      <c r="AJ664" s="677" t="str">
        <f t="shared" si="464"/>
        <v/>
      </c>
      <c r="AK664" s="678" t="str">
        <f t="shared" si="464"/>
        <v/>
      </c>
      <c r="AL664" s="15"/>
      <c r="AM664" s="15"/>
      <c r="AP664" s="536"/>
      <c r="AR664" s="537"/>
      <c r="AS664" s="529"/>
      <c r="AW664" s="390" t="str">
        <f>""</f>
        <v/>
      </c>
      <c r="AX664" s="531"/>
      <c r="AY664" s="390" t="str">
        <f>""</f>
        <v/>
      </c>
      <c r="BD664" s="520"/>
      <c r="BE664" s="520"/>
      <c r="BF664" s="520"/>
      <c r="BG664" s="520"/>
      <c r="BH664" s="520"/>
      <c r="BI664" s="520"/>
      <c r="BJ664" s="520"/>
      <c r="BK664" s="520"/>
      <c r="BL664" s="520"/>
      <c r="BM664" s="520"/>
      <c r="BN664" s="520"/>
      <c r="BO664" s="520"/>
      <c r="BP664" s="520"/>
      <c r="BQ664" s="520"/>
      <c r="BR664" s="520"/>
      <c r="BS664" s="520"/>
      <c r="BT664" s="520"/>
      <c r="BU664" s="520"/>
      <c r="BV664" s="520"/>
      <c r="BW664" s="520"/>
      <c r="BX664" s="520"/>
      <c r="BY664" s="520"/>
    </row>
    <row r="665" spans="1:84" ht="15" customHeight="1" x14ac:dyDescent="0.3">
      <c r="A665" s="765"/>
      <c r="E665" s="79" t="s">
        <v>799</v>
      </c>
      <c r="H665" s="679">
        <f t="shared" ref="H665:AK665" si="465">IF(NOT(H$13),"",SUMPRODUCT((H659:H664="ü")*($AW$92:$AW$97)))</f>
        <v>0</v>
      </c>
      <c r="I665" s="680">
        <f t="shared" si="465"/>
        <v>0</v>
      </c>
      <c r="J665" s="680">
        <f t="shared" si="465"/>
        <v>0</v>
      </c>
      <c r="K665" s="680">
        <f t="shared" si="465"/>
        <v>0</v>
      </c>
      <c r="L665" s="680">
        <f t="shared" si="465"/>
        <v>0</v>
      </c>
      <c r="M665" s="680">
        <f t="shared" si="465"/>
        <v>0</v>
      </c>
      <c r="N665" s="680">
        <f t="shared" si="465"/>
        <v>0</v>
      </c>
      <c r="O665" s="680">
        <f t="shared" si="465"/>
        <v>0</v>
      </c>
      <c r="P665" s="680">
        <f t="shared" si="465"/>
        <v>0</v>
      </c>
      <c r="Q665" s="680">
        <f t="shared" si="465"/>
        <v>0</v>
      </c>
      <c r="R665" s="680">
        <f t="shared" si="465"/>
        <v>0</v>
      </c>
      <c r="S665" s="680">
        <f t="shared" si="465"/>
        <v>0</v>
      </c>
      <c r="T665" s="680">
        <f t="shared" si="465"/>
        <v>0</v>
      </c>
      <c r="U665" s="680">
        <f t="shared" si="465"/>
        <v>0</v>
      </c>
      <c r="V665" s="680">
        <f t="shared" si="465"/>
        <v>0</v>
      </c>
      <c r="W665" s="680">
        <f t="shared" si="465"/>
        <v>0</v>
      </c>
      <c r="X665" s="680">
        <f t="shared" si="465"/>
        <v>0</v>
      </c>
      <c r="Y665" s="680">
        <f t="shared" si="465"/>
        <v>0</v>
      </c>
      <c r="Z665" s="680">
        <f t="shared" si="465"/>
        <v>0</v>
      </c>
      <c r="AA665" s="680">
        <f t="shared" si="465"/>
        <v>0</v>
      </c>
      <c r="AB665" s="680">
        <f t="shared" si="465"/>
        <v>0</v>
      </c>
      <c r="AC665" s="680">
        <f t="shared" si="465"/>
        <v>0</v>
      </c>
      <c r="AD665" s="680">
        <f t="shared" si="465"/>
        <v>0</v>
      </c>
      <c r="AE665" s="680" t="str">
        <f t="shared" si="465"/>
        <v/>
      </c>
      <c r="AF665" s="680" t="str">
        <f t="shared" si="465"/>
        <v/>
      </c>
      <c r="AG665" s="680" t="str">
        <f t="shared" si="465"/>
        <v/>
      </c>
      <c r="AH665" s="680" t="str">
        <f t="shared" si="465"/>
        <v/>
      </c>
      <c r="AI665" s="680" t="str">
        <f t="shared" si="465"/>
        <v/>
      </c>
      <c r="AJ665" s="680" t="str">
        <f t="shared" si="465"/>
        <v/>
      </c>
      <c r="AK665" s="681" t="str">
        <f t="shared" si="465"/>
        <v/>
      </c>
      <c r="AP665" s="538"/>
      <c r="AQ665" s="699"/>
      <c r="AR665" s="539"/>
      <c r="AS665" s="540"/>
    </row>
    <row r="666" spans="1:84" ht="9" customHeight="1" x14ac:dyDescent="0.3">
      <c r="A666" s="765"/>
      <c r="D666" s="15"/>
      <c r="E666" s="15"/>
      <c r="F666" s="15"/>
      <c r="G666" s="15"/>
      <c r="H666" s="15"/>
      <c r="I666" s="16"/>
      <c r="J666" s="15"/>
      <c r="K666" s="15"/>
      <c r="L666" s="16"/>
      <c r="M666" s="15"/>
      <c r="N666" s="15"/>
      <c r="O666" s="16"/>
      <c r="P666" s="15"/>
      <c r="Q666" s="15"/>
      <c r="R666" s="16"/>
      <c r="S666" s="15"/>
      <c r="T666" s="15"/>
      <c r="U666" s="16"/>
      <c r="V666" s="15"/>
      <c r="W666" s="15"/>
      <c r="X666" s="16"/>
      <c r="Y666" s="15"/>
      <c r="Z666" s="15"/>
      <c r="AA666" s="16"/>
      <c r="AB666" s="15"/>
      <c r="AC666" s="15"/>
      <c r="AD666" s="16"/>
      <c r="AE666" s="15"/>
      <c r="AF666" s="15"/>
      <c r="AG666" s="16"/>
      <c r="AH666" s="15"/>
      <c r="AI666" s="15"/>
      <c r="AJ666" s="16"/>
      <c r="AK666" s="15"/>
    </row>
    <row r="667" spans="1:84" x14ac:dyDescent="0.3">
      <c r="A667" s="765"/>
    </row>
    <row r="668" spans="1:84" x14ac:dyDescent="0.3">
      <c r="A668" s="765"/>
    </row>
    <row r="669" spans="1:84" x14ac:dyDescent="0.3">
      <c r="A669" s="765"/>
    </row>
    <row r="670" spans="1:84" x14ac:dyDescent="0.3">
      <c r="A670" s="765"/>
    </row>
    <row r="671" spans="1:84" x14ac:dyDescent="0.3">
      <c r="A671" s="765"/>
    </row>
    <row r="672" spans="1:84" x14ac:dyDescent="0.3">
      <c r="A672" s="765"/>
    </row>
    <row r="673" spans="1:86" x14ac:dyDescent="0.3">
      <c r="A673" s="765"/>
    </row>
    <row r="674" spans="1:86" x14ac:dyDescent="0.3">
      <c r="A674" s="765"/>
    </row>
    <row r="675" spans="1:86" x14ac:dyDescent="0.3">
      <c r="A675" s="765"/>
    </row>
    <row r="676" spans="1:86" x14ac:dyDescent="0.3">
      <c r="A676" s="765"/>
    </row>
    <row r="677" spans="1:86" ht="12" customHeight="1" x14ac:dyDescent="0.3">
      <c r="A677" s="765"/>
      <c r="D677" s="15"/>
      <c r="E677" s="15"/>
      <c r="F677" s="15"/>
      <c r="G677" s="15"/>
      <c r="H677" s="15"/>
      <c r="I677" s="16"/>
      <c r="J677" s="15"/>
      <c r="K677" s="15"/>
      <c r="L677" s="16"/>
      <c r="M677" s="15"/>
      <c r="N677" s="15"/>
      <c r="O677" s="16"/>
      <c r="P677" s="15"/>
      <c r="Q677" s="15"/>
      <c r="R677" s="16"/>
      <c r="S677" s="15"/>
      <c r="T677" s="15"/>
      <c r="U677" s="16"/>
      <c r="V677" s="15"/>
      <c r="W677" s="15"/>
      <c r="X677" s="16"/>
      <c r="Y677" s="15"/>
      <c r="Z677" s="15"/>
      <c r="AA677" s="16"/>
      <c r="AB677" s="15"/>
      <c r="AC677" s="15"/>
      <c r="AD677" s="16"/>
      <c r="AE677" s="15"/>
      <c r="AF677" s="15"/>
      <c r="AG677" s="16"/>
      <c r="AH677" s="15"/>
      <c r="AI677" s="15"/>
      <c r="AJ677" s="16"/>
      <c r="AK677" s="15"/>
    </row>
    <row r="678" spans="1:86" ht="15" customHeight="1" x14ac:dyDescent="0.3">
      <c r="A678" s="765"/>
      <c r="C678" s="657"/>
      <c r="D678" s="652" t="s">
        <v>517</v>
      </c>
      <c r="E678" s="658"/>
      <c r="F678" s="659"/>
      <c r="G678" s="659"/>
      <c r="H678" s="659"/>
      <c r="I678" s="660"/>
      <c r="J678" s="659"/>
      <c r="K678" s="659"/>
      <c r="L678" s="660"/>
      <c r="M678" s="659"/>
      <c r="N678" s="659"/>
      <c r="O678" s="660"/>
      <c r="P678" s="659"/>
      <c r="Q678" s="659"/>
      <c r="R678" s="660"/>
      <c r="S678" s="659"/>
      <c r="T678" s="659"/>
      <c r="U678" s="660"/>
      <c r="V678" s="659"/>
      <c r="W678" s="659"/>
      <c r="X678" s="660"/>
      <c r="Y678" s="659"/>
      <c r="Z678" s="659"/>
      <c r="AA678" s="660"/>
      <c r="AB678" s="659"/>
      <c r="AC678" s="659"/>
      <c r="AD678" s="660"/>
      <c r="AE678" s="659"/>
      <c r="AF678" s="659"/>
      <c r="AG678" s="660"/>
      <c r="AH678" s="659"/>
      <c r="AI678" s="659"/>
      <c r="AJ678" s="660"/>
      <c r="AK678" s="659"/>
    </row>
    <row r="679" spans="1:86" s="31" customFormat="1" ht="15" customHeight="1" x14ac:dyDescent="0.3">
      <c r="A679" s="765"/>
      <c r="B679" s="29"/>
      <c r="C679" s="654"/>
      <c r="D679" s="653"/>
      <c r="E679" s="84" t="s">
        <v>801</v>
      </c>
      <c r="F679" s="41"/>
      <c r="G679" s="655"/>
      <c r="H679" s="656">
        <f t="shared" ref="H679:AK679" si="466">IF(NOT(H$13),"",SUMIF($E690:$E712,$E$98,H690:H712))</f>
        <v>0</v>
      </c>
      <c r="I679" s="656">
        <f t="shared" si="466"/>
        <v>0</v>
      </c>
      <c r="J679" s="656">
        <f t="shared" si="466"/>
        <v>0</v>
      </c>
      <c r="K679" s="656">
        <f t="shared" si="466"/>
        <v>0</v>
      </c>
      <c r="L679" s="656">
        <f t="shared" si="466"/>
        <v>0</v>
      </c>
      <c r="M679" s="656">
        <f t="shared" si="466"/>
        <v>0</v>
      </c>
      <c r="N679" s="656">
        <f t="shared" si="466"/>
        <v>0</v>
      </c>
      <c r="O679" s="656">
        <f t="shared" si="466"/>
        <v>0</v>
      </c>
      <c r="P679" s="656">
        <f t="shared" si="466"/>
        <v>0</v>
      </c>
      <c r="Q679" s="656">
        <f t="shared" si="466"/>
        <v>0</v>
      </c>
      <c r="R679" s="656">
        <f t="shared" si="466"/>
        <v>0</v>
      </c>
      <c r="S679" s="656">
        <f t="shared" si="466"/>
        <v>0</v>
      </c>
      <c r="T679" s="656">
        <f t="shared" si="466"/>
        <v>0</v>
      </c>
      <c r="U679" s="656">
        <f t="shared" si="466"/>
        <v>0</v>
      </c>
      <c r="V679" s="656">
        <f t="shared" si="466"/>
        <v>0</v>
      </c>
      <c r="W679" s="656">
        <f t="shared" si="466"/>
        <v>0</v>
      </c>
      <c r="X679" s="656">
        <f t="shared" si="466"/>
        <v>0</v>
      </c>
      <c r="Y679" s="656">
        <f t="shared" si="466"/>
        <v>0</v>
      </c>
      <c r="Z679" s="656">
        <f t="shared" si="466"/>
        <v>0</v>
      </c>
      <c r="AA679" s="656">
        <f t="shared" si="466"/>
        <v>0</v>
      </c>
      <c r="AB679" s="656">
        <f t="shared" si="466"/>
        <v>0</v>
      </c>
      <c r="AC679" s="656">
        <f t="shared" si="466"/>
        <v>0</v>
      </c>
      <c r="AD679" s="656">
        <f t="shared" si="466"/>
        <v>0</v>
      </c>
      <c r="AE679" s="656" t="str">
        <f t="shared" si="466"/>
        <v/>
      </c>
      <c r="AF679" s="656" t="str">
        <f t="shared" si="466"/>
        <v/>
      </c>
      <c r="AG679" s="656" t="str">
        <f t="shared" si="466"/>
        <v/>
      </c>
      <c r="AH679" s="656" t="str">
        <f t="shared" si="466"/>
        <v/>
      </c>
      <c r="AI679" s="656" t="str">
        <f t="shared" si="466"/>
        <v/>
      </c>
      <c r="AJ679" s="656" t="str">
        <f t="shared" si="466"/>
        <v/>
      </c>
      <c r="AK679" s="656" t="str">
        <f t="shared" si="466"/>
        <v/>
      </c>
      <c r="AL679" s="30"/>
      <c r="AM679" s="30"/>
      <c r="AN679" s="14"/>
      <c r="AO679" s="390"/>
      <c r="AP679" s="390"/>
      <c r="AQ679" s="390"/>
      <c r="AR679" s="390"/>
      <c r="AS679" s="543" t="s">
        <v>800</v>
      </c>
      <c r="AT679" s="390"/>
      <c r="AU679" s="390"/>
      <c r="AV679" s="390"/>
      <c r="AW679" s="390"/>
      <c r="AX679" s="390"/>
      <c r="AY679" s="390"/>
      <c r="AZ679" s="14"/>
      <c r="BA679" s="520"/>
      <c r="BB679" s="520"/>
      <c r="BC679" s="520"/>
      <c r="BD679" s="390"/>
      <c r="BE679" s="390"/>
      <c r="BF679" s="390"/>
      <c r="BG679" s="390"/>
      <c r="BH679" s="390"/>
      <c r="BI679" s="390"/>
      <c r="BJ679" s="390"/>
      <c r="BK679" s="390"/>
      <c r="BL679" s="390"/>
      <c r="BM679" s="390"/>
      <c r="BN679" s="390"/>
      <c r="BO679" s="390"/>
      <c r="BP679" s="390"/>
      <c r="BQ679" s="390"/>
      <c r="BR679" s="390"/>
      <c r="BS679" s="390"/>
      <c r="BT679" s="390"/>
      <c r="BU679" s="390"/>
      <c r="BV679" s="390"/>
      <c r="BW679" s="390"/>
      <c r="BX679" s="390"/>
      <c r="BY679" s="390"/>
      <c r="BZ679" s="520"/>
      <c r="CA679" s="520"/>
      <c r="CB679" s="520"/>
      <c r="CC679" s="520"/>
      <c r="CD679" s="520"/>
      <c r="CE679" s="520"/>
      <c r="CF679" s="520"/>
      <c r="CG679" s="520"/>
      <c r="CH679" s="14"/>
    </row>
    <row r="680" spans="1:86" s="281" customFormat="1" ht="12" customHeight="1" x14ac:dyDescent="0.2">
      <c r="A680" s="765"/>
      <c r="C680" s="284"/>
      <c r="D680" s="284"/>
      <c r="E680" s="79"/>
      <c r="F680" s="27"/>
      <c r="G680" s="284"/>
      <c r="H680" s="283"/>
      <c r="I680" s="283"/>
      <c r="J680" s="283"/>
      <c r="K680" s="283"/>
      <c r="L680" s="283"/>
      <c r="M680" s="283"/>
      <c r="N680" s="283"/>
      <c r="O680" s="283"/>
      <c r="P680" s="283"/>
      <c r="Q680" s="283"/>
      <c r="R680" s="283"/>
      <c r="S680" s="283"/>
      <c r="T680" s="283"/>
      <c r="U680" s="283"/>
      <c r="V680" s="283"/>
      <c r="W680" s="283"/>
      <c r="X680" s="283"/>
      <c r="Y680" s="283"/>
      <c r="Z680" s="283"/>
      <c r="AA680" s="283"/>
      <c r="AB680" s="283"/>
      <c r="AC680" s="283"/>
      <c r="AD680" s="283"/>
      <c r="AE680" s="283"/>
      <c r="AF680" s="283"/>
      <c r="AG680" s="283"/>
      <c r="AH680" s="283"/>
      <c r="AI680" s="283"/>
      <c r="AJ680" s="283"/>
      <c r="AK680" s="283"/>
      <c r="AN680" s="282"/>
      <c r="AO680" s="524"/>
      <c r="AP680" s="524"/>
      <c r="AQ680" s="524"/>
      <c r="AR680" s="524"/>
      <c r="AS680" s="524"/>
      <c r="AT680" s="524"/>
      <c r="AU680" s="524"/>
      <c r="AV680" s="524"/>
      <c r="AW680" s="524"/>
      <c r="AX680" s="524"/>
      <c r="AY680" s="524"/>
      <c r="AZ680" s="282"/>
      <c r="BA680" s="523"/>
      <c r="BB680" s="523"/>
      <c r="BC680" s="523"/>
      <c r="BD680" s="524"/>
      <c r="BE680" s="524"/>
      <c r="BF680" s="524"/>
      <c r="BG680" s="524"/>
      <c r="BH680" s="524"/>
      <c r="BI680" s="524"/>
      <c r="BJ680" s="524"/>
      <c r="BK680" s="524"/>
      <c r="BL680" s="524"/>
      <c r="BM680" s="524"/>
      <c r="BN680" s="524"/>
      <c r="BO680" s="524"/>
      <c r="BP680" s="524"/>
      <c r="BQ680" s="524"/>
      <c r="BR680" s="524"/>
      <c r="BS680" s="524"/>
      <c r="BT680" s="524"/>
      <c r="BU680" s="524"/>
      <c r="BV680" s="524"/>
      <c r="BW680" s="524"/>
      <c r="BX680" s="524"/>
      <c r="BY680" s="524"/>
      <c r="BZ680" s="523"/>
      <c r="CA680" s="523"/>
      <c r="CB680" s="523"/>
      <c r="CC680" s="523"/>
      <c r="CD680" s="523"/>
      <c r="CE680" s="523"/>
      <c r="CF680" s="523"/>
      <c r="CG680" s="523"/>
      <c r="CH680" s="282"/>
    </row>
    <row r="681" spans="1:86" ht="15" customHeight="1" x14ac:dyDescent="0.3">
      <c r="A681" s="765"/>
      <c r="C681" s="27" t="str">
        <f>" "&amp;VLOOKUP(AQ682,schedule,18,FALSE)&amp;"  ("&amp;VLOOKUP(AQ682,schedule,3,FALSE)&amp;" PÁRHARC)"</f>
        <v xml:space="preserve"> JÚLIUS 6. – KEDD 21:00  (1/2 PÁRHARC)</v>
      </c>
      <c r="D681" s="27"/>
      <c r="E681" s="26"/>
      <c r="F681" s="26"/>
      <c r="G681" s="26"/>
      <c r="H681" s="26"/>
      <c r="I681" s="26"/>
      <c r="J681" s="26"/>
    </row>
    <row r="682" spans="1:86" ht="15" customHeight="1" x14ac:dyDescent="0.3">
      <c r="A682" s="765"/>
      <c r="C682" s="661"/>
      <c r="D682" s="662" t="str">
        <f>IF(INDEX(n.er,$AR682,8)="","",INDEX(n.er,$AR682,8))</f>
        <v>1/4 győztese</v>
      </c>
      <c r="E682" s="663" t="str">
        <f>IF(NOT($AS682),"",INDEX(n.er,$AR682,9))</f>
        <v/>
      </c>
      <c r="F682" s="662"/>
      <c r="G682" s="259"/>
      <c r="H682" s="664"/>
      <c r="I682" s="665"/>
      <c r="J682" s="665"/>
      <c r="K682" s="665"/>
      <c r="L682" s="665"/>
      <c r="M682" s="665"/>
      <c r="N682" s="665"/>
      <c r="O682" s="665"/>
      <c r="P682" s="665"/>
      <c r="Q682" s="665"/>
      <c r="R682" s="665"/>
      <c r="S682" s="665"/>
      <c r="T682" s="665"/>
      <c r="U682" s="665"/>
      <c r="V682" s="665"/>
      <c r="W682" s="665"/>
      <c r="X682" s="665"/>
      <c r="Y682" s="665"/>
      <c r="Z682" s="665"/>
      <c r="AA682" s="665"/>
      <c r="AB682" s="665"/>
      <c r="AC682" s="665"/>
      <c r="AD682" s="665"/>
      <c r="AE682" s="665"/>
      <c r="AF682" s="665"/>
      <c r="AG682" s="665"/>
      <c r="AH682" s="665"/>
      <c r="AI682" s="665"/>
      <c r="AJ682" s="665"/>
      <c r="AK682" s="666"/>
      <c r="AP682" s="52">
        <f>AP657+1</f>
        <v>49</v>
      </c>
      <c r="AQ682" s="311">
        <f>INDEX(schedule,AP682,1)</f>
        <v>49</v>
      </c>
      <c r="AR682" s="311">
        <f>MATCH(AQ682,n.er.index,0)</f>
        <v>132</v>
      </c>
      <c r="AS682" s="532" t="b">
        <f>INDEX(n.er,$AR682,3)</f>
        <v>0</v>
      </c>
      <c r="AT682" s="531"/>
      <c r="AU682" s="531"/>
      <c r="AV682" s="531"/>
      <c r="AW682" s="531"/>
      <c r="AX682" s="531"/>
      <c r="BC682" s="525" t="b">
        <f t="shared" ref="BC682:CF682" si="467">IF(AND(ISNUMBER(H682),ISNUMBER(H683),H682&lt;&gt;"",H683&lt;&gt;""),AND(H682&gt;=0,H683&gt;=0,MOD(H682+H683,1)=0),FALSE)</f>
        <v>0</v>
      </c>
      <c r="BD682" s="525" t="b">
        <f t="shared" si="467"/>
        <v>0</v>
      </c>
      <c r="BE682" s="525" t="b">
        <f t="shared" si="467"/>
        <v>0</v>
      </c>
      <c r="BF682" s="525" t="b">
        <f t="shared" si="467"/>
        <v>0</v>
      </c>
      <c r="BG682" s="525" t="b">
        <f t="shared" si="467"/>
        <v>0</v>
      </c>
      <c r="BH682" s="525" t="b">
        <f t="shared" si="467"/>
        <v>0</v>
      </c>
      <c r="BI682" s="525" t="b">
        <f t="shared" si="467"/>
        <v>0</v>
      </c>
      <c r="BJ682" s="525" t="b">
        <f t="shared" si="467"/>
        <v>0</v>
      </c>
      <c r="BK682" s="525" t="b">
        <f t="shared" si="467"/>
        <v>0</v>
      </c>
      <c r="BL682" s="525" t="b">
        <f t="shared" si="467"/>
        <v>0</v>
      </c>
      <c r="BM682" s="525" t="b">
        <f t="shared" si="467"/>
        <v>0</v>
      </c>
      <c r="BN682" s="525" t="b">
        <f t="shared" si="467"/>
        <v>0</v>
      </c>
      <c r="BO682" s="525" t="b">
        <f t="shared" si="467"/>
        <v>0</v>
      </c>
      <c r="BP682" s="525" t="b">
        <f t="shared" si="467"/>
        <v>0</v>
      </c>
      <c r="BQ682" s="525" t="b">
        <f t="shared" si="467"/>
        <v>0</v>
      </c>
      <c r="BR682" s="525" t="b">
        <f t="shared" si="467"/>
        <v>0</v>
      </c>
      <c r="BS682" s="525" t="b">
        <f t="shared" si="467"/>
        <v>0</v>
      </c>
      <c r="BT682" s="525" t="b">
        <f t="shared" si="467"/>
        <v>0</v>
      </c>
      <c r="BU682" s="525" t="b">
        <f t="shared" si="467"/>
        <v>0</v>
      </c>
      <c r="BV682" s="525" t="b">
        <f t="shared" si="467"/>
        <v>0</v>
      </c>
      <c r="BW682" s="525" t="b">
        <f t="shared" si="467"/>
        <v>0</v>
      </c>
      <c r="BX682" s="525" t="b">
        <f t="shared" si="467"/>
        <v>0</v>
      </c>
      <c r="BY682" s="525" t="b">
        <f t="shared" si="467"/>
        <v>0</v>
      </c>
      <c r="BZ682" s="525" t="b">
        <f t="shared" si="467"/>
        <v>0</v>
      </c>
      <c r="CA682" s="525" t="b">
        <f t="shared" si="467"/>
        <v>0</v>
      </c>
      <c r="CB682" s="525" t="b">
        <f t="shared" si="467"/>
        <v>0</v>
      </c>
      <c r="CC682" s="525" t="b">
        <f t="shared" si="467"/>
        <v>0</v>
      </c>
      <c r="CD682" s="525" t="b">
        <f t="shared" si="467"/>
        <v>0</v>
      </c>
      <c r="CE682" s="525" t="b">
        <f t="shared" si="467"/>
        <v>0</v>
      </c>
      <c r="CF682" s="525" t="b">
        <f t="shared" si="467"/>
        <v>0</v>
      </c>
    </row>
    <row r="683" spans="1:86" ht="15" customHeight="1" x14ac:dyDescent="0.3">
      <c r="A683" s="765"/>
      <c r="C683" s="695"/>
      <c r="D683" s="696" t="str">
        <f>IF(INDEX(n.er,$AR682,11)="","",INDEX(n.er,$AR682,11))</f>
        <v>2/4 győztese</v>
      </c>
      <c r="E683" s="697" t="str">
        <f>IF(NOT($AS682),"",INDEX(n.er,$AR682,10))</f>
        <v/>
      </c>
      <c r="F683" s="696"/>
      <c r="G683" s="259"/>
      <c r="H683" s="667"/>
      <c r="I683" s="668"/>
      <c r="J683" s="668"/>
      <c r="K683" s="668"/>
      <c r="L683" s="668"/>
      <c r="M683" s="668"/>
      <c r="N683" s="668"/>
      <c r="O683" s="668"/>
      <c r="P683" s="668"/>
      <c r="Q683" s="668"/>
      <c r="R683" s="668"/>
      <c r="S683" s="668"/>
      <c r="T683" s="668"/>
      <c r="U683" s="668"/>
      <c r="V683" s="668"/>
      <c r="W683" s="668"/>
      <c r="X683" s="668"/>
      <c r="Y683" s="668"/>
      <c r="Z683" s="668"/>
      <c r="AA683" s="668"/>
      <c r="AB683" s="668"/>
      <c r="AC683" s="668"/>
      <c r="AD683" s="668"/>
      <c r="AE683" s="668"/>
      <c r="AF683" s="668"/>
      <c r="AG683" s="668"/>
      <c r="AH683" s="668"/>
      <c r="AI683" s="668"/>
      <c r="AJ683" s="668"/>
      <c r="AK683" s="669"/>
      <c r="AP683" s="533"/>
      <c r="AQ683" s="577"/>
      <c r="AR683" s="534"/>
      <c r="AS683" s="535"/>
      <c r="AX683" s="531"/>
      <c r="BC683" s="34" t="b">
        <f t="shared" ref="BC683:CF683" si="468">OR(NOT(H$13),NOT($AS682),NOT(BC682))</f>
        <v>1</v>
      </c>
      <c r="BD683" s="34" t="b">
        <f t="shared" si="468"/>
        <v>1</v>
      </c>
      <c r="BE683" s="34" t="b">
        <f t="shared" si="468"/>
        <v>1</v>
      </c>
      <c r="BF683" s="34" t="b">
        <f t="shared" si="468"/>
        <v>1</v>
      </c>
      <c r="BG683" s="34" t="b">
        <f t="shared" si="468"/>
        <v>1</v>
      </c>
      <c r="BH683" s="34" t="b">
        <f t="shared" si="468"/>
        <v>1</v>
      </c>
      <c r="BI683" s="34" t="b">
        <f t="shared" si="468"/>
        <v>1</v>
      </c>
      <c r="BJ683" s="34" t="b">
        <f t="shared" si="468"/>
        <v>1</v>
      </c>
      <c r="BK683" s="34" t="b">
        <f t="shared" si="468"/>
        <v>1</v>
      </c>
      <c r="BL683" s="34" t="b">
        <f t="shared" si="468"/>
        <v>1</v>
      </c>
      <c r="BM683" s="34" t="b">
        <f t="shared" si="468"/>
        <v>1</v>
      </c>
      <c r="BN683" s="34" t="b">
        <f t="shared" si="468"/>
        <v>1</v>
      </c>
      <c r="BO683" s="34" t="b">
        <f t="shared" si="468"/>
        <v>1</v>
      </c>
      <c r="BP683" s="34" t="b">
        <f t="shared" si="468"/>
        <v>1</v>
      </c>
      <c r="BQ683" s="34" t="b">
        <f t="shared" si="468"/>
        <v>1</v>
      </c>
      <c r="BR683" s="34" t="b">
        <f t="shared" si="468"/>
        <v>1</v>
      </c>
      <c r="BS683" s="34" t="b">
        <f t="shared" si="468"/>
        <v>1</v>
      </c>
      <c r="BT683" s="34" t="b">
        <f t="shared" si="468"/>
        <v>1</v>
      </c>
      <c r="BU683" s="34" t="b">
        <f t="shared" si="468"/>
        <v>1</v>
      </c>
      <c r="BV683" s="34" t="b">
        <f t="shared" si="468"/>
        <v>1</v>
      </c>
      <c r="BW683" s="34" t="b">
        <f t="shared" si="468"/>
        <v>1</v>
      </c>
      <c r="BX683" s="34" t="b">
        <f t="shared" si="468"/>
        <v>1</v>
      </c>
      <c r="BY683" s="34" t="b">
        <f t="shared" si="468"/>
        <v>1</v>
      </c>
      <c r="BZ683" s="34" t="b">
        <f t="shared" si="468"/>
        <v>1</v>
      </c>
      <c r="CA683" s="34" t="b">
        <f t="shared" si="468"/>
        <v>1</v>
      </c>
      <c r="CB683" s="34" t="b">
        <f t="shared" si="468"/>
        <v>1</v>
      </c>
      <c r="CC683" s="34" t="b">
        <f t="shared" si="468"/>
        <v>1</v>
      </c>
      <c r="CD683" s="34" t="b">
        <f t="shared" si="468"/>
        <v>1</v>
      </c>
      <c r="CE683" s="34" t="b">
        <f t="shared" si="468"/>
        <v>1</v>
      </c>
      <c r="CF683" s="34" t="b">
        <f t="shared" si="468"/>
        <v>1</v>
      </c>
    </row>
    <row r="684" spans="1:86" ht="12" customHeight="1" x14ac:dyDescent="0.3">
      <c r="A684" s="765"/>
      <c r="E684" s="258" t="str">
        <f>$AX$92</f>
        <v>Telitalálat: 10 p</v>
      </c>
      <c r="H684" s="670" t="str">
        <f t="shared" ref="H684:AK684" si="469">IF(OR(BC683,NOT($AS$20)),"",IF(AND(H682=$E682,H683=$E683),"ü",""))</f>
        <v/>
      </c>
      <c r="I684" s="671" t="str">
        <f t="shared" si="469"/>
        <v/>
      </c>
      <c r="J684" s="671" t="str">
        <f t="shared" si="469"/>
        <v/>
      </c>
      <c r="K684" s="671" t="str">
        <f t="shared" si="469"/>
        <v/>
      </c>
      <c r="L684" s="671" t="str">
        <f t="shared" si="469"/>
        <v/>
      </c>
      <c r="M684" s="671" t="str">
        <f t="shared" si="469"/>
        <v/>
      </c>
      <c r="N684" s="671" t="str">
        <f t="shared" si="469"/>
        <v/>
      </c>
      <c r="O684" s="671" t="str">
        <f t="shared" si="469"/>
        <v/>
      </c>
      <c r="P684" s="671" t="str">
        <f t="shared" si="469"/>
        <v/>
      </c>
      <c r="Q684" s="671" t="str">
        <f t="shared" si="469"/>
        <v/>
      </c>
      <c r="R684" s="671" t="str">
        <f t="shared" si="469"/>
        <v/>
      </c>
      <c r="S684" s="671" t="str">
        <f t="shared" si="469"/>
        <v/>
      </c>
      <c r="T684" s="671" t="str">
        <f t="shared" si="469"/>
        <v/>
      </c>
      <c r="U684" s="671" t="str">
        <f t="shared" si="469"/>
        <v/>
      </c>
      <c r="V684" s="671" t="str">
        <f t="shared" si="469"/>
        <v/>
      </c>
      <c r="W684" s="671" t="str">
        <f t="shared" si="469"/>
        <v/>
      </c>
      <c r="X684" s="671" t="str">
        <f t="shared" si="469"/>
        <v/>
      </c>
      <c r="Y684" s="671" t="str">
        <f t="shared" si="469"/>
        <v/>
      </c>
      <c r="Z684" s="671" t="str">
        <f t="shared" si="469"/>
        <v/>
      </c>
      <c r="AA684" s="671" t="str">
        <f t="shared" si="469"/>
        <v/>
      </c>
      <c r="AB684" s="671" t="str">
        <f t="shared" si="469"/>
        <v/>
      </c>
      <c r="AC684" s="671" t="str">
        <f t="shared" si="469"/>
        <v/>
      </c>
      <c r="AD684" s="671" t="str">
        <f t="shared" si="469"/>
        <v/>
      </c>
      <c r="AE684" s="671" t="str">
        <f t="shared" si="469"/>
        <v/>
      </c>
      <c r="AF684" s="671" t="str">
        <f t="shared" si="469"/>
        <v/>
      </c>
      <c r="AG684" s="671" t="str">
        <f t="shared" si="469"/>
        <v/>
      </c>
      <c r="AH684" s="671" t="str">
        <f t="shared" si="469"/>
        <v/>
      </c>
      <c r="AI684" s="671" t="str">
        <f t="shared" si="469"/>
        <v/>
      </c>
      <c r="AJ684" s="671" t="str">
        <f t="shared" si="469"/>
        <v/>
      </c>
      <c r="AK684" s="672" t="str">
        <f t="shared" si="469"/>
        <v/>
      </c>
      <c r="AL684" s="15"/>
      <c r="AM684" s="15"/>
      <c r="AP684" s="536"/>
      <c r="AR684" s="537"/>
      <c r="AS684" s="529"/>
      <c r="AW684" s="390" t="str">
        <f>""</f>
        <v/>
      </c>
      <c r="AX684" s="531"/>
      <c r="AY684" s="390" t="str">
        <f>""</f>
        <v/>
      </c>
      <c r="BD684" s="520"/>
      <c r="BE684" s="520"/>
      <c r="BF684" s="520"/>
      <c r="BG684" s="520"/>
      <c r="BH684" s="520"/>
      <c r="BI684" s="520"/>
      <c r="BJ684" s="520"/>
      <c r="BK684" s="520"/>
      <c r="BL684" s="520"/>
      <c r="BM684" s="520"/>
      <c r="BN684" s="520"/>
      <c r="BO684" s="520"/>
      <c r="BP684" s="520"/>
      <c r="BQ684" s="520"/>
      <c r="BR684" s="520"/>
      <c r="BS684" s="520"/>
      <c r="BT684" s="520"/>
      <c r="BU684" s="520"/>
      <c r="BV684" s="520"/>
      <c r="BW684" s="520"/>
      <c r="BX684" s="520"/>
      <c r="BY684" s="520"/>
    </row>
    <row r="685" spans="1:86" ht="12" customHeight="1" x14ac:dyDescent="0.3">
      <c r="A685" s="765"/>
      <c r="E685" s="258" t="str">
        <f>$AX$93</f>
        <v>Gólkülönbség: 6 p</v>
      </c>
      <c r="H685" s="673" t="str">
        <f t="shared" ref="H685:AK685" si="470">IF(OR(BC683,NOT($AS$22)),"",IF(AND(NOT($AS$32),H684="ü"),"",IF(H682-H683=$E682-$E683,"ü"," ")))</f>
        <v/>
      </c>
      <c r="I685" s="674" t="str">
        <f t="shared" si="470"/>
        <v/>
      </c>
      <c r="J685" s="674" t="str">
        <f t="shared" si="470"/>
        <v/>
      </c>
      <c r="K685" s="674" t="str">
        <f t="shared" si="470"/>
        <v/>
      </c>
      <c r="L685" s="674" t="str">
        <f t="shared" si="470"/>
        <v/>
      </c>
      <c r="M685" s="674" t="str">
        <f t="shared" si="470"/>
        <v/>
      </c>
      <c r="N685" s="674" t="str">
        <f t="shared" si="470"/>
        <v/>
      </c>
      <c r="O685" s="674" t="str">
        <f t="shared" si="470"/>
        <v/>
      </c>
      <c r="P685" s="674" t="str">
        <f t="shared" si="470"/>
        <v/>
      </c>
      <c r="Q685" s="674" t="str">
        <f t="shared" si="470"/>
        <v/>
      </c>
      <c r="R685" s="674" t="str">
        <f t="shared" si="470"/>
        <v/>
      </c>
      <c r="S685" s="674" t="str">
        <f t="shared" si="470"/>
        <v/>
      </c>
      <c r="T685" s="674" t="str">
        <f t="shared" si="470"/>
        <v/>
      </c>
      <c r="U685" s="674" t="str">
        <f t="shared" si="470"/>
        <v/>
      </c>
      <c r="V685" s="674" t="str">
        <f t="shared" si="470"/>
        <v/>
      </c>
      <c r="W685" s="674" t="str">
        <f t="shared" si="470"/>
        <v/>
      </c>
      <c r="X685" s="674" t="str">
        <f t="shared" si="470"/>
        <v/>
      </c>
      <c r="Y685" s="674" t="str">
        <f t="shared" si="470"/>
        <v/>
      </c>
      <c r="Z685" s="674" t="str">
        <f t="shared" si="470"/>
        <v/>
      </c>
      <c r="AA685" s="674" t="str">
        <f t="shared" si="470"/>
        <v/>
      </c>
      <c r="AB685" s="674" t="str">
        <f t="shared" si="470"/>
        <v/>
      </c>
      <c r="AC685" s="674" t="str">
        <f t="shared" si="470"/>
        <v/>
      </c>
      <c r="AD685" s="674" t="str">
        <f t="shared" si="470"/>
        <v/>
      </c>
      <c r="AE685" s="674" t="str">
        <f t="shared" si="470"/>
        <v/>
      </c>
      <c r="AF685" s="674" t="str">
        <f t="shared" si="470"/>
        <v/>
      </c>
      <c r="AG685" s="674" t="str">
        <f t="shared" si="470"/>
        <v/>
      </c>
      <c r="AH685" s="674" t="str">
        <f t="shared" si="470"/>
        <v/>
      </c>
      <c r="AI685" s="674" t="str">
        <f t="shared" si="470"/>
        <v/>
      </c>
      <c r="AJ685" s="674" t="str">
        <f t="shared" si="470"/>
        <v/>
      </c>
      <c r="AK685" s="675" t="str">
        <f t="shared" si="470"/>
        <v/>
      </c>
      <c r="AL685" s="15"/>
      <c r="AM685" s="15"/>
      <c r="AP685" s="536"/>
      <c r="AR685" s="537"/>
      <c r="AS685" s="529"/>
      <c r="AW685" s="390" t="str">
        <f>""</f>
        <v/>
      </c>
      <c r="AX685" s="531"/>
      <c r="AY685" s="390" t="str">
        <f>""</f>
        <v/>
      </c>
      <c r="BD685" s="520"/>
      <c r="BE685" s="520"/>
      <c r="BF685" s="520"/>
      <c r="BG685" s="520"/>
      <c r="BH685" s="520"/>
      <c r="BI685" s="520"/>
      <c r="BJ685" s="520"/>
      <c r="BK685" s="520"/>
      <c r="BL685" s="520"/>
      <c r="BM685" s="520"/>
      <c r="BN685" s="520"/>
      <c r="BO685" s="520"/>
      <c r="BP685" s="520"/>
      <c r="BQ685" s="520"/>
      <c r="BR685" s="520"/>
      <c r="BS685" s="520"/>
      <c r="BT685" s="520"/>
      <c r="BU685" s="520"/>
      <c r="BV685" s="520"/>
      <c r="BW685" s="520"/>
      <c r="BX685" s="520"/>
      <c r="BY685" s="520"/>
    </row>
    <row r="686" spans="1:86" ht="12" customHeight="1" x14ac:dyDescent="0.3">
      <c r="A686" s="765"/>
      <c r="E686" s="258" t="str">
        <f>$AX$94</f>
        <v>Mérkőzés kimenetele: 4 p</v>
      </c>
      <c r="H686" s="673" t="str">
        <f t="shared" ref="H686:AK686" si="471">IF(OR(BC683,NOT($AS$24)),"",IF(AND(NOT($AS$32),COUNTIF(H684:H685,"ü")&gt;0),"",IF(SIGN(H682-H683)=SIGN($E682-$E683),"ü"," ")))</f>
        <v/>
      </c>
      <c r="I686" s="674" t="str">
        <f t="shared" si="471"/>
        <v/>
      </c>
      <c r="J686" s="674" t="str">
        <f t="shared" si="471"/>
        <v/>
      </c>
      <c r="K686" s="674" t="str">
        <f t="shared" si="471"/>
        <v/>
      </c>
      <c r="L686" s="674" t="str">
        <f t="shared" si="471"/>
        <v/>
      </c>
      <c r="M686" s="674" t="str">
        <f t="shared" si="471"/>
        <v/>
      </c>
      <c r="N686" s="674" t="str">
        <f t="shared" si="471"/>
        <v/>
      </c>
      <c r="O686" s="674" t="str">
        <f t="shared" si="471"/>
        <v/>
      </c>
      <c r="P686" s="674" t="str">
        <f t="shared" si="471"/>
        <v/>
      </c>
      <c r="Q686" s="674" t="str">
        <f t="shared" si="471"/>
        <v/>
      </c>
      <c r="R686" s="674" t="str">
        <f t="shared" si="471"/>
        <v/>
      </c>
      <c r="S686" s="674" t="str">
        <f t="shared" si="471"/>
        <v/>
      </c>
      <c r="T686" s="674" t="str">
        <f t="shared" si="471"/>
        <v/>
      </c>
      <c r="U686" s="674" t="str">
        <f t="shared" si="471"/>
        <v/>
      </c>
      <c r="V686" s="674" t="str">
        <f t="shared" si="471"/>
        <v/>
      </c>
      <c r="W686" s="674" t="str">
        <f t="shared" si="471"/>
        <v/>
      </c>
      <c r="X686" s="674" t="str">
        <f t="shared" si="471"/>
        <v/>
      </c>
      <c r="Y686" s="674" t="str">
        <f t="shared" si="471"/>
        <v/>
      </c>
      <c r="Z686" s="674" t="str">
        <f t="shared" si="471"/>
        <v/>
      </c>
      <c r="AA686" s="674" t="str">
        <f t="shared" si="471"/>
        <v/>
      </c>
      <c r="AB686" s="674" t="str">
        <f t="shared" si="471"/>
        <v/>
      </c>
      <c r="AC686" s="674" t="str">
        <f t="shared" si="471"/>
        <v/>
      </c>
      <c r="AD686" s="674" t="str">
        <f t="shared" si="471"/>
        <v/>
      </c>
      <c r="AE686" s="674" t="str">
        <f t="shared" si="471"/>
        <v/>
      </c>
      <c r="AF686" s="674" t="str">
        <f t="shared" si="471"/>
        <v/>
      </c>
      <c r="AG686" s="674" t="str">
        <f t="shared" si="471"/>
        <v/>
      </c>
      <c r="AH686" s="674" t="str">
        <f t="shared" si="471"/>
        <v/>
      </c>
      <c r="AI686" s="674" t="str">
        <f t="shared" si="471"/>
        <v/>
      </c>
      <c r="AJ686" s="674" t="str">
        <f t="shared" si="471"/>
        <v/>
      </c>
      <c r="AK686" s="675" t="str">
        <f t="shared" si="471"/>
        <v/>
      </c>
      <c r="AL686" s="15"/>
      <c r="AM686" s="15"/>
      <c r="AP686" s="536"/>
      <c r="AR686" s="537"/>
      <c r="AS686" s="529"/>
      <c r="AW686" s="390" t="str">
        <f>""</f>
        <v/>
      </c>
      <c r="AX686" s="531"/>
      <c r="AY686" s="390" t="str">
        <f>""</f>
        <v/>
      </c>
      <c r="BD686" s="520"/>
      <c r="BE686" s="520"/>
      <c r="BF686" s="520"/>
      <c r="BG686" s="520"/>
      <c r="BH686" s="520"/>
      <c r="BI686" s="520"/>
      <c r="BJ686" s="520"/>
      <c r="BK686" s="520"/>
      <c r="BL686" s="520"/>
      <c r="BM686" s="520"/>
      <c r="BN686" s="520"/>
      <c r="BO686" s="520"/>
      <c r="BP686" s="520"/>
      <c r="BQ686" s="520"/>
      <c r="BR686" s="520"/>
      <c r="BS686" s="520"/>
      <c r="BT686" s="520"/>
      <c r="BU686" s="520"/>
      <c r="BV686" s="520"/>
      <c r="BW686" s="520"/>
      <c r="BX686" s="520"/>
      <c r="BY686" s="520"/>
    </row>
    <row r="687" spans="1:86" ht="12" customHeight="1" x14ac:dyDescent="0.3">
      <c r="A687" s="765"/>
      <c r="E687" s="258" t="str">
        <f>$AX$95</f>
        <v>Egyik csapat góljainak száma: 3 p</v>
      </c>
      <c r="H687" s="673" t="str">
        <f t="shared" ref="H687:AK687" si="472">IF(OR(BC683,NOT($AS$26)),"",IF(AND(NOT($AS$32),COUNTIF(H684:H686,"ü")&gt;0),"",IF(OR(H682=$E682,H683=$E683),"ü"," ")))</f>
        <v/>
      </c>
      <c r="I687" s="674" t="str">
        <f t="shared" si="472"/>
        <v/>
      </c>
      <c r="J687" s="674" t="str">
        <f t="shared" si="472"/>
        <v/>
      </c>
      <c r="K687" s="674" t="str">
        <f t="shared" si="472"/>
        <v/>
      </c>
      <c r="L687" s="674" t="str">
        <f t="shared" si="472"/>
        <v/>
      </c>
      <c r="M687" s="674" t="str">
        <f t="shared" si="472"/>
        <v/>
      </c>
      <c r="N687" s="674" t="str">
        <f t="shared" si="472"/>
        <v/>
      </c>
      <c r="O687" s="674" t="str">
        <f t="shared" si="472"/>
        <v/>
      </c>
      <c r="P687" s="674" t="str">
        <f t="shared" si="472"/>
        <v/>
      </c>
      <c r="Q687" s="674" t="str">
        <f t="shared" si="472"/>
        <v/>
      </c>
      <c r="R687" s="674" t="str">
        <f t="shared" si="472"/>
        <v/>
      </c>
      <c r="S687" s="674" t="str">
        <f t="shared" si="472"/>
        <v/>
      </c>
      <c r="T687" s="674" t="str">
        <f t="shared" si="472"/>
        <v/>
      </c>
      <c r="U687" s="674" t="str">
        <f t="shared" si="472"/>
        <v/>
      </c>
      <c r="V687" s="674" t="str">
        <f t="shared" si="472"/>
        <v/>
      </c>
      <c r="W687" s="674" t="str">
        <f t="shared" si="472"/>
        <v/>
      </c>
      <c r="X687" s="674" t="str">
        <f t="shared" si="472"/>
        <v/>
      </c>
      <c r="Y687" s="674" t="str">
        <f t="shared" si="472"/>
        <v/>
      </c>
      <c r="Z687" s="674" t="str">
        <f t="shared" si="472"/>
        <v/>
      </c>
      <c r="AA687" s="674" t="str">
        <f t="shared" si="472"/>
        <v/>
      </c>
      <c r="AB687" s="674" t="str">
        <f t="shared" si="472"/>
        <v/>
      </c>
      <c r="AC687" s="674" t="str">
        <f t="shared" si="472"/>
        <v/>
      </c>
      <c r="AD687" s="674" t="str">
        <f t="shared" si="472"/>
        <v/>
      </c>
      <c r="AE687" s="674" t="str">
        <f t="shared" si="472"/>
        <v/>
      </c>
      <c r="AF687" s="674" t="str">
        <f t="shared" si="472"/>
        <v/>
      </c>
      <c r="AG687" s="674" t="str">
        <f t="shared" si="472"/>
        <v/>
      </c>
      <c r="AH687" s="674" t="str">
        <f t="shared" si="472"/>
        <v/>
      </c>
      <c r="AI687" s="674" t="str">
        <f t="shared" si="472"/>
        <v/>
      </c>
      <c r="AJ687" s="674" t="str">
        <f t="shared" si="472"/>
        <v/>
      </c>
      <c r="AK687" s="675" t="str">
        <f t="shared" si="472"/>
        <v/>
      </c>
      <c r="AL687" s="15"/>
      <c r="AM687" s="15"/>
      <c r="AP687" s="536"/>
      <c r="AR687" s="537"/>
      <c r="AS687" s="529"/>
      <c r="AW687" s="390" t="str">
        <f>""</f>
        <v/>
      </c>
      <c r="AX687" s="531"/>
      <c r="AY687" s="390" t="str">
        <f>""</f>
        <v/>
      </c>
      <c r="BD687" s="520"/>
      <c r="BE687" s="520"/>
      <c r="BF687" s="520"/>
      <c r="BG687" s="520"/>
      <c r="BH687" s="520"/>
      <c r="BI687" s="520"/>
      <c r="BJ687" s="520"/>
      <c r="BK687" s="520"/>
      <c r="BL687" s="520"/>
      <c r="BM687" s="520"/>
      <c r="BN687" s="520"/>
      <c r="BO687" s="520"/>
      <c r="BP687" s="520"/>
      <c r="BQ687" s="520"/>
      <c r="BR687" s="520"/>
      <c r="BS687" s="520"/>
      <c r="BT687" s="520"/>
      <c r="BU687" s="520"/>
      <c r="BV687" s="520"/>
      <c r="BW687" s="520"/>
      <c r="BX687" s="520"/>
      <c r="BY687" s="520"/>
    </row>
    <row r="688" spans="1:86" ht="12" customHeight="1" x14ac:dyDescent="0.3">
      <c r="A688" s="765"/>
      <c r="E688" s="258" t="str">
        <f>$AX$96</f>
        <v>Összes gól: 2 p</v>
      </c>
      <c r="H688" s="673" t="str">
        <f t="shared" ref="H688:AK688" si="473">IF(OR(BC683,NOT($AS$28)),"",IF(AND(NOT($AS$32),COUNTIF(H684:H687,"ü")&gt;0),"",IF(H682+H683=$E682+$E683,"ü"," ")))</f>
        <v/>
      </c>
      <c r="I688" s="674" t="str">
        <f t="shared" si="473"/>
        <v/>
      </c>
      <c r="J688" s="674" t="str">
        <f t="shared" si="473"/>
        <v/>
      </c>
      <c r="K688" s="674" t="str">
        <f t="shared" si="473"/>
        <v/>
      </c>
      <c r="L688" s="674" t="str">
        <f t="shared" si="473"/>
        <v/>
      </c>
      <c r="M688" s="674" t="str">
        <f t="shared" si="473"/>
        <v/>
      </c>
      <c r="N688" s="674" t="str">
        <f t="shared" si="473"/>
        <v/>
      </c>
      <c r="O688" s="674" t="str">
        <f t="shared" si="473"/>
        <v/>
      </c>
      <c r="P688" s="674" t="str">
        <f t="shared" si="473"/>
        <v/>
      </c>
      <c r="Q688" s="674" t="str">
        <f t="shared" si="473"/>
        <v/>
      </c>
      <c r="R688" s="674" t="str">
        <f t="shared" si="473"/>
        <v/>
      </c>
      <c r="S688" s="674" t="str">
        <f t="shared" si="473"/>
        <v/>
      </c>
      <c r="T688" s="674" t="str">
        <f t="shared" si="473"/>
        <v/>
      </c>
      <c r="U688" s="674" t="str">
        <f t="shared" si="473"/>
        <v/>
      </c>
      <c r="V688" s="674" t="str">
        <f t="shared" si="473"/>
        <v/>
      </c>
      <c r="W688" s="674" t="str">
        <f t="shared" si="473"/>
        <v/>
      </c>
      <c r="X688" s="674" t="str">
        <f t="shared" si="473"/>
        <v/>
      </c>
      <c r="Y688" s="674" t="str">
        <f t="shared" si="473"/>
        <v/>
      </c>
      <c r="Z688" s="674" t="str">
        <f t="shared" si="473"/>
        <v/>
      </c>
      <c r="AA688" s="674" t="str">
        <f t="shared" si="473"/>
        <v/>
      </c>
      <c r="AB688" s="674" t="str">
        <f t="shared" si="473"/>
        <v/>
      </c>
      <c r="AC688" s="674" t="str">
        <f t="shared" si="473"/>
        <v/>
      </c>
      <c r="AD688" s="674" t="str">
        <f t="shared" si="473"/>
        <v/>
      </c>
      <c r="AE688" s="674" t="str">
        <f t="shared" si="473"/>
        <v/>
      </c>
      <c r="AF688" s="674" t="str">
        <f t="shared" si="473"/>
        <v/>
      </c>
      <c r="AG688" s="674" t="str">
        <f t="shared" si="473"/>
        <v/>
      </c>
      <c r="AH688" s="674" t="str">
        <f t="shared" si="473"/>
        <v/>
      </c>
      <c r="AI688" s="674" t="str">
        <f t="shared" si="473"/>
        <v/>
      </c>
      <c r="AJ688" s="674" t="str">
        <f t="shared" si="473"/>
        <v/>
      </c>
      <c r="AK688" s="675" t="str">
        <f t="shared" si="473"/>
        <v/>
      </c>
      <c r="AL688" s="15"/>
      <c r="AM688" s="15"/>
      <c r="AP688" s="536"/>
      <c r="AR688" s="537"/>
      <c r="AS688" s="529"/>
      <c r="AW688" s="390" t="str">
        <f>""</f>
        <v/>
      </c>
      <c r="AX688" s="531"/>
      <c r="AY688" s="390" t="str">
        <f>""</f>
        <v/>
      </c>
      <c r="BD688" s="520"/>
      <c r="BE688" s="520"/>
      <c r="BF688" s="520"/>
      <c r="BG688" s="520"/>
      <c r="BH688" s="520"/>
      <c r="BI688" s="520"/>
      <c r="BJ688" s="520"/>
      <c r="BK688" s="520"/>
      <c r="BL688" s="520"/>
      <c r="BM688" s="520"/>
      <c r="BN688" s="520"/>
      <c r="BO688" s="520"/>
      <c r="BP688" s="520"/>
      <c r="BQ688" s="520"/>
      <c r="BR688" s="520"/>
      <c r="BS688" s="520"/>
      <c r="BT688" s="520"/>
      <c r="BU688" s="520"/>
      <c r="BV688" s="520"/>
      <c r="BW688" s="520"/>
      <c r="BX688" s="520"/>
      <c r="BY688" s="520"/>
    </row>
    <row r="689" spans="1:84" ht="12" customHeight="1" x14ac:dyDescent="0.3">
      <c r="A689" s="765"/>
      <c r="E689" s="258" t="str">
        <f>$AX$97</f>
        <v>Fordított gólkülönbség: 1 p</v>
      </c>
      <c r="H689" s="676" t="str">
        <f t="shared" ref="H689:AK689" si="474">IF(OR(BC683,NOT($AS$30)),"",IF(AND(NOT($AS$32),COUNTIF(H684:H688,"ü")&gt;0),"",IF(AND(H682-H683=$E683-$E682,H682&lt;&gt;H683),"ü"," ")))</f>
        <v/>
      </c>
      <c r="I689" s="677" t="str">
        <f t="shared" si="474"/>
        <v/>
      </c>
      <c r="J689" s="677" t="str">
        <f t="shared" si="474"/>
        <v/>
      </c>
      <c r="K689" s="677" t="str">
        <f t="shared" si="474"/>
        <v/>
      </c>
      <c r="L689" s="677" t="str">
        <f t="shared" si="474"/>
        <v/>
      </c>
      <c r="M689" s="677" t="str">
        <f t="shared" si="474"/>
        <v/>
      </c>
      <c r="N689" s="677" t="str">
        <f t="shared" si="474"/>
        <v/>
      </c>
      <c r="O689" s="677" t="str">
        <f t="shared" si="474"/>
        <v/>
      </c>
      <c r="P689" s="677" t="str">
        <f t="shared" si="474"/>
        <v/>
      </c>
      <c r="Q689" s="677" t="str">
        <f t="shared" si="474"/>
        <v/>
      </c>
      <c r="R689" s="677" t="str">
        <f t="shared" si="474"/>
        <v/>
      </c>
      <c r="S689" s="677" t="str">
        <f t="shared" si="474"/>
        <v/>
      </c>
      <c r="T689" s="677" t="str">
        <f t="shared" si="474"/>
        <v/>
      </c>
      <c r="U689" s="677" t="str">
        <f t="shared" si="474"/>
        <v/>
      </c>
      <c r="V689" s="677" t="str">
        <f t="shared" si="474"/>
        <v/>
      </c>
      <c r="W689" s="677" t="str">
        <f t="shared" si="474"/>
        <v/>
      </c>
      <c r="X689" s="677" t="str">
        <f t="shared" si="474"/>
        <v/>
      </c>
      <c r="Y689" s="677" t="str">
        <f t="shared" si="474"/>
        <v/>
      </c>
      <c r="Z689" s="677" t="str">
        <f t="shared" si="474"/>
        <v/>
      </c>
      <c r="AA689" s="677" t="str">
        <f t="shared" si="474"/>
        <v/>
      </c>
      <c r="AB689" s="677" t="str">
        <f t="shared" si="474"/>
        <v/>
      </c>
      <c r="AC689" s="677" t="str">
        <f t="shared" si="474"/>
        <v/>
      </c>
      <c r="AD689" s="677" t="str">
        <f t="shared" si="474"/>
        <v/>
      </c>
      <c r="AE689" s="677" t="str">
        <f t="shared" si="474"/>
        <v/>
      </c>
      <c r="AF689" s="677" t="str">
        <f t="shared" si="474"/>
        <v/>
      </c>
      <c r="AG689" s="677" t="str">
        <f t="shared" si="474"/>
        <v/>
      </c>
      <c r="AH689" s="677" t="str">
        <f t="shared" si="474"/>
        <v/>
      </c>
      <c r="AI689" s="677" t="str">
        <f t="shared" si="474"/>
        <v/>
      </c>
      <c r="AJ689" s="677" t="str">
        <f t="shared" si="474"/>
        <v/>
      </c>
      <c r="AK689" s="678" t="str">
        <f t="shared" si="474"/>
        <v/>
      </c>
      <c r="AL689" s="15"/>
      <c r="AM689" s="15"/>
      <c r="AP689" s="536"/>
      <c r="AR689" s="537"/>
      <c r="AS689" s="529"/>
      <c r="AW689" s="390" t="str">
        <f>""</f>
        <v/>
      </c>
      <c r="AX689" s="531"/>
      <c r="AY689" s="390" t="str">
        <f>""</f>
        <v/>
      </c>
      <c r="BD689" s="520"/>
      <c r="BE689" s="520"/>
      <c r="BF689" s="520"/>
      <c r="BG689" s="520"/>
      <c r="BH689" s="520"/>
      <c r="BI689" s="520"/>
      <c r="BJ689" s="520"/>
      <c r="BK689" s="520"/>
      <c r="BL689" s="520"/>
      <c r="BM689" s="520"/>
      <c r="BN689" s="520"/>
      <c r="BO689" s="520"/>
      <c r="BP689" s="520"/>
      <c r="BQ689" s="520"/>
      <c r="BR689" s="520"/>
      <c r="BS689" s="520"/>
      <c r="BT689" s="520"/>
      <c r="BU689" s="520"/>
      <c r="BV689" s="520"/>
      <c r="BW689" s="520"/>
      <c r="BX689" s="520"/>
      <c r="BY689" s="520"/>
    </row>
    <row r="690" spans="1:84" ht="15" customHeight="1" x14ac:dyDescent="0.3">
      <c r="A690" s="765"/>
      <c r="E690" s="79" t="s">
        <v>799</v>
      </c>
      <c r="H690" s="679">
        <f t="shared" ref="H690:AK690" si="475">IF(NOT(H$13),"",SUMPRODUCT((H684:H689="ü")*($AW$92:$AW$97)))</f>
        <v>0</v>
      </c>
      <c r="I690" s="680">
        <f t="shared" si="475"/>
        <v>0</v>
      </c>
      <c r="J690" s="680">
        <f t="shared" si="475"/>
        <v>0</v>
      </c>
      <c r="K690" s="680">
        <f t="shared" si="475"/>
        <v>0</v>
      </c>
      <c r="L690" s="680">
        <f t="shared" si="475"/>
        <v>0</v>
      </c>
      <c r="M690" s="680">
        <f t="shared" si="475"/>
        <v>0</v>
      </c>
      <c r="N690" s="680">
        <f t="shared" si="475"/>
        <v>0</v>
      </c>
      <c r="O690" s="680">
        <f t="shared" si="475"/>
        <v>0</v>
      </c>
      <c r="P690" s="680">
        <f t="shared" si="475"/>
        <v>0</v>
      </c>
      <c r="Q690" s="680">
        <f t="shared" si="475"/>
        <v>0</v>
      </c>
      <c r="R690" s="680">
        <f t="shared" si="475"/>
        <v>0</v>
      </c>
      <c r="S690" s="680">
        <f t="shared" si="475"/>
        <v>0</v>
      </c>
      <c r="T690" s="680">
        <f t="shared" si="475"/>
        <v>0</v>
      </c>
      <c r="U690" s="680">
        <f t="shared" si="475"/>
        <v>0</v>
      </c>
      <c r="V690" s="680">
        <f t="shared" si="475"/>
        <v>0</v>
      </c>
      <c r="W690" s="680">
        <f t="shared" si="475"/>
        <v>0</v>
      </c>
      <c r="X690" s="680">
        <f t="shared" si="475"/>
        <v>0</v>
      </c>
      <c r="Y690" s="680">
        <f t="shared" si="475"/>
        <v>0</v>
      </c>
      <c r="Z690" s="680">
        <f t="shared" si="475"/>
        <v>0</v>
      </c>
      <c r="AA690" s="680">
        <f t="shared" si="475"/>
        <v>0</v>
      </c>
      <c r="AB690" s="680">
        <f t="shared" si="475"/>
        <v>0</v>
      </c>
      <c r="AC690" s="680">
        <f t="shared" si="475"/>
        <v>0</v>
      </c>
      <c r="AD690" s="680">
        <f t="shared" si="475"/>
        <v>0</v>
      </c>
      <c r="AE690" s="680" t="str">
        <f t="shared" si="475"/>
        <v/>
      </c>
      <c r="AF690" s="680" t="str">
        <f t="shared" si="475"/>
        <v/>
      </c>
      <c r="AG690" s="680" t="str">
        <f t="shared" si="475"/>
        <v/>
      </c>
      <c r="AH690" s="680" t="str">
        <f t="shared" si="475"/>
        <v/>
      </c>
      <c r="AI690" s="680" t="str">
        <f t="shared" si="475"/>
        <v/>
      </c>
      <c r="AJ690" s="680" t="str">
        <f t="shared" si="475"/>
        <v/>
      </c>
      <c r="AK690" s="681" t="str">
        <f t="shared" si="475"/>
        <v/>
      </c>
      <c r="AP690" s="536"/>
      <c r="AR690" s="537"/>
      <c r="AS690" s="529"/>
      <c r="AX690" s="531"/>
    </row>
    <row r="691" spans="1:84" ht="9" customHeight="1" x14ac:dyDescent="0.3">
      <c r="A691" s="765"/>
      <c r="D691" s="15"/>
      <c r="E691" s="15"/>
      <c r="F691" s="15"/>
      <c r="G691" s="15"/>
      <c r="H691" s="15"/>
      <c r="I691" s="16"/>
      <c r="J691" s="15"/>
      <c r="K691" s="15"/>
      <c r="L691" s="16"/>
      <c r="M691" s="15"/>
      <c r="N691" s="15"/>
      <c r="O691" s="16"/>
      <c r="P691" s="15"/>
      <c r="Q691" s="15"/>
      <c r="R691" s="16"/>
      <c r="S691" s="15"/>
      <c r="T691" s="15"/>
      <c r="U691" s="16"/>
      <c r="V691" s="15"/>
      <c r="W691" s="15"/>
      <c r="X691" s="16"/>
      <c r="Y691" s="15"/>
      <c r="Z691" s="15"/>
      <c r="AA691" s="16"/>
      <c r="AB691" s="15"/>
      <c r="AC691" s="15"/>
      <c r="AD691" s="16"/>
      <c r="AE691" s="15"/>
      <c r="AF691" s="15"/>
      <c r="AG691" s="16"/>
      <c r="AH691" s="15"/>
      <c r="AI691" s="15"/>
      <c r="AJ691" s="16"/>
      <c r="AK691" s="15"/>
      <c r="AP691" s="536"/>
      <c r="AR691" s="537"/>
      <c r="AS691" s="529"/>
      <c r="AX691" s="531"/>
    </row>
    <row r="692" spans="1:84" ht="15" customHeight="1" x14ac:dyDescent="0.3">
      <c r="A692" s="765"/>
      <c r="C692" s="27" t="str">
        <f>" "&amp;VLOOKUP(AQ693,schedule,18,FALSE)&amp;"  ("&amp;VLOOKUP(AQ693,schedule,3,FALSE)&amp;" PÁRHARC)"</f>
        <v xml:space="preserve"> JÚLIUS 7. – SZERDA 21:00  (2/2 PÁRHARC)</v>
      </c>
      <c r="D692" s="27"/>
      <c r="E692" s="26"/>
      <c r="F692" s="26"/>
      <c r="G692" s="26"/>
      <c r="H692" s="26"/>
      <c r="I692" s="26"/>
      <c r="J692" s="26"/>
      <c r="AP692" s="536"/>
      <c r="AR692" s="537"/>
      <c r="AS692" s="529"/>
    </row>
    <row r="693" spans="1:84" ht="15" customHeight="1" x14ac:dyDescent="0.3">
      <c r="A693" s="765"/>
      <c r="C693" s="661"/>
      <c r="D693" s="662" t="str">
        <f>IF(INDEX(n.er,$AR693,8)="","",INDEX(n.er,$AR693,8))</f>
        <v>3/4 győztese</v>
      </c>
      <c r="E693" s="663" t="str">
        <f>IF(NOT($AS693),"",INDEX(n.er,$AR693,9))</f>
        <v/>
      </c>
      <c r="F693" s="662"/>
      <c r="G693" s="259"/>
      <c r="H693" s="664"/>
      <c r="I693" s="665"/>
      <c r="J693" s="665"/>
      <c r="K693" s="665"/>
      <c r="L693" s="665"/>
      <c r="M693" s="665"/>
      <c r="N693" s="665"/>
      <c r="O693" s="665"/>
      <c r="P693" s="665"/>
      <c r="Q693" s="665"/>
      <c r="R693" s="665"/>
      <c r="S693" s="665"/>
      <c r="T693" s="665"/>
      <c r="U693" s="665"/>
      <c r="V693" s="665"/>
      <c r="W693" s="665"/>
      <c r="X693" s="665"/>
      <c r="Y693" s="665"/>
      <c r="Z693" s="665"/>
      <c r="AA693" s="665"/>
      <c r="AB693" s="665"/>
      <c r="AC693" s="665"/>
      <c r="AD693" s="665"/>
      <c r="AE693" s="665"/>
      <c r="AF693" s="665"/>
      <c r="AG693" s="665"/>
      <c r="AH693" s="665"/>
      <c r="AI693" s="665"/>
      <c r="AJ693" s="665"/>
      <c r="AK693" s="666"/>
      <c r="AP693" s="52">
        <f>AP682+1</f>
        <v>50</v>
      </c>
      <c r="AQ693" s="311">
        <f>INDEX(schedule,AP693,1)</f>
        <v>50</v>
      </c>
      <c r="AR693" s="311">
        <f>MATCH(AQ693,n.er.index,0)</f>
        <v>137</v>
      </c>
      <c r="AS693" s="532" t="b">
        <f>INDEX(n.er,$AR693,3)</f>
        <v>0</v>
      </c>
      <c r="AT693" s="531"/>
      <c r="AU693" s="531"/>
      <c r="AV693" s="531"/>
      <c r="AW693" s="531"/>
      <c r="AX693" s="531"/>
      <c r="BC693" s="525" t="b">
        <f t="shared" ref="BC693:CF693" si="476">IF(AND(ISNUMBER(H693),ISNUMBER(H694),H693&lt;&gt;"",H694&lt;&gt;""),AND(H693&gt;=0,H694&gt;=0,MOD(H693+H694,1)=0),FALSE)</f>
        <v>0</v>
      </c>
      <c r="BD693" s="525" t="b">
        <f t="shared" si="476"/>
        <v>0</v>
      </c>
      <c r="BE693" s="525" t="b">
        <f t="shared" si="476"/>
        <v>0</v>
      </c>
      <c r="BF693" s="525" t="b">
        <f t="shared" si="476"/>
        <v>0</v>
      </c>
      <c r="BG693" s="525" t="b">
        <f t="shared" si="476"/>
        <v>0</v>
      </c>
      <c r="BH693" s="525" t="b">
        <f t="shared" si="476"/>
        <v>0</v>
      </c>
      <c r="BI693" s="525" t="b">
        <f t="shared" si="476"/>
        <v>0</v>
      </c>
      <c r="BJ693" s="525" t="b">
        <f t="shared" si="476"/>
        <v>0</v>
      </c>
      <c r="BK693" s="525" t="b">
        <f t="shared" si="476"/>
        <v>0</v>
      </c>
      <c r="BL693" s="525" t="b">
        <f t="shared" si="476"/>
        <v>0</v>
      </c>
      <c r="BM693" s="525" t="b">
        <f t="shared" si="476"/>
        <v>0</v>
      </c>
      <c r="BN693" s="525" t="b">
        <f t="shared" si="476"/>
        <v>0</v>
      </c>
      <c r="BO693" s="525" t="b">
        <f t="shared" si="476"/>
        <v>0</v>
      </c>
      <c r="BP693" s="525" t="b">
        <f t="shared" si="476"/>
        <v>0</v>
      </c>
      <c r="BQ693" s="525" t="b">
        <f t="shared" si="476"/>
        <v>0</v>
      </c>
      <c r="BR693" s="525" t="b">
        <f t="shared" si="476"/>
        <v>0</v>
      </c>
      <c r="BS693" s="525" t="b">
        <f t="shared" si="476"/>
        <v>0</v>
      </c>
      <c r="BT693" s="525" t="b">
        <f t="shared" si="476"/>
        <v>0</v>
      </c>
      <c r="BU693" s="525" t="b">
        <f t="shared" si="476"/>
        <v>0</v>
      </c>
      <c r="BV693" s="525" t="b">
        <f t="shared" si="476"/>
        <v>0</v>
      </c>
      <c r="BW693" s="525" t="b">
        <f t="shared" si="476"/>
        <v>0</v>
      </c>
      <c r="BX693" s="525" t="b">
        <f t="shared" si="476"/>
        <v>0</v>
      </c>
      <c r="BY693" s="525" t="b">
        <f t="shared" si="476"/>
        <v>0</v>
      </c>
      <c r="BZ693" s="525" t="b">
        <f t="shared" si="476"/>
        <v>0</v>
      </c>
      <c r="CA693" s="525" t="b">
        <f t="shared" si="476"/>
        <v>0</v>
      </c>
      <c r="CB693" s="525" t="b">
        <f t="shared" si="476"/>
        <v>0</v>
      </c>
      <c r="CC693" s="525" t="b">
        <f t="shared" si="476"/>
        <v>0</v>
      </c>
      <c r="CD693" s="525" t="b">
        <f t="shared" si="476"/>
        <v>0</v>
      </c>
      <c r="CE693" s="525" t="b">
        <f t="shared" si="476"/>
        <v>0</v>
      </c>
      <c r="CF693" s="525" t="b">
        <f t="shared" si="476"/>
        <v>0</v>
      </c>
    </row>
    <row r="694" spans="1:84" ht="15" customHeight="1" x14ac:dyDescent="0.3">
      <c r="A694" s="765"/>
      <c r="C694" s="695"/>
      <c r="D694" s="696" t="str">
        <f>IF(INDEX(n.er,$AR693,11)="","",INDEX(n.er,$AR693,11))</f>
        <v>4/4 győztese</v>
      </c>
      <c r="E694" s="697" t="str">
        <f>IF(NOT($AS693),"",INDEX(n.er,$AR693,10))</f>
        <v/>
      </c>
      <c r="F694" s="696"/>
      <c r="G694" s="259"/>
      <c r="H694" s="667"/>
      <c r="I694" s="668"/>
      <c r="J694" s="668"/>
      <c r="K694" s="668"/>
      <c r="L694" s="668"/>
      <c r="M694" s="668"/>
      <c r="N694" s="668"/>
      <c r="O694" s="668"/>
      <c r="P694" s="668"/>
      <c r="Q694" s="668"/>
      <c r="R694" s="668"/>
      <c r="S694" s="668"/>
      <c r="T694" s="668"/>
      <c r="U694" s="668"/>
      <c r="V694" s="668"/>
      <c r="W694" s="668"/>
      <c r="X694" s="668"/>
      <c r="Y694" s="668"/>
      <c r="Z694" s="668"/>
      <c r="AA694" s="668"/>
      <c r="AB694" s="668"/>
      <c r="AC694" s="668"/>
      <c r="AD694" s="668"/>
      <c r="AE694" s="668"/>
      <c r="AF694" s="668"/>
      <c r="AG694" s="668"/>
      <c r="AH694" s="668"/>
      <c r="AI694" s="668"/>
      <c r="AJ694" s="668"/>
      <c r="AK694" s="669"/>
      <c r="AP694" s="533"/>
      <c r="AQ694" s="577"/>
      <c r="AR694" s="534"/>
      <c r="AS694" s="535"/>
      <c r="AX694" s="531"/>
      <c r="BC694" s="34" t="b">
        <f t="shared" ref="BC694:CF694" si="477">OR(NOT(H$13),NOT($AS693),NOT(BC693))</f>
        <v>1</v>
      </c>
      <c r="BD694" s="34" t="b">
        <f t="shared" si="477"/>
        <v>1</v>
      </c>
      <c r="BE694" s="34" t="b">
        <f t="shared" si="477"/>
        <v>1</v>
      </c>
      <c r="BF694" s="34" t="b">
        <f t="shared" si="477"/>
        <v>1</v>
      </c>
      <c r="BG694" s="34" t="b">
        <f t="shared" si="477"/>
        <v>1</v>
      </c>
      <c r="BH694" s="34" t="b">
        <f t="shared" si="477"/>
        <v>1</v>
      </c>
      <c r="BI694" s="34" t="b">
        <f t="shared" si="477"/>
        <v>1</v>
      </c>
      <c r="BJ694" s="34" t="b">
        <f t="shared" si="477"/>
        <v>1</v>
      </c>
      <c r="BK694" s="34" t="b">
        <f t="shared" si="477"/>
        <v>1</v>
      </c>
      <c r="BL694" s="34" t="b">
        <f t="shared" si="477"/>
        <v>1</v>
      </c>
      <c r="BM694" s="34" t="b">
        <f t="shared" si="477"/>
        <v>1</v>
      </c>
      <c r="BN694" s="34" t="b">
        <f t="shared" si="477"/>
        <v>1</v>
      </c>
      <c r="BO694" s="34" t="b">
        <f t="shared" si="477"/>
        <v>1</v>
      </c>
      <c r="BP694" s="34" t="b">
        <f t="shared" si="477"/>
        <v>1</v>
      </c>
      <c r="BQ694" s="34" t="b">
        <f t="shared" si="477"/>
        <v>1</v>
      </c>
      <c r="BR694" s="34" t="b">
        <f t="shared" si="477"/>
        <v>1</v>
      </c>
      <c r="BS694" s="34" t="b">
        <f t="shared" si="477"/>
        <v>1</v>
      </c>
      <c r="BT694" s="34" t="b">
        <f t="shared" si="477"/>
        <v>1</v>
      </c>
      <c r="BU694" s="34" t="b">
        <f t="shared" si="477"/>
        <v>1</v>
      </c>
      <c r="BV694" s="34" t="b">
        <f t="shared" si="477"/>
        <v>1</v>
      </c>
      <c r="BW694" s="34" t="b">
        <f t="shared" si="477"/>
        <v>1</v>
      </c>
      <c r="BX694" s="34" t="b">
        <f t="shared" si="477"/>
        <v>1</v>
      </c>
      <c r="BY694" s="34" t="b">
        <f t="shared" si="477"/>
        <v>1</v>
      </c>
      <c r="BZ694" s="34" t="b">
        <f t="shared" si="477"/>
        <v>1</v>
      </c>
      <c r="CA694" s="34" t="b">
        <f t="shared" si="477"/>
        <v>1</v>
      </c>
      <c r="CB694" s="34" t="b">
        <f t="shared" si="477"/>
        <v>1</v>
      </c>
      <c r="CC694" s="34" t="b">
        <f t="shared" si="477"/>
        <v>1</v>
      </c>
      <c r="CD694" s="34" t="b">
        <f t="shared" si="477"/>
        <v>1</v>
      </c>
      <c r="CE694" s="34" t="b">
        <f t="shared" si="477"/>
        <v>1</v>
      </c>
      <c r="CF694" s="34" t="b">
        <f t="shared" si="477"/>
        <v>1</v>
      </c>
    </row>
    <row r="695" spans="1:84" ht="12" customHeight="1" x14ac:dyDescent="0.3">
      <c r="A695" s="765"/>
      <c r="E695" s="258" t="str">
        <f>$AX$92</f>
        <v>Telitalálat: 10 p</v>
      </c>
      <c r="H695" s="670" t="str">
        <f t="shared" ref="H695:AK695" si="478">IF(OR(BC694,NOT($AS$20)),"",IF(AND(H693=$E693,H694=$E694),"ü",""))</f>
        <v/>
      </c>
      <c r="I695" s="671" t="str">
        <f t="shared" si="478"/>
        <v/>
      </c>
      <c r="J695" s="671" t="str">
        <f t="shared" si="478"/>
        <v/>
      </c>
      <c r="K695" s="671" t="str">
        <f t="shared" si="478"/>
        <v/>
      </c>
      <c r="L695" s="671" t="str">
        <f t="shared" si="478"/>
        <v/>
      </c>
      <c r="M695" s="671" t="str">
        <f t="shared" si="478"/>
        <v/>
      </c>
      <c r="N695" s="671" t="str">
        <f t="shared" si="478"/>
        <v/>
      </c>
      <c r="O695" s="671" t="str">
        <f t="shared" si="478"/>
        <v/>
      </c>
      <c r="P695" s="671" t="str">
        <f t="shared" si="478"/>
        <v/>
      </c>
      <c r="Q695" s="671" t="str">
        <f t="shared" si="478"/>
        <v/>
      </c>
      <c r="R695" s="671" t="str">
        <f t="shared" si="478"/>
        <v/>
      </c>
      <c r="S695" s="671" t="str">
        <f t="shared" si="478"/>
        <v/>
      </c>
      <c r="T695" s="671" t="str">
        <f t="shared" si="478"/>
        <v/>
      </c>
      <c r="U695" s="671" t="str">
        <f t="shared" si="478"/>
        <v/>
      </c>
      <c r="V695" s="671" t="str">
        <f t="shared" si="478"/>
        <v/>
      </c>
      <c r="W695" s="671" t="str">
        <f t="shared" si="478"/>
        <v/>
      </c>
      <c r="X695" s="671" t="str">
        <f t="shared" si="478"/>
        <v/>
      </c>
      <c r="Y695" s="671" t="str">
        <f t="shared" si="478"/>
        <v/>
      </c>
      <c r="Z695" s="671" t="str">
        <f t="shared" si="478"/>
        <v/>
      </c>
      <c r="AA695" s="671" t="str">
        <f t="shared" si="478"/>
        <v/>
      </c>
      <c r="AB695" s="671" t="str">
        <f t="shared" si="478"/>
        <v/>
      </c>
      <c r="AC695" s="671" t="str">
        <f t="shared" si="478"/>
        <v/>
      </c>
      <c r="AD695" s="671" t="str">
        <f t="shared" si="478"/>
        <v/>
      </c>
      <c r="AE695" s="671" t="str">
        <f t="shared" si="478"/>
        <v/>
      </c>
      <c r="AF695" s="671" t="str">
        <f t="shared" si="478"/>
        <v/>
      </c>
      <c r="AG695" s="671" t="str">
        <f t="shared" si="478"/>
        <v/>
      </c>
      <c r="AH695" s="671" t="str">
        <f t="shared" si="478"/>
        <v/>
      </c>
      <c r="AI695" s="671" t="str">
        <f t="shared" si="478"/>
        <v/>
      </c>
      <c r="AJ695" s="671" t="str">
        <f t="shared" si="478"/>
        <v/>
      </c>
      <c r="AK695" s="672" t="str">
        <f t="shared" si="478"/>
        <v/>
      </c>
      <c r="AL695" s="15"/>
      <c r="AM695" s="15"/>
      <c r="AP695" s="536"/>
      <c r="AR695" s="537"/>
      <c r="AS695" s="529"/>
      <c r="AW695" s="390" t="str">
        <f>""</f>
        <v/>
      </c>
      <c r="AX695" s="531"/>
      <c r="AY695" s="390" t="str">
        <f>""</f>
        <v/>
      </c>
      <c r="BD695" s="520"/>
      <c r="BE695" s="520"/>
      <c r="BF695" s="520"/>
      <c r="BG695" s="520"/>
      <c r="BH695" s="520"/>
      <c r="BI695" s="520"/>
      <c r="BJ695" s="520"/>
      <c r="BK695" s="520"/>
      <c r="BL695" s="520"/>
      <c r="BM695" s="520"/>
      <c r="BN695" s="520"/>
      <c r="BO695" s="520"/>
      <c r="BP695" s="520"/>
      <c r="BQ695" s="520"/>
      <c r="BR695" s="520"/>
      <c r="BS695" s="520"/>
      <c r="BT695" s="520"/>
      <c r="BU695" s="520"/>
      <c r="BV695" s="520"/>
      <c r="BW695" s="520"/>
      <c r="BX695" s="520"/>
      <c r="BY695" s="520"/>
    </row>
    <row r="696" spans="1:84" ht="12" customHeight="1" x14ac:dyDescent="0.3">
      <c r="A696" s="765"/>
      <c r="E696" s="258" t="str">
        <f>$AX$93</f>
        <v>Gólkülönbség: 6 p</v>
      </c>
      <c r="H696" s="673" t="str">
        <f t="shared" ref="H696:AK696" si="479">IF(OR(BC694,NOT($AS$22)),"",IF(AND(NOT($AS$32),H695="ü"),"",IF(H693-H694=$E693-$E694,"ü"," ")))</f>
        <v/>
      </c>
      <c r="I696" s="674" t="str">
        <f t="shared" si="479"/>
        <v/>
      </c>
      <c r="J696" s="674" t="str">
        <f t="shared" si="479"/>
        <v/>
      </c>
      <c r="K696" s="674" t="str">
        <f t="shared" si="479"/>
        <v/>
      </c>
      <c r="L696" s="674" t="str">
        <f t="shared" si="479"/>
        <v/>
      </c>
      <c r="M696" s="674" t="str">
        <f t="shared" si="479"/>
        <v/>
      </c>
      <c r="N696" s="674" t="str">
        <f t="shared" si="479"/>
        <v/>
      </c>
      <c r="O696" s="674" t="str">
        <f t="shared" si="479"/>
        <v/>
      </c>
      <c r="P696" s="674" t="str">
        <f t="shared" si="479"/>
        <v/>
      </c>
      <c r="Q696" s="674" t="str">
        <f t="shared" si="479"/>
        <v/>
      </c>
      <c r="R696" s="674" t="str">
        <f t="shared" si="479"/>
        <v/>
      </c>
      <c r="S696" s="674" t="str">
        <f t="shared" si="479"/>
        <v/>
      </c>
      <c r="T696" s="674" t="str">
        <f t="shared" si="479"/>
        <v/>
      </c>
      <c r="U696" s="674" t="str">
        <f t="shared" si="479"/>
        <v/>
      </c>
      <c r="V696" s="674" t="str">
        <f t="shared" si="479"/>
        <v/>
      </c>
      <c r="W696" s="674" t="str">
        <f t="shared" si="479"/>
        <v/>
      </c>
      <c r="X696" s="674" t="str">
        <f t="shared" si="479"/>
        <v/>
      </c>
      <c r="Y696" s="674" t="str">
        <f t="shared" si="479"/>
        <v/>
      </c>
      <c r="Z696" s="674" t="str">
        <f t="shared" si="479"/>
        <v/>
      </c>
      <c r="AA696" s="674" t="str">
        <f t="shared" si="479"/>
        <v/>
      </c>
      <c r="AB696" s="674" t="str">
        <f t="shared" si="479"/>
        <v/>
      </c>
      <c r="AC696" s="674" t="str">
        <f t="shared" si="479"/>
        <v/>
      </c>
      <c r="AD696" s="674" t="str">
        <f t="shared" si="479"/>
        <v/>
      </c>
      <c r="AE696" s="674" t="str">
        <f t="shared" si="479"/>
        <v/>
      </c>
      <c r="AF696" s="674" t="str">
        <f t="shared" si="479"/>
        <v/>
      </c>
      <c r="AG696" s="674" t="str">
        <f t="shared" si="479"/>
        <v/>
      </c>
      <c r="AH696" s="674" t="str">
        <f t="shared" si="479"/>
        <v/>
      </c>
      <c r="AI696" s="674" t="str">
        <f t="shared" si="479"/>
        <v/>
      </c>
      <c r="AJ696" s="674" t="str">
        <f t="shared" si="479"/>
        <v/>
      </c>
      <c r="AK696" s="675" t="str">
        <f t="shared" si="479"/>
        <v/>
      </c>
      <c r="AL696" s="15"/>
      <c r="AM696" s="15"/>
      <c r="AP696" s="536"/>
      <c r="AR696" s="537"/>
      <c r="AS696" s="529"/>
      <c r="AW696" s="390" t="str">
        <f>""</f>
        <v/>
      </c>
      <c r="AX696" s="531"/>
      <c r="AY696" s="390" t="str">
        <f>""</f>
        <v/>
      </c>
      <c r="BD696" s="520"/>
      <c r="BE696" s="520"/>
      <c r="BF696" s="520"/>
      <c r="BG696" s="520"/>
      <c r="BH696" s="520"/>
      <c r="BI696" s="520"/>
      <c r="BJ696" s="520"/>
      <c r="BK696" s="520"/>
      <c r="BL696" s="520"/>
      <c r="BM696" s="520"/>
      <c r="BN696" s="520"/>
      <c r="BO696" s="520"/>
      <c r="BP696" s="520"/>
      <c r="BQ696" s="520"/>
      <c r="BR696" s="520"/>
      <c r="BS696" s="520"/>
      <c r="BT696" s="520"/>
      <c r="BU696" s="520"/>
      <c r="BV696" s="520"/>
      <c r="BW696" s="520"/>
      <c r="BX696" s="520"/>
      <c r="BY696" s="520"/>
    </row>
    <row r="697" spans="1:84" ht="12" customHeight="1" x14ac:dyDescent="0.3">
      <c r="A697" s="765"/>
      <c r="E697" s="258" t="str">
        <f>$AX$94</f>
        <v>Mérkőzés kimenetele: 4 p</v>
      </c>
      <c r="H697" s="673" t="str">
        <f t="shared" ref="H697:AK697" si="480">IF(OR(BC694,NOT($AS$24)),"",IF(AND(NOT($AS$32),COUNTIF(H695:H696,"ü")&gt;0),"",IF(SIGN(H693-H694)=SIGN($E693-$E694),"ü"," ")))</f>
        <v/>
      </c>
      <c r="I697" s="674" t="str">
        <f t="shared" si="480"/>
        <v/>
      </c>
      <c r="J697" s="674" t="str">
        <f t="shared" si="480"/>
        <v/>
      </c>
      <c r="K697" s="674" t="str">
        <f t="shared" si="480"/>
        <v/>
      </c>
      <c r="L697" s="674" t="str">
        <f t="shared" si="480"/>
        <v/>
      </c>
      <c r="M697" s="674" t="str">
        <f t="shared" si="480"/>
        <v/>
      </c>
      <c r="N697" s="674" t="str">
        <f t="shared" si="480"/>
        <v/>
      </c>
      <c r="O697" s="674" t="str">
        <f t="shared" si="480"/>
        <v/>
      </c>
      <c r="P697" s="674" t="str">
        <f t="shared" si="480"/>
        <v/>
      </c>
      <c r="Q697" s="674" t="str">
        <f t="shared" si="480"/>
        <v/>
      </c>
      <c r="R697" s="674" t="str">
        <f t="shared" si="480"/>
        <v/>
      </c>
      <c r="S697" s="674" t="str">
        <f t="shared" si="480"/>
        <v/>
      </c>
      <c r="T697" s="674" t="str">
        <f t="shared" si="480"/>
        <v/>
      </c>
      <c r="U697" s="674" t="str">
        <f t="shared" si="480"/>
        <v/>
      </c>
      <c r="V697" s="674" t="str">
        <f t="shared" si="480"/>
        <v/>
      </c>
      <c r="W697" s="674" t="str">
        <f t="shared" si="480"/>
        <v/>
      </c>
      <c r="X697" s="674" t="str">
        <f t="shared" si="480"/>
        <v/>
      </c>
      <c r="Y697" s="674" t="str">
        <f t="shared" si="480"/>
        <v/>
      </c>
      <c r="Z697" s="674" t="str">
        <f t="shared" si="480"/>
        <v/>
      </c>
      <c r="AA697" s="674" t="str">
        <f t="shared" si="480"/>
        <v/>
      </c>
      <c r="AB697" s="674" t="str">
        <f t="shared" si="480"/>
        <v/>
      </c>
      <c r="AC697" s="674" t="str">
        <f t="shared" si="480"/>
        <v/>
      </c>
      <c r="AD697" s="674" t="str">
        <f t="shared" si="480"/>
        <v/>
      </c>
      <c r="AE697" s="674" t="str">
        <f t="shared" si="480"/>
        <v/>
      </c>
      <c r="AF697" s="674" t="str">
        <f t="shared" si="480"/>
        <v/>
      </c>
      <c r="AG697" s="674" t="str">
        <f t="shared" si="480"/>
        <v/>
      </c>
      <c r="AH697" s="674" t="str">
        <f t="shared" si="480"/>
        <v/>
      </c>
      <c r="AI697" s="674" t="str">
        <f t="shared" si="480"/>
        <v/>
      </c>
      <c r="AJ697" s="674" t="str">
        <f t="shared" si="480"/>
        <v/>
      </c>
      <c r="AK697" s="675" t="str">
        <f t="shared" si="480"/>
        <v/>
      </c>
      <c r="AL697" s="15"/>
      <c r="AM697" s="15"/>
      <c r="AP697" s="536"/>
      <c r="AR697" s="537"/>
      <c r="AS697" s="529"/>
      <c r="AW697" s="390" t="str">
        <f>""</f>
        <v/>
      </c>
      <c r="AX697" s="531"/>
      <c r="AY697" s="390" t="str">
        <f>""</f>
        <v/>
      </c>
      <c r="BD697" s="520"/>
      <c r="BE697" s="520"/>
      <c r="BF697" s="520"/>
      <c r="BG697" s="520"/>
      <c r="BH697" s="520"/>
      <c r="BI697" s="520"/>
      <c r="BJ697" s="520"/>
      <c r="BK697" s="520"/>
      <c r="BL697" s="520"/>
      <c r="BM697" s="520"/>
      <c r="BN697" s="520"/>
      <c r="BO697" s="520"/>
      <c r="BP697" s="520"/>
      <c r="BQ697" s="520"/>
      <c r="BR697" s="520"/>
      <c r="BS697" s="520"/>
      <c r="BT697" s="520"/>
      <c r="BU697" s="520"/>
      <c r="BV697" s="520"/>
      <c r="BW697" s="520"/>
      <c r="BX697" s="520"/>
      <c r="BY697" s="520"/>
    </row>
    <row r="698" spans="1:84" ht="12" customHeight="1" x14ac:dyDescent="0.3">
      <c r="A698" s="765"/>
      <c r="E698" s="258" t="str">
        <f>$AX$95</f>
        <v>Egyik csapat góljainak száma: 3 p</v>
      </c>
      <c r="H698" s="673" t="str">
        <f t="shared" ref="H698:AK698" si="481">IF(OR(BC694,NOT($AS$26)),"",IF(AND(NOT($AS$32),COUNTIF(H695:H697,"ü")&gt;0),"",IF(OR(H693=$E693,H694=$E694),"ü"," ")))</f>
        <v/>
      </c>
      <c r="I698" s="674" t="str">
        <f t="shared" si="481"/>
        <v/>
      </c>
      <c r="J698" s="674" t="str">
        <f t="shared" si="481"/>
        <v/>
      </c>
      <c r="K698" s="674" t="str">
        <f t="shared" si="481"/>
        <v/>
      </c>
      <c r="L698" s="674" t="str">
        <f t="shared" si="481"/>
        <v/>
      </c>
      <c r="M698" s="674" t="str">
        <f t="shared" si="481"/>
        <v/>
      </c>
      <c r="N698" s="674" t="str">
        <f t="shared" si="481"/>
        <v/>
      </c>
      <c r="O698" s="674" t="str">
        <f t="shared" si="481"/>
        <v/>
      </c>
      <c r="P698" s="674" t="str">
        <f t="shared" si="481"/>
        <v/>
      </c>
      <c r="Q698" s="674" t="str">
        <f t="shared" si="481"/>
        <v/>
      </c>
      <c r="R698" s="674" t="str">
        <f t="shared" si="481"/>
        <v/>
      </c>
      <c r="S698" s="674" t="str">
        <f t="shared" si="481"/>
        <v/>
      </c>
      <c r="T698" s="674" t="str">
        <f t="shared" si="481"/>
        <v/>
      </c>
      <c r="U698" s="674" t="str">
        <f t="shared" si="481"/>
        <v/>
      </c>
      <c r="V698" s="674" t="str">
        <f t="shared" si="481"/>
        <v/>
      </c>
      <c r="W698" s="674" t="str">
        <f t="shared" si="481"/>
        <v/>
      </c>
      <c r="X698" s="674" t="str">
        <f t="shared" si="481"/>
        <v/>
      </c>
      <c r="Y698" s="674" t="str">
        <f t="shared" si="481"/>
        <v/>
      </c>
      <c r="Z698" s="674" t="str">
        <f t="shared" si="481"/>
        <v/>
      </c>
      <c r="AA698" s="674" t="str">
        <f t="shared" si="481"/>
        <v/>
      </c>
      <c r="AB698" s="674" t="str">
        <f t="shared" si="481"/>
        <v/>
      </c>
      <c r="AC698" s="674" t="str">
        <f t="shared" si="481"/>
        <v/>
      </c>
      <c r="AD698" s="674" t="str">
        <f t="shared" si="481"/>
        <v/>
      </c>
      <c r="AE698" s="674" t="str">
        <f t="shared" si="481"/>
        <v/>
      </c>
      <c r="AF698" s="674" t="str">
        <f t="shared" si="481"/>
        <v/>
      </c>
      <c r="AG698" s="674" t="str">
        <f t="shared" si="481"/>
        <v/>
      </c>
      <c r="AH698" s="674" t="str">
        <f t="shared" si="481"/>
        <v/>
      </c>
      <c r="AI698" s="674" t="str">
        <f t="shared" si="481"/>
        <v/>
      </c>
      <c r="AJ698" s="674" t="str">
        <f t="shared" si="481"/>
        <v/>
      </c>
      <c r="AK698" s="675" t="str">
        <f t="shared" si="481"/>
        <v/>
      </c>
      <c r="AL698" s="15"/>
      <c r="AM698" s="15"/>
      <c r="AP698" s="536"/>
      <c r="AR698" s="537"/>
      <c r="AS698" s="529"/>
      <c r="AW698" s="390" t="str">
        <f>""</f>
        <v/>
      </c>
      <c r="AX698" s="531"/>
      <c r="AY698" s="390" t="str">
        <f>""</f>
        <v/>
      </c>
      <c r="BD698" s="520"/>
      <c r="BE698" s="520"/>
      <c r="BF698" s="520"/>
      <c r="BG698" s="520"/>
      <c r="BH698" s="520"/>
      <c r="BI698" s="520"/>
      <c r="BJ698" s="520"/>
      <c r="BK698" s="520"/>
      <c r="BL698" s="520"/>
      <c r="BM698" s="520"/>
      <c r="BN698" s="520"/>
      <c r="BO698" s="520"/>
      <c r="BP698" s="520"/>
      <c r="BQ698" s="520"/>
      <c r="BR698" s="520"/>
      <c r="BS698" s="520"/>
      <c r="BT698" s="520"/>
      <c r="BU698" s="520"/>
      <c r="BV698" s="520"/>
      <c r="BW698" s="520"/>
      <c r="BX698" s="520"/>
      <c r="BY698" s="520"/>
    </row>
    <row r="699" spans="1:84" ht="12" customHeight="1" x14ac:dyDescent="0.3">
      <c r="A699" s="765"/>
      <c r="E699" s="258" t="str">
        <f>$AX$96</f>
        <v>Összes gól: 2 p</v>
      </c>
      <c r="H699" s="673" t="str">
        <f t="shared" ref="H699:AK699" si="482">IF(OR(BC694,NOT($AS$28)),"",IF(AND(NOT($AS$32),COUNTIF(H695:H698,"ü")&gt;0),"",IF(H693+H694=$E693+$E694,"ü"," ")))</f>
        <v/>
      </c>
      <c r="I699" s="674" t="str">
        <f t="shared" si="482"/>
        <v/>
      </c>
      <c r="J699" s="674" t="str">
        <f t="shared" si="482"/>
        <v/>
      </c>
      <c r="K699" s="674" t="str">
        <f t="shared" si="482"/>
        <v/>
      </c>
      <c r="L699" s="674" t="str">
        <f t="shared" si="482"/>
        <v/>
      </c>
      <c r="M699" s="674" t="str">
        <f t="shared" si="482"/>
        <v/>
      </c>
      <c r="N699" s="674" t="str">
        <f t="shared" si="482"/>
        <v/>
      </c>
      <c r="O699" s="674" t="str">
        <f t="shared" si="482"/>
        <v/>
      </c>
      <c r="P699" s="674" t="str">
        <f t="shared" si="482"/>
        <v/>
      </c>
      <c r="Q699" s="674" t="str">
        <f t="shared" si="482"/>
        <v/>
      </c>
      <c r="R699" s="674" t="str">
        <f t="shared" si="482"/>
        <v/>
      </c>
      <c r="S699" s="674" t="str">
        <f t="shared" si="482"/>
        <v/>
      </c>
      <c r="T699" s="674" t="str">
        <f t="shared" si="482"/>
        <v/>
      </c>
      <c r="U699" s="674" t="str">
        <f t="shared" si="482"/>
        <v/>
      </c>
      <c r="V699" s="674" t="str">
        <f t="shared" si="482"/>
        <v/>
      </c>
      <c r="W699" s="674" t="str">
        <f t="shared" si="482"/>
        <v/>
      </c>
      <c r="X699" s="674" t="str">
        <f t="shared" si="482"/>
        <v/>
      </c>
      <c r="Y699" s="674" t="str">
        <f t="shared" si="482"/>
        <v/>
      </c>
      <c r="Z699" s="674" t="str">
        <f t="shared" si="482"/>
        <v/>
      </c>
      <c r="AA699" s="674" t="str">
        <f t="shared" si="482"/>
        <v/>
      </c>
      <c r="AB699" s="674" t="str">
        <f t="shared" si="482"/>
        <v/>
      </c>
      <c r="AC699" s="674" t="str">
        <f t="shared" si="482"/>
        <v/>
      </c>
      <c r="AD699" s="674" t="str">
        <f t="shared" si="482"/>
        <v/>
      </c>
      <c r="AE699" s="674" t="str">
        <f t="shared" si="482"/>
        <v/>
      </c>
      <c r="AF699" s="674" t="str">
        <f t="shared" si="482"/>
        <v/>
      </c>
      <c r="AG699" s="674" t="str">
        <f t="shared" si="482"/>
        <v/>
      </c>
      <c r="AH699" s="674" t="str">
        <f t="shared" si="482"/>
        <v/>
      </c>
      <c r="AI699" s="674" t="str">
        <f t="shared" si="482"/>
        <v/>
      </c>
      <c r="AJ699" s="674" t="str">
        <f t="shared" si="482"/>
        <v/>
      </c>
      <c r="AK699" s="675" t="str">
        <f t="shared" si="482"/>
        <v/>
      </c>
      <c r="AL699" s="15"/>
      <c r="AM699" s="15"/>
      <c r="AP699" s="536"/>
      <c r="AR699" s="537"/>
      <c r="AS699" s="529"/>
      <c r="AW699" s="390" t="str">
        <f>""</f>
        <v/>
      </c>
      <c r="AX699" s="531"/>
      <c r="AY699" s="390" t="str">
        <f>""</f>
        <v/>
      </c>
      <c r="BD699" s="520"/>
      <c r="BE699" s="520"/>
      <c r="BF699" s="520"/>
      <c r="BG699" s="520"/>
      <c r="BH699" s="520"/>
      <c r="BI699" s="520"/>
      <c r="BJ699" s="520"/>
      <c r="BK699" s="520"/>
      <c r="BL699" s="520"/>
      <c r="BM699" s="520"/>
      <c r="BN699" s="520"/>
      <c r="BO699" s="520"/>
      <c r="BP699" s="520"/>
      <c r="BQ699" s="520"/>
      <c r="BR699" s="520"/>
      <c r="BS699" s="520"/>
      <c r="BT699" s="520"/>
      <c r="BU699" s="520"/>
      <c r="BV699" s="520"/>
      <c r="BW699" s="520"/>
      <c r="BX699" s="520"/>
      <c r="BY699" s="520"/>
    </row>
    <row r="700" spans="1:84" ht="12" customHeight="1" x14ac:dyDescent="0.3">
      <c r="A700" s="765"/>
      <c r="E700" s="258" t="str">
        <f>$AX$97</f>
        <v>Fordított gólkülönbség: 1 p</v>
      </c>
      <c r="H700" s="676" t="str">
        <f t="shared" ref="H700:AK700" si="483">IF(OR(BC694,NOT($AS$30)),"",IF(AND(NOT($AS$32),COUNTIF(H695:H699,"ü")&gt;0),"",IF(AND(H693-H694=$E694-$E693,H693&lt;&gt;H694),"ü"," ")))</f>
        <v/>
      </c>
      <c r="I700" s="677" t="str">
        <f t="shared" si="483"/>
        <v/>
      </c>
      <c r="J700" s="677" t="str">
        <f t="shared" si="483"/>
        <v/>
      </c>
      <c r="K700" s="677" t="str">
        <f t="shared" si="483"/>
        <v/>
      </c>
      <c r="L700" s="677" t="str">
        <f t="shared" si="483"/>
        <v/>
      </c>
      <c r="M700" s="677" t="str">
        <f t="shared" si="483"/>
        <v/>
      </c>
      <c r="N700" s="677" t="str">
        <f t="shared" si="483"/>
        <v/>
      </c>
      <c r="O700" s="677" t="str">
        <f t="shared" si="483"/>
        <v/>
      </c>
      <c r="P700" s="677" t="str">
        <f t="shared" si="483"/>
        <v/>
      </c>
      <c r="Q700" s="677" t="str">
        <f t="shared" si="483"/>
        <v/>
      </c>
      <c r="R700" s="677" t="str">
        <f t="shared" si="483"/>
        <v/>
      </c>
      <c r="S700" s="677" t="str">
        <f t="shared" si="483"/>
        <v/>
      </c>
      <c r="T700" s="677" t="str">
        <f t="shared" si="483"/>
        <v/>
      </c>
      <c r="U700" s="677" t="str">
        <f t="shared" si="483"/>
        <v/>
      </c>
      <c r="V700" s="677" t="str">
        <f t="shared" si="483"/>
        <v/>
      </c>
      <c r="W700" s="677" t="str">
        <f t="shared" si="483"/>
        <v/>
      </c>
      <c r="X700" s="677" t="str">
        <f t="shared" si="483"/>
        <v/>
      </c>
      <c r="Y700" s="677" t="str">
        <f t="shared" si="483"/>
        <v/>
      </c>
      <c r="Z700" s="677" t="str">
        <f t="shared" si="483"/>
        <v/>
      </c>
      <c r="AA700" s="677" t="str">
        <f t="shared" si="483"/>
        <v/>
      </c>
      <c r="AB700" s="677" t="str">
        <f t="shared" si="483"/>
        <v/>
      </c>
      <c r="AC700" s="677" t="str">
        <f t="shared" si="483"/>
        <v/>
      </c>
      <c r="AD700" s="677" t="str">
        <f t="shared" si="483"/>
        <v/>
      </c>
      <c r="AE700" s="677" t="str">
        <f t="shared" si="483"/>
        <v/>
      </c>
      <c r="AF700" s="677" t="str">
        <f t="shared" si="483"/>
        <v/>
      </c>
      <c r="AG700" s="677" t="str">
        <f t="shared" si="483"/>
        <v/>
      </c>
      <c r="AH700" s="677" t="str">
        <f t="shared" si="483"/>
        <v/>
      </c>
      <c r="AI700" s="677" t="str">
        <f t="shared" si="483"/>
        <v/>
      </c>
      <c r="AJ700" s="677" t="str">
        <f t="shared" si="483"/>
        <v/>
      </c>
      <c r="AK700" s="678" t="str">
        <f t="shared" si="483"/>
        <v/>
      </c>
      <c r="AL700" s="15"/>
      <c r="AM700" s="15"/>
      <c r="AP700" s="536"/>
      <c r="AR700" s="537"/>
      <c r="AS700" s="529"/>
      <c r="AW700" s="390" t="str">
        <f>""</f>
        <v/>
      </c>
      <c r="AX700" s="531"/>
      <c r="AY700" s="390" t="str">
        <f>""</f>
        <v/>
      </c>
      <c r="BD700" s="520"/>
      <c r="BE700" s="520"/>
      <c r="BF700" s="520"/>
      <c r="BG700" s="520"/>
      <c r="BH700" s="520"/>
      <c r="BI700" s="520"/>
      <c r="BJ700" s="520"/>
      <c r="BK700" s="520"/>
      <c r="BL700" s="520"/>
      <c r="BM700" s="520"/>
      <c r="BN700" s="520"/>
      <c r="BO700" s="520"/>
      <c r="BP700" s="520"/>
      <c r="BQ700" s="520"/>
      <c r="BR700" s="520"/>
      <c r="BS700" s="520"/>
      <c r="BT700" s="520"/>
      <c r="BU700" s="520"/>
      <c r="BV700" s="520"/>
      <c r="BW700" s="520"/>
      <c r="BX700" s="520"/>
      <c r="BY700" s="520"/>
    </row>
    <row r="701" spans="1:84" ht="15" customHeight="1" x14ac:dyDescent="0.3">
      <c r="A701" s="765"/>
      <c r="E701" s="79" t="s">
        <v>799</v>
      </c>
      <c r="H701" s="679">
        <f t="shared" ref="H701:AK701" si="484">IF(NOT(H$13),"",SUMPRODUCT((H695:H700="ü")*($AW$92:$AW$97)))</f>
        <v>0</v>
      </c>
      <c r="I701" s="680">
        <f t="shared" si="484"/>
        <v>0</v>
      </c>
      <c r="J701" s="680">
        <f t="shared" si="484"/>
        <v>0</v>
      </c>
      <c r="K701" s="680">
        <f t="shared" si="484"/>
        <v>0</v>
      </c>
      <c r="L701" s="680">
        <f t="shared" si="484"/>
        <v>0</v>
      </c>
      <c r="M701" s="680">
        <f t="shared" si="484"/>
        <v>0</v>
      </c>
      <c r="N701" s="680">
        <f t="shared" si="484"/>
        <v>0</v>
      </c>
      <c r="O701" s="680">
        <f t="shared" si="484"/>
        <v>0</v>
      </c>
      <c r="P701" s="680">
        <f t="shared" si="484"/>
        <v>0</v>
      </c>
      <c r="Q701" s="680">
        <f t="shared" si="484"/>
        <v>0</v>
      </c>
      <c r="R701" s="680">
        <f t="shared" si="484"/>
        <v>0</v>
      </c>
      <c r="S701" s="680">
        <f t="shared" si="484"/>
        <v>0</v>
      </c>
      <c r="T701" s="680">
        <f t="shared" si="484"/>
        <v>0</v>
      </c>
      <c r="U701" s="680">
        <f t="shared" si="484"/>
        <v>0</v>
      </c>
      <c r="V701" s="680">
        <f t="shared" si="484"/>
        <v>0</v>
      </c>
      <c r="W701" s="680">
        <f t="shared" si="484"/>
        <v>0</v>
      </c>
      <c r="X701" s="680">
        <f t="shared" si="484"/>
        <v>0</v>
      </c>
      <c r="Y701" s="680">
        <f t="shared" si="484"/>
        <v>0</v>
      </c>
      <c r="Z701" s="680">
        <f t="shared" si="484"/>
        <v>0</v>
      </c>
      <c r="AA701" s="680">
        <f t="shared" si="484"/>
        <v>0</v>
      </c>
      <c r="AB701" s="680">
        <f t="shared" si="484"/>
        <v>0</v>
      </c>
      <c r="AC701" s="680">
        <f t="shared" si="484"/>
        <v>0</v>
      </c>
      <c r="AD701" s="680">
        <f t="shared" si="484"/>
        <v>0</v>
      </c>
      <c r="AE701" s="680" t="str">
        <f t="shared" si="484"/>
        <v/>
      </c>
      <c r="AF701" s="680" t="str">
        <f t="shared" si="484"/>
        <v/>
      </c>
      <c r="AG701" s="680" t="str">
        <f t="shared" si="484"/>
        <v/>
      </c>
      <c r="AH701" s="680" t="str">
        <f t="shared" si="484"/>
        <v/>
      </c>
      <c r="AI701" s="680" t="str">
        <f t="shared" si="484"/>
        <v/>
      </c>
      <c r="AJ701" s="680" t="str">
        <f t="shared" si="484"/>
        <v/>
      </c>
      <c r="AK701" s="681" t="str">
        <f t="shared" si="484"/>
        <v/>
      </c>
      <c r="AP701" s="538"/>
      <c r="AQ701" s="699"/>
      <c r="AR701" s="539"/>
      <c r="AS701" s="540"/>
    </row>
    <row r="702" spans="1:84" ht="9" customHeight="1" x14ac:dyDescent="0.3">
      <c r="A702" s="765"/>
      <c r="D702" s="15"/>
      <c r="E702" s="15"/>
      <c r="F702" s="15"/>
      <c r="G702" s="15"/>
      <c r="H702" s="15"/>
      <c r="I702" s="16"/>
      <c r="J702" s="15"/>
      <c r="K702" s="15"/>
      <c r="L702" s="16"/>
      <c r="M702" s="15"/>
      <c r="N702" s="15"/>
      <c r="O702" s="16"/>
      <c r="P702" s="15"/>
      <c r="Q702" s="15"/>
      <c r="R702" s="16"/>
      <c r="S702" s="15"/>
      <c r="T702" s="15"/>
      <c r="U702" s="16"/>
      <c r="V702" s="15"/>
      <c r="W702" s="15"/>
      <c r="X702" s="16"/>
      <c r="Y702" s="15"/>
      <c r="Z702" s="15"/>
      <c r="AA702" s="16"/>
      <c r="AB702" s="15"/>
      <c r="AC702" s="15"/>
      <c r="AD702" s="16"/>
      <c r="AE702" s="15"/>
      <c r="AF702" s="15"/>
      <c r="AG702" s="16"/>
      <c r="AH702" s="15"/>
      <c r="AI702" s="15"/>
      <c r="AJ702" s="16"/>
      <c r="AK702" s="15"/>
    </row>
    <row r="703" spans="1:84" ht="15" customHeight="1" x14ac:dyDescent="0.3">
      <c r="A703" s="765"/>
      <c r="C703" s="27" t="str">
        <f>" "&amp;VLOOKUP(AQ704,schedule,18,FALSE)&amp;"  (DÖNTŐ)"</f>
        <v xml:space="preserve"> JÚLIUS 11. – VASÁRNAP 21:00  (DÖNTŐ)</v>
      </c>
      <c r="D703" s="27"/>
      <c r="E703" s="26"/>
      <c r="F703" s="26"/>
      <c r="G703" s="26"/>
      <c r="H703" s="26"/>
      <c r="I703" s="26"/>
      <c r="J703" s="26"/>
    </row>
    <row r="704" spans="1:84" ht="15" customHeight="1" x14ac:dyDescent="0.3">
      <c r="A704" s="765"/>
      <c r="C704" s="661"/>
      <c r="D704" s="662" t="str">
        <f>IF(INDEX(n.er,$AR704,8)="","",INDEX(n.er,$AR704,8))</f>
        <v>1/2 győztese</v>
      </c>
      <c r="E704" s="663" t="str">
        <f>IF(NOT($AS704),"",INDEX(n.er,$AR704,9))</f>
        <v/>
      </c>
      <c r="F704" s="662"/>
      <c r="G704" s="259"/>
      <c r="H704" s="664"/>
      <c r="I704" s="665"/>
      <c r="J704" s="665"/>
      <c r="K704" s="665"/>
      <c r="L704" s="665"/>
      <c r="M704" s="665"/>
      <c r="N704" s="665"/>
      <c r="O704" s="665"/>
      <c r="P704" s="665"/>
      <c r="Q704" s="665"/>
      <c r="R704" s="665"/>
      <c r="S704" s="665"/>
      <c r="T704" s="665"/>
      <c r="U704" s="665"/>
      <c r="V704" s="665"/>
      <c r="W704" s="665"/>
      <c r="X704" s="665"/>
      <c r="Y704" s="665"/>
      <c r="Z704" s="665"/>
      <c r="AA704" s="665"/>
      <c r="AB704" s="665"/>
      <c r="AC704" s="665"/>
      <c r="AD704" s="665"/>
      <c r="AE704" s="665"/>
      <c r="AF704" s="665"/>
      <c r="AG704" s="665"/>
      <c r="AH704" s="665"/>
      <c r="AI704" s="665"/>
      <c r="AJ704" s="665"/>
      <c r="AK704" s="666"/>
      <c r="AP704" s="52">
        <f>AP693+1</f>
        <v>51</v>
      </c>
      <c r="AQ704" s="311">
        <f>INDEX(schedule,AP704,1)</f>
        <v>51</v>
      </c>
      <c r="AR704" s="311">
        <f>MATCH(AQ704,n.er.index,0)</f>
        <v>145</v>
      </c>
      <c r="AS704" s="532" t="b">
        <f>INDEX(n.er,$AR704,3)</f>
        <v>0</v>
      </c>
      <c r="AT704" s="531"/>
      <c r="AU704" s="531"/>
      <c r="AV704" s="531"/>
      <c r="AW704" s="531"/>
      <c r="AX704" s="531"/>
      <c r="BC704" s="525" t="b">
        <f t="shared" ref="BC704:CF704" si="485">IF(AND(ISNUMBER(H704),ISNUMBER(H705),H704&lt;&gt;"",H705&lt;&gt;""),AND(H704&gt;=0,H705&gt;=0,MOD(H704+H705,1)=0),FALSE)</f>
        <v>0</v>
      </c>
      <c r="BD704" s="525" t="b">
        <f t="shared" si="485"/>
        <v>0</v>
      </c>
      <c r="BE704" s="525" t="b">
        <f t="shared" si="485"/>
        <v>0</v>
      </c>
      <c r="BF704" s="525" t="b">
        <f t="shared" si="485"/>
        <v>0</v>
      </c>
      <c r="BG704" s="525" t="b">
        <f t="shared" si="485"/>
        <v>0</v>
      </c>
      <c r="BH704" s="525" t="b">
        <f t="shared" si="485"/>
        <v>0</v>
      </c>
      <c r="BI704" s="525" t="b">
        <f t="shared" si="485"/>
        <v>0</v>
      </c>
      <c r="BJ704" s="525" t="b">
        <f t="shared" si="485"/>
        <v>0</v>
      </c>
      <c r="BK704" s="525" t="b">
        <f t="shared" si="485"/>
        <v>0</v>
      </c>
      <c r="BL704" s="525" t="b">
        <f t="shared" si="485"/>
        <v>0</v>
      </c>
      <c r="BM704" s="525" t="b">
        <f t="shared" si="485"/>
        <v>0</v>
      </c>
      <c r="BN704" s="525" t="b">
        <f t="shared" si="485"/>
        <v>0</v>
      </c>
      <c r="BO704" s="525" t="b">
        <f t="shared" si="485"/>
        <v>0</v>
      </c>
      <c r="BP704" s="525" t="b">
        <f t="shared" si="485"/>
        <v>0</v>
      </c>
      <c r="BQ704" s="525" t="b">
        <f t="shared" si="485"/>
        <v>0</v>
      </c>
      <c r="BR704" s="525" t="b">
        <f t="shared" si="485"/>
        <v>0</v>
      </c>
      <c r="BS704" s="525" t="b">
        <f t="shared" si="485"/>
        <v>0</v>
      </c>
      <c r="BT704" s="525" t="b">
        <f t="shared" si="485"/>
        <v>0</v>
      </c>
      <c r="BU704" s="525" t="b">
        <f t="shared" si="485"/>
        <v>0</v>
      </c>
      <c r="BV704" s="525" t="b">
        <f t="shared" si="485"/>
        <v>0</v>
      </c>
      <c r="BW704" s="525" t="b">
        <f t="shared" si="485"/>
        <v>0</v>
      </c>
      <c r="BX704" s="525" t="b">
        <f t="shared" si="485"/>
        <v>0</v>
      </c>
      <c r="BY704" s="525" t="b">
        <f t="shared" si="485"/>
        <v>0</v>
      </c>
      <c r="BZ704" s="525" t="b">
        <f t="shared" si="485"/>
        <v>0</v>
      </c>
      <c r="CA704" s="525" t="b">
        <f t="shared" si="485"/>
        <v>0</v>
      </c>
      <c r="CB704" s="525" t="b">
        <f t="shared" si="485"/>
        <v>0</v>
      </c>
      <c r="CC704" s="525" t="b">
        <f t="shared" si="485"/>
        <v>0</v>
      </c>
      <c r="CD704" s="525" t="b">
        <f t="shared" si="485"/>
        <v>0</v>
      </c>
      <c r="CE704" s="525" t="b">
        <f t="shared" si="485"/>
        <v>0</v>
      </c>
      <c r="CF704" s="525" t="b">
        <f t="shared" si="485"/>
        <v>0</v>
      </c>
    </row>
    <row r="705" spans="1:84" ht="15" customHeight="1" x14ac:dyDescent="0.3">
      <c r="A705" s="765"/>
      <c r="C705" s="695"/>
      <c r="D705" s="696" t="str">
        <f>IF(INDEX(n.er,$AR704,11)="","",INDEX(n.er,$AR704,11))</f>
        <v>2/2 győztese</v>
      </c>
      <c r="E705" s="697" t="str">
        <f>IF(NOT($AS704),"",INDEX(n.er,$AR704,10))</f>
        <v/>
      </c>
      <c r="F705" s="696"/>
      <c r="G705" s="259"/>
      <c r="H705" s="667"/>
      <c r="I705" s="668"/>
      <c r="J705" s="668"/>
      <c r="K705" s="668"/>
      <c r="L705" s="668"/>
      <c r="M705" s="668"/>
      <c r="N705" s="668"/>
      <c r="O705" s="668"/>
      <c r="P705" s="668"/>
      <c r="Q705" s="668"/>
      <c r="R705" s="668"/>
      <c r="S705" s="668"/>
      <c r="T705" s="668"/>
      <c r="U705" s="668"/>
      <c r="V705" s="668"/>
      <c r="W705" s="668"/>
      <c r="X705" s="668"/>
      <c r="Y705" s="668"/>
      <c r="Z705" s="668"/>
      <c r="AA705" s="668"/>
      <c r="AB705" s="668"/>
      <c r="AC705" s="668"/>
      <c r="AD705" s="668"/>
      <c r="AE705" s="668"/>
      <c r="AF705" s="668"/>
      <c r="AG705" s="668"/>
      <c r="AH705" s="668"/>
      <c r="AI705" s="668"/>
      <c r="AJ705" s="668"/>
      <c r="AK705" s="669"/>
      <c r="AP705" s="533"/>
      <c r="AQ705" s="577"/>
      <c r="AR705" s="534"/>
      <c r="AS705" s="535"/>
      <c r="AX705" s="531"/>
      <c r="BC705" s="34" t="b">
        <f t="shared" ref="BC705:CF705" si="486">OR(NOT(H$13),NOT($AS704),NOT(BC704))</f>
        <v>1</v>
      </c>
      <c r="BD705" s="34" t="b">
        <f t="shared" si="486"/>
        <v>1</v>
      </c>
      <c r="BE705" s="34" t="b">
        <f t="shared" si="486"/>
        <v>1</v>
      </c>
      <c r="BF705" s="34" t="b">
        <f t="shared" si="486"/>
        <v>1</v>
      </c>
      <c r="BG705" s="34" t="b">
        <f t="shared" si="486"/>
        <v>1</v>
      </c>
      <c r="BH705" s="34" t="b">
        <f t="shared" si="486"/>
        <v>1</v>
      </c>
      <c r="BI705" s="34" t="b">
        <f t="shared" si="486"/>
        <v>1</v>
      </c>
      <c r="BJ705" s="34" t="b">
        <f t="shared" si="486"/>
        <v>1</v>
      </c>
      <c r="BK705" s="34" t="b">
        <f t="shared" si="486"/>
        <v>1</v>
      </c>
      <c r="BL705" s="34" t="b">
        <f t="shared" si="486"/>
        <v>1</v>
      </c>
      <c r="BM705" s="34" t="b">
        <f t="shared" si="486"/>
        <v>1</v>
      </c>
      <c r="BN705" s="34" t="b">
        <f t="shared" si="486"/>
        <v>1</v>
      </c>
      <c r="BO705" s="34" t="b">
        <f t="shared" si="486"/>
        <v>1</v>
      </c>
      <c r="BP705" s="34" t="b">
        <f t="shared" si="486"/>
        <v>1</v>
      </c>
      <c r="BQ705" s="34" t="b">
        <f t="shared" si="486"/>
        <v>1</v>
      </c>
      <c r="BR705" s="34" t="b">
        <f t="shared" si="486"/>
        <v>1</v>
      </c>
      <c r="BS705" s="34" t="b">
        <f t="shared" si="486"/>
        <v>1</v>
      </c>
      <c r="BT705" s="34" t="b">
        <f t="shared" si="486"/>
        <v>1</v>
      </c>
      <c r="BU705" s="34" t="b">
        <f t="shared" si="486"/>
        <v>1</v>
      </c>
      <c r="BV705" s="34" t="b">
        <f t="shared" si="486"/>
        <v>1</v>
      </c>
      <c r="BW705" s="34" t="b">
        <f t="shared" si="486"/>
        <v>1</v>
      </c>
      <c r="BX705" s="34" t="b">
        <f t="shared" si="486"/>
        <v>1</v>
      </c>
      <c r="BY705" s="34" t="b">
        <f t="shared" si="486"/>
        <v>1</v>
      </c>
      <c r="BZ705" s="34" t="b">
        <f t="shared" si="486"/>
        <v>1</v>
      </c>
      <c r="CA705" s="34" t="b">
        <f t="shared" si="486"/>
        <v>1</v>
      </c>
      <c r="CB705" s="34" t="b">
        <f t="shared" si="486"/>
        <v>1</v>
      </c>
      <c r="CC705" s="34" t="b">
        <f t="shared" si="486"/>
        <v>1</v>
      </c>
      <c r="CD705" s="34" t="b">
        <f t="shared" si="486"/>
        <v>1</v>
      </c>
      <c r="CE705" s="34" t="b">
        <f t="shared" si="486"/>
        <v>1</v>
      </c>
      <c r="CF705" s="34" t="b">
        <f t="shared" si="486"/>
        <v>1</v>
      </c>
    </row>
    <row r="706" spans="1:84" ht="12" customHeight="1" x14ac:dyDescent="0.3">
      <c r="A706" s="765"/>
      <c r="E706" s="258" t="str">
        <f>$AX$92</f>
        <v>Telitalálat: 10 p</v>
      </c>
      <c r="H706" s="670" t="str">
        <f t="shared" ref="H706:AK706" si="487">IF(OR(BC705,NOT($AS$20)),"",IF(AND(H704=$E704,H705=$E705),"ü",""))</f>
        <v/>
      </c>
      <c r="I706" s="671" t="str">
        <f t="shared" si="487"/>
        <v/>
      </c>
      <c r="J706" s="671" t="str">
        <f t="shared" si="487"/>
        <v/>
      </c>
      <c r="K706" s="671" t="str">
        <f t="shared" si="487"/>
        <v/>
      </c>
      <c r="L706" s="671" t="str">
        <f t="shared" si="487"/>
        <v/>
      </c>
      <c r="M706" s="671" t="str">
        <f t="shared" si="487"/>
        <v/>
      </c>
      <c r="N706" s="671" t="str">
        <f t="shared" si="487"/>
        <v/>
      </c>
      <c r="O706" s="671" t="str">
        <f t="shared" si="487"/>
        <v/>
      </c>
      <c r="P706" s="671" t="str">
        <f t="shared" si="487"/>
        <v/>
      </c>
      <c r="Q706" s="671" t="str">
        <f t="shared" si="487"/>
        <v/>
      </c>
      <c r="R706" s="671" t="str">
        <f t="shared" si="487"/>
        <v/>
      </c>
      <c r="S706" s="671" t="str">
        <f t="shared" si="487"/>
        <v/>
      </c>
      <c r="T706" s="671" t="str">
        <f t="shared" si="487"/>
        <v/>
      </c>
      <c r="U706" s="671" t="str">
        <f t="shared" si="487"/>
        <v/>
      </c>
      <c r="V706" s="671" t="str">
        <f t="shared" si="487"/>
        <v/>
      </c>
      <c r="W706" s="671" t="str">
        <f t="shared" si="487"/>
        <v/>
      </c>
      <c r="X706" s="671" t="str">
        <f t="shared" si="487"/>
        <v/>
      </c>
      <c r="Y706" s="671" t="str">
        <f t="shared" si="487"/>
        <v/>
      </c>
      <c r="Z706" s="671" t="str">
        <f t="shared" si="487"/>
        <v/>
      </c>
      <c r="AA706" s="671" t="str">
        <f t="shared" si="487"/>
        <v/>
      </c>
      <c r="AB706" s="671" t="str">
        <f t="shared" si="487"/>
        <v/>
      </c>
      <c r="AC706" s="671" t="str">
        <f t="shared" si="487"/>
        <v/>
      </c>
      <c r="AD706" s="671" t="str">
        <f t="shared" si="487"/>
        <v/>
      </c>
      <c r="AE706" s="671" t="str">
        <f t="shared" si="487"/>
        <v/>
      </c>
      <c r="AF706" s="671" t="str">
        <f t="shared" si="487"/>
        <v/>
      </c>
      <c r="AG706" s="671" t="str">
        <f t="shared" si="487"/>
        <v/>
      </c>
      <c r="AH706" s="671" t="str">
        <f t="shared" si="487"/>
        <v/>
      </c>
      <c r="AI706" s="671" t="str">
        <f t="shared" si="487"/>
        <v/>
      </c>
      <c r="AJ706" s="671" t="str">
        <f t="shared" si="487"/>
        <v/>
      </c>
      <c r="AK706" s="672" t="str">
        <f t="shared" si="487"/>
        <v/>
      </c>
      <c r="AL706" s="15"/>
      <c r="AM706" s="15"/>
      <c r="AP706" s="536"/>
      <c r="AR706" s="537"/>
      <c r="AS706" s="529"/>
      <c r="AW706" s="390" t="str">
        <f>""</f>
        <v/>
      </c>
      <c r="AX706" s="531"/>
      <c r="AY706" s="390" t="str">
        <f>""</f>
        <v/>
      </c>
      <c r="BD706" s="520"/>
      <c r="BE706" s="520"/>
      <c r="BF706" s="520"/>
      <c r="BG706" s="520"/>
      <c r="BH706" s="520"/>
      <c r="BI706" s="520"/>
      <c r="BJ706" s="520"/>
      <c r="BK706" s="520"/>
      <c r="BL706" s="520"/>
      <c r="BM706" s="520"/>
      <c r="BN706" s="520"/>
      <c r="BO706" s="520"/>
      <c r="BP706" s="520"/>
      <c r="BQ706" s="520"/>
      <c r="BR706" s="520"/>
      <c r="BS706" s="520"/>
      <c r="BT706" s="520"/>
      <c r="BU706" s="520"/>
      <c r="BV706" s="520"/>
      <c r="BW706" s="520"/>
      <c r="BX706" s="520"/>
      <c r="BY706" s="520"/>
    </row>
    <row r="707" spans="1:84" ht="12" customHeight="1" x14ac:dyDescent="0.3">
      <c r="A707" s="765"/>
      <c r="E707" s="258" t="str">
        <f>$AX$93</f>
        <v>Gólkülönbség: 6 p</v>
      </c>
      <c r="H707" s="673" t="str">
        <f t="shared" ref="H707:AK707" si="488">IF(OR(BC705,NOT($AS$22)),"",IF(AND(NOT($AS$32),H706="ü"),"",IF(H704-H705=$E704-$E705,"ü"," ")))</f>
        <v/>
      </c>
      <c r="I707" s="674" t="str">
        <f t="shared" si="488"/>
        <v/>
      </c>
      <c r="J707" s="674" t="str">
        <f t="shared" si="488"/>
        <v/>
      </c>
      <c r="K707" s="674" t="str">
        <f t="shared" si="488"/>
        <v/>
      </c>
      <c r="L707" s="674" t="str">
        <f t="shared" si="488"/>
        <v/>
      </c>
      <c r="M707" s="674" t="str">
        <f t="shared" si="488"/>
        <v/>
      </c>
      <c r="N707" s="674" t="str">
        <f t="shared" si="488"/>
        <v/>
      </c>
      <c r="O707" s="674" t="str">
        <f t="shared" si="488"/>
        <v/>
      </c>
      <c r="P707" s="674" t="str">
        <f t="shared" si="488"/>
        <v/>
      </c>
      <c r="Q707" s="674" t="str">
        <f t="shared" si="488"/>
        <v/>
      </c>
      <c r="R707" s="674" t="str">
        <f t="shared" si="488"/>
        <v/>
      </c>
      <c r="S707" s="674" t="str">
        <f t="shared" si="488"/>
        <v/>
      </c>
      <c r="T707" s="674" t="str">
        <f t="shared" si="488"/>
        <v/>
      </c>
      <c r="U707" s="674" t="str">
        <f t="shared" si="488"/>
        <v/>
      </c>
      <c r="V707" s="674" t="str">
        <f t="shared" si="488"/>
        <v/>
      </c>
      <c r="W707" s="674" t="str">
        <f t="shared" si="488"/>
        <v/>
      </c>
      <c r="X707" s="674" t="str">
        <f t="shared" si="488"/>
        <v/>
      </c>
      <c r="Y707" s="674" t="str">
        <f t="shared" si="488"/>
        <v/>
      </c>
      <c r="Z707" s="674" t="str">
        <f t="shared" si="488"/>
        <v/>
      </c>
      <c r="AA707" s="674" t="str">
        <f t="shared" si="488"/>
        <v/>
      </c>
      <c r="AB707" s="674" t="str">
        <f t="shared" si="488"/>
        <v/>
      </c>
      <c r="AC707" s="674" t="str">
        <f t="shared" si="488"/>
        <v/>
      </c>
      <c r="AD707" s="674" t="str">
        <f t="shared" si="488"/>
        <v/>
      </c>
      <c r="AE707" s="674" t="str">
        <f t="shared" si="488"/>
        <v/>
      </c>
      <c r="AF707" s="674" t="str">
        <f t="shared" si="488"/>
        <v/>
      </c>
      <c r="AG707" s="674" t="str">
        <f t="shared" si="488"/>
        <v/>
      </c>
      <c r="AH707" s="674" t="str">
        <f t="shared" si="488"/>
        <v/>
      </c>
      <c r="AI707" s="674" t="str">
        <f t="shared" si="488"/>
        <v/>
      </c>
      <c r="AJ707" s="674" t="str">
        <f t="shared" si="488"/>
        <v/>
      </c>
      <c r="AK707" s="675" t="str">
        <f t="shared" si="488"/>
        <v/>
      </c>
      <c r="AL707" s="15"/>
      <c r="AM707" s="15"/>
      <c r="AP707" s="536"/>
      <c r="AR707" s="537"/>
      <c r="AS707" s="529"/>
      <c r="AW707" s="390" t="str">
        <f>""</f>
        <v/>
      </c>
      <c r="AX707" s="531"/>
      <c r="AY707" s="390" t="str">
        <f>""</f>
        <v/>
      </c>
      <c r="BD707" s="520"/>
      <c r="BE707" s="520"/>
      <c r="BF707" s="520"/>
      <c r="BG707" s="520"/>
      <c r="BH707" s="520"/>
      <c r="BI707" s="520"/>
      <c r="BJ707" s="520"/>
      <c r="BK707" s="520"/>
      <c r="BL707" s="520"/>
      <c r="BM707" s="520"/>
      <c r="BN707" s="520"/>
      <c r="BO707" s="520"/>
      <c r="BP707" s="520"/>
      <c r="BQ707" s="520"/>
      <c r="BR707" s="520"/>
      <c r="BS707" s="520"/>
      <c r="BT707" s="520"/>
      <c r="BU707" s="520"/>
      <c r="BV707" s="520"/>
      <c r="BW707" s="520"/>
      <c r="BX707" s="520"/>
      <c r="BY707" s="520"/>
    </row>
    <row r="708" spans="1:84" ht="12" customHeight="1" x14ac:dyDescent="0.3">
      <c r="A708" s="765"/>
      <c r="E708" s="258" t="str">
        <f>$AX$94</f>
        <v>Mérkőzés kimenetele: 4 p</v>
      </c>
      <c r="H708" s="673" t="str">
        <f t="shared" ref="H708:AK708" si="489">IF(OR(BC705,NOT($AS$24)),"",IF(AND(NOT($AS$32),COUNTIF(H706:H707,"ü")&gt;0),"",IF(SIGN(H704-H705)=SIGN($E704-$E705),"ü"," ")))</f>
        <v/>
      </c>
      <c r="I708" s="674" t="str">
        <f t="shared" si="489"/>
        <v/>
      </c>
      <c r="J708" s="674" t="str">
        <f t="shared" si="489"/>
        <v/>
      </c>
      <c r="K708" s="674" t="str">
        <f t="shared" si="489"/>
        <v/>
      </c>
      <c r="L708" s="674" t="str">
        <f t="shared" si="489"/>
        <v/>
      </c>
      <c r="M708" s="674" t="str">
        <f t="shared" si="489"/>
        <v/>
      </c>
      <c r="N708" s="674" t="str">
        <f t="shared" si="489"/>
        <v/>
      </c>
      <c r="O708" s="674" t="str">
        <f t="shared" si="489"/>
        <v/>
      </c>
      <c r="P708" s="674" t="str">
        <f t="shared" si="489"/>
        <v/>
      </c>
      <c r="Q708" s="674" t="str">
        <f t="shared" si="489"/>
        <v/>
      </c>
      <c r="R708" s="674" t="str">
        <f t="shared" si="489"/>
        <v/>
      </c>
      <c r="S708" s="674" t="str">
        <f t="shared" si="489"/>
        <v/>
      </c>
      <c r="T708" s="674" t="str">
        <f t="shared" si="489"/>
        <v/>
      </c>
      <c r="U708" s="674" t="str">
        <f t="shared" si="489"/>
        <v/>
      </c>
      <c r="V708" s="674" t="str">
        <f t="shared" si="489"/>
        <v/>
      </c>
      <c r="W708" s="674" t="str">
        <f t="shared" si="489"/>
        <v/>
      </c>
      <c r="X708" s="674" t="str">
        <f t="shared" si="489"/>
        <v/>
      </c>
      <c r="Y708" s="674" t="str">
        <f t="shared" si="489"/>
        <v/>
      </c>
      <c r="Z708" s="674" t="str">
        <f t="shared" si="489"/>
        <v/>
      </c>
      <c r="AA708" s="674" t="str">
        <f t="shared" si="489"/>
        <v/>
      </c>
      <c r="AB708" s="674" t="str">
        <f t="shared" si="489"/>
        <v/>
      </c>
      <c r="AC708" s="674" t="str">
        <f t="shared" si="489"/>
        <v/>
      </c>
      <c r="AD708" s="674" t="str">
        <f t="shared" si="489"/>
        <v/>
      </c>
      <c r="AE708" s="674" t="str">
        <f t="shared" si="489"/>
        <v/>
      </c>
      <c r="AF708" s="674" t="str">
        <f t="shared" si="489"/>
        <v/>
      </c>
      <c r="AG708" s="674" t="str">
        <f t="shared" si="489"/>
        <v/>
      </c>
      <c r="AH708" s="674" t="str">
        <f t="shared" si="489"/>
        <v/>
      </c>
      <c r="AI708" s="674" t="str">
        <f t="shared" si="489"/>
        <v/>
      </c>
      <c r="AJ708" s="674" t="str">
        <f t="shared" si="489"/>
        <v/>
      </c>
      <c r="AK708" s="675" t="str">
        <f t="shared" si="489"/>
        <v/>
      </c>
      <c r="AL708" s="15"/>
      <c r="AM708" s="15"/>
      <c r="AP708" s="536"/>
      <c r="AR708" s="537"/>
      <c r="AS708" s="529"/>
      <c r="AW708" s="390" t="str">
        <f>""</f>
        <v/>
      </c>
      <c r="AX708" s="531"/>
      <c r="AY708" s="390" t="str">
        <f>""</f>
        <v/>
      </c>
      <c r="BD708" s="520"/>
      <c r="BE708" s="520"/>
      <c r="BF708" s="520"/>
      <c r="BG708" s="520"/>
      <c r="BH708" s="520"/>
      <c r="BI708" s="520"/>
      <c r="BJ708" s="520"/>
      <c r="BK708" s="520"/>
      <c r="BL708" s="520"/>
      <c r="BM708" s="520"/>
      <c r="BN708" s="520"/>
      <c r="BO708" s="520"/>
      <c r="BP708" s="520"/>
      <c r="BQ708" s="520"/>
      <c r="BR708" s="520"/>
      <c r="BS708" s="520"/>
      <c r="BT708" s="520"/>
      <c r="BU708" s="520"/>
      <c r="BV708" s="520"/>
      <c r="BW708" s="520"/>
      <c r="BX708" s="520"/>
      <c r="BY708" s="520"/>
    </row>
    <row r="709" spans="1:84" ht="12" customHeight="1" x14ac:dyDescent="0.3">
      <c r="A709" s="765"/>
      <c r="E709" s="258" t="str">
        <f>$AX$95</f>
        <v>Egyik csapat góljainak száma: 3 p</v>
      </c>
      <c r="H709" s="673" t="str">
        <f t="shared" ref="H709:AK709" si="490">IF(OR(BC705,NOT($AS$26)),"",IF(AND(NOT($AS$32),COUNTIF(H706:H708,"ü")&gt;0),"",IF(OR(H704=$E704,H705=$E705),"ü"," ")))</f>
        <v/>
      </c>
      <c r="I709" s="674" t="str">
        <f t="shared" si="490"/>
        <v/>
      </c>
      <c r="J709" s="674" t="str">
        <f t="shared" si="490"/>
        <v/>
      </c>
      <c r="K709" s="674" t="str">
        <f t="shared" si="490"/>
        <v/>
      </c>
      <c r="L709" s="674" t="str">
        <f t="shared" si="490"/>
        <v/>
      </c>
      <c r="M709" s="674" t="str">
        <f t="shared" si="490"/>
        <v/>
      </c>
      <c r="N709" s="674" t="str">
        <f t="shared" si="490"/>
        <v/>
      </c>
      <c r="O709" s="674" t="str">
        <f t="shared" si="490"/>
        <v/>
      </c>
      <c r="P709" s="674" t="str">
        <f t="shared" si="490"/>
        <v/>
      </c>
      <c r="Q709" s="674" t="str">
        <f t="shared" si="490"/>
        <v/>
      </c>
      <c r="R709" s="674" t="str">
        <f t="shared" si="490"/>
        <v/>
      </c>
      <c r="S709" s="674" t="str">
        <f t="shared" si="490"/>
        <v/>
      </c>
      <c r="T709" s="674" t="str">
        <f t="shared" si="490"/>
        <v/>
      </c>
      <c r="U709" s="674" t="str">
        <f t="shared" si="490"/>
        <v/>
      </c>
      <c r="V709" s="674" t="str">
        <f t="shared" si="490"/>
        <v/>
      </c>
      <c r="W709" s="674" t="str">
        <f t="shared" si="490"/>
        <v/>
      </c>
      <c r="X709" s="674" t="str">
        <f t="shared" si="490"/>
        <v/>
      </c>
      <c r="Y709" s="674" t="str">
        <f t="shared" si="490"/>
        <v/>
      </c>
      <c r="Z709" s="674" t="str">
        <f t="shared" si="490"/>
        <v/>
      </c>
      <c r="AA709" s="674" t="str">
        <f t="shared" si="490"/>
        <v/>
      </c>
      <c r="AB709" s="674" t="str">
        <f t="shared" si="490"/>
        <v/>
      </c>
      <c r="AC709" s="674" t="str">
        <f t="shared" si="490"/>
        <v/>
      </c>
      <c r="AD709" s="674" t="str">
        <f t="shared" si="490"/>
        <v/>
      </c>
      <c r="AE709" s="674" t="str">
        <f t="shared" si="490"/>
        <v/>
      </c>
      <c r="AF709" s="674" t="str">
        <f t="shared" si="490"/>
        <v/>
      </c>
      <c r="AG709" s="674" t="str">
        <f t="shared" si="490"/>
        <v/>
      </c>
      <c r="AH709" s="674" t="str">
        <f t="shared" si="490"/>
        <v/>
      </c>
      <c r="AI709" s="674" t="str">
        <f t="shared" si="490"/>
        <v/>
      </c>
      <c r="AJ709" s="674" t="str">
        <f t="shared" si="490"/>
        <v/>
      </c>
      <c r="AK709" s="675" t="str">
        <f t="shared" si="490"/>
        <v/>
      </c>
      <c r="AL709" s="15"/>
      <c r="AM709" s="15"/>
      <c r="AP709" s="536"/>
      <c r="AR709" s="537"/>
      <c r="AS709" s="529"/>
      <c r="AW709" s="390" t="str">
        <f>""</f>
        <v/>
      </c>
      <c r="AX709" s="531"/>
      <c r="AY709" s="390" t="str">
        <f>""</f>
        <v/>
      </c>
      <c r="BD709" s="520"/>
      <c r="BE709" s="520"/>
      <c r="BF709" s="520"/>
      <c r="BG709" s="520"/>
      <c r="BH709" s="520"/>
      <c r="BI709" s="520"/>
      <c r="BJ709" s="520"/>
      <c r="BK709" s="520"/>
      <c r="BL709" s="520"/>
      <c r="BM709" s="520"/>
      <c r="BN709" s="520"/>
      <c r="BO709" s="520"/>
      <c r="BP709" s="520"/>
      <c r="BQ709" s="520"/>
      <c r="BR709" s="520"/>
      <c r="BS709" s="520"/>
      <c r="BT709" s="520"/>
      <c r="BU709" s="520"/>
      <c r="BV709" s="520"/>
      <c r="BW709" s="520"/>
      <c r="BX709" s="520"/>
      <c r="BY709" s="520"/>
    </row>
    <row r="710" spans="1:84" ht="12" customHeight="1" x14ac:dyDescent="0.3">
      <c r="A710" s="765"/>
      <c r="E710" s="258" t="str">
        <f>$AX$96</f>
        <v>Összes gól: 2 p</v>
      </c>
      <c r="H710" s="673" t="str">
        <f t="shared" ref="H710:AK710" si="491">IF(OR(BC705,NOT($AS$28)),"",IF(AND(NOT($AS$32),COUNTIF(H706:H709,"ü")&gt;0),"",IF(H704+H705=$E704+$E705,"ü"," ")))</f>
        <v/>
      </c>
      <c r="I710" s="674" t="str">
        <f t="shared" si="491"/>
        <v/>
      </c>
      <c r="J710" s="674" t="str">
        <f t="shared" si="491"/>
        <v/>
      </c>
      <c r="K710" s="674" t="str">
        <f t="shared" si="491"/>
        <v/>
      </c>
      <c r="L710" s="674" t="str">
        <f t="shared" si="491"/>
        <v/>
      </c>
      <c r="M710" s="674" t="str">
        <f t="shared" si="491"/>
        <v/>
      </c>
      <c r="N710" s="674" t="str">
        <f t="shared" si="491"/>
        <v/>
      </c>
      <c r="O710" s="674" t="str">
        <f t="shared" si="491"/>
        <v/>
      </c>
      <c r="P710" s="674" t="str">
        <f t="shared" si="491"/>
        <v/>
      </c>
      <c r="Q710" s="674" t="str">
        <f t="shared" si="491"/>
        <v/>
      </c>
      <c r="R710" s="674" t="str">
        <f t="shared" si="491"/>
        <v/>
      </c>
      <c r="S710" s="674" t="str">
        <f t="shared" si="491"/>
        <v/>
      </c>
      <c r="T710" s="674" t="str">
        <f t="shared" si="491"/>
        <v/>
      </c>
      <c r="U710" s="674" t="str">
        <f t="shared" si="491"/>
        <v/>
      </c>
      <c r="V710" s="674" t="str">
        <f t="shared" si="491"/>
        <v/>
      </c>
      <c r="W710" s="674" t="str">
        <f t="shared" si="491"/>
        <v/>
      </c>
      <c r="X710" s="674" t="str">
        <f t="shared" si="491"/>
        <v/>
      </c>
      <c r="Y710" s="674" t="str">
        <f t="shared" si="491"/>
        <v/>
      </c>
      <c r="Z710" s="674" t="str">
        <f t="shared" si="491"/>
        <v/>
      </c>
      <c r="AA710" s="674" t="str">
        <f t="shared" si="491"/>
        <v/>
      </c>
      <c r="AB710" s="674" t="str">
        <f t="shared" si="491"/>
        <v/>
      </c>
      <c r="AC710" s="674" t="str">
        <f t="shared" si="491"/>
        <v/>
      </c>
      <c r="AD710" s="674" t="str">
        <f t="shared" si="491"/>
        <v/>
      </c>
      <c r="AE710" s="674" t="str">
        <f t="shared" si="491"/>
        <v/>
      </c>
      <c r="AF710" s="674" t="str">
        <f t="shared" si="491"/>
        <v/>
      </c>
      <c r="AG710" s="674" t="str">
        <f t="shared" si="491"/>
        <v/>
      </c>
      <c r="AH710" s="674" t="str">
        <f t="shared" si="491"/>
        <v/>
      </c>
      <c r="AI710" s="674" t="str">
        <f t="shared" si="491"/>
        <v/>
      </c>
      <c r="AJ710" s="674" t="str">
        <f t="shared" si="491"/>
        <v/>
      </c>
      <c r="AK710" s="675" t="str">
        <f t="shared" si="491"/>
        <v/>
      </c>
      <c r="AL710" s="15"/>
      <c r="AM710" s="15"/>
      <c r="AP710" s="536"/>
      <c r="AR710" s="537"/>
      <c r="AS710" s="529"/>
      <c r="AW710" s="390" t="str">
        <f>""</f>
        <v/>
      </c>
      <c r="AX710" s="531"/>
      <c r="AY710" s="390" t="str">
        <f>""</f>
        <v/>
      </c>
      <c r="BD710" s="520"/>
      <c r="BE710" s="520"/>
      <c r="BF710" s="520"/>
      <c r="BG710" s="520"/>
      <c r="BH710" s="520"/>
      <c r="BI710" s="520"/>
      <c r="BJ710" s="520"/>
      <c r="BK710" s="520"/>
      <c r="BL710" s="520"/>
      <c r="BM710" s="520"/>
      <c r="BN710" s="520"/>
      <c r="BO710" s="520"/>
      <c r="BP710" s="520"/>
      <c r="BQ710" s="520"/>
      <c r="BR710" s="520"/>
      <c r="BS710" s="520"/>
      <c r="BT710" s="520"/>
      <c r="BU710" s="520"/>
      <c r="BV710" s="520"/>
      <c r="BW710" s="520"/>
      <c r="BX710" s="520"/>
      <c r="BY710" s="520"/>
    </row>
    <row r="711" spans="1:84" ht="12" customHeight="1" x14ac:dyDescent="0.3">
      <c r="A711" s="765"/>
      <c r="E711" s="258" t="str">
        <f>$AX$97</f>
        <v>Fordított gólkülönbség: 1 p</v>
      </c>
      <c r="H711" s="676" t="str">
        <f t="shared" ref="H711:AK711" si="492">IF(OR(BC705,NOT($AS$30)),"",IF(AND(NOT($AS$32),COUNTIF(H706:H710,"ü")&gt;0),"",IF(AND(H704-H705=$E705-$E704,H704&lt;&gt;H705),"ü"," ")))</f>
        <v/>
      </c>
      <c r="I711" s="677" t="str">
        <f t="shared" si="492"/>
        <v/>
      </c>
      <c r="J711" s="677" t="str">
        <f t="shared" si="492"/>
        <v/>
      </c>
      <c r="K711" s="677" t="str">
        <f t="shared" si="492"/>
        <v/>
      </c>
      <c r="L711" s="677" t="str">
        <f t="shared" si="492"/>
        <v/>
      </c>
      <c r="M711" s="677" t="str">
        <f t="shared" si="492"/>
        <v/>
      </c>
      <c r="N711" s="677" t="str">
        <f t="shared" si="492"/>
        <v/>
      </c>
      <c r="O711" s="677" t="str">
        <f t="shared" si="492"/>
        <v/>
      </c>
      <c r="P711" s="677" t="str">
        <f t="shared" si="492"/>
        <v/>
      </c>
      <c r="Q711" s="677" t="str">
        <f t="shared" si="492"/>
        <v/>
      </c>
      <c r="R711" s="677" t="str">
        <f t="shared" si="492"/>
        <v/>
      </c>
      <c r="S711" s="677" t="str">
        <f t="shared" si="492"/>
        <v/>
      </c>
      <c r="T711" s="677" t="str">
        <f t="shared" si="492"/>
        <v/>
      </c>
      <c r="U711" s="677" t="str">
        <f t="shared" si="492"/>
        <v/>
      </c>
      <c r="V711" s="677" t="str">
        <f t="shared" si="492"/>
        <v/>
      </c>
      <c r="W711" s="677" t="str">
        <f t="shared" si="492"/>
        <v/>
      </c>
      <c r="X711" s="677" t="str">
        <f t="shared" si="492"/>
        <v/>
      </c>
      <c r="Y711" s="677" t="str">
        <f t="shared" si="492"/>
        <v/>
      </c>
      <c r="Z711" s="677" t="str">
        <f t="shared" si="492"/>
        <v/>
      </c>
      <c r="AA711" s="677" t="str">
        <f t="shared" si="492"/>
        <v/>
      </c>
      <c r="AB711" s="677" t="str">
        <f t="shared" si="492"/>
        <v/>
      </c>
      <c r="AC711" s="677" t="str">
        <f t="shared" si="492"/>
        <v/>
      </c>
      <c r="AD711" s="677" t="str">
        <f t="shared" si="492"/>
        <v/>
      </c>
      <c r="AE711" s="677" t="str">
        <f t="shared" si="492"/>
        <v/>
      </c>
      <c r="AF711" s="677" t="str">
        <f t="shared" si="492"/>
        <v/>
      </c>
      <c r="AG711" s="677" t="str">
        <f t="shared" si="492"/>
        <v/>
      </c>
      <c r="AH711" s="677" t="str">
        <f t="shared" si="492"/>
        <v/>
      </c>
      <c r="AI711" s="677" t="str">
        <f t="shared" si="492"/>
        <v/>
      </c>
      <c r="AJ711" s="677" t="str">
        <f t="shared" si="492"/>
        <v/>
      </c>
      <c r="AK711" s="678" t="str">
        <f t="shared" si="492"/>
        <v/>
      </c>
      <c r="AL711" s="15"/>
      <c r="AM711" s="15"/>
      <c r="AP711" s="536"/>
      <c r="AR711" s="537"/>
      <c r="AS711" s="529"/>
      <c r="AW711" s="390" t="str">
        <f>""</f>
        <v/>
      </c>
      <c r="AX711" s="531"/>
      <c r="AY711" s="390" t="str">
        <f>""</f>
        <v/>
      </c>
      <c r="BD711" s="520"/>
      <c r="BE711" s="520"/>
      <c r="BF711" s="520"/>
      <c r="BG711" s="520"/>
      <c r="BH711" s="520"/>
      <c r="BI711" s="520"/>
      <c r="BJ711" s="520"/>
      <c r="BK711" s="520"/>
      <c r="BL711" s="520"/>
      <c r="BM711" s="520"/>
      <c r="BN711" s="520"/>
      <c r="BO711" s="520"/>
      <c r="BP711" s="520"/>
      <c r="BQ711" s="520"/>
      <c r="BR711" s="520"/>
      <c r="BS711" s="520"/>
      <c r="BT711" s="520"/>
      <c r="BU711" s="520"/>
      <c r="BV711" s="520"/>
      <c r="BW711" s="520"/>
      <c r="BX711" s="520"/>
      <c r="BY711" s="520"/>
    </row>
    <row r="712" spans="1:84" ht="15" customHeight="1" x14ac:dyDescent="0.3">
      <c r="A712" s="765"/>
      <c r="E712" s="79" t="s">
        <v>799</v>
      </c>
      <c r="H712" s="679">
        <f t="shared" ref="H712:AK712" si="493">IF(NOT(H$13),"",SUMPRODUCT((H706:H711="ü")*($AW$92:$AW$97)))</f>
        <v>0</v>
      </c>
      <c r="I712" s="680">
        <f t="shared" si="493"/>
        <v>0</v>
      </c>
      <c r="J712" s="680">
        <f t="shared" si="493"/>
        <v>0</v>
      </c>
      <c r="K712" s="680">
        <f t="shared" si="493"/>
        <v>0</v>
      </c>
      <c r="L712" s="680">
        <f t="shared" si="493"/>
        <v>0</v>
      </c>
      <c r="M712" s="680">
        <f t="shared" si="493"/>
        <v>0</v>
      </c>
      <c r="N712" s="680">
        <f t="shared" si="493"/>
        <v>0</v>
      </c>
      <c r="O712" s="680">
        <f t="shared" si="493"/>
        <v>0</v>
      </c>
      <c r="P712" s="680">
        <f t="shared" si="493"/>
        <v>0</v>
      </c>
      <c r="Q712" s="680">
        <f t="shared" si="493"/>
        <v>0</v>
      </c>
      <c r="R712" s="680">
        <f t="shared" si="493"/>
        <v>0</v>
      </c>
      <c r="S712" s="680">
        <f t="shared" si="493"/>
        <v>0</v>
      </c>
      <c r="T712" s="680">
        <f t="shared" si="493"/>
        <v>0</v>
      </c>
      <c r="U712" s="680">
        <f t="shared" si="493"/>
        <v>0</v>
      </c>
      <c r="V712" s="680">
        <f t="shared" si="493"/>
        <v>0</v>
      </c>
      <c r="W712" s="680">
        <f t="shared" si="493"/>
        <v>0</v>
      </c>
      <c r="X712" s="680">
        <f t="shared" si="493"/>
        <v>0</v>
      </c>
      <c r="Y712" s="680">
        <f t="shared" si="493"/>
        <v>0</v>
      </c>
      <c r="Z712" s="680">
        <f t="shared" si="493"/>
        <v>0</v>
      </c>
      <c r="AA712" s="680">
        <f t="shared" si="493"/>
        <v>0</v>
      </c>
      <c r="AB712" s="680">
        <f t="shared" si="493"/>
        <v>0</v>
      </c>
      <c r="AC712" s="680">
        <f t="shared" si="493"/>
        <v>0</v>
      </c>
      <c r="AD712" s="680">
        <f t="shared" si="493"/>
        <v>0</v>
      </c>
      <c r="AE712" s="680" t="str">
        <f t="shared" si="493"/>
        <v/>
      </c>
      <c r="AF712" s="680" t="str">
        <f t="shared" si="493"/>
        <v/>
      </c>
      <c r="AG712" s="680" t="str">
        <f t="shared" si="493"/>
        <v/>
      </c>
      <c r="AH712" s="680" t="str">
        <f t="shared" si="493"/>
        <v/>
      </c>
      <c r="AI712" s="680" t="str">
        <f t="shared" si="493"/>
        <v/>
      </c>
      <c r="AJ712" s="680" t="str">
        <f t="shared" si="493"/>
        <v/>
      </c>
      <c r="AK712" s="681" t="str">
        <f t="shared" si="493"/>
        <v/>
      </c>
      <c r="AP712" s="538"/>
      <c r="AQ712" s="699"/>
      <c r="AR712" s="539"/>
      <c r="AS712" s="540"/>
      <c r="AX712" s="531"/>
    </row>
    <row r="713" spans="1:84" ht="9" customHeight="1" x14ac:dyDescent="0.3">
      <c r="A713" s="765"/>
      <c r="D713" s="15"/>
      <c r="E713" s="15"/>
      <c r="F713" s="15"/>
      <c r="G713" s="15"/>
      <c r="H713" s="15"/>
      <c r="I713" s="16"/>
      <c r="J713" s="15"/>
      <c r="K713" s="15"/>
      <c r="L713" s="16"/>
      <c r="M713" s="15"/>
      <c r="N713" s="15"/>
      <c r="O713" s="16"/>
      <c r="P713" s="15"/>
      <c r="Q713" s="15"/>
      <c r="R713" s="16"/>
      <c r="S713" s="15"/>
      <c r="T713" s="15"/>
      <c r="U713" s="16"/>
      <c r="V713" s="15"/>
      <c r="W713" s="15"/>
      <c r="X713" s="16"/>
      <c r="Y713" s="15"/>
      <c r="Z713" s="15"/>
      <c r="AA713" s="16"/>
      <c r="AB713" s="15"/>
      <c r="AC713" s="15"/>
      <c r="AD713" s="16"/>
      <c r="AE713" s="15"/>
      <c r="AF713" s="15"/>
      <c r="AG713" s="16"/>
      <c r="AH713" s="15"/>
      <c r="AI713" s="15"/>
      <c r="AJ713" s="16"/>
      <c r="AK713" s="15"/>
    </row>
    <row r="714" spans="1:84" x14ac:dyDescent="0.3">
      <c r="A714" s="765"/>
    </row>
    <row r="715" spans="1:84" x14ac:dyDescent="0.3">
      <c r="A715" s="765"/>
    </row>
    <row r="716" spans="1:84" x14ac:dyDescent="0.3">
      <c r="A716" s="765"/>
    </row>
    <row r="717" spans="1:84" x14ac:dyDescent="0.3">
      <c r="A717" s="765"/>
    </row>
    <row r="718" spans="1:84" x14ac:dyDescent="0.3">
      <c r="A718" s="765"/>
    </row>
    <row r="719" spans="1:84" x14ac:dyDescent="0.3">
      <c r="A719" s="765"/>
    </row>
    <row r="720" spans="1:84" x14ac:dyDescent="0.3">
      <c r="A720" s="765"/>
    </row>
    <row r="721" spans="1:1" x14ac:dyDescent="0.3">
      <c r="A721" s="765"/>
    </row>
    <row r="722" spans="1:1" x14ac:dyDescent="0.3">
      <c r="A722" s="765"/>
    </row>
    <row r="723" spans="1:1" x14ac:dyDescent="0.3">
      <c r="A723" s="765"/>
    </row>
    <row r="724" spans="1:1" x14ac:dyDescent="0.3">
      <c r="A724" s="765"/>
    </row>
    <row r="725" spans="1:1" x14ac:dyDescent="0.3">
      <c r="A725" s="765"/>
    </row>
    <row r="726" spans="1:1" x14ac:dyDescent="0.3">
      <c r="A726" s="765"/>
    </row>
  </sheetData>
  <sheetProtection sheet="1" objects="1" scenarios="1"/>
  <mergeCells count="165">
    <mergeCell ref="A619:A676"/>
    <mergeCell ref="A677:A726"/>
    <mergeCell ref="A17:A49"/>
    <mergeCell ref="A50:A84"/>
    <mergeCell ref="A85:A228"/>
    <mergeCell ref="A229:A372"/>
    <mergeCell ref="A373:A516"/>
    <mergeCell ref="A517:A618"/>
    <mergeCell ref="D21:S21"/>
    <mergeCell ref="D23:S23"/>
    <mergeCell ref="P57:R57"/>
    <mergeCell ref="M54:O54"/>
    <mergeCell ref="J54:L54"/>
    <mergeCell ref="P54:R54"/>
    <mergeCell ref="J57:L57"/>
    <mergeCell ref="P56:R56"/>
    <mergeCell ref="M55:O55"/>
    <mergeCell ref="M56:O56"/>
    <mergeCell ref="D64:G64"/>
    <mergeCell ref="D65:G65"/>
    <mergeCell ref="D66:G66"/>
    <mergeCell ref="D67:G67"/>
    <mergeCell ref="D60:G60"/>
    <mergeCell ref="J55:L55"/>
    <mergeCell ref="D55:G55"/>
    <mergeCell ref="D56:G56"/>
    <mergeCell ref="D57:G57"/>
    <mergeCell ref="J58:L58"/>
    <mergeCell ref="U67:AA67"/>
    <mergeCell ref="AC67:AE67"/>
    <mergeCell ref="AC65:AE65"/>
    <mergeCell ref="J66:L66"/>
    <mergeCell ref="J67:L67"/>
    <mergeCell ref="M67:O67"/>
    <mergeCell ref="P66:R66"/>
    <mergeCell ref="P67:R67"/>
    <mergeCell ref="M66:O66"/>
    <mergeCell ref="U60:AA60"/>
    <mergeCell ref="P64:R64"/>
    <mergeCell ref="M63:O63"/>
    <mergeCell ref="M62:O62"/>
    <mergeCell ref="P62:R62"/>
    <mergeCell ref="M64:O64"/>
    <mergeCell ref="P55:R55"/>
    <mergeCell ref="J65:L65"/>
    <mergeCell ref="J61:L61"/>
    <mergeCell ref="J64:L64"/>
    <mergeCell ref="P59:R59"/>
    <mergeCell ref="AI65:AK65"/>
    <mergeCell ref="U65:AA65"/>
    <mergeCell ref="P65:R65"/>
    <mergeCell ref="M65:O65"/>
    <mergeCell ref="AF67:AH67"/>
    <mergeCell ref="AI67:AK67"/>
    <mergeCell ref="AC66:AE66"/>
    <mergeCell ref="AF66:AH66"/>
    <mergeCell ref="AI66:AK66"/>
    <mergeCell ref="U66:AA66"/>
    <mergeCell ref="U54:AA54"/>
    <mergeCell ref="U55:AA55"/>
    <mergeCell ref="U57:AA57"/>
    <mergeCell ref="U56:AA56"/>
    <mergeCell ref="AF65:AH65"/>
    <mergeCell ref="AI64:AK64"/>
    <mergeCell ref="AC64:AE64"/>
    <mergeCell ref="U62:AA62"/>
    <mergeCell ref="U63:AA63"/>
    <mergeCell ref="AI62:AK62"/>
    <mergeCell ref="AF62:AH62"/>
    <mergeCell ref="U64:AA64"/>
    <mergeCell ref="AI58:AK58"/>
    <mergeCell ref="AF64:AH64"/>
    <mergeCell ref="U59:AA59"/>
    <mergeCell ref="U61:AA61"/>
    <mergeCell ref="U58:AA58"/>
    <mergeCell ref="AC62:AE62"/>
    <mergeCell ref="AC58:AE58"/>
    <mergeCell ref="AF58:AH58"/>
    <mergeCell ref="AI59:AK59"/>
    <mergeCell ref="AC60:AE60"/>
    <mergeCell ref="AI54:AK54"/>
    <mergeCell ref="AI55:AK55"/>
    <mergeCell ref="AF55:AH55"/>
    <mergeCell ref="AF57:AH57"/>
    <mergeCell ref="AF56:AH56"/>
    <mergeCell ref="AI56:AK56"/>
    <mergeCell ref="AF54:AH54"/>
    <mergeCell ref="AI57:AK57"/>
    <mergeCell ref="AF63:AH63"/>
    <mergeCell ref="AI63:AK63"/>
    <mergeCell ref="AC61:AE61"/>
    <mergeCell ref="AC59:AE59"/>
    <mergeCell ref="AF59:AH59"/>
    <mergeCell ref="AF61:AH61"/>
    <mergeCell ref="AC63:AE63"/>
    <mergeCell ref="AI61:AK61"/>
    <mergeCell ref="AF60:AH60"/>
    <mergeCell ref="AI60:AK60"/>
    <mergeCell ref="AC54:AE54"/>
    <mergeCell ref="AC56:AE56"/>
    <mergeCell ref="AC57:AE57"/>
    <mergeCell ref="AC55:AE55"/>
    <mergeCell ref="P63:R63"/>
    <mergeCell ref="M60:O60"/>
    <mergeCell ref="M61:O61"/>
    <mergeCell ref="M59:O59"/>
    <mergeCell ref="P60:R60"/>
    <mergeCell ref="P61:R61"/>
    <mergeCell ref="J62:L62"/>
    <mergeCell ref="D61:G61"/>
    <mergeCell ref="D62:G62"/>
    <mergeCell ref="D63:G63"/>
    <mergeCell ref="D25:S25"/>
    <mergeCell ref="Y25:AC25"/>
    <mergeCell ref="Y26:AC26"/>
    <mergeCell ref="Y31:AC31"/>
    <mergeCell ref="J63:L63"/>
    <mergeCell ref="D27:S27"/>
    <mergeCell ref="D29:S29"/>
    <mergeCell ref="D31:T31"/>
    <mergeCell ref="P53:R53"/>
    <mergeCell ref="P58:R58"/>
    <mergeCell ref="Y27:AC27"/>
    <mergeCell ref="Y28:AC28"/>
    <mergeCell ref="D54:G54"/>
    <mergeCell ref="D58:G58"/>
    <mergeCell ref="D59:G59"/>
    <mergeCell ref="D33:T36"/>
    <mergeCell ref="D53:G53"/>
    <mergeCell ref="J53:L53"/>
    <mergeCell ref="M53:O53"/>
    <mergeCell ref="J59:L59"/>
    <mergeCell ref="J60:L60"/>
    <mergeCell ref="J56:L56"/>
    <mergeCell ref="M58:O58"/>
    <mergeCell ref="M57:O57"/>
    <mergeCell ref="Y21:AC21"/>
    <mergeCell ref="Y22:AC22"/>
    <mergeCell ref="Y23:AC23"/>
    <mergeCell ref="AG21:AK21"/>
    <mergeCell ref="AG22:AK22"/>
    <mergeCell ref="AG23:AK23"/>
    <mergeCell ref="AG26:AK26"/>
    <mergeCell ref="Y24:AC24"/>
    <mergeCell ref="Y29:AC29"/>
    <mergeCell ref="AG24:AK24"/>
    <mergeCell ref="AG25:AK25"/>
    <mergeCell ref="AG27:AK27"/>
    <mergeCell ref="AG28:AK28"/>
    <mergeCell ref="AG35:AK35"/>
    <mergeCell ref="U53:AA53"/>
    <mergeCell ref="AF53:AH53"/>
    <mergeCell ref="Y35:AC35"/>
    <mergeCell ref="AC53:AE53"/>
    <mergeCell ref="AG29:AK29"/>
    <mergeCell ref="AI53:AK53"/>
    <mergeCell ref="AG30:AK30"/>
    <mergeCell ref="AG31:AK31"/>
    <mergeCell ref="AG32:AK32"/>
    <mergeCell ref="Y30:AC30"/>
    <mergeCell ref="AG33:AK33"/>
    <mergeCell ref="Y34:AC34"/>
    <mergeCell ref="Y32:AC32"/>
    <mergeCell ref="Y33:AC33"/>
    <mergeCell ref="AG34:AK34"/>
  </mergeCells>
  <phoneticPr fontId="2" type="noConversion"/>
  <conditionalFormatting sqref="Y21:Y35 Z21:AC21">
    <cfRule type="expression" dxfId="1" priority="1" stopIfTrue="1">
      <formula>AND(Y21="",$AW21)</formula>
    </cfRule>
  </conditionalFormatting>
  <conditionalFormatting sqref="AG21:AG35 AH21:AK21">
    <cfRule type="expression" dxfId="0" priority="2" stopIfTrue="1">
      <formula>AND(AG21="",$AX21)</formula>
    </cfRule>
  </conditionalFormatting>
  <dataValidations disablePrompts="1" count="1">
    <dataValidation type="whole" allowBlank="1" showInputMessage="1" showErrorMessage="1" sqref="T22">
      <formula1>0</formula1>
      <formula2>100</formula2>
    </dataValidation>
  </dataValidations>
  <pageMargins left="0.31496062992125984" right="0.31496062992125984" top="0.51181102362204722" bottom="0.51181102362204722" header="0.51181102362204722" footer="0.51181102362204722"/>
  <pageSetup paperSize="9" scale="54" orientation="portrait" r:id="rId1"/>
  <headerFooter alignWithMargins="0"/>
  <rowBreaks count="8" manualBreakCount="8">
    <brk id="84" max="37" man="1"/>
    <brk id="186" max="37" man="1"/>
    <brk id="228" max="37" man="1"/>
    <brk id="330" max="37" man="1"/>
    <brk id="372" max="37" man="1"/>
    <brk id="474" max="37" man="1"/>
    <brk id="516" max="37" man="1"/>
    <brk id="618" max="37" man="1"/>
  </rowBreaks>
  <drawing r:id="rId2"/>
  <legacyDrawing r:id="rId3"/>
  <picture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61" r:id="rId5" name="Check Box 5">
              <controlPr defaultSize="0" autoFill="0" autoLine="0" autoPict="0">
                <anchor moveWithCells="1">
                  <from>
                    <xdr:col>14</xdr:col>
                    <xdr:colOff>19050</xdr:colOff>
                    <xdr:row>28</xdr:row>
                    <xdr:rowOff>142875</xdr:rowOff>
                  </from>
                  <to>
                    <xdr:col>15</xdr:col>
                    <xdr:colOff>19050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2" r:id="rId6" name="Check Box 6">
              <controlPr defaultSize="0" autoFill="0" autoLine="0" autoPict="0">
                <anchor moveWithCells="1">
                  <from>
                    <xdr:col>14</xdr:col>
                    <xdr:colOff>19050</xdr:colOff>
                    <xdr:row>30</xdr:row>
                    <xdr:rowOff>142875</xdr:rowOff>
                  </from>
                  <to>
                    <xdr:col>15</xdr:col>
                    <xdr:colOff>19050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3" r:id="rId7" name="Check Box 17">
              <controlPr defaultSize="0" autoFill="0" autoLine="0" autoPict="0">
                <anchor moveWithCells="1">
                  <from>
                    <xdr:col>14</xdr:col>
                    <xdr:colOff>19050</xdr:colOff>
                    <xdr:row>20</xdr:row>
                    <xdr:rowOff>142875</xdr:rowOff>
                  </from>
                  <to>
                    <xdr:col>15</xdr:col>
                    <xdr:colOff>19050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4" r:id="rId8" name="Check Box 18">
              <controlPr defaultSize="0" autoFill="0" autoLine="0" autoPict="0">
                <anchor moveWithCells="1">
                  <from>
                    <xdr:col>14</xdr:col>
                    <xdr:colOff>19050</xdr:colOff>
                    <xdr:row>26</xdr:row>
                    <xdr:rowOff>142875</xdr:rowOff>
                  </from>
                  <to>
                    <xdr:col>15</xdr:col>
                    <xdr:colOff>19050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5" r:id="rId9" name="Check Box 19">
              <controlPr defaultSize="0" autoFill="0" autoLine="0" autoPict="0">
                <anchor moveWithCells="1">
                  <from>
                    <xdr:col>14</xdr:col>
                    <xdr:colOff>19050</xdr:colOff>
                    <xdr:row>22</xdr:row>
                    <xdr:rowOff>142875</xdr:rowOff>
                  </from>
                  <to>
                    <xdr:col>15</xdr:col>
                    <xdr:colOff>19050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6" r:id="rId10" name="Check Box 20">
              <controlPr defaultSize="0" autoFill="0" autoLine="0" autoPict="0">
                <anchor moveWithCells="1">
                  <from>
                    <xdr:col>14</xdr:col>
                    <xdr:colOff>19050</xdr:colOff>
                    <xdr:row>18</xdr:row>
                    <xdr:rowOff>38100</xdr:rowOff>
                  </from>
                  <to>
                    <xdr:col>15</xdr:col>
                    <xdr:colOff>19050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7" r:id="rId11" name="Check Box 21">
              <controlPr defaultSize="0" autoFill="0" autoLine="0" autoPict="0">
                <anchor moveWithCells="1">
                  <from>
                    <xdr:col>14</xdr:col>
                    <xdr:colOff>19050</xdr:colOff>
                    <xdr:row>24</xdr:row>
                    <xdr:rowOff>142875</xdr:rowOff>
                  </from>
                  <to>
                    <xdr:col>15</xdr:col>
                    <xdr:colOff>19050</xdr:colOff>
                    <xdr:row>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3" r:id="rId12" name="Check Box 7">
              <controlPr defaultSize="0" autoFill="0" autoLine="0" autoPict="0">
                <anchor moveWithCells="1">
                  <from>
                    <xdr:col>22</xdr:col>
                    <xdr:colOff>47625</xdr:colOff>
                    <xdr:row>19</xdr:row>
                    <xdr:rowOff>142875</xdr:rowOff>
                  </from>
                  <to>
                    <xdr:col>23</xdr:col>
                    <xdr:colOff>47625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4" r:id="rId13" name="Check Box 8">
              <controlPr defaultSize="0" autoFill="0" autoLine="0" autoPict="0">
                <anchor moveWithCells="1">
                  <from>
                    <xdr:col>22</xdr:col>
                    <xdr:colOff>47625</xdr:colOff>
                    <xdr:row>20</xdr:row>
                    <xdr:rowOff>142875</xdr:rowOff>
                  </from>
                  <to>
                    <xdr:col>23</xdr:col>
                    <xdr:colOff>47625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9" r:id="rId14" name="Check Box 73">
              <controlPr defaultSize="0" autoFill="0" autoLine="0" autoPict="0">
                <anchor moveWithCells="1">
                  <from>
                    <xdr:col>22</xdr:col>
                    <xdr:colOff>47625</xdr:colOff>
                    <xdr:row>21</xdr:row>
                    <xdr:rowOff>142875</xdr:rowOff>
                  </from>
                  <to>
                    <xdr:col>23</xdr:col>
                    <xdr:colOff>47625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0" r:id="rId15" name="Check Box 74">
              <controlPr defaultSize="0" autoFill="0" autoLine="0" autoPict="0">
                <anchor moveWithCells="1">
                  <from>
                    <xdr:col>22</xdr:col>
                    <xdr:colOff>47625</xdr:colOff>
                    <xdr:row>22</xdr:row>
                    <xdr:rowOff>142875</xdr:rowOff>
                  </from>
                  <to>
                    <xdr:col>23</xdr:col>
                    <xdr:colOff>47625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1" r:id="rId16" name="Check Box 75">
              <controlPr defaultSize="0" autoFill="0" autoLine="0" autoPict="0">
                <anchor moveWithCells="1">
                  <from>
                    <xdr:col>22</xdr:col>
                    <xdr:colOff>47625</xdr:colOff>
                    <xdr:row>23</xdr:row>
                    <xdr:rowOff>142875</xdr:rowOff>
                  </from>
                  <to>
                    <xdr:col>23</xdr:col>
                    <xdr:colOff>47625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2" r:id="rId17" name="Check Box 76">
              <controlPr defaultSize="0" autoFill="0" autoLine="0" autoPict="0">
                <anchor moveWithCells="1">
                  <from>
                    <xdr:col>22</xdr:col>
                    <xdr:colOff>47625</xdr:colOff>
                    <xdr:row>24</xdr:row>
                    <xdr:rowOff>142875</xdr:rowOff>
                  </from>
                  <to>
                    <xdr:col>23</xdr:col>
                    <xdr:colOff>47625</xdr:colOff>
                    <xdr:row>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3" r:id="rId18" name="Check Box 77">
              <controlPr defaultSize="0" autoFill="0" autoLine="0" autoPict="0">
                <anchor moveWithCells="1">
                  <from>
                    <xdr:col>22</xdr:col>
                    <xdr:colOff>47625</xdr:colOff>
                    <xdr:row>25</xdr:row>
                    <xdr:rowOff>142875</xdr:rowOff>
                  </from>
                  <to>
                    <xdr:col>23</xdr:col>
                    <xdr:colOff>47625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4" r:id="rId19" name="Check Box 78">
              <controlPr defaultSize="0" autoFill="0" autoLine="0" autoPict="0">
                <anchor moveWithCells="1">
                  <from>
                    <xdr:col>22</xdr:col>
                    <xdr:colOff>47625</xdr:colOff>
                    <xdr:row>26</xdr:row>
                    <xdr:rowOff>142875</xdr:rowOff>
                  </from>
                  <to>
                    <xdr:col>23</xdr:col>
                    <xdr:colOff>47625</xdr:colOff>
                    <xdr:row>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5" r:id="rId20" name="Check Box 79">
              <controlPr defaultSize="0" autoFill="0" autoLine="0" autoPict="0">
                <anchor moveWithCells="1">
                  <from>
                    <xdr:col>22</xdr:col>
                    <xdr:colOff>47625</xdr:colOff>
                    <xdr:row>27</xdr:row>
                    <xdr:rowOff>142875</xdr:rowOff>
                  </from>
                  <to>
                    <xdr:col>23</xdr:col>
                    <xdr:colOff>47625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6" r:id="rId21" name="Check Box 80">
              <controlPr defaultSize="0" autoFill="0" autoLine="0" autoPict="0">
                <anchor moveWithCells="1">
                  <from>
                    <xdr:col>22</xdr:col>
                    <xdr:colOff>47625</xdr:colOff>
                    <xdr:row>28</xdr:row>
                    <xdr:rowOff>142875</xdr:rowOff>
                  </from>
                  <to>
                    <xdr:col>23</xdr:col>
                    <xdr:colOff>47625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7" r:id="rId22" name="Check Box 81">
              <controlPr defaultSize="0" autoFill="0" autoLine="0" autoPict="0">
                <anchor moveWithCells="1">
                  <from>
                    <xdr:col>22</xdr:col>
                    <xdr:colOff>47625</xdr:colOff>
                    <xdr:row>29</xdr:row>
                    <xdr:rowOff>142875</xdr:rowOff>
                  </from>
                  <to>
                    <xdr:col>23</xdr:col>
                    <xdr:colOff>47625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8" r:id="rId23" name="Check Box 82">
              <controlPr defaultSize="0" autoFill="0" autoLine="0" autoPict="0">
                <anchor moveWithCells="1">
                  <from>
                    <xdr:col>22</xdr:col>
                    <xdr:colOff>47625</xdr:colOff>
                    <xdr:row>30</xdr:row>
                    <xdr:rowOff>142875</xdr:rowOff>
                  </from>
                  <to>
                    <xdr:col>23</xdr:col>
                    <xdr:colOff>47625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9" r:id="rId24" name="Check Box 83">
              <controlPr defaultSize="0" autoFill="0" autoLine="0" autoPict="0">
                <anchor moveWithCells="1">
                  <from>
                    <xdr:col>22</xdr:col>
                    <xdr:colOff>47625</xdr:colOff>
                    <xdr:row>31</xdr:row>
                    <xdr:rowOff>142875</xdr:rowOff>
                  </from>
                  <to>
                    <xdr:col>23</xdr:col>
                    <xdr:colOff>47625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0" r:id="rId25" name="Check Box 84">
              <controlPr defaultSize="0" autoFill="0" autoLine="0" autoPict="0">
                <anchor moveWithCells="1">
                  <from>
                    <xdr:col>22</xdr:col>
                    <xdr:colOff>47625</xdr:colOff>
                    <xdr:row>32</xdr:row>
                    <xdr:rowOff>142875</xdr:rowOff>
                  </from>
                  <to>
                    <xdr:col>23</xdr:col>
                    <xdr:colOff>47625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1" r:id="rId26" name="Check Box 85">
              <controlPr defaultSize="0" autoFill="0" autoLine="0" autoPict="0">
                <anchor moveWithCells="1">
                  <from>
                    <xdr:col>22</xdr:col>
                    <xdr:colOff>47625</xdr:colOff>
                    <xdr:row>33</xdr:row>
                    <xdr:rowOff>142875</xdr:rowOff>
                  </from>
                  <to>
                    <xdr:col>23</xdr:col>
                    <xdr:colOff>47625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2" r:id="rId27" name="Check Box 86">
              <controlPr defaultSize="0" autoFill="0" autoLine="0" autoPict="0">
                <anchor moveWithCells="1">
                  <from>
                    <xdr:col>30</xdr:col>
                    <xdr:colOff>47625</xdr:colOff>
                    <xdr:row>19</xdr:row>
                    <xdr:rowOff>142875</xdr:rowOff>
                  </from>
                  <to>
                    <xdr:col>31</xdr:col>
                    <xdr:colOff>47625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3" r:id="rId28" name="Check Box 87">
              <controlPr defaultSize="0" autoFill="0" autoLine="0" autoPict="0">
                <anchor moveWithCells="1">
                  <from>
                    <xdr:col>30</xdr:col>
                    <xdr:colOff>47625</xdr:colOff>
                    <xdr:row>20</xdr:row>
                    <xdr:rowOff>142875</xdr:rowOff>
                  </from>
                  <to>
                    <xdr:col>31</xdr:col>
                    <xdr:colOff>47625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4" r:id="rId29" name="Check Box 88">
              <controlPr defaultSize="0" autoFill="0" autoLine="0" autoPict="0">
                <anchor moveWithCells="1">
                  <from>
                    <xdr:col>30</xdr:col>
                    <xdr:colOff>47625</xdr:colOff>
                    <xdr:row>21</xdr:row>
                    <xdr:rowOff>142875</xdr:rowOff>
                  </from>
                  <to>
                    <xdr:col>31</xdr:col>
                    <xdr:colOff>47625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5" r:id="rId30" name="Check Box 89">
              <controlPr defaultSize="0" autoFill="0" autoLine="0" autoPict="0">
                <anchor moveWithCells="1">
                  <from>
                    <xdr:col>30</xdr:col>
                    <xdr:colOff>47625</xdr:colOff>
                    <xdr:row>22</xdr:row>
                    <xdr:rowOff>142875</xdr:rowOff>
                  </from>
                  <to>
                    <xdr:col>31</xdr:col>
                    <xdr:colOff>47625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6" r:id="rId31" name="Check Box 90">
              <controlPr defaultSize="0" autoFill="0" autoLine="0" autoPict="0">
                <anchor moveWithCells="1">
                  <from>
                    <xdr:col>30</xdr:col>
                    <xdr:colOff>47625</xdr:colOff>
                    <xdr:row>23</xdr:row>
                    <xdr:rowOff>142875</xdr:rowOff>
                  </from>
                  <to>
                    <xdr:col>31</xdr:col>
                    <xdr:colOff>47625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7" r:id="rId32" name="Check Box 91">
              <controlPr defaultSize="0" autoFill="0" autoLine="0" autoPict="0">
                <anchor moveWithCells="1">
                  <from>
                    <xdr:col>30</xdr:col>
                    <xdr:colOff>47625</xdr:colOff>
                    <xdr:row>24</xdr:row>
                    <xdr:rowOff>142875</xdr:rowOff>
                  </from>
                  <to>
                    <xdr:col>31</xdr:col>
                    <xdr:colOff>47625</xdr:colOff>
                    <xdr:row>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8" r:id="rId33" name="Check Box 92">
              <controlPr defaultSize="0" autoFill="0" autoLine="0" autoPict="0">
                <anchor moveWithCells="1">
                  <from>
                    <xdr:col>30</xdr:col>
                    <xdr:colOff>47625</xdr:colOff>
                    <xdr:row>25</xdr:row>
                    <xdr:rowOff>142875</xdr:rowOff>
                  </from>
                  <to>
                    <xdr:col>31</xdr:col>
                    <xdr:colOff>47625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9" r:id="rId34" name="Check Box 93">
              <controlPr defaultSize="0" autoFill="0" autoLine="0" autoPict="0">
                <anchor moveWithCells="1">
                  <from>
                    <xdr:col>30</xdr:col>
                    <xdr:colOff>47625</xdr:colOff>
                    <xdr:row>26</xdr:row>
                    <xdr:rowOff>142875</xdr:rowOff>
                  </from>
                  <to>
                    <xdr:col>31</xdr:col>
                    <xdr:colOff>47625</xdr:colOff>
                    <xdr:row>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0" r:id="rId35" name="Check Box 94">
              <controlPr defaultSize="0" autoFill="0" autoLine="0" autoPict="0">
                <anchor moveWithCells="1">
                  <from>
                    <xdr:col>30</xdr:col>
                    <xdr:colOff>47625</xdr:colOff>
                    <xdr:row>27</xdr:row>
                    <xdr:rowOff>142875</xdr:rowOff>
                  </from>
                  <to>
                    <xdr:col>31</xdr:col>
                    <xdr:colOff>47625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1" r:id="rId36" name="Check Box 95">
              <controlPr defaultSize="0" autoFill="0" autoLine="0" autoPict="0">
                <anchor moveWithCells="1">
                  <from>
                    <xdr:col>30</xdr:col>
                    <xdr:colOff>47625</xdr:colOff>
                    <xdr:row>28</xdr:row>
                    <xdr:rowOff>142875</xdr:rowOff>
                  </from>
                  <to>
                    <xdr:col>31</xdr:col>
                    <xdr:colOff>47625</xdr:colOff>
                    <xdr:row>30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2" r:id="rId37" name="Check Box 96">
              <controlPr defaultSize="0" autoFill="0" autoLine="0" autoPict="0">
                <anchor moveWithCells="1">
                  <from>
                    <xdr:col>30</xdr:col>
                    <xdr:colOff>47625</xdr:colOff>
                    <xdr:row>29</xdr:row>
                    <xdr:rowOff>142875</xdr:rowOff>
                  </from>
                  <to>
                    <xdr:col>31</xdr:col>
                    <xdr:colOff>47625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3" r:id="rId38" name="Check Box 97">
              <controlPr defaultSize="0" autoFill="0" autoLine="0" autoPict="0">
                <anchor moveWithCells="1">
                  <from>
                    <xdr:col>30</xdr:col>
                    <xdr:colOff>47625</xdr:colOff>
                    <xdr:row>30</xdr:row>
                    <xdr:rowOff>142875</xdr:rowOff>
                  </from>
                  <to>
                    <xdr:col>31</xdr:col>
                    <xdr:colOff>47625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4" r:id="rId39" name="Check Box 98">
              <controlPr defaultSize="0" autoFill="0" autoLine="0" autoPict="0">
                <anchor moveWithCells="1">
                  <from>
                    <xdr:col>30</xdr:col>
                    <xdr:colOff>47625</xdr:colOff>
                    <xdr:row>31</xdr:row>
                    <xdr:rowOff>142875</xdr:rowOff>
                  </from>
                  <to>
                    <xdr:col>31</xdr:col>
                    <xdr:colOff>47625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5" r:id="rId40" name="Check Box 99">
              <controlPr defaultSize="0" autoFill="0" autoLine="0" autoPict="0">
                <anchor moveWithCells="1">
                  <from>
                    <xdr:col>30</xdr:col>
                    <xdr:colOff>47625</xdr:colOff>
                    <xdr:row>32</xdr:row>
                    <xdr:rowOff>142875</xdr:rowOff>
                  </from>
                  <to>
                    <xdr:col>31</xdr:col>
                    <xdr:colOff>47625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6" r:id="rId41" name="Check Box 100">
              <controlPr defaultSize="0" autoFill="0" autoLine="0" autoPict="0">
                <anchor moveWithCells="1">
                  <from>
                    <xdr:col>30</xdr:col>
                    <xdr:colOff>47625</xdr:colOff>
                    <xdr:row>33</xdr:row>
                    <xdr:rowOff>142875</xdr:rowOff>
                  </from>
                  <to>
                    <xdr:col>31</xdr:col>
                    <xdr:colOff>47625</xdr:colOff>
                    <xdr:row>35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1">
    <pageSetUpPr autoPageBreaks="0"/>
  </sheetPr>
  <dimension ref="A1:G161"/>
  <sheetViews>
    <sheetView showGridLines="0" showRowColHeaders="0" zoomScaleNormal="100" workbookViewId="0">
      <pane ySplit="4" topLeftCell="A5" activePane="bottomLeft" state="frozen"/>
      <selection pane="bottomLeft"/>
    </sheetView>
  </sheetViews>
  <sheetFormatPr defaultRowHeight="15" x14ac:dyDescent="0.3"/>
  <cols>
    <col min="1" max="1" width="1.42578125" style="564" customWidth="1"/>
    <col min="2" max="2" width="3.85546875" style="37" customWidth="1"/>
    <col min="3" max="3" width="17.140625" style="685" customWidth="1"/>
    <col min="4" max="4" width="146.7109375" style="37" customWidth="1"/>
    <col min="5" max="5" width="11.140625" style="37" customWidth="1"/>
    <col min="6" max="6" width="3.140625" style="37" customWidth="1"/>
    <col min="7" max="16384" width="9.140625" style="37"/>
  </cols>
  <sheetData>
    <row r="1" spans="1:7" s="561" customFormat="1" ht="9.75" customHeight="1" x14ac:dyDescent="0.2">
      <c r="C1" s="682"/>
      <c r="G1" s="562"/>
    </row>
    <row r="2" spans="1:7" s="561" customFormat="1" ht="9.75" customHeight="1" x14ac:dyDescent="0.2">
      <c r="C2" s="682"/>
      <c r="G2" s="562"/>
    </row>
    <row r="3" spans="1:7" s="561" customFormat="1" ht="9" customHeight="1" thickBot="1" x14ac:dyDescent="0.25">
      <c r="A3" s="563"/>
      <c r="B3" s="563"/>
      <c r="C3" s="683"/>
      <c r="D3" s="563"/>
      <c r="E3" s="563"/>
      <c r="F3" s="563"/>
      <c r="G3" s="562"/>
    </row>
    <row r="4" spans="1:7" s="565" customFormat="1" ht="12" customHeight="1" thickTop="1" x14ac:dyDescent="0.2">
      <c r="B4" s="567" t="s">
        <v>955</v>
      </c>
      <c r="C4" s="684"/>
      <c r="G4" s="566"/>
    </row>
    <row r="6" spans="1:7" ht="12.75" customHeight="1" x14ac:dyDescent="0.3"/>
    <row r="7" spans="1:7" ht="20.25" x14ac:dyDescent="0.35">
      <c r="C7" s="686"/>
      <c r="D7" s="44" t="s">
        <v>764</v>
      </c>
    </row>
    <row r="8" spans="1:7" ht="12.75" customHeight="1" x14ac:dyDescent="0.35">
      <c r="C8" s="686"/>
      <c r="D8" s="44"/>
    </row>
    <row r="9" spans="1:7" ht="12" customHeight="1" x14ac:dyDescent="0.3">
      <c r="C9" s="687"/>
      <c r="D9" s="45"/>
    </row>
    <row r="10" spans="1:7" ht="25.5" x14ac:dyDescent="0.3">
      <c r="C10" s="688" t="s">
        <v>672</v>
      </c>
      <c r="D10" s="46" t="s">
        <v>694</v>
      </c>
    </row>
    <row r="11" spans="1:7" ht="16.5" x14ac:dyDescent="0.3">
      <c r="C11" s="687" t="s">
        <v>1272</v>
      </c>
      <c r="D11" s="45"/>
    </row>
    <row r="12" spans="1:7" ht="25.5" x14ac:dyDescent="0.3">
      <c r="C12" s="688" t="s">
        <v>673</v>
      </c>
      <c r="D12" s="46" t="s">
        <v>688</v>
      </c>
    </row>
    <row r="13" spans="1:7" x14ac:dyDescent="0.3">
      <c r="C13" s="688" t="s">
        <v>1272</v>
      </c>
      <c r="D13" s="46"/>
    </row>
    <row r="14" spans="1:7" ht="38.25" x14ac:dyDescent="0.3">
      <c r="C14" s="689" t="s">
        <v>674</v>
      </c>
      <c r="D14" s="46" t="s">
        <v>546</v>
      </c>
    </row>
    <row r="15" spans="1:7" x14ac:dyDescent="0.3">
      <c r="C15" s="688" t="s">
        <v>1272</v>
      </c>
      <c r="D15" s="46"/>
    </row>
    <row r="16" spans="1:7" ht="25.5" x14ac:dyDescent="0.3">
      <c r="C16" s="688" t="s">
        <v>675</v>
      </c>
      <c r="D16" s="46" t="s">
        <v>663</v>
      </c>
    </row>
    <row r="17" spans="3:4" x14ac:dyDescent="0.3">
      <c r="C17" s="688" t="s">
        <v>1272</v>
      </c>
      <c r="D17" s="46"/>
    </row>
    <row r="18" spans="3:4" ht="25.5" x14ac:dyDescent="0.3">
      <c r="C18" s="688" t="s">
        <v>676</v>
      </c>
      <c r="D18" s="46" t="s">
        <v>532</v>
      </c>
    </row>
    <row r="19" spans="3:4" x14ac:dyDescent="0.3">
      <c r="C19" s="688" t="s">
        <v>1272</v>
      </c>
      <c r="D19" s="46"/>
    </row>
    <row r="20" spans="3:4" ht="25.5" x14ac:dyDescent="0.3">
      <c r="C20" s="689" t="s">
        <v>677</v>
      </c>
      <c r="D20" s="46" t="s">
        <v>571</v>
      </c>
    </row>
    <row r="21" spans="3:4" x14ac:dyDescent="0.3">
      <c r="C21" s="689" t="s">
        <v>1272</v>
      </c>
      <c r="D21" s="46" t="s">
        <v>533</v>
      </c>
    </row>
    <row r="22" spans="3:4" x14ac:dyDescent="0.3">
      <c r="C22" s="688" t="s">
        <v>1272</v>
      </c>
      <c r="D22" s="46"/>
    </row>
    <row r="23" spans="3:4" ht="38.25" x14ac:dyDescent="0.3">
      <c r="C23" s="689" t="s">
        <v>472</v>
      </c>
      <c r="D23" s="46" t="s">
        <v>480</v>
      </c>
    </row>
    <row r="24" spans="3:4" x14ac:dyDescent="0.3">
      <c r="C24" s="688"/>
      <c r="D24" s="46"/>
    </row>
    <row r="25" spans="3:4" x14ac:dyDescent="0.3">
      <c r="C25" s="689" t="s">
        <v>678</v>
      </c>
      <c r="D25" s="46" t="s">
        <v>689</v>
      </c>
    </row>
    <row r="26" spans="3:4" x14ac:dyDescent="0.3">
      <c r="C26" s="689" t="s">
        <v>1272</v>
      </c>
      <c r="D26" s="46"/>
    </row>
    <row r="27" spans="3:4" ht="51" x14ac:dyDescent="0.3">
      <c r="C27" s="689" t="s">
        <v>468</v>
      </c>
      <c r="D27" s="46" t="s">
        <v>547</v>
      </c>
    </row>
    <row r="28" spans="3:4" x14ac:dyDescent="0.3">
      <c r="C28" s="690" t="s">
        <v>469</v>
      </c>
      <c r="D28" s="553"/>
    </row>
    <row r="29" spans="3:4" x14ac:dyDescent="0.3">
      <c r="C29" s="690" t="s">
        <v>470</v>
      </c>
      <c r="D29" s="553"/>
    </row>
    <row r="30" spans="3:4" x14ac:dyDescent="0.3">
      <c r="C30" s="690" t="s">
        <v>471</v>
      </c>
      <c r="D30" s="553"/>
    </row>
    <row r="31" spans="3:4" x14ac:dyDescent="0.3">
      <c r="C31" s="689"/>
      <c r="D31" s="46"/>
    </row>
    <row r="32" spans="3:4" x14ac:dyDescent="0.3">
      <c r="C32" s="689" t="s">
        <v>679</v>
      </c>
      <c r="D32" s="46" t="s">
        <v>690</v>
      </c>
    </row>
    <row r="33" spans="3:4" ht="25.5" x14ac:dyDescent="0.3">
      <c r="C33" s="691" t="s">
        <v>1272</v>
      </c>
      <c r="D33" s="46" t="s">
        <v>534</v>
      </c>
    </row>
    <row r="34" spans="3:4" x14ac:dyDescent="0.3">
      <c r="C34" s="689" t="s">
        <v>1272</v>
      </c>
      <c r="D34" s="46"/>
    </row>
    <row r="35" spans="3:4" x14ac:dyDescent="0.3">
      <c r="C35" s="689" t="s">
        <v>680</v>
      </c>
      <c r="D35" s="46" t="s">
        <v>691</v>
      </c>
    </row>
    <row r="36" spans="3:4" x14ac:dyDescent="0.3">
      <c r="C36" s="689" t="s">
        <v>1272</v>
      </c>
      <c r="D36" s="46"/>
    </row>
    <row r="37" spans="3:4" x14ac:dyDescent="0.3">
      <c r="C37" s="689" t="s">
        <v>681</v>
      </c>
      <c r="D37" s="46" t="s">
        <v>692</v>
      </c>
    </row>
    <row r="38" spans="3:4" x14ac:dyDescent="0.3">
      <c r="C38" s="689" t="s">
        <v>1272</v>
      </c>
      <c r="D38" s="46"/>
    </row>
    <row r="39" spans="3:4" ht="25.5" x14ac:dyDescent="0.3">
      <c r="C39" s="689" t="s">
        <v>682</v>
      </c>
      <c r="D39" s="46" t="s">
        <v>487</v>
      </c>
    </row>
    <row r="40" spans="3:4" ht="25.5" x14ac:dyDescent="0.3">
      <c r="C40" s="689" t="s">
        <v>1272</v>
      </c>
      <c r="D40" s="46" t="s">
        <v>746</v>
      </c>
    </row>
    <row r="41" spans="3:4" ht="27.75" x14ac:dyDescent="0.3">
      <c r="C41" s="689" t="s">
        <v>1272</v>
      </c>
      <c r="D41" s="46" t="s">
        <v>793</v>
      </c>
    </row>
    <row r="42" spans="3:4" x14ac:dyDescent="0.3">
      <c r="C42" s="689" t="s">
        <v>1272</v>
      </c>
      <c r="D42" s="46" t="s">
        <v>693</v>
      </c>
    </row>
    <row r="43" spans="3:4" x14ac:dyDescent="0.3">
      <c r="C43" s="689" t="s">
        <v>1272</v>
      </c>
      <c r="D43" s="46" t="s">
        <v>713</v>
      </c>
    </row>
    <row r="44" spans="3:4" ht="24.75" customHeight="1" x14ac:dyDescent="0.3">
      <c r="C44" s="689" t="s">
        <v>1272</v>
      </c>
      <c r="D44" s="46" t="s">
        <v>572</v>
      </c>
    </row>
    <row r="45" spans="3:4" x14ac:dyDescent="0.3">
      <c r="C45" s="689" t="s">
        <v>1272</v>
      </c>
      <c r="D45" s="46"/>
    </row>
    <row r="46" spans="3:4" x14ac:dyDescent="0.3">
      <c r="C46" s="689" t="s">
        <v>1272</v>
      </c>
      <c r="D46" s="46" t="s">
        <v>503</v>
      </c>
    </row>
    <row r="47" spans="3:4" x14ac:dyDescent="0.3">
      <c r="C47" s="689" t="s">
        <v>1272</v>
      </c>
      <c r="D47" s="46"/>
    </row>
    <row r="48" spans="3:4" x14ac:dyDescent="0.3">
      <c r="C48" s="689" t="s">
        <v>1272</v>
      </c>
      <c r="D48" s="46"/>
    </row>
    <row r="49" spans="3:4" x14ac:dyDescent="0.3">
      <c r="C49" s="689" t="s">
        <v>1272</v>
      </c>
      <c r="D49" s="46"/>
    </row>
    <row r="50" spans="3:4" x14ac:dyDescent="0.3">
      <c r="C50" s="689" t="s">
        <v>1272</v>
      </c>
      <c r="D50" s="46"/>
    </row>
    <row r="51" spans="3:4" x14ac:dyDescent="0.3">
      <c r="C51" s="689" t="s">
        <v>1272</v>
      </c>
      <c r="D51" s="46"/>
    </row>
    <row r="52" spans="3:4" x14ac:dyDescent="0.3">
      <c r="C52" s="689" t="s">
        <v>1272</v>
      </c>
      <c r="D52" s="46"/>
    </row>
    <row r="53" spans="3:4" x14ac:dyDescent="0.3">
      <c r="C53" s="689" t="s">
        <v>1272</v>
      </c>
      <c r="D53" s="46"/>
    </row>
    <row r="54" spans="3:4" x14ac:dyDescent="0.3">
      <c r="C54" s="689" t="s">
        <v>1272</v>
      </c>
      <c r="D54" s="46"/>
    </row>
    <row r="55" spans="3:4" x14ac:dyDescent="0.3">
      <c r="C55" s="689" t="s">
        <v>1272</v>
      </c>
      <c r="D55" s="46"/>
    </row>
    <row r="56" spans="3:4" x14ac:dyDescent="0.3">
      <c r="C56" s="689" t="s">
        <v>1272</v>
      </c>
      <c r="D56" s="46"/>
    </row>
    <row r="57" spans="3:4" x14ac:dyDescent="0.3">
      <c r="C57" s="689" t="s">
        <v>1272</v>
      </c>
      <c r="D57" s="46"/>
    </row>
    <row r="58" spans="3:4" x14ac:dyDescent="0.3">
      <c r="C58" s="689" t="s">
        <v>1272</v>
      </c>
      <c r="D58" s="46"/>
    </row>
    <row r="59" spans="3:4" x14ac:dyDescent="0.3">
      <c r="C59" s="689" t="s">
        <v>1272</v>
      </c>
      <c r="D59" s="46"/>
    </row>
    <row r="60" spans="3:4" x14ac:dyDescent="0.3">
      <c r="C60" s="689" t="s">
        <v>1272</v>
      </c>
      <c r="D60" s="46"/>
    </row>
    <row r="61" spans="3:4" x14ac:dyDescent="0.3">
      <c r="C61" s="689" t="s">
        <v>1272</v>
      </c>
      <c r="D61" s="46"/>
    </row>
    <row r="62" spans="3:4" x14ac:dyDescent="0.3">
      <c r="C62" s="689" t="s">
        <v>1272</v>
      </c>
      <c r="D62" s="46"/>
    </row>
    <row r="63" spans="3:4" x14ac:dyDescent="0.3">
      <c r="C63" s="689" t="s">
        <v>1272</v>
      </c>
      <c r="D63" s="46"/>
    </row>
    <row r="64" spans="3:4" x14ac:dyDescent="0.3">
      <c r="C64" s="689" t="s">
        <v>1272</v>
      </c>
      <c r="D64" s="46"/>
    </row>
    <row r="65" spans="3:4" x14ac:dyDescent="0.3">
      <c r="C65" s="689" t="s">
        <v>1272</v>
      </c>
      <c r="D65" s="46"/>
    </row>
    <row r="66" spans="3:4" x14ac:dyDescent="0.3">
      <c r="C66" s="689" t="s">
        <v>1272</v>
      </c>
      <c r="D66" s="46"/>
    </row>
    <row r="67" spans="3:4" x14ac:dyDescent="0.3">
      <c r="C67" s="689" t="s">
        <v>1272</v>
      </c>
      <c r="D67" s="46"/>
    </row>
    <row r="68" spans="3:4" x14ac:dyDescent="0.3">
      <c r="C68" s="689" t="s">
        <v>1272</v>
      </c>
      <c r="D68" s="46"/>
    </row>
    <row r="69" spans="3:4" x14ac:dyDescent="0.3">
      <c r="C69" s="689" t="s">
        <v>1272</v>
      </c>
      <c r="D69" s="46"/>
    </row>
    <row r="70" spans="3:4" x14ac:dyDescent="0.3">
      <c r="C70" s="689" t="s">
        <v>1272</v>
      </c>
      <c r="D70" s="46"/>
    </row>
    <row r="71" spans="3:4" x14ac:dyDescent="0.3">
      <c r="C71" s="689" t="s">
        <v>1272</v>
      </c>
      <c r="D71" s="46"/>
    </row>
    <row r="72" spans="3:4" x14ac:dyDescent="0.3">
      <c r="C72" s="689" t="s">
        <v>1272</v>
      </c>
      <c r="D72" s="46"/>
    </row>
    <row r="73" spans="3:4" ht="25.5" x14ac:dyDescent="0.3">
      <c r="C73" s="689" t="s">
        <v>683</v>
      </c>
      <c r="D73" s="46" t="s">
        <v>535</v>
      </c>
    </row>
    <row r="74" spans="3:4" x14ac:dyDescent="0.3">
      <c r="C74" s="689" t="s">
        <v>1272</v>
      </c>
      <c r="D74" s="46"/>
    </row>
    <row r="75" spans="3:4" ht="25.5" x14ac:dyDescent="0.3">
      <c r="C75" s="689" t="s">
        <v>684</v>
      </c>
      <c r="D75" s="46" t="s">
        <v>536</v>
      </c>
    </row>
    <row r="76" spans="3:4" ht="51" x14ac:dyDescent="0.3">
      <c r="C76" s="689" t="s">
        <v>1272</v>
      </c>
      <c r="D76" s="46" t="s">
        <v>543</v>
      </c>
    </row>
    <row r="77" spans="3:4" ht="38.25" x14ac:dyDescent="0.3">
      <c r="C77" s="689" t="s">
        <v>1272</v>
      </c>
      <c r="D77" s="46" t="s">
        <v>548</v>
      </c>
    </row>
    <row r="78" spans="3:4" x14ac:dyDescent="0.3">
      <c r="C78" s="689" t="s">
        <v>1272</v>
      </c>
      <c r="D78" s="46"/>
    </row>
    <row r="79" spans="3:4" x14ac:dyDescent="0.3">
      <c r="C79" s="689" t="s">
        <v>685</v>
      </c>
      <c r="D79" s="46" t="s">
        <v>537</v>
      </c>
    </row>
    <row r="80" spans="3:4" x14ac:dyDescent="0.3">
      <c r="C80" s="689" t="s">
        <v>1272</v>
      </c>
      <c r="D80" s="46"/>
    </row>
    <row r="81" spans="3:4" ht="25.5" x14ac:dyDescent="0.3">
      <c r="C81" s="689" t="s">
        <v>686</v>
      </c>
      <c r="D81" s="46" t="s">
        <v>752</v>
      </c>
    </row>
    <row r="82" spans="3:4" x14ac:dyDescent="0.3">
      <c r="C82" s="689" t="s">
        <v>1272</v>
      </c>
      <c r="D82" s="46"/>
    </row>
    <row r="83" spans="3:4" ht="25.5" x14ac:dyDescent="0.3">
      <c r="C83" s="689" t="s">
        <v>518</v>
      </c>
      <c r="D83" s="294" t="s">
        <v>566</v>
      </c>
    </row>
    <row r="84" spans="3:4" x14ac:dyDescent="0.3">
      <c r="C84" s="692"/>
      <c r="D84" s="294" t="s">
        <v>567</v>
      </c>
    </row>
    <row r="85" spans="3:4" ht="38.25" x14ac:dyDescent="0.3">
      <c r="C85" s="692"/>
      <c r="D85" s="294" t="s">
        <v>573</v>
      </c>
    </row>
    <row r="86" spans="3:4" ht="25.5" x14ac:dyDescent="0.3">
      <c r="C86" s="693"/>
      <c r="D86" s="294" t="s">
        <v>568</v>
      </c>
    </row>
    <row r="87" spans="3:4" ht="25.5" x14ac:dyDescent="0.3">
      <c r="C87" s="693"/>
      <c r="D87" s="294" t="s">
        <v>569</v>
      </c>
    </row>
    <row r="88" spans="3:4" ht="38.25" x14ac:dyDescent="0.3">
      <c r="C88" s="693"/>
      <c r="D88" s="294" t="s">
        <v>549</v>
      </c>
    </row>
    <row r="89" spans="3:4" x14ac:dyDescent="0.3">
      <c r="C89" s="693"/>
      <c r="D89" s="294" t="s">
        <v>550</v>
      </c>
    </row>
    <row r="90" spans="3:4" ht="25.5" x14ac:dyDescent="0.3">
      <c r="C90" s="693"/>
      <c r="D90" s="294" t="s">
        <v>552</v>
      </c>
    </row>
    <row r="91" spans="3:4" ht="25.5" x14ac:dyDescent="0.3">
      <c r="C91" s="693"/>
      <c r="D91" s="294" t="s">
        <v>553</v>
      </c>
    </row>
    <row r="92" spans="3:4" x14ac:dyDescent="0.3">
      <c r="C92" s="689"/>
      <c r="D92" s="46"/>
    </row>
    <row r="93" spans="3:4" ht="63.75" x14ac:dyDescent="0.3">
      <c r="C93" s="689" t="s">
        <v>554</v>
      </c>
      <c r="D93" s="294" t="s">
        <v>555</v>
      </c>
    </row>
    <row r="94" spans="3:4" x14ac:dyDescent="0.3">
      <c r="C94" s="689"/>
      <c r="D94" s="294"/>
    </row>
    <row r="95" spans="3:4" ht="38.25" x14ac:dyDescent="0.3">
      <c r="C95" s="689" t="s">
        <v>556</v>
      </c>
      <c r="D95" s="294" t="s">
        <v>557</v>
      </c>
    </row>
    <row r="96" spans="3:4" x14ac:dyDescent="0.3">
      <c r="C96" s="689"/>
      <c r="D96" s="294"/>
    </row>
    <row r="97" spans="3:4" ht="25.5" x14ac:dyDescent="0.3">
      <c r="C97" s="689" t="s">
        <v>558</v>
      </c>
      <c r="D97" s="294" t="s">
        <v>559</v>
      </c>
    </row>
    <row r="98" spans="3:4" x14ac:dyDescent="0.3">
      <c r="C98" s="689"/>
      <c r="D98" s="294"/>
    </row>
    <row r="99" spans="3:4" ht="25.5" x14ac:dyDescent="0.3">
      <c r="C99" s="689" t="s">
        <v>560</v>
      </c>
      <c r="D99" s="294" t="s">
        <v>551</v>
      </c>
    </row>
    <row r="100" spans="3:4" x14ac:dyDescent="0.3">
      <c r="C100" s="689"/>
      <c r="D100" s="294"/>
    </row>
    <row r="101" spans="3:4" ht="38.25" x14ac:dyDescent="0.3">
      <c r="C101" s="689" t="s">
        <v>561</v>
      </c>
      <c r="D101" s="294" t="s">
        <v>563</v>
      </c>
    </row>
    <row r="102" spans="3:4" x14ac:dyDescent="0.3">
      <c r="C102" s="689"/>
      <c r="D102" s="294"/>
    </row>
    <row r="103" spans="3:4" ht="25.5" x14ac:dyDescent="0.3">
      <c r="C103" s="689" t="s">
        <v>564</v>
      </c>
      <c r="D103" s="294" t="s">
        <v>565</v>
      </c>
    </row>
    <row r="104" spans="3:4" x14ac:dyDescent="0.3">
      <c r="C104" s="689"/>
      <c r="D104" s="294"/>
    </row>
    <row r="105" spans="3:4" x14ac:dyDescent="0.3">
      <c r="C105" s="689" t="s">
        <v>668</v>
      </c>
      <c r="D105" s="47" t="s">
        <v>538</v>
      </c>
    </row>
    <row r="106" spans="3:4" x14ac:dyDescent="0.3">
      <c r="C106" s="689"/>
      <c r="D106" s="694" t="s">
        <v>664</v>
      </c>
    </row>
    <row r="107" spans="3:4" x14ac:dyDescent="0.3">
      <c r="C107" s="689"/>
      <c r="D107" s="694" t="s">
        <v>665</v>
      </c>
    </row>
    <row r="108" spans="3:4" x14ac:dyDescent="0.3">
      <c r="C108" s="689"/>
      <c r="D108" s="694" t="s">
        <v>1336</v>
      </c>
    </row>
    <row r="109" spans="3:4" x14ac:dyDescent="0.3">
      <c r="C109" s="689"/>
      <c r="D109" s="48"/>
    </row>
    <row r="110" spans="3:4" x14ac:dyDescent="0.3">
      <c r="C110" s="689" t="s">
        <v>669</v>
      </c>
      <c r="D110" s="47" t="s">
        <v>1273</v>
      </c>
    </row>
    <row r="111" spans="3:4" x14ac:dyDescent="0.3">
      <c r="C111" s="689" t="s">
        <v>621</v>
      </c>
      <c r="D111" s="47" t="s">
        <v>622</v>
      </c>
    </row>
    <row r="112" spans="3:4" x14ac:dyDescent="0.3">
      <c r="C112" s="689" t="s">
        <v>670</v>
      </c>
      <c r="D112" s="49" t="s">
        <v>539</v>
      </c>
    </row>
    <row r="113" spans="1:4" x14ac:dyDescent="0.3">
      <c r="C113" s="689"/>
      <c r="D113" s="694" t="s">
        <v>570</v>
      </c>
    </row>
    <row r="114" spans="1:4" x14ac:dyDescent="0.3">
      <c r="A114" s="2"/>
      <c r="C114" s="689"/>
    </row>
    <row r="115" spans="1:4" x14ac:dyDescent="0.3">
      <c r="A115" s="2"/>
      <c r="C115" s="689" t="s">
        <v>671</v>
      </c>
      <c r="D115" s="294" t="s">
        <v>540</v>
      </c>
    </row>
    <row r="116" spans="1:4" x14ac:dyDescent="0.3">
      <c r="C116" s="687"/>
      <c r="D116" s="694" t="s">
        <v>541</v>
      </c>
    </row>
    <row r="139" spans="1:1" x14ac:dyDescent="0.3">
      <c r="A139" s="765"/>
    </row>
    <row r="140" spans="1:1" x14ac:dyDescent="0.3">
      <c r="A140" s="765"/>
    </row>
    <row r="141" spans="1:1" x14ac:dyDescent="0.3">
      <c r="A141" s="765"/>
    </row>
    <row r="142" spans="1:1" x14ac:dyDescent="0.3">
      <c r="A142" s="765"/>
    </row>
    <row r="143" spans="1:1" x14ac:dyDescent="0.3">
      <c r="A143" s="765"/>
    </row>
    <row r="144" spans="1:1" x14ac:dyDescent="0.3">
      <c r="A144" s="765"/>
    </row>
    <row r="145" spans="1:1" x14ac:dyDescent="0.3">
      <c r="A145" s="765"/>
    </row>
    <row r="146" spans="1:1" x14ac:dyDescent="0.3">
      <c r="A146" s="765"/>
    </row>
    <row r="147" spans="1:1" x14ac:dyDescent="0.3">
      <c r="A147" s="765"/>
    </row>
    <row r="148" spans="1:1" x14ac:dyDescent="0.3">
      <c r="A148" s="765"/>
    </row>
    <row r="149" spans="1:1" x14ac:dyDescent="0.3">
      <c r="A149" s="765"/>
    </row>
    <row r="150" spans="1:1" x14ac:dyDescent="0.3">
      <c r="A150" s="765"/>
    </row>
    <row r="151" spans="1:1" x14ac:dyDescent="0.3">
      <c r="A151" s="765"/>
    </row>
    <row r="152" spans="1:1" x14ac:dyDescent="0.3">
      <c r="A152" s="765"/>
    </row>
    <row r="153" spans="1:1" x14ac:dyDescent="0.3">
      <c r="A153" s="765"/>
    </row>
    <row r="154" spans="1:1" x14ac:dyDescent="0.3">
      <c r="A154" s="765"/>
    </row>
    <row r="155" spans="1:1" x14ac:dyDescent="0.3">
      <c r="A155" s="765"/>
    </row>
    <row r="156" spans="1:1" x14ac:dyDescent="0.3">
      <c r="A156" s="765"/>
    </row>
    <row r="157" spans="1:1" x14ac:dyDescent="0.3">
      <c r="A157" s="765"/>
    </row>
    <row r="158" spans="1:1" x14ac:dyDescent="0.3">
      <c r="A158" s="765"/>
    </row>
    <row r="159" spans="1:1" x14ac:dyDescent="0.3">
      <c r="A159" s="765"/>
    </row>
    <row r="160" spans="1:1" x14ac:dyDescent="0.3">
      <c r="A160" s="765"/>
    </row>
    <row r="161" spans="1:1" x14ac:dyDescent="0.3">
      <c r="A161" s="765"/>
    </row>
  </sheetData>
  <sheetProtection sheet="1" objects="1" scenarios="1"/>
  <mergeCells count="1">
    <mergeCell ref="A139:A161"/>
  </mergeCells>
  <phoneticPr fontId="2" type="noConversion"/>
  <dataValidations disablePrompts="1" count="1">
    <dataValidation type="list" allowBlank="1" showInputMessage="1" showErrorMessage="1" sqref="D28:D30">
      <formula1>teamnames</formula1>
    </dataValidation>
  </dataValidations>
  <hyperlinks>
    <hyperlink ref="D106" r:id="rId1" tooltip="Nemzeti Sport Online"/>
    <hyperlink ref="D107" r:id="rId2" tooltip="Mail to NSO"/>
    <hyperlink ref="D116" r:id="rId3" tooltip="További szurkolói füzetek"/>
    <hyperlink ref="D113" r:id="rId4" tooltip="UEFA kisfilm"/>
    <hyperlink ref="D108" r:id="rId5" tooltip="Mail to Gyworks"/>
  </hyperlinks>
  <pageMargins left="0.31496062992125984" right="0.31496062992125984" top="0.51181102362204722" bottom="0.51181102362204722" header="0.51181102362204722" footer="0.51181102362204722"/>
  <pageSetup paperSize="9" scale="78" orientation="landscape" horizontalDpi="300" verticalDpi="300" r:id="rId6"/>
  <headerFooter alignWithMargins="0"/>
  <rowBreaks count="3" manualBreakCount="3">
    <brk id="34" max="4" man="1"/>
    <brk id="71" max="4" man="1"/>
    <brk id="94" max="4" man="1"/>
  </rowBreaks>
  <drawing r:id="rId7"/>
  <picture r:id="rId8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2"/>
  <dimension ref="A1:AB100"/>
  <sheetViews>
    <sheetView workbookViewId="0"/>
  </sheetViews>
  <sheetFormatPr defaultRowHeight="12.75" x14ac:dyDescent="0.2"/>
  <cols>
    <col min="1" max="13" width="9.140625" style="751" customWidth="1"/>
    <col min="14" max="14" width="9.140625" style="752" customWidth="1"/>
    <col min="15" max="28" width="9.140625" style="751" customWidth="1"/>
    <col min="29" max="16384" width="9.140625" style="751"/>
  </cols>
  <sheetData>
    <row r="1" spans="1:16" x14ac:dyDescent="0.2">
      <c r="A1" s="751" t="s">
        <v>645</v>
      </c>
      <c r="B1" s="751" t="s">
        <v>646</v>
      </c>
      <c r="C1" s="751" t="s">
        <v>647</v>
      </c>
      <c r="D1" s="751" t="s">
        <v>648</v>
      </c>
      <c r="E1" s="751" t="s">
        <v>807</v>
      </c>
      <c r="F1" s="751" t="s">
        <v>656</v>
      </c>
    </row>
    <row r="2" spans="1:16" x14ac:dyDescent="0.2">
      <c r="A2" s="752" t="s">
        <v>526</v>
      </c>
      <c r="B2" s="752" t="s">
        <v>1148</v>
      </c>
      <c r="C2" s="751" t="s">
        <v>1151</v>
      </c>
      <c r="D2" s="751" t="s">
        <v>1224</v>
      </c>
      <c r="E2" s="751" t="s">
        <v>1226</v>
      </c>
      <c r="F2" s="753" t="s">
        <v>1326</v>
      </c>
      <c r="G2" s="752"/>
      <c r="I2" s="753"/>
      <c r="K2" s="751" t="s">
        <v>482</v>
      </c>
      <c r="L2" s="751" t="s">
        <v>483</v>
      </c>
      <c r="M2" s="751" t="s">
        <v>523</v>
      </c>
      <c r="N2" s="752" t="s">
        <v>524</v>
      </c>
    </row>
    <row r="3" spans="1:16" x14ac:dyDescent="0.2">
      <c r="A3" s="751" t="s">
        <v>1225</v>
      </c>
      <c r="B3" s="751" t="s">
        <v>1149</v>
      </c>
      <c r="C3" s="751" t="s">
        <v>522</v>
      </c>
      <c r="D3" s="751" t="s">
        <v>575</v>
      </c>
      <c r="E3" s="752" t="s">
        <v>525</v>
      </c>
      <c r="F3" s="753" t="s">
        <v>530</v>
      </c>
      <c r="G3" s="752"/>
      <c r="I3" s="753"/>
      <c r="J3" s="751" t="s">
        <v>422</v>
      </c>
      <c r="K3" s="751" t="s">
        <v>425</v>
      </c>
      <c r="L3" s="751" t="s">
        <v>424</v>
      </c>
      <c r="M3" s="752" t="s">
        <v>426</v>
      </c>
      <c r="N3" s="751" t="s">
        <v>423</v>
      </c>
    </row>
    <row r="4" spans="1:16" x14ac:dyDescent="0.2">
      <c r="A4" s="752" t="s">
        <v>521</v>
      </c>
      <c r="B4" s="751" t="s">
        <v>520</v>
      </c>
      <c r="C4" s="751" t="s">
        <v>528</v>
      </c>
      <c r="D4" s="751" t="s">
        <v>1324</v>
      </c>
      <c r="E4" s="752" t="s">
        <v>529</v>
      </c>
      <c r="F4" s="753" t="s">
        <v>812</v>
      </c>
      <c r="G4" s="752"/>
      <c r="I4" s="753"/>
      <c r="J4" s="751" t="s">
        <v>427</v>
      </c>
      <c r="K4" s="751" t="s">
        <v>425</v>
      </c>
      <c r="L4" s="752" t="s">
        <v>428</v>
      </c>
      <c r="M4" s="751" t="s">
        <v>426</v>
      </c>
      <c r="N4" s="751" t="s">
        <v>423</v>
      </c>
    </row>
    <row r="5" spans="1:16" x14ac:dyDescent="0.2">
      <c r="A5" s="751" t="s">
        <v>1227</v>
      </c>
      <c r="B5" s="751" t="s">
        <v>1150</v>
      </c>
      <c r="C5" s="751" t="s">
        <v>1323</v>
      </c>
      <c r="D5" s="751" t="s">
        <v>519</v>
      </c>
      <c r="E5" s="751" t="s">
        <v>1325</v>
      </c>
      <c r="F5" s="753" t="s">
        <v>527</v>
      </c>
      <c r="G5" s="752"/>
      <c r="I5" s="753"/>
      <c r="J5" s="751" t="s">
        <v>429</v>
      </c>
      <c r="K5" s="751" t="s">
        <v>425</v>
      </c>
      <c r="L5" s="752" t="s">
        <v>430</v>
      </c>
      <c r="M5" s="751" t="s">
        <v>426</v>
      </c>
      <c r="N5" s="751" t="s">
        <v>423</v>
      </c>
    </row>
    <row r="6" spans="1:16" x14ac:dyDescent="0.2">
      <c r="B6" s="752"/>
      <c r="D6" s="752"/>
      <c r="J6" s="751" t="s">
        <v>431</v>
      </c>
      <c r="K6" s="751" t="s">
        <v>424</v>
      </c>
      <c r="L6" s="752" t="s">
        <v>428</v>
      </c>
      <c r="M6" s="751" t="s">
        <v>425</v>
      </c>
      <c r="N6" s="751" t="s">
        <v>426</v>
      </c>
    </row>
    <row r="7" spans="1:16" x14ac:dyDescent="0.2">
      <c r="B7" s="752"/>
      <c r="C7" s="754"/>
      <c r="D7" s="752"/>
      <c r="J7" s="751" t="s">
        <v>432</v>
      </c>
      <c r="K7" s="751" t="s">
        <v>424</v>
      </c>
      <c r="L7" s="751" t="s">
        <v>430</v>
      </c>
      <c r="M7" s="751" t="s">
        <v>425</v>
      </c>
      <c r="N7" s="752" t="s">
        <v>426</v>
      </c>
    </row>
    <row r="8" spans="1:16" x14ac:dyDescent="0.2">
      <c r="A8" s="755" t="s">
        <v>1282</v>
      </c>
      <c r="B8" s="755" t="s">
        <v>1289</v>
      </c>
      <c r="C8" s="754" t="s">
        <v>1309</v>
      </c>
      <c r="D8" s="752" t="s">
        <v>1300</v>
      </c>
      <c r="E8" s="756">
        <v>0</v>
      </c>
      <c r="G8" s="751">
        <v>1</v>
      </c>
      <c r="H8" s="753" t="s">
        <v>626</v>
      </c>
      <c r="J8" s="751" t="s">
        <v>433</v>
      </c>
      <c r="K8" s="751" t="s">
        <v>428</v>
      </c>
      <c r="L8" s="751" t="s">
        <v>430</v>
      </c>
      <c r="M8" s="751" t="s">
        <v>426</v>
      </c>
      <c r="N8" s="752" t="s">
        <v>425</v>
      </c>
      <c r="O8" s="751" t="s">
        <v>962</v>
      </c>
      <c r="P8" s="751" t="str">
        <f>""</f>
        <v/>
      </c>
    </row>
    <row r="9" spans="1:16" x14ac:dyDescent="0.2">
      <c r="A9" s="755" t="s">
        <v>1278</v>
      </c>
      <c r="B9" s="755" t="s">
        <v>1290</v>
      </c>
      <c r="C9" s="754" t="s">
        <v>1310</v>
      </c>
      <c r="D9" s="752" t="s">
        <v>1301</v>
      </c>
      <c r="E9" s="756">
        <f>-2/24</f>
        <v>-8.3333333333333329E-2</v>
      </c>
      <c r="G9" s="751">
        <v>2</v>
      </c>
      <c r="H9" s="753" t="s">
        <v>627</v>
      </c>
      <c r="J9" s="751" t="s">
        <v>434</v>
      </c>
      <c r="K9" s="751" t="s">
        <v>428</v>
      </c>
      <c r="L9" s="751" t="s">
        <v>424</v>
      </c>
      <c r="M9" s="751" t="s">
        <v>423</v>
      </c>
      <c r="N9" s="752" t="s">
        <v>425</v>
      </c>
      <c r="O9" s="752" t="s">
        <v>963</v>
      </c>
      <c r="P9" s="751" t="str">
        <f>""</f>
        <v/>
      </c>
    </row>
    <row r="10" spans="1:16" x14ac:dyDescent="0.2">
      <c r="A10" s="755" t="s">
        <v>1279</v>
      </c>
      <c r="B10" s="755" t="s">
        <v>1291</v>
      </c>
      <c r="C10" s="754" t="s">
        <v>1311</v>
      </c>
      <c r="D10" s="752" t="s">
        <v>1302</v>
      </c>
      <c r="E10" s="756">
        <f>-1/24</f>
        <v>-4.1666666666666664E-2</v>
      </c>
      <c r="G10" s="751">
        <v>3</v>
      </c>
      <c r="H10" s="753" t="s">
        <v>628</v>
      </c>
      <c r="J10" s="751" t="s">
        <v>435</v>
      </c>
      <c r="K10" s="751" t="s">
        <v>430</v>
      </c>
      <c r="L10" s="751" t="s">
        <v>424</v>
      </c>
      <c r="M10" s="751" t="s">
        <v>423</v>
      </c>
      <c r="N10" s="752" t="s">
        <v>425</v>
      </c>
      <c r="O10" s="752" t="s">
        <v>964</v>
      </c>
      <c r="P10" s="751" t="str">
        <f>""</f>
        <v/>
      </c>
    </row>
    <row r="11" spans="1:16" x14ac:dyDescent="0.2">
      <c r="A11" s="755" t="s">
        <v>1280</v>
      </c>
      <c r="B11" s="755" t="s">
        <v>1292</v>
      </c>
      <c r="C11" s="754" t="s">
        <v>1312</v>
      </c>
      <c r="D11" s="752" t="s">
        <v>1303</v>
      </c>
      <c r="E11" s="756">
        <v>0</v>
      </c>
      <c r="G11" s="751">
        <v>4</v>
      </c>
      <c r="H11" s="753" t="s">
        <v>629</v>
      </c>
      <c r="J11" s="751" t="s">
        <v>436</v>
      </c>
      <c r="K11" s="751" t="s">
        <v>428</v>
      </c>
      <c r="L11" s="751" t="s">
        <v>430</v>
      </c>
      <c r="M11" s="751" t="s">
        <v>423</v>
      </c>
      <c r="N11" s="752" t="s">
        <v>425</v>
      </c>
      <c r="O11" s="752" t="s">
        <v>965</v>
      </c>
      <c r="P11" s="751" t="str">
        <f>""</f>
        <v/>
      </c>
    </row>
    <row r="12" spans="1:16" x14ac:dyDescent="0.2">
      <c r="A12" s="755" t="s">
        <v>1281</v>
      </c>
      <c r="B12" s="755" t="s">
        <v>1297</v>
      </c>
      <c r="C12" s="754" t="s">
        <v>1313</v>
      </c>
      <c r="D12" s="752" t="s">
        <v>1304</v>
      </c>
      <c r="E12" s="756">
        <v>0</v>
      </c>
      <c r="G12" s="751">
        <v>5</v>
      </c>
      <c r="H12" s="753" t="s">
        <v>630</v>
      </c>
      <c r="J12" s="751" t="s">
        <v>437</v>
      </c>
      <c r="K12" s="751" t="s">
        <v>428</v>
      </c>
      <c r="L12" s="751" t="s">
        <v>430</v>
      </c>
      <c r="M12" s="751" t="s">
        <v>424</v>
      </c>
      <c r="N12" s="752" t="s">
        <v>425</v>
      </c>
      <c r="O12" s="752" t="s">
        <v>966</v>
      </c>
      <c r="P12" s="751" t="str">
        <f>""</f>
        <v/>
      </c>
    </row>
    <row r="13" spans="1:16" x14ac:dyDescent="0.2">
      <c r="A13" s="755" t="s">
        <v>1283</v>
      </c>
      <c r="B13" s="755" t="s">
        <v>1293</v>
      </c>
      <c r="C13" s="754" t="s">
        <v>1314</v>
      </c>
      <c r="D13" s="752" t="s">
        <v>1304</v>
      </c>
      <c r="E13" s="756">
        <f>-1/24</f>
        <v>-4.1666666666666664E-2</v>
      </c>
      <c r="G13" s="751">
        <v>6</v>
      </c>
      <c r="H13" s="753" t="s">
        <v>631</v>
      </c>
      <c r="J13" s="751" t="s">
        <v>438</v>
      </c>
      <c r="K13" s="751" t="s">
        <v>428</v>
      </c>
      <c r="L13" s="751" t="s">
        <v>424</v>
      </c>
      <c r="M13" s="751" t="s">
        <v>426</v>
      </c>
      <c r="N13" s="752" t="s">
        <v>423</v>
      </c>
      <c r="O13" s="752" t="s">
        <v>967</v>
      </c>
      <c r="P13" s="751" t="str">
        <f>""</f>
        <v/>
      </c>
    </row>
    <row r="14" spans="1:16" x14ac:dyDescent="0.2">
      <c r="A14" s="755" t="s">
        <v>1284</v>
      </c>
      <c r="B14" s="755" t="s">
        <v>1294</v>
      </c>
      <c r="C14" s="754" t="s">
        <v>1315</v>
      </c>
      <c r="D14" s="752" t="s">
        <v>1305</v>
      </c>
      <c r="E14" s="756">
        <f>1/24</f>
        <v>4.1666666666666664E-2</v>
      </c>
      <c r="G14" s="751">
        <v>7</v>
      </c>
      <c r="H14" s="753" t="s">
        <v>632</v>
      </c>
      <c r="J14" s="751" t="s">
        <v>439</v>
      </c>
      <c r="K14" s="751" t="s">
        <v>430</v>
      </c>
      <c r="L14" s="751" t="s">
        <v>424</v>
      </c>
      <c r="M14" s="751" t="s">
        <v>423</v>
      </c>
      <c r="N14" s="752" t="s">
        <v>426</v>
      </c>
      <c r="O14" s="752" t="s">
        <v>968</v>
      </c>
      <c r="P14" s="751" t="str">
        <f>""</f>
        <v/>
      </c>
    </row>
    <row r="15" spans="1:16" x14ac:dyDescent="0.2">
      <c r="A15" s="755" t="s">
        <v>1285</v>
      </c>
      <c r="B15" s="755" t="s">
        <v>1295</v>
      </c>
      <c r="C15" s="754" t="s">
        <v>1316</v>
      </c>
      <c r="D15" s="752" t="s">
        <v>1306</v>
      </c>
      <c r="E15" s="756">
        <f>1/24</f>
        <v>4.1666666666666664E-2</v>
      </c>
      <c r="J15" s="751" t="s">
        <v>440</v>
      </c>
      <c r="K15" s="751" t="s">
        <v>430</v>
      </c>
      <c r="L15" s="751" t="s">
        <v>428</v>
      </c>
      <c r="M15" s="751" t="s">
        <v>423</v>
      </c>
      <c r="N15" s="752" t="s">
        <v>426</v>
      </c>
      <c r="O15" s="752" t="s">
        <v>969</v>
      </c>
      <c r="P15" s="751" t="str">
        <f>""</f>
        <v/>
      </c>
    </row>
    <row r="16" spans="1:16" x14ac:dyDescent="0.2">
      <c r="A16" s="755" t="s">
        <v>847</v>
      </c>
      <c r="B16" s="755" t="s">
        <v>418</v>
      </c>
      <c r="C16" s="754" t="s">
        <v>419</v>
      </c>
      <c r="D16" s="752" t="s">
        <v>420</v>
      </c>
      <c r="E16" s="756">
        <v>0</v>
      </c>
      <c r="G16" s="757">
        <v>6</v>
      </c>
      <c r="H16" s="757">
        <v>7</v>
      </c>
      <c r="J16" s="751" t="s">
        <v>441</v>
      </c>
      <c r="K16" s="751" t="s">
        <v>430</v>
      </c>
      <c r="L16" s="751" t="s">
        <v>428</v>
      </c>
      <c r="M16" s="751" t="s">
        <v>424</v>
      </c>
      <c r="N16" s="752" t="s">
        <v>426</v>
      </c>
      <c r="O16" s="752" t="s">
        <v>1482</v>
      </c>
      <c r="P16" s="751" t="str">
        <f>""</f>
        <v/>
      </c>
    </row>
    <row r="17" spans="1:28" x14ac:dyDescent="0.2">
      <c r="A17" s="755" t="s">
        <v>1286</v>
      </c>
      <c r="B17" s="755" t="s">
        <v>1296</v>
      </c>
      <c r="C17" s="754" t="s">
        <v>1316</v>
      </c>
      <c r="D17" s="752" t="s">
        <v>1306</v>
      </c>
      <c r="E17" s="756">
        <f>1/24</f>
        <v>4.1666666666666664E-2</v>
      </c>
      <c r="G17" s="757" t="s">
        <v>576</v>
      </c>
      <c r="H17" s="757" t="s">
        <v>577</v>
      </c>
      <c r="I17" s="757"/>
      <c r="J17" s="751" t="s">
        <v>442</v>
      </c>
      <c r="K17" s="751" t="s">
        <v>430</v>
      </c>
      <c r="L17" s="751" t="s">
        <v>428</v>
      </c>
      <c r="M17" s="751" t="s">
        <v>424</v>
      </c>
      <c r="N17" s="752" t="s">
        <v>423</v>
      </c>
      <c r="O17" s="752" t="s">
        <v>970</v>
      </c>
      <c r="P17" s="751" t="str">
        <f>""</f>
        <v/>
      </c>
    </row>
    <row r="18" spans="1:28" x14ac:dyDescent="0.2">
      <c r="A18" s="755" t="s">
        <v>1287</v>
      </c>
      <c r="B18" s="755" t="s">
        <v>1298</v>
      </c>
      <c r="C18" s="754" t="s">
        <v>1317</v>
      </c>
      <c r="D18" s="752" t="s">
        <v>1307</v>
      </c>
      <c r="E18" s="756">
        <v>0</v>
      </c>
      <c r="G18" s="757" t="s">
        <v>578</v>
      </c>
      <c r="H18" s="757" t="s">
        <v>579</v>
      </c>
      <c r="I18" s="757"/>
      <c r="O18" s="752" t="s">
        <v>971</v>
      </c>
      <c r="P18" s="751" t="str">
        <f>""</f>
        <v/>
      </c>
    </row>
    <row r="19" spans="1:28" x14ac:dyDescent="0.2">
      <c r="A19" s="755" t="s">
        <v>1288</v>
      </c>
      <c r="B19" s="755" t="s">
        <v>1299</v>
      </c>
      <c r="C19" s="754" t="s">
        <v>1308</v>
      </c>
      <c r="D19" s="752" t="s">
        <v>1300</v>
      </c>
      <c r="E19" s="756">
        <v>0</v>
      </c>
      <c r="G19" s="758" t="s">
        <v>544</v>
      </c>
      <c r="H19" s="758" t="s">
        <v>545</v>
      </c>
      <c r="I19" s="757"/>
      <c r="O19" s="752" t="s">
        <v>1319</v>
      </c>
      <c r="P19" s="751" t="str">
        <f>""</f>
        <v/>
      </c>
    </row>
    <row r="20" spans="1:28" x14ac:dyDescent="0.2">
      <c r="B20" s="759"/>
      <c r="J20" s="755"/>
    </row>
    <row r="21" spans="1:28" x14ac:dyDescent="0.2">
      <c r="B21" s="759"/>
      <c r="J21" s="755"/>
    </row>
    <row r="22" spans="1:28" x14ac:dyDescent="0.2">
      <c r="J22" s="755"/>
      <c r="T22" s="757" t="s">
        <v>498</v>
      </c>
      <c r="U22" s="757" t="s">
        <v>1193</v>
      </c>
      <c r="V22" s="757" t="s">
        <v>496</v>
      </c>
      <c r="W22" s="757" t="s">
        <v>649</v>
      </c>
      <c r="X22" s="757" t="s">
        <v>650</v>
      </c>
      <c r="Y22" s="757" t="s">
        <v>484</v>
      </c>
      <c r="Z22" s="757" t="s">
        <v>486</v>
      </c>
      <c r="AA22" s="757" t="s">
        <v>485</v>
      </c>
    </row>
    <row r="23" spans="1:28" x14ac:dyDescent="0.2">
      <c r="F23" s="757">
        <v>20</v>
      </c>
      <c r="G23" s="757">
        <v>20</v>
      </c>
      <c r="T23" s="757">
        <v>19</v>
      </c>
      <c r="U23" s="757">
        <v>20</v>
      </c>
      <c r="V23" s="757">
        <v>3</v>
      </c>
      <c r="W23" s="757">
        <v>9</v>
      </c>
      <c r="X23" s="757">
        <v>10</v>
      </c>
      <c r="Y23" s="757">
        <v>15</v>
      </c>
      <c r="Z23" s="757">
        <v>17</v>
      </c>
      <c r="AA23" s="757">
        <v>18</v>
      </c>
    </row>
    <row r="24" spans="1:28" x14ac:dyDescent="0.2">
      <c r="A24" s="760">
        <v>1</v>
      </c>
      <c r="B24" s="759">
        <v>44358.875</v>
      </c>
      <c r="C24" s="757" t="s">
        <v>649</v>
      </c>
      <c r="D24" s="757">
        <v>1</v>
      </c>
      <c r="E24" s="757">
        <v>2</v>
      </c>
      <c r="F24" s="757"/>
      <c r="G24" s="757"/>
      <c r="H24" s="751" t="str">
        <f t="shared" ref="H24:H59" si="0">HLOOKUP(C24,teams,D24+1,FALSE)</f>
        <v>Törökország</v>
      </c>
      <c r="I24" s="751" t="str">
        <f t="shared" ref="I24:I59" si="1">HLOOKUP(C24,teams,E24+1,FALSE)</f>
        <v>Olaszország</v>
      </c>
      <c r="J24" s="751" t="s">
        <v>1282</v>
      </c>
      <c r="K24" s="751" t="str">
        <f t="shared" ref="K24:K55" si="2">VLOOKUP(J24,stadium,2,FALSE)</f>
        <v>Stadio Olimpico</v>
      </c>
      <c r="L24" s="751" t="s">
        <v>1259</v>
      </c>
      <c r="M24" s="751" t="s">
        <v>699</v>
      </c>
      <c r="N24" s="759">
        <f t="shared" ref="N24:N55" si="3">B24+VLOOKUP(J24,stadium,5,FALSE)</f>
        <v>44358.875</v>
      </c>
      <c r="O24" s="761" t="str">
        <f>IF(MOD(N24,1)=0,"24:00",TEXT(HOUR(N24),"00")&amp;":"&amp;TEXT(MINUTE(N24),"00"))</f>
        <v>21:00</v>
      </c>
      <c r="P24" s="762">
        <f>IF(O24="24:00",N24-1,N24)</f>
        <v>44358.875</v>
      </c>
      <c r="Q24" s="751" t="str">
        <f t="shared" ref="Q24:Q55" si="4">HLOOKUP(MONTH(P24),months,2,FALSE)&amp;". "&amp;DAY(P24)&amp;" – "&amp;O24</f>
        <v>jún. 11 – 21:00</v>
      </c>
      <c r="R24" s="752" t="str">
        <f t="shared" ref="R24:R55" si="5">HLOOKUP(MONTH(P24),months,3,FALSE)&amp;" "&amp;DAY(P24)&amp;". – "&amp;VLOOKUP(WEEKDAY(P24,2),days,2,FALSE)&amp;" "&amp;O24</f>
        <v>JÚNIUS 11. – PÉNTEK 21:00</v>
      </c>
      <c r="S24" s="754">
        <f t="shared" ref="S24:S55" si="6">MATCH(A24,n.er.index,0)</f>
        <v>1</v>
      </c>
      <c r="T24" s="751" t="str">
        <f t="shared" ref="T24:X33" si="7">INDEX(n.er,$S24,T$23)</f>
        <v/>
      </c>
      <c r="U24" s="751" t="str">
        <f t="shared" si="7"/>
        <v/>
      </c>
      <c r="V24" s="751" t="b">
        <f t="shared" si="7"/>
        <v>0</v>
      </c>
      <c r="W24" s="751" t="str">
        <f t="shared" si="7"/>
        <v/>
      </c>
      <c r="X24" s="751" t="str">
        <f t="shared" si="7"/>
        <v/>
      </c>
      <c r="AA24" s="751" t="str">
        <f>""</f>
        <v/>
      </c>
      <c r="AB24" s="753" t="str">
        <f t="shared" ref="AB24:AB55" si="8">H24&amp;"–"&amp;I24&amp;"  "&amp;IF(V24,W24&amp;"–"&amp;X24,"")&amp;IF(Y24,"  ("&amp;Z24&amp;"–"&amp;AA24&amp;")","")</f>
        <v xml:space="preserve">Törökország–Olaszország  </v>
      </c>
    </row>
    <row r="25" spans="1:28" x14ac:dyDescent="0.2">
      <c r="A25" s="760">
        <v>2</v>
      </c>
      <c r="B25" s="759">
        <f>B24+20/24</f>
        <v>44359.708333333336</v>
      </c>
      <c r="C25" s="757" t="s">
        <v>649</v>
      </c>
      <c r="D25" s="757">
        <v>3</v>
      </c>
      <c r="E25" s="757">
        <v>4</v>
      </c>
      <c r="F25" s="757"/>
      <c r="G25" s="757"/>
      <c r="H25" s="751" t="str">
        <f t="shared" si="0"/>
        <v>Wales</v>
      </c>
      <c r="I25" s="751" t="str">
        <f t="shared" si="1"/>
        <v>Svájc</v>
      </c>
      <c r="J25" s="755" t="s">
        <v>1278</v>
      </c>
      <c r="K25" s="751" t="str">
        <f t="shared" si="2"/>
        <v>Olimpiai Stadion</v>
      </c>
      <c r="L25" s="751" t="s">
        <v>1259</v>
      </c>
      <c r="M25" s="751" t="s">
        <v>699</v>
      </c>
      <c r="N25" s="759">
        <f t="shared" si="3"/>
        <v>44359.625</v>
      </c>
      <c r="O25" s="761" t="str">
        <f t="shared" ref="O25:O74" si="9">IF(MOD(N25,1)=0,"24:00",TEXT(HOUR(N25),"00")&amp;":"&amp;TEXT(MINUTE(N25),"00"))</f>
        <v>15:00</v>
      </c>
      <c r="P25" s="762">
        <f t="shared" ref="P25:P74" si="10">IF(O25="24:00",N25-1,N25)</f>
        <v>44359.625</v>
      </c>
      <c r="Q25" s="751" t="str">
        <f t="shared" si="4"/>
        <v>jún. 12 – 15:00</v>
      </c>
      <c r="R25" s="752" t="str">
        <f t="shared" si="5"/>
        <v>JÚNIUS 12. – SZOMBAT 15:00</v>
      </c>
      <c r="S25" s="754">
        <f t="shared" si="6"/>
        <v>6</v>
      </c>
      <c r="T25" s="751" t="str">
        <f t="shared" si="7"/>
        <v/>
      </c>
      <c r="U25" s="751" t="str">
        <f t="shared" si="7"/>
        <v/>
      </c>
      <c r="V25" s="751" t="b">
        <f t="shared" si="7"/>
        <v>0</v>
      </c>
      <c r="W25" s="751" t="str">
        <f t="shared" si="7"/>
        <v/>
      </c>
      <c r="X25" s="751" t="str">
        <f t="shared" si="7"/>
        <v/>
      </c>
      <c r="AA25" s="751" t="str">
        <f>""</f>
        <v/>
      </c>
      <c r="AB25" s="753" t="str">
        <f t="shared" si="8"/>
        <v xml:space="preserve">Wales–Svájc  </v>
      </c>
    </row>
    <row r="26" spans="1:28" x14ac:dyDescent="0.2">
      <c r="A26" s="760">
        <v>3</v>
      </c>
      <c r="B26" s="759">
        <f>B25+1/24</f>
        <v>44359.75</v>
      </c>
      <c r="C26" s="757" t="s">
        <v>650</v>
      </c>
      <c r="D26" s="757">
        <v>1</v>
      </c>
      <c r="E26" s="757">
        <v>2</v>
      </c>
      <c r="F26" s="757"/>
      <c r="G26" s="757"/>
      <c r="H26" s="751" t="str">
        <f t="shared" si="0"/>
        <v>Dánia</v>
      </c>
      <c r="I26" s="751" t="str">
        <f t="shared" si="1"/>
        <v>Finnország</v>
      </c>
      <c r="J26" s="751" t="s">
        <v>1280</v>
      </c>
      <c r="K26" s="751" t="str">
        <f t="shared" si="2"/>
        <v>Parken Stadion</v>
      </c>
      <c r="L26" s="751" t="s">
        <v>1259</v>
      </c>
      <c r="M26" s="751" t="s">
        <v>699</v>
      </c>
      <c r="N26" s="759">
        <f t="shared" si="3"/>
        <v>44359.75</v>
      </c>
      <c r="O26" s="761" t="str">
        <f t="shared" si="9"/>
        <v>18:00</v>
      </c>
      <c r="P26" s="762">
        <f t="shared" si="10"/>
        <v>44359.75</v>
      </c>
      <c r="Q26" s="751" t="str">
        <f t="shared" si="4"/>
        <v>jún. 12 – 18:00</v>
      </c>
      <c r="R26" s="752" t="str">
        <f t="shared" si="5"/>
        <v>JÚNIUS 12. – SZOMBAT 18:00</v>
      </c>
      <c r="S26" s="754">
        <f t="shared" si="6"/>
        <v>7</v>
      </c>
      <c r="T26" s="751" t="str">
        <f t="shared" si="7"/>
        <v/>
      </c>
      <c r="U26" s="751" t="str">
        <f t="shared" si="7"/>
        <v/>
      </c>
      <c r="V26" s="751" t="b">
        <f t="shared" si="7"/>
        <v>0</v>
      </c>
      <c r="W26" s="751" t="str">
        <f t="shared" si="7"/>
        <v/>
      </c>
      <c r="X26" s="751" t="str">
        <f t="shared" si="7"/>
        <v/>
      </c>
      <c r="AA26" s="751" t="str">
        <f>""</f>
        <v/>
      </c>
      <c r="AB26" s="753" t="str">
        <f t="shared" si="8"/>
        <v xml:space="preserve">Dánia–Finnország  </v>
      </c>
    </row>
    <row r="27" spans="1:28" x14ac:dyDescent="0.2">
      <c r="A27" s="760">
        <v>4</v>
      </c>
      <c r="B27" s="759">
        <f>B26+4/24</f>
        <v>44359.916666666664</v>
      </c>
      <c r="C27" s="757" t="s">
        <v>650</v>
      </c>
      <c r="D27" s="757">
        <v>3</v>
      </c>
      <c r="E27" s="757">
        <v>4</v>
      </c>
      <c r="F27" s="757"/>
      <c r="G27" s="757"/>
      <c r="H27" s="751" t="str">
        <f t="shared" si="0"/>
        <v>Belgium</v>
      </c>
      <c r="I27" s="751" t="str">
        <f t="shared" si="1"/>
        <v>Oroszország</v>
      </c>
      <c r="J27" s="751" t="s">
        <v>1279</v>
      </c>
      <c r="K27" s="751" t="str">
        <f t="shared" si="2"/>
        <v>Kresztovszkij Stadion</v>
      </c>
      <c r="L27" s="751" t="s">
        <v>1259</v>
      </c>
      <c r="M27" s="751" t="s">
        <v>699</v>
      </c>
      <c r="N27" s="759">
        <f t="shared" si="3"/>
        <v>44359.875</v>
      </c>
      <c r="O27" s="761" t="str">
        <f t="shared" si="9"/>
        <v>21:00</v>
      </c>
      <c r="P27" s="762">
        <f t="shared" si="10"/>
        <v>44359.875</v>
      </c>
      <c r="Q27" s="751" t="str">
        <f t="shared" si="4"/>
        <v>jún. 12 – 21:00</v>
      </c>
      <c r="R27" s="752" t="str">
        <f t="shared" si="5"/>
        <v>JÚNIUS 12. – SZOMBAT 21:00</v>
      </c>
      <c r="S27" s="754">
        <f t="shared" si="6"/>
        <v>8</v>
      </c>
      <c r="T27" s="751" t="str">
        <f t="shared" si="7"/>
        <v/>
      </c>
      <c r="U27" s="751" t="str">
        <f t="shared" si="7"/>
        <v/>
      </c>
      <c r="V27" s="751" t="b">
        <f t="shared" si="7"/>
        <v>0</v>
      </c>
      <c r="W27" s="751" t="str">
        <f t="shared" si="7"/>
        <v/>
      </c>
      <c r="X27" s="751" t="str">
        <f t="shared" si="7"/>
        <v/>
      </c>
      <c r="AA27" s="751" t="str">
        <f>""</f>
        <v/>
      </c>
      <c r="AB27" s="753" t="str">
        <f t="shared" si="8"/>
        <v xml:space="preserve">Belgium–Oroszország  </v>
      </c>
    </row>
    <row r="28" spans="1:28" x14ac:dyDescent="0.2">
      <c r="A28" s="760">
        <v>5</v>
      </c>
      <c r="B28" s="759">
        <f>B27+16/24</f>
        <v>44360.583333333328</v>
      </c>
      <c r="C28" s="757" t="s">
        <v>652</v>
      </c>
      <c r="D28" s="757">
        <v>1</v>
      </c>
      <c r="E28" s="757">
        <v>2</v>
      </c>
      <c r="F28" s="757"/>
      <c r="G28" s="757"/>
      <c r="H28" s="751" t="str">
        <f t="shared" si="0"/>
        <v>Anglia</v>
      </c>
      <c r="I28" s="751" t="str">
        <f t="shared" si="1"/>
        <v>Horvátország</v>
      </c>
      <c r="J28" s="751" t="s">
        <v>1284</v>
      </c>
      <c r="K28" s="751" t="str">
        <f t="shared" si="2"/>
        <v>Wembley Stadion</v>
      </c>
      <c r="L28" s="751" t="s">
        <v>1259</v>
      </c>
      <c r="M28" s="751" t="s">
        <v>699</v>
      </c>
      <c r="N28" s="759">
        <f t="shared" si="3"/>
        <v>44360.624999999993</v>
      </c>
      <c r="O28" s="761" t="str">
        <f t="shared" si="9"/>
        <v>15:00</v>
      </c>
      <c r="P28" s="762">
        <f t="shared" si="10"/>
        <v>44360.624999999993</v>
      </c>
      <c r="Q28" s="751" t="str">
        <f t="shared" si="4"/>
        <v>jún. 13 – 15:00</v>
      </c>
      <c r="R28" s="752" t="str">
        <f t="shared" si="5"/>
        <v>JÚNIUS 13. – VASÁRNAP 15:00</v>
      </c>
      <c r="S28" s="754">
        <f t="shared" si="6"/>
        <v>13</v>
      </c>
      <c r="T28" s="751" t="str">
        <f t="shared" si="7"/>
        <v/>
      </c>
      <c r="U28" s="751" t="str">
        <f t="shared" si="7"/>
        <v/>
      </c>
      <c r="V28" s="751" t="b">
        <f t="shared" si="7"/>
        <v>0</v>
      </c>
      <c r="W28" s="751" t="str">
        <f t="shared" si="7"/>
        <v/>
      </c>
      <c r="X28" s="751" t="str">
        <f t="shared" si="7"/>
        <v/>
      </c>
      <c r="AA28" s="751" t="str">
        <f>""</f>
        <v/>
      </c>
      <c r="AB28" s="753" t="str">
        <f t="shared" si="8"/>
        <v xml:space="preserve">Anglia–Horvátország  </v>
      </c>
    </row>
    <row r="29" spans="1:28" x14ac:dyDescent="0.2">
      <c r="A29" s="760">
        <v>6</v>
      </c>
      <c r="B29" s="759">
        <f>B28+5/24</f>
        <v>44360.791666666664</v>
      </c>
      <c r="C29" s="757" t="s">
        <v>651</v>
      </c>
      <c r="D29" s="757">
        <v>3</v>
      </c>
      <c r="E29" s="757">
        <v>4</v>
      </c>
      <c r="F29" s="757"/>
      <c r="G29" s="757"/>
      <c r="H29" s="751" t="str">
        <f t="shared" si="0"/>
        <v>Ausztria</v>
      </c>
      <c r="I29" s="751" t="str">
        <f t="shared" si="1"/>
        <v>Észak-Macedónia</v>
      </c>
      <c r="J29" s="751" t="s">
        <v>1283</v>
      </c>
      <c r="K29" s="751" t="str">
        <f t="shared" si="2"/>
        <v>Nemzeti Stadion</v>
      </c>
      <c r="L29" s="751" t="s">
        <v>1259</v>
      </c>
      <c r="M29" s="751" t="s">
        <v>699</v>
      </c>
      <c r="N29" s="759">
        <f t="shared" si="3"/>
        <v>44360.75</v>
      </c>
      <c r="O29" s="761" t="str">
        <f t="shared" si="9"/>
        <v>18:00</v>
      </c>
      <c r="P29" s="762">
        <f t="shared" si="10"/>
        <v>44360.75</v>
      </c>
      <c r="Q29" s="751" t="str">
        <f t="shared" si="4"/>
        <v>jún. 13 – 18:00</v>
      </c>
      <c r="R29" s="752" t="str">
        <f t="shared" si="5"/>
        <v>JÚNIUS 13. – VASÁRNAP 18:00</v>
      </c>
      <c r="S29" s="754">
        <f t="shared" si="6"/>
        <v>14</v>
      </c>
      <c r="T29" s="751" t="str">
        <f t="shared" si="7"/>
        <v/>
      </c>
      <c r="U29" s="751" t="str">
        <f t="shared" si="7"/>
        <v/>
      </c>
      <c r="V29" s="751" t="b">
        <f t="shared" si="7"/>
        <v>0</v>
      </c>
      <c r="W29" s="751" t="str">
        <f t="shared" si="7"/>
        <v/>
      </c>
      <c r="X29" s="751" t="str">
        <f t="shared" si="7"/>
        <v/>
      </c>
      <c r="AA29" s="751" t="str">
        <f>""</f>
        <v/>
      </c>
      <c r="AB29" s="753" t="str">
        <f t="shared" si="8"/>
        <v xml:space="preserve">Ausztria–Észak-Macedónia  </v>
      </c>
    </row>
    <row r="30" spans="1:28" x14ac:dyDescent="0.2">
      <c r="A30" s="760">
        <v>7</v>
      </c>
      <c r="B30" s="759">
        <f>B29+2/24</f>
        <v>44360.875</v>
      </c>
      <c r="C30" s="757" t="s">
        <v>651</v>
      </c>
      <c r="D30" s="757">
        <v>1</v>
      </c>
      <c r="E30" s="757">
        <v>2</v>
      </c>
      <c r="F30" s="757"/>
      <c r="G30" s="757"/>
      <c r="H30" s="751" t="str">
        <f t="shared" si="0"/>
        <v>Hollandia</v>
      </c>
      <c r="I30" s="751" t="str">
        <f t="shared" si="1"/>
        <v>Ukrajna</v>
      </c>
      <c r="J30" s="755" t="s">
        <v>1281</v>
      </c>
      <c r="K30" s="751" t="str">
        <f t="shared" si="2"/>
        <v>Johan Cruijff Arena</v>
      </c>
      <c r="L30" s="751" t="s">
        <v>1259</v>
      </c>
      <c r="M30" s="751" t="s">
        <v>699</v>
      </c>
      <c r="N30" s="759">
        <f t="shared" si="3"/>
        <v>44360.875</v>
      </c>
      <c r="O30" s="761" t="str">
        <f t="shared" si="9"/>
        <v>21:00</v>
      </c>
      <c r="P30" s="762">
        <f t="shared" si="10"/>
        <v>44360.875</v>
      </c>
      <c r="Q30" s="751" t="str">
        <f t="shared" si="4"/>
        <v>jún. 13 – 21:00</v>
      </c>
      <c r="R30" s="752" t="str">
        <f t="shared" si="5"/>
        <v>JÚNIUS 13. – VASÁRNAP 21:00</v>
      </c>
      <c r="S30" s="754">
        <f t="shared" si="6"/>
        <v>15</v>
      </c>
      <c r="T30" s="751" t="str">
        <f t="shared" si="7"/>
        <v/>
      </c>
      <c r="U30" s="751" t="str">
        <f t="shared" si="7"/>
        <v/>
      </c>
      <c r="V30" s="751" t="b">
        <f t="shared" si="7"/>
        <v>0</v>
      </c>
      <c r="W30" s="751" t="str">
        <f t="shared" si="7"/>
        <v/>
      </c>
      <c r="X30" s="751" t="str">
        <f t="shared" si="7"/>
        <v/>
      </c>
      <c r="AA30" s="751" t="str">
        <f>""</f>
        <v/>
      </c>
      <c r="AB30" s="753" t="str">
        <f t="shared" si="8"/>
        <v xml:space="preserve">Hollandia–Ukrajna  </v>
      </c>
    </row>
    <row r="31" spans="1:28" x14ac:dyDescent="0.2">
      <c r="A31" s="760">
        <v>8</v>
      </c>
      <c r="B31" s="759">
        <f>B30+17/24</f>
        <v>44361.583333333336</v>
      </c>
      <c r="C31" s="757" t="s">
        <v>652</v>
      </c>
      <c r="D31" s="757">
        <v>3</v>
      </c>
      <c r="E31" s="757">
        <v>4</v>
      </c>
      <c r="F31" s="757"/>
      <c r="G31" s="757"/>
      <c r="H31" s="751" t="str">
        <f t="shared" si="0"/>
        <v>Skócia</v>
      </c>
      <c r="I31" s="751" t="str">
        <f t="shared" si="1"/>
        <v>Csehország</v>
      </c>
      <c r="J31" s="751" t="s">
        <v>1285</v>
      </c>
      <c r="K31" s="751" t="str">
        <f t="shared" si="2"/>
        <v>Hampden Park</v>
      </c>
      <c r="L31" s="751" t="s">
        <v>1259</v>
      </c>
      <c r="M31" s="751" t="s">
        <v>699</v>
      </c>
      <c r="N31" s="759">
        <f t="shared" si="3"/>
        <v>44361.625</v>
      </c>
      <c r="O31" s="761" t="str">
        <f t="shared" si="9"/>
        <v>15:00</v>
      </c>
      <c r="P31" s="762">
        <f t="shared" si="10"/>
        <v>44361.625</v>
      </c>
      <c r="Q31" s="751" t="str">
        <f t="shared" si="4"/>
        <v>jún. 14 – 15:00</v>
      </c>
      <c r="R31" s="752" t="str">
        <f t="shared" si="5"/>
        <v>JÚNIUS 14. – HÉTFŐ 15:00</v>
      </c>
      <c r="S31" s="754">
        <f t="shared" si="6"/>
        <v>20</v>
      </c>
      <c r="T31" s="751" t="str">
        <f t="shared" si="7"/>
        <v/>
      </c>
      <c r="U31" s="751" t="str">
        <f t="shared" si="7"/>
        <v/>
      </c>
      <c r="V31" s="751" t="b">
        <f t="shared" si="7"/>
        <v>0</v>
      </c>
      <c r="W31" s="751" t="str">
        <f t="shared" si="7"/>
        <v/>
      </c>
      <c r="X31" s="751" t="str">
        <f t="shared" si="7"/>
        <v/>
      </c>
      <c r="AA31" s="751" t="str">
        <f>""</f>
        <v/>
      </c>
      <c r="AB31" s="753" t="str">
        <f t="shared" si="8"/>
        <v xml:space="preserve">Skócia–Csehország  </v>
      </c>
    </row>
    <row r="32" spans="1:28" x14ac:dyDescent="0.2">
      <c r="A32" s="760">
        <v>9</v>
      </c>
      <c r="B32" s="759">
        <f>B31+5/24</f>
        <v>44361.791666666672</v>
      </c>
      <c r="C32" s="757" t="s">
        <v>809</v>
      </c>
      <c r="D32" s="757">
        <v>3</v>
      </c>
      <c r="E32" s="757">
        <v>4</v>
      </c>
      <c r="F32" s="757"/>
      <c r="G32" s="757"/>
      <c r="H32" s="751" t="str">
        <f t="shared" si="0"/>
        <v>Lengyelország</v>
      </c>
      <c r="I32" s="751" t="str">
        <f t="shared" si="1"/>
        <v>Szlovákia</v>
      </c>
      <c r="J32" s="751" t="s">
        <v>1279</v>
      </c>
      <c r="K32" s="751" t="str">
        <f t="shared" si="2"/>
        <v>Kresztovszkij Stadion</v>
      </c>
      <c r="L32" s="751" t="s">
        <v>1259</v>
      </c>
      <c r="M32" s="751" t="s">
        <v>699</v>
      </c>
      <c r="N32" s="759">
        <f t="shared" si="3"/>
        <v>44361.750000000007</v>
      </c>
      <c r="O32" s="761" t="str">
        <f t="shared" si="9"/>
        <v>18:00</v>
      </c>
      <c r="P32" s="762">
        <f t="shared" si="10"/>
        <v>44361.750000000007</v>
      </c>
      <c r="Q32" s="751" t="str">
        <f t="shared" si="4"/>
        <v>jún. 14 – 18:00</v>
      </c>
      <c r="R32" s="752" t="str">
        <f t="shared" si="5"/>
        <v>JÚNIUS 14. – HÉTFŐ 18:00</v>
      </c>
      <c r="S32" s="754">
        <f t="shared" si="6"/>
        <v>21</v>
      </c>
      <c r="T32" s="751" t="str">
        <f t="shared" si="7"/>
        <v/>
      </c>
      <c r="U32" s="751" t="str">
        <f t="shared" si="7"/>
        <v/>
      </c>
      <c r="V32" s="751" t="b">
        <f t="shared" si="7"/>
        <v>0</v>
      </c>
      <c r="W32" s="751" t="str">
        <f t="shared" si="7"/>
        <v/>
      </c>
      <c r="X32" s="751" t="str">
        <f t="shared" si="7"/>
        <v/>
      </c>
      <c r="AA32" s="751" t="str">
        <f>""</f>
        <v/>
      </c>
      <c r="AB32" s="753" t="str">
        <f t="shared" si="8"/>
        <v xml:space="preserve">Lengyelország–Szlovákia  </v>
      </c>
    </row>
    <row r="33" spans="1:28" x14ac:dyDescent="0.2">
      <c r="A33" s="760">
        <v>10</v>
      </c>
      <c r="B33" s="759">
        <f>B32+2/24</f>
        <v>44361.875000000007</v>
      </c>
      <c r="C33" s="757" t="s">
        <v>809</v>
      </c>
      <c r="D33" s="757">
        <v>1</v>
      </c>
      <c r="E33" s="757">
        <v>2</v>
      </c>
      <c r="F33" s="757"/>
      <c r="G33" s="757"/>
      <c r="H33" s="751" t="str">
        <f t="shared" si="0"/>
        <v>Spanyolország</v>
      </c>
      <c r="I33" s="751" t="str">
        <f t="shared" si="1"/>
        <v>Svédország</v>
      </c>
      <c r="J33" s="751" t="s">
        <v>847</v>
      </c>
      <c r="K33" s="751" t="str">
        <f t="shared" si="2"/>
        <v>R. Sánchez-Pizjuán Stadion</v>
      </c>
      <c r="L33" s="751" t="s">
        <v>1259</v>
      </c>
      <c r="M33" s="751" t="s">
        <v>699</v>
      </c>
      <c r="N33" s="759">
        <f t="shared" si="3"/>
        <v>44361.875000000007</v>
      </c>
      <c r="O33" s="761" t="str">
        <f t="shared" si="9"/>
        <v>21:00</v>
      </c>
      <c r="P33" s="762">
        <f t="shared" si="10"/>
        <v>44361.875000000007</v>
      </c>
      <c r="Q33" s="751" t="str">
        <f t="shared" si="4"/>
        <v>jún. 14 – 21:00</v>
      </c>
      <c r="R33" s="752" t="str">
        <f t="shared" si="5"/>
        <v>JÚNIUS 14. – HÉTFŐ 21:00</v>
      </c>
      <c r="S33" s="754">
        <f t="shared" si="6"/>
        <v>22</v>
      </c>
      <c r="T33" s="751" t="str">
        <f t="shared" si="7"/>
        <v/>
      </c>
      <c r="U33" s="751" t="str">
        <f t="shared" si="7"/>
        <v/>
      </c>
      <c r="V33" s="751" t="b">
        <f t="shared" si="7"/>
        <v>0</v>
      </c>
      <c r="W33" s="751" t="str">
        <f t="shared" si="7"/>
        <v/>
      </c>
      <c r="X33" s="751" t="str">
        <f t="shared" si="7"/>
        <v/>
      </c>
      <c r="AA33" s="751" t="str">
        <f>""</f>
        <v/>
      </c>
      <c r="AB33" s="753" t="str">
        <f t="shared" si="8"/>
        <v xml:space="preserve">Spanyolország–Svédország  </v>
      </c>
    </row>
    <row r="34" spans="1:28" x14ac:dyDescent="0.2">
      <c r="A34" s="760">
        <f>A33+1</f>
        <v>11</v>
      </c>
      <c r="B34" s="759">
        <f>B33+21/24</f>
        <v>44362.750000000007</v>
      </c>
      <c r="C34" s="757" t="s">
        <v>810</v>
      </c>
      <c r="D34" s="757">
        <v>1</v>
      </c>
      <c r="E34" s="757">
        <v>2</v>
      </c>
      <c r="F34" s="757"/>
      <c r="G34" s="757"/>
      <c r="H34" s="751" t="str">
        <f t="shared" si="0"/>
        <v>MAGYARORSZÁG</v>
      </c>
      <c r="I34" s="751" t="str">
        <f t="shared" si="1"/>
        <v>Portugália</v>
      </c>
      <c r="J34" s="751" t="s">
        <v>1288</v>
      </c>
      <c r="K34" s="751" t="str">
        <f t="shared" si="2"/>
        <v>Puskás Ferenc Stadion</v>
      </c>
      <c r="L34" s="751" t="s">
        <v>1259</v>
      </c>
      <c r="M34" s="751" t="s">
        <v>699</v>
      </c>
      <c r="N34" s="759">
        <f t="shared" si="3"/>
        <v>44362.750000000007</v>
      </c>
      <c r="O34" s="761" t="str">
        <f t="shared" si="9"/>
        <v>18:00</v>
      </c>
      <c r="P34" s="762">
        <f t="shared" si="10"/>
        <v>44362.750000000007</v>
      </c>
      <c r="Q34" s="751" t="str">
        <f t="shared" si="4"/>
        <v>jún. 15 – 18:00</v>
      </c>
      <c r="R34" s="752" t="str">
        <f t="shared" si="5"/>
        <v>JÚNIUS 15. – KEDD 18:00</v>
      </c>
      <c r="S34" s="754">
        <f t="shared" si="6"/>
        <v>27</v>
      </c>
      <c r="T34" s="751" t="str">
        <f t="shared" ref="T34:X43" si="11">INDEX(n.er,$S34,T$23)</f>
        <v/>
      </c>
      <c r="U34" s="751" t="str">
        <f t="shared" si="11"/>
        <v/>
      </c>
      <c r="V34" s="751" t="b">
        <f t="shared" si="11"/>
        <v>0</v>
      </c>
      <c r="W34" s="751" t="str">
        <f t="shared" si="11"/>
        <v/>
      </c>
      <c r="X34" s="751" t="str">
        <f t="shared" si="11"/>
        <v/>
      </c>
      <c r="AA34" s="751" t="str">
        <f>""</f>
        <v/>
      </c>
      <c r="AB34" s="753" t="str">
        <f t="shared" si="8"/>
        <v xml:space="preserve">MAGYARORSZÁG–Portugália  </v>
      </c>
    </row>
    <row r="35" spans="1:28" x14ac:dyDescent="0.2">
      <c r="A35" s="760">
        <f t="shared" ref="A35:A59" si="12">A34+1</f>
        <v>12</v>
      </c>
      <c r="B35" s="759">
        <f>B34+3/24</f>
        <v>44362.875000000007</v>
      </c>
      <c r="C35" s="757" t="s">
        <v>810</v>
      </c>
      <c r="D35" s="757">
        <v>3</v>
      </c>
      <c r="E35" s="757">
        <v>4</v>
      </c>
      <c r="F35" s="757"/>
      <c r="G35" s="757"/>
      <c r="H35" s="751" t="str">
        <f t="shared" si="0"/>
        <v>Franciaország</v>
      </c>
      <c r="I35" s="751" t="str">
        <f t="shared" si="1"/>
        <v>Németország</v>
      </c>
      <c r="J35" s="751" t="s">
        <v>1287</v>
      </c>
      <c r="K35" s="751" t="str">
        <f t="shared" si="2"/>
        <v>München Arena</v>
      </c>
      <c r="L35" s="751" t="s">
        <v>1259</v>
      </c>
      <c r="M35" s="751" t="s">
        <v>699</v>
      </c>
      <c r="N35" s="759">
        <f t="shared" si="3"/>
        <v>44362.875000000007</v>
      </c>
      <c r="O35" s="761" t="str">
        <f t="shared" si="9"/>
        <v>21:00</v>
      </c>
      <c r="P35" s="762">
        <f t="shared" si="10"/>
        <v>44362.875000000007</v>
      </c>
      <c r="Q35" s="751" t="str">
        <f t="shared" si="4"/>
        <v>jún. 15 – 21:00</v>
      </c>
      <c r="R35" s="752" t="str">
        <f t="shared" si="5"/>
        <v>JÚNIUS 15. – KEDD 21:00</v>
      </c>
      <c r="S35" s="754">
        <f t="shared" si="6"/>
        <v>28</v>
      </c>
      <c r="T35" s="751" t="str">
        <f t="shared" si="11"/>
        <v/>
      </c>
      <c r="U35" s="751" t="str">
        <f t="shared" si="11"/>
        <v/>
      </c>
      <c r="V35" s="751" t="b">
        <f t="shared" si="11"/>
        <v>0</v>
      </c>
      <c r="W35" s="751" t="str">
        <f t="shared" si="11"/>
        <v/>
      </c>
      <c r="X35" s="751" t="str">
        <f t="shared" si="11"/>
        <v/>
      </c>
      <c r="AA35" s="751" t="str">
        <f>""</f>
        <v/>
      </c>
      <c r="AB35" s="753" t="str">
        <f t="shared" si="8"/>
        <v xml:space="preserve">Franciaország–Németország  </v>
      </c>
    </row>
    <row r="36" spans="1:28" x14ac:dyDescent="0.2">
      <c r="A36" s="760">
        <f t="shared" si="12"/>
        <v>13</v>
      </c>
      <c r="B36" s="759">
        <f>B35+19/24</f>
        <v>44363.666666666672</v>
      </c>
      <c r="C36" s="757" t="s">
        <v>650</v>
      </c>
      <c r="D36" s="757">
        <v>2</v>
      </c>
      <c r="E36" s="757">
        <v>4</v>
      </c>
      <c r="F36" s="757"/>
      <c r="G36" s="757"/>
      <c r="H36" s="751" t="str">
        <f t="shared" si="0"/>
        <v>Finnország</v>
      </c>
      <c r="I36" s="751" t="str">
        <f t="shared" si="1"/>
        <v>Oroszország</v>
      </c>
      <c r="J36" s="751" t="s">
        <v>1279</v>
      </c>
      <c r="K36" s="751" t="str">
        <f t="shared" si="2"/>
        <v>Kresztovszkij Stadion</v>
      </c>
      <c r="L36" s="751" t="s">
        <v>1260</v>
      </c>
      <c r="M36" s="751" t="s">
        <v>700</v>
      </c>
      <c r="N36" s="759">
        <f t="shared" si="3"/>
        <v>44363.625000000007</v>
      </c>
      <c r="O36" s="761" t="str">
        <f t="shared" si="9"/>
        <v>15:00</v>
      </c>
      <c r="P36" s="762">
        <f t="shared" si="10"/>
        <v>44363.625000000007</v>
      </c>
      <c r="Q36" s="751" t="str">
        <f t="shared" si="4"/>
        <v>jún. 16 – 15:00</v>
      </c>
      <c r="R36" s="752" t="str">
        <f t="shared" si="5"/>
        <v>JÚNIUS 16. – SZERDA 15:00</v>
      </c>
      <c r="S36" s="754">
        <f t="shared" si="6"/>
        <v>33</v>
      </c>
      <c r="T36" s="751" t="str">
        <f t="shared" si="11"/>
        <v/>
      </c>
      <c r="U36" s="751" t="str">
        <f t="shared" si="11"/>
        <v/>
      </c>
      <c r="V36" s="751" t="b">
        <f t="shared" si="11"/>
        <v>0</v>
      </c>
      <c r="W36" s="751" t="str">
        <f t="shared" si="11"/>
        <v/>
      </c>
      <c r="X36" s="751" t="str">
        <f t="shared" si="11"/>
        <v/>
      </c>
      <c r="AA36" s="751" t="str">
        <f>""</f>
        <v/>
      </c>
      <c r="AB36" s="753" t="str">
        <f t="shared" si="8"/>
        <v xml:space="preserve">Finnország–Oroszország  </v>
      </c>
    </row>
    <row r="37" spans="1:28" x14ac:dyDescent="0.2">
      <c r="A37" s="760">
        <f t="shared" si="12"/>
        <v>14</v>
      </c>
      <c r="B37" s="759">
        <f>B36+4/24</f>
        <v>44363.833333333336</v>
      </c>
      <c r="C37" s="757" t="s">
        <v>649</v>
      </c>
      <c r="D37" s="757">
        <v>1</v>
      </c>
      <c r="E37" s="757">
        <v>3</v>
      </c>
      <c r="F37" s="757"/>
      <c r="G37" s="757"/>
      <c r="H37" s="751" t="str">
        <f t="shared" si="0"/>
        <v>Törökország</v>
      </c>
      <c r="I37" s="751" t="str">
        <f t="shared" si="1"/>
        <v>Wales</v>
      </c>
      <c r="J37" s="751" t="s">
        <v>1278</v>
      </c>
      <c r="K37" s="751" t="str">
        <f t="shared" si="2"/>
        <v>Olimpiai Stadion</v>
      </c>
      <c r="L37" s="751" t="s">
        <v>1260</v>
      </c>
      <c r="M37" s="751" t="s">
        <v>700</v>
      </c>
      <c r="N37" s="759">
        <f t="shared" si="3"/>
        <v>44363.75</v>
      </c>
      <c r="O37" s="761" t="str">
        <f t="shared" si="9"/>
        <v>18:00</v>
      </c>
      <c r="P37" s="762">
        <f t="shared" si="10"/>
        <v>44363.75</v>
      </c>
      <c r="Q37" s="751" t="str">
        <f t="shared" si="4"/>
        <v>jún. 16 – 18:00</v>
      </c>
      <c r="R37" s="752" t="str">
        <f t="shared" si="5"/>
        <v>JÚNIUS 16. – SZERDA 18:00</v>
      </c>
      <c r="S37" s="754">
        <f t="shared" si="6"/>
        <v>34</v>
      </c>
      <c r="T37" s="751" t="str">
        <f t="shared" si="11"/>
        <v/>
      </c>
      <c r="U37" s="751" t="str">
        <f t="shared" si="11"/>
        <v/>
      </c>
      <c r="V37" s="751" t="b">
        <f t="shared" si="11"/>
        <v>0</v>
      </c>
      <c r="W37" s="751" t="str">
        <f t="shared" si="11"/>
        <v/>
      </c>
      <c r="X37" s="751" t="str">
        <f t="shared" si="11"/>
        <v/>
      </c>
      <c r="AA37" s="751" t="str">
        <f>""</f>
        <v/>
      </c>
      <c r="AB37" s="753" t="str">
        <f t="shared" si="8"/>
        <v xml:space="preserve">Törökország–Wales  </v>
      </c>
    </row>
    <row r="38" spans="1:28" x14ac:dyDescent="0.2">
      <c r="A38" s="760">
        <f t="shared" si="12"/>
        <v>15</v>
      </c>
      <c r="B38" s="759">
        <f>B37+1/24</f>
        <v>44363.875</v>
      </c>
      <c r="C38" s="757" t="s">
        <v>649</v>
      </c>
      <c r="D38" s="757">
        <v>2</v>
      </c>
      <c r="E38" s="757">
        <v>4</v>
      </c>
      <c r="F38" s="757"/>
      <c r="G38" s="757"/>
      <c r="H38" s="751" t="str">
        <f t="shared" si="0"/>
        <v>Olaszország</v>
      </c>
      <c r="I38" s="751" t="str">
        <f t="shared" si="1"/>
        <v>Svájc</v>
      </c>
      <c r="J38" s="751" t="s">
        <v>1282</v>
      </c>
      <c r="K38" s="751" t="str">
        <f t="shared" si="2"/>
        <v>Stadio Olimpico</v>
      </c>
      <c r="L38" s="751" t="s">
        <v>1260</v>
      </c>
      <c r="M38" s="751" t="s">
        <v>700</v>
      </c>
      <c r="N38" s="759">
        <f t="shared" si="3"/>
        <v>44363.875</v>
      </c>
      <c r="O38" s="761" t="str">
        <f t="shared" si="9"/>
        <v>21:00</v>
      </c>
      <c r="P38" s="762">
        <f t="shared" si="10"/>
        <v>44363.875</v>
      </c>
      <c r="Q38" s="751" t="str">
        <f t="shared" si="4"/>
        <v>jún. 16 – 21:00</v>
      </c>
      <c r="R38" s="752" t="str">
        <f t="shared" si="5"/>
        <v>JÚNIUS 16. – SZERDA 21:00</v>
      </c>
      <c r="S38" s="754">
        <f t="shared" si="6"/>
        <v>35</v>
      </c>
      <c r="T38" s="751" t="str">
        <f t="shared" si="11"/>
        <v/>
      </c>
      <c r="U38" s="751" t="str">
        <f t="shared" si="11"/>
        <v/>
      </c>
      <c r="V38" s="751" t="b">
        <f t="shared" si="11"/>
        <v>0</v>
      </c>
      <c r="W38" s="751" t="str">
        <f t="shared" si="11"/>
        <v/>
      </c>
      <c r="X38" s="751" t="str">
        <f t="shared" si="11"/>
        <v/>
      </c>
      <c r="AA38" s="751" t="str">
        <f>""</f>
        <v/>
      </c>
      <c r="AB38" s="753" t="str">
        <f t="shared" si="8"/>
        <v xml:space="preserve">Olaszország–Svájc  </v>
      </c>
    </row>
    <row r="39" spans="1:28" x14ac:dyDescent="0.2">
      <c r="A39" s="760">
        <f t="shared" si="12"/>
        <v>16</v>
      </c>
      <c r="B39" s="759">
        <f>B38+19/24</f>
        <v>44364.666666666664</v>
      </c>
      <c r="C39" s="757" t="s">
        <v>651</v>
      </c>
      <c r="D39" s="757">
        <v>2</v>
      </c>
      <c r="E39" s="757">
        <v>4</v>
      </c>
      <c r="F39" s="757"/>
      <c r="G39" s="757"/>
      <c r="H39" s="751" t="str">
        <f t="shared" si="0"/>
        <v>Ukrajna</v>
      </c>
      <c r="I39" s="751" t="str">
        <f t="shared" si="1"/>
        <v>Észak-Macedónia</v>
      </c>
      <c r="J39" s="751" t="s">
        <v>1283</v>
      </c>
      <c r="K39" s="751" t="str">
        <f t="shared" si="2"/>
        <v>Nemzeti Stadion</v>
      </c>
      <c r="L39" s="751" t="s">
        <v>1260</v>
      </c>
      <c r="M39" s="751" t="s">
        <v>700</v>
      </c>
      <c r="N39" s="759">
        <f t="shared" si="3"/>
        <v>44364.625</v>
      </c>
      <c r="O39" s="761" t="str">
        <f t="shared" si="9"/>
        <v>15:00</v>
      </c>
      <c r="P39" s="762">
        <f t="shared" si="10"/>
        <v>44364.625</v>
      </c>
      <c r="Q39" s="751" t="str">
        <f t="shared" si="4"/>
        <v>jún. 17 – 15:00</v>
      </c>
      <c r="R39" s="752" t="str">
        <f t="shared" si="5"/>
        <v>JÚNIUS 17. – CSÜTÖRTÖK 15:00</v>
      </c>
      <c r="S39" s="754">
        <f t="shared" si="6"/>
        <v>40</v>
      </c>
      <c r="T39" s="751" t="str">
        <f t="shared" si="11"/>
        <v/>
      </c>
      <c r="U39" s="751" t="str">
        <f t="shared" si="11"/>
        <v/>
      </c>
      <c r="V39" s="751" t="b">
        <f t="shared" si="11"/>
        <v>0</v>
      </c>
      <c r="W39" s="751" t="str">
        <f t="shared" si="11"/>
        <v/>
      </c>
      <c r="X39" s="751" t="str">
        <f t="shared" si="11"/>
        <v/>
      </c>
      <c r="AA39" s="751" t="str">
        <f>""</f>
        <v/>
      </c>
      <c r="AB39" s="753" t="str">
        <f t="shared" si="8"/>
        <v xml:space="preserve">Ukrajna–Észak-Macedónia  </v>
      </c>
    </row>
    <row r="40" spans="1:28" x14ac:dyDescent="0.2">
      <c r="A40" s="760">
        <f t="shared" si="12"/>
        <v>17</v>
      </c>
      <c r="B40" s="759">
        <f>B39+2/24</f>
        <v>44364.75</v>
      </c>
      <c r="C40" s="757" t="s">
        <v>650</v>
      </c>
      <c r="D40" s="757">
        <v>1</v>
      </c>
      <c r="E40" s="757">
        <v>3</v>
      </c>
      <c r="F40" s="757"/>
      <c r="G40" s="757"/>
      <c r="H40" s="751" t="str">
        <f t="shared" si="0"/>
        <v>Dánia</v>
      </c>
      <c r="I40" s="751" t="str">
        <f t="shared" si="1"/>
        <v>Belgium</v>
      </c>
      <c r="J40" s="751" t="s">
        <v>1280</v>
      </c>
      <c r="K40" s="751" t="str">
        <f t="shared" si="2"/>
        <v>Parken Stadion</v>
      </c>
      <c r="L40" s="751" t="s">
        <v>1260</v>
      </c>
      <c r="M40" s="751" t="s">
        <v>700</v>
      </c>
      <c r="N40" s="759">
        <f t="shared" si="3"/>
        <v>44364.75</v>
      </c>
      <c r="O40" s="761" t="str">
        <f t="shared" si="9"/>
        <v>18:00</v>
      </c>
      <c r="P40" s="762">
        <f t="shared" si="10"/>
        <v>44364.75</v>
      </c>
      <c r="Q40" s="751" t="str">
        <f t="shared" si="4"/>
        <v>jún. 17 – 18:00</v>
      </c>
      <c r="R40" s="752" t="str">
        <f t="shared" si="5"/>
        <v>JÚNIUS 17. – CSÜTÖRTÖK 18:00</v>
      </c>
      <c r="S40" s="754">
        <f t="shared" si="6"/>
        <v>41</v>
      </c>
      <c r="T40" s="751" t="str">
        <f t="shared" si="11"/>
        <v/>
      </c>
      <c r="U40" s="751" t="str">
        <f t="shared" si="11"/>
        <v/>
      </c>
      <c r="V40" s="751" t="b">
        <f t="shared" si="11"/>
        <v>0</v>
      </c>
      <c r="W40" s="751" t="str">
        <f t="shared" si="11"/>
        <v/>
      </c>
      <c r="X40" s="751" t="str">
        <f t="shared" si="11"/>
        <v/>
      </c>
      <c r="AA40" s="751" t="str">
        <f>""</f>
        <v/>
      </c>
      <c r="AB40" s="753" t="str">
        <f t="shared" si="8"/>
        <v xml:space="preserve">Dánia–Belgium  </v>
      </c>
    </row>
    <row r="41" spans="1:28" x14ac:dyDescent="0.2">
      <c r="A41" s="760">
        <f t="shared" si="12"/>
        <v>18</v>
      </c>
      <c r="B41" s="759">
        <f>B40+3/24</f>
        <v>44364.875</v>
      </c>
      <c r="C41" s="757" t="s">
        <v>651</v>
      </c>
      <c r="D41" s="757">
        <v>1</v>
      </c>
      <c r="E41" s="757">
        <v>3</v>
      </c>
      <c r="F41" s="757"/>
      <c r="G41" s="757"/>
      <c r="H41" s="751" t="str">
        <f t="shared" si="0"/>
        <v>Hollandia</v>
      </c>
      <c r="I41" s="751" t="str">
        <f t="shared" si="1"/>
        <v>Ausztria</v>
      </c>
      <c r="J41" s="751" t="s">
        <v>1281</v>
      </c>
      <c r="K41" s="751" t="str">
        <f t="shared" si="2"/>
        <v>Johan Cruijff Arena</v>
      </c>
      <c r="L41" s="751" t="s">
        <v>1260</v>
      </c>
      <c r="M41" s="751" t="s">
        <v>700</v>
      </c>
      <c r="N41" s="759">
        <f t="shared" si="3"/>
        <v>44364.875</v>
      </c>
      <c r="O41" s="761" t="str">
        <f t="shared" si="9"/>
        <v>21:00</v>
      </c>
      <c r="P41" s="762">
        <f t="shared" si="10"/>
        <v>44364.875</v>
      </c>
      <c r="Q41" s="751" t="str">
        <f t="shared" si="4"/>
        <v>jún. 17 – 21:00</v>
      </c>
      <c r="R41" s="752" t="str">
        <f t="shared" si="5"/>
        <v>JÚNIUS 17. – CSÜTÖRTÖK 21:00</v>
      </c>
      <c r="S41" s="754">
        <f t="shared" si="6"/>
        <v>42</v>
      </c>
      <c r="T41" s="751" t="str">
        <f t="shared" si="11"/>
        <v/>
      </c>
      <c r="U41" s="751" t="str">
        <f t="shared" si="11"/>
        <v/>
      </c>
      <c r="V41" s="751" t="b">
        <f t="shared" si="11"/>
        <v>0</v>
      </c>
      <c r="W41" s="751" t="str">
        <f t="shared" si="11"/>
        <v/>
      </c>
      <c r="X41" s="751" t="str">
        <f t="shared" si="11"/>
        <v/>
      </c>
      <c r="AA41" s="751" t="str">
        <f>""</f>
        <v/>
      </c>
      <c r="AB41" s="753" t="str">
        <f t="shared" si="8"/>
        <v xml:space="preserve">Hollandia–Ausztria  </v>
      </c>
    </row>
    <row r="42" spans="1:28" x14ac:dyDescent="0.2">
      <c r="A42" s="760">
        <f t="shared" si="12"/>
        <v>19</v>
      </c>
      <c r="B42" s="759">
        <f>B41+19/24</f>
        <v>44365.666666666664</v>
      </c>
      <c r="C42" s="757" t="s">
        <v>809</v>
      </c>
      <c r="D42" s="757">
        <v>2</v>
      </c>
      <c r="E42" s="757">
        <v>4</v>
      </c>
      <c r="F42" s="757"/>
      <c r="G42" s="757"/>
      <c r="H42" s="751" t="str">
        <f t="shared" si="0"/>
        <v>Svédország</v>
      </c>
      <c r="I42" s="751" t="str">
        <f t="shared" si="1"/>
        <v>Szlovákia</v>
      </c>
      <c r="J42" s="751" t="s">
        <v>1279</v>
      </c>
      <c r="K42" s="751" t="str">
        <f t="shared" si="2"/>
        <v>Kresztovszkij Stadion</v>
      </c>
      <c r="L42" s="751" t="s">
        <v>1260</v>
      </c>
      <c r="M42" s="751" t="s">
        <v>700</v>
      </c>
      <c r="N42" s="759">
        <f t="shared" si="3"/>
        <v>44365.625</v>
      </c>
      <c r="O42" s="761" t="str">
        <f t="shared" si="9"/>
        <v>15:00</v>
      </c>
      <c r="P42" s="762">
        <f t="shared" si="10"/>
        <v>44365.625</v>
      </c>
      <c r="Q42" s="751" t="str">
        <f t="shared" si="4"/>
        <v>jún. 18 – 15:00</v>
      </c>
      <c r="R42" s="752" t="str">
        <f t="shared" si="5"/>
        <v>JÚNIUS 18. – PÉNTEK 15:00</v>
      </c>
      <c r="S42" s="754">
        <f t="shared" si="6"/>
        <v>47</v>
      </c>
      <c r="T42" s="751" t="str">
        <f t="shared" si="11"/>
        <v/>
      </c>
      <c r="U42" s="751" t="str">
        <f t="shared" si="11"/>
        <v/>
      </c>
      <c r="V42" s="751" t="b">
        <f t="shared" si="11"/>
        <v>0</v>
      </c>
      <c r="W42" s="751" t="str">
        <f t="shared" si="11"/>
        <v/>
      </c>
      <c r="X42" s="751" t="str">
        <f t="shared" si="11"/>
        <v/>
      </c>
      <c r="AA42" s="751" t="str">
        <f>""</f>
        <v/>
      </c>
      <c r="AB42" s="753" t="str">
        <f t="shared" si="8"/>
        <v xml:space="preserve">Svédország–Szlovákia  </v>
      </c>
    </row>
    <row r="43" spans="1:28" x14ac:dyDescent="0.2">
      <c r="A43" s="760">
        <f t="shared" si="12"/>
        <v>20</v>
      </c>
      <c r="B43" s="759">
        <f>B42+1/24</f>
        <v>44365.708333333328</v>
      </c>
      <c r="C43" s="757" t="s">
        <v>652</v>
      </c>
      <c r="D43" s="757">
        <v>2</v>
      </c>
      <c r="E43" s="757">
        <v>4</v>
      </c>
      <c r="F43" s="757"/>
      <c r="G43" s="757"/>
      <c r="H43" s="751" t="str">
        <f t="shared" si="0"/>
        <v>Horvátország</v>
      </c>
      <c r="I43" s="751" t="str">
        <f t="shared" si="1"/>
        <v>Csehország</v>
      </c>
      <c r="J43" s="751" t="s">
        <v>1285</v>
      </c>
      <c r="K43" s="751" t="str">
        <f t="shared" si="2"/>
        <v>Hampden Park</v>
      </c>
      <c r="L43" s="751" t="s">
        <v>1260</v>
      </c>
      <c r="M43" s="751" t="s">
        <v>700</v>
      </c>
      <c r="N43" s="759">
        <f t="shared" si="3"/>
        <v>44365.749999999993</v>
      </c>
      <c r="O43" s="761" t="str">
        <f t="shared" si="9"/>
        <v>18:00</v>
      </c>
      <c r="P43" s="762">
        <f t="shared" si="10"/>
        <v>44365.749999999993</v>
      </c>
      <c r="Q43" s="751" t="str">
        <f t="shared" si="4"/>
        <v>jún. 18 – 18:00</v>
      </c>
      <c r="R43" s="752" t="str">
        <f t="shared" si="5"/>
        <v>JÚNIUS 18. – PÉNTEK 18:00</v>
      </c>
      <c r="S43" s="754">
        <f t="shared" si="6"/>
        <v>48</v>
      </c>
      <c r="T43" s="751" t="str">
        <f t="shared" si="11"/>
        <v/>
      </c>
      <c r="U43" s="751" t="str">
        <f t="shared" si="11"/>
        <v/>
      </c>
      <c r="V43" s="751" t="b">
        <f t="shared" si="11"/>
        <v>0</v>
      </c>
      <c r="W43" s="751" t="str">
        <f t="shared" si="11"/>
        <v/>
      </c>
      <c r="X43" s="751" t="str">
        <f t="shared" si="11"/>
        <v/>
      </c>
      <c r="AA43" s="751" t="str">
        <f>""</f>
        <v/>
      </c>
      <c r="AB43" s="753" t="str">
        <f t="shared" si="8"/>
        <v xml:space="preserve">Horvátország–Csehország  </v>
      </c>
    </row>
    <row r="44" spans="1:28" x14ac:dyDescent="0.2">
      <c r="A44" s="760">
        <f t="shared" si="12"/>
        <v>21</v>
      </c>
      <c r="B44" s="759">
        <f>B43+3/24</f>
        <v>44365.833333333328</v>
      </c>
      <c r="C44" s="757" t="s">
        <v>652</v>
      </c>
      <c r="D44" s="757">
        <v>1</v>
      </c>
      <c r="E44" s="757">
        <v>3</v>
      </c>
      <c r="F44" s="757"/>
      <c r="G44" s="757"/>
      <c r="H44" s="751" t="str">
        <f t="shared" si="0"/>
        <v>Anglia</v>
      </c>
      <c r="I44" s="751" t="str">
        <f t="shared" si="1"/>
        <v>Skócia</v>
      </c>
      <c r="J44" s="751" t="s">
        <v>1284</v>
      </c>
      <c r="K44" s="751" t="str">
        <f t="shared" si="2"/>
        <v>Wembley Stadion</v>
      </c>
      <c r="L44" s="751" t="s">
        <v>1260</v>
      </c>
      <c r="M44" s="751" t="s">
        <v>700</v>
      </c>
      <c r="N44" s="759">
        <f t="shared" si="3"/>
        <v>44365.874999999993</v>
      </c>
      <c r="O44" s="761" t="str">
        <f t="shared" si="9"/>
        <v>21:00</v>
      </c>
      <c r="P44" s="762">
        <f t="shared" si="10"/>
        <v>44365.874999999993</v>
      </c>
      <c r="Q44" s="751" t="str">
        <f t="shared" si="4"/>
        <v>jún. 18 – 21:00</v>
      </c>
      <c r="R44" s="752" t="str">
        <f t="shared" si="5"/>
        <v>JÚNIUS 18. – PÉNTEK 21:00</v>
      </c>
      <c r="S44" s="754">
        <f t="shared" si="6"/>
        <v>49</v>
      </c>
      <c r="T44" s="751" t="str">
        <f t="shared" ref="T44:X53" si="13">INDEX(n.er,$S44,T$23)</f>
        <v/>
      </c>
      <c r="U44" s="751" t="str">
        <f t="shared" si="13"/>
        <v/>
      </c>
      <c r="V44" s="751" t="b">
        <f t="shared" si="13"/>
        <v>0</v>
      </c>
      <c r="W44" s="751" t="str">
        <f t="shared" si="13"/>
        <v/>
      </c>
      <c r="X44" s="751" t="str">
        <f t="shared" si="13"/>
        <v/>
      </c>
      <c r="AA44" s="751" t="str">
        <f>""</f>
        <v/>
      </c>
      <c r="AB44" s="753" t="str">
        <f t="shared" si="8"/>
        <v xml:space="preserve">Anglia–Skócia  </v>
      </c>
    </row>
    <row r="45" spans="1:28" x14ac:dyDescent="0.2">
      <c r="A45" s="760">
        <f t="shared" si="12"/>
        <v>22</v>
      </c>
      <c r="B45" s="759">
        <f>B44+19/24</f>
        <v>44366.624999999993</v>
      </c>
      <c r="C45" s="757" t="s">
        <v>810</v>
      </c>
      <c r="D45" s="757">
        <v>1</v>
      </c>
      <c r="E45" s="757">
        <v>3</v>
      </c>
      <c r="F45" s="757"/>
      <c r="G45" s="757"/>
      <c r="H45" s="751" t="str">
        <f t="shared" si="0"/>
        <v>MAGYARORSZÁG</v>
      </c>
      <c r="I45" s="751" t="str">
        <f t="shared" si="1"/>
        <v>Franciaország</v>
      </c>
      <c r="J45" s="751" t="s">
        <v>1288</v>
      </c>
      <c r="K45" s="751" t="str">
        <f t="shared" si="2"/>
        <v>Puskás Ferenc Stadion</v>
      </c>
      <c r="L45" s="751" t="s">
        <v>1260</v>
      </c>
      <c r="M45" s="751" t="s">
        <v>700</v>
      </c>
      <c r="N45" s="759">
        <f t="shared" si="3"/>
        <v>44366.624999999993</v>
      </c>
      <c r="O45" s="761" t="str">
        <f t="shared" si="9"/>
        <v>15:00</v>
      </c>
      <c r="P45" s="762">
        <f t="shared" si="10"/>
        <v>44366.624999999993</v>
      </c>
      <c r="Q45" s="751" t="str">
        <f t="shared" si="4"/>
        <v>jún. 19 – 15:00</v>
      </c>
      <c r="R45" s="752" t="str">
        <f t="shared" si="5"/>
        <v>JÚNIUS 19. – SZOMBAT 15:00</v>
      </c>
      <c r="S45" s="754">
        <f t="shared" si="6"/>
        <v>54</v>
      </c>
      <c r="T45" s="751" t="str">
        <f t="shared" si="13"/>
        <v/>
      </c>
      <c r="U45" s="751" t="str">
        <f t="shared" si="13"/>
        <v/>
      </c>
      <c r="V45" s="751" t="b">
        <f t="shared" si="13"/>
        <v>0</v>
      </c>
      <c r="W45" s="751" t="str">
        <f t="shared" si="13"/>
        <v/>
      </c>
      <c r="X45" s="751" t="str">
        <f t="shared" si="13"/>
        <v/>
      </c>
      <c r="AA45" s="751" t="str">
        <f>""</f>
        <v/>
      </c>
      <c r="AB45" s="753" t="str">
        <f t="shared" si="8"/>
        <v xml:space="preserve">MAGYARORSZÁG–Franciaország  </v>
      </c>
    </row>
    <row r="46" spans="1:28" x14ac:dyDescent="0.2">
      <c r="A46" s="760">
        <f t="shared" si="12"/>
        <v>23</v>
      </c>
      <c r="B46" s="759">
        <f>B45+3/24</f>
        <v>44366.749999999993</v>
      </c>
      <c r="C46" s="757" t="s">
        <v>810</v>
      </c>
      <c r="D46" s="757">
        <v>2</v>
      </c>
      <c r="E46" s="757">
        <v>4</v>
      </c>
      <c r="F46" s="757"/>
      <c r="G46" s="757"/>
      <c r="H46" s="751" t="str">
        <f t="shared" si="0"/>
        <v>Portugália</v>
      </c>
      <c r="I46" s="751" t="str">
        <f t="shared" si="1"/>
        <v>Németország</v>
      </c>
      <c r="J46" s="751" t="s">
        <v>1287</v>
      </c>
      <c r="K46" s="751" t="str">
        <f t="shared" si="2"/>
        <v>München Arena</v>
      </c>
      <c r="L46" s="751" t="s">
        <v>1260</v>
      </c>
      <c r="M46" s="751" t="s">
        <v>700</v>
      </c>
      <c r="N46" s="759">
        <f t="shared" si="3"/>
        <v>44366.749999999993</v>
      </c>
      <c r="O46" s="761" t="str">
        <f t="shared" si="9"/>
        <v>18:00</v>
      </c>
      <c r="P46" s="762">
        <f t="shared" si="10"/>
        <v>44366.749999999993</v>
      </c>
      <c r="Q46" s="751" t="str">
        <f t="shared" si="4"/>
        <v>jún. 19 – 18:00</v>
      </c>
      <c r="R46" s="752" t="str">
        <f t="shared" si="5"/>
        <v>JÚNIUS 19. – SZOMBAT 18:00</v>
      </c>
      <c r="S46" s="754">
        <f t="shared" si="6"/>
        <v>55</v>
      </c>
      <c r="T46" s="751" t="str">
        <f t="shared" si="13"/>
        <v/>
      </c>
      <c r="U46" s="751" t="str">
        <f t="shared" si="13"/>
        <v/>
      </c>
      <c r="V46" s="751" t="b">
        <f t="shared" si="13"/>
        <v>0</v>
      </c>
      <c r="W46" s="751" t="str">
        <f t="shared" si="13"/>
        <v/>
      </c>
      <c r="X46" s="751" t="str">
        <f t="shared" si="13"/>
        <v/>
      </c>
      <c r="AA46" s="751" t="str">
        <f>""</f>
        <v/>
      </c>
      <c r="AB46" s="753" t="str">
        <f t="shared" si="8"/>
        <v xml:space="preserve">Portugália–Németország  </v>
      </c>
    </row>
    <row r="47" spans="1:28" x14ac:dyDescent="0.2">
      <c r="A47" s="760">
        <f t="shared" si="12"/>
        <v>24</v>
      </c>
      <c r="B47" s="759">
        <f>B46+3/24</f>
        <v>44366.874999999993</v>
      </c>
      <c r="C47" s="757" t="s">
        <v>809</v>
      </c>
      <c r="D47" s="757">
        <v>1</v>
      </c>
      <c r="E47" s="757">
        <v>3</v>
      </c>
      <c r="F47" s="757"/>
      <c r="G47" s="757"/>
      <c r="H47" s="751" t="str">
        <f t="shared" si="0"/>
        <v>Spanyolország</v>
      </c>
      <c r="I47" s="751" t="str">
        <f t="shared" si="1"/>
        <v>Lengyelország</v>
      </c>
      <c r="J47" s="751" t="s">
        <v>847</v>
      </c>
      <c r="K47" s="751" t="str">
        <f t="shared" si="2"/>
        <v>R. Sánchez-Pizjuán Stadion</v>
      </c>
      <c r="L47" s="751" t="s">
        <v>1260</v>
      </c>
      <c r="M47" s="751" t="s">
        <v>700</v>
      </c>
      <c r="N47" s="759">
        <f t="shared" si="3"/>
        <v>44366.874999999993</v>
      </c>
      <c r="O47" s="761" t="str">
        <f t="shared" si="9"/>
        <v>21:00</v>
      </c>
      <c r="P47" s="762">
        <f t="shared" si="10"/>
        <v>44366.874999999993</v>
      </c>
      <c r="Q47" s="751" t="str">
        <f t="shared" si="4"/>
        <v>jún. 19 – 21:00</v>
      </c>
      <c r="R47" s="752" t="str">
        <f t="shared" si="5"/>
        <v>JÚNIUS 19. – SZOMBAT 21:00</v>
      </c>
      <c r="S47" s="754">
        <f t="shared" si="6"/>
        <v>56</v>
      </c>
      <c r="T47" s="751" t="str">
        <f t="shared" si="13"/>
        <v/>
      </c>
      <c r="U47" s="751" t="str">
        <f t="shared" si="13"/>
        <v/>
      </c>
      <c r="V47" s="751" t="b">
        <f t="shared" si="13"/>
        <v>0</v>
      </c>
      <c r="W47" s="751" t="str">
        <f t="shared" si="13"/>
        <v/>
      </c>
      <c r="X47" s="751" t="str">
        <f t="shared" si="13"/>
        <v/>
      </c>
      <c r="AA47" s="751" t="str">
        <f>""</f>
        <v/>
      </c>
      <c r="AB47" s="753" t="str">
        <f t="shared" si="8"/>
        <v xml:space="preserve">Spanyolország–Lengyelország  </v>
      </c>
    </row>
    <row r="48" spans="1:28" x14ac:dyDescent="0.2">
      <c r="A48" s="760">
        <f t="shared" si="12"/>
        <v>25</v>
      </c>
      <c r="B48" s="759">
        <f>B47+1-3/24</f>
        <v>44367.749999999993</v>
      </c>
      <c r="C48" s="757" t="s">
        <v>649</v>
      </c>
      <c r="D48" s="757">
        <v>2</v>
      </c>
      <c r="E48" s="757">
        <v>3</v>
      </c>
      <c r="F48" s="757"/>
      <c r="G48" s="757"/>
      <c r="H48" s="751" t="str">
        <f t="shared" si="0"/>
        <v>Olaszország</v>
      </c>
      <c r="I48" s="751" t="str">
        <f t="shared" si="1"/>
        <v>Wales</v>
      </c>
      <c r="J48" s="751" t="s">
        <v>1282</v>
      </c>
      <c r="K48" s="751" t="str">
        <f t="shared" si="2"/>
        <v>Stadio Olimpico</v>
      </c>
      <c r="L48" s="751" t="s">
        <v>1261</v>
      </c>
      <c r="M48" s="751" t="s">
        <v>701</v>
      </c>
      <c r="N48" s="759">
        <f t="shared" si="3"/>
        <v>44367.749999999993</v>
      </c>
      <c r="O48" s="761" t="str">
        <f t="shared" si="9"/>
        <v>18:00</v>
      </c>
      <c r="P48" s="762">
        <f t="shared" si="10"/>
        <v>44367.749999999993</v>
      </c>
      <c r="Q48" s="751" t="str">
        <f t="shared" si="4"/>
        <v>jún. 20 – 18:00</v>
      </c>
      <c r="R48" s="752" t="str">
        <f t="shared" si="5"/>
        <v>JÚNIUS 20. – VASÁRNAP 18:00</v>
      </c>
      <c r="S48" s="754">
        <f t="shared" si="6"/>
        <v>61</v>
      </c>
      <c r="T48" s="751" t="str">
        <f t="shared" si="13"/>
        <v/>
      </c>
      <c r="U48" s="751" t="str">
        <f t="shared" si="13"/>
        <v/>
      </c>
      <c r="V48" s="751" t="b">
        <f t="shared" si="13"/>
        <v>0</v>
      </c>
      <c r="W48" s="751" t="str">
        <f t="shared" si="13"/>
        <v/>
      </c>
      <c r="X48" s="751" t="str">
        <f t="shared" si="13"/>
        <v/>
      </c>
      <c r="AA48" s="751" t="str">
        <f>""</f>
        <v/>
      </c>
      <c r="AB48" s="753" t="str">
        <f t="shared" si="8"/>
        <v xml:space="preserve">Olaszország–Wales  </v>
      </c>
    </row>
    <row r="49" spans="1:28" x14ac:dyDescent="0.2">
      <c r="A49" s="760">
        <f t="shared" si="12"/>
        <v>26</v>
      </c>
      <c r="B49" s="759">
        <f>B48+2/24</f>
        <v>44367.833333333328</v>
      </c>
      <c r="C49" s="757" t="s">
        <v>649</v>
      </c>
      <c r="D49" s="757">
        <v>4</v>
      </c>
      <c r="E49" s="757">
        <v>1</v>
      </c>
      <c r="F49" s="757"/>
      <c r="G49" s="757"/>
      <c r="H49" s="751" t="str">
        <f t="shared" si="0"/>
        <v>Svájc</v>
      </c>
      <c r="I49" s="751" t="str">
        <f t="shared" si="1"/>
        <v>Törökország</v>
      </c>
      <c r="J49" s="751" t="s">
        <v>1278</v>
      </c>
      <c r="K49" s="751" t="str">
        <f t="shared" si="2"/>
        <v>Olimpiai Stadion</v>
      </c>
      <c r="L49" s="751" t="s">
        <v>1261</v>
      </c>
      <c r="M49" s="751" t="s">
        <v>701</v>
      </c>
      <c r="N49" s="759">
        <f t="shared" si="3"/>
        <v>44367.749999999993</v>
      </c>
      <c r="O49" s="761" t="str">
        <f t="shared" si="9"/>
        <v>18:00</v>
      </c>
      <c r="P49" s="762">
        <f t="shared" si="10"/>
        <v>44367.749999999993</v>
      </c>
      <c r="Q49" s="751" t="str">
        <f t="shared" si="4"/>
        <v>jún. 20 – 18:00</v>
      </c>
      <c r="R49" s="752" t="str">
        <f t="shared" si="5"/>
        <v>JÚNIUS 20. – VASÁRNAP 18:00</v>
      </c>
      <c r="S49" s="754">
        <f t="shared" si="6"/>
        <v>62</v>
      </c>
      <c r="T49" s="751" t="str">
        <f t="shared" si="13"/>
        <v/>
      </c>
      <c r="U49" s="751" t="str">
        <f t="shared" si="13"/>
        <v/>
      </c>
      <c r="V49" s="751" t="b">
        <f t="shared" si="13"/>
        <v>0</v>
      </c>
      <c r="W49" s="751" t="str">
        <f t="shared" si="13"/>
        <v/>
      </c>
      <c r="X49" s="751" t="str">
        <f t="shared" si="13"/>
        <v/>
      </c>
      <c r="AA49" s="751" t="str">
        <f>""</f>
        <v/>
      </c>
      <c r="AB49" s="753" t="str">
        <f t="shared" si="8"/>
        <v xml:space="preserve">Svájc–Törökország  </v>
      </c>
    </row>
    <row r="50" spans="1:28" x14ac:dyDescent="0.2">
      <c r="A50" s="760">
        <f t="shared" si="12"/>
        <v>27</v>
      </c>
      <c r="B50" s="759">
        <f>B49+1-2/24</f>
        <v>44368.749999999993</v>
      </c>
      <c r="C50" s="757" t="s">
        <v>651</v>
      </c>
      <c r="D50" s="757">
        <v>4</v>
      </c>
      <c r="E50" s="757">
        <v>1</v>
      </c>
      <c r="F50" s="757"/>
      <c r="G50" s="757"/>
      <c r="H50" s="751" t="str">
        <f t="shared" si="0"/>
        <v>Észak-Macedónia</v>
      </c>
      <c r="I50" s="751" t="str">
        <f t="shared" si="1"/>
        <v>Hollandia</v>
      </c>
      <c r="J50" s="755" t="s">
        <v>1281</v>
      </c>
      <c r="K50" s="751" t="str">
        <f t="shared" si="2"/>
        <v>Johan Cruijff Arena</v>
      </c>
      <c r="L50" s="751" t="s">
        <v>1261</v>
      </c>
      <c r="M50" s="751" t="s">
        <v>701</v>
      </c>
      <c r="N50" s="759">
        <f t="shared" si="3"/>
        <v>44368.749999999993</v>
      </c>
      <c r="O50" s="761" t="str">
        <f t="shared" si="9"/>
        <v>18:00</v>
      </c>
      <c r="P50" s="762">
        <f t="shared" si="10"/>
        <v>44368.749999999993</v>
      </c>
      <c r="Q50" s="751" t="str">
        <f t="shared" si="4"/>
        <v>jún. 21 – 18:00</v>
      </c>
      <c r="R50" s="752" t="str">
        <f t="shared" si="5"/>
        <v>JÚNIUS 21. – HÉTFŐ 18:00</v>
      </c>
      <c r="S50" s="754">
        <f t="shared" si="6"/>
        <v>67</v>
      </c>
      <c r="T50" s="751" t="str">
        <f t="shared" si="13"/>
        <v/>
      </c>
      <c r="U50" s="751" t="str">
        <f t="shared" si="13"/>
        <v/>
      </c>
      <c r="V50" s="751" t="b">
        <f t="shared" si="13"/>
        <v>0</v>
      </c>
      <c r="W50" s="751" t="str">
        <f t="shared" si="13"/>
        <v/>
      </c>
      <c r="X50" s="751" t="str">
        <f t="shared" si="13"/>
        <v/>
      </c>
      <c r="AA50" s="751" t="str">
        <f>""</f>
        <v/>
      </c>
      <c r="AB50" s="753" t="str">
        <f t="shared" si="8"/>
        <v xml:space="preserve">Észak-Macedónia–Hollandia  </v>
      </c>
    </row>
    <row r="51" spans="1:28" x14ac:dyDescent="0.2">
      <c r="A51" s="760">
        <f t="shared" si="12"/>
        <v>28</v>
      </c>
      <c r="B51" s="759">
        <f>B50+1/24</f>
        <v>44368.791666666657</v>
      </c>
      <c r="C51" s="757" t="s">
        <v>651</v>
      </c>
      <c r="D51" s="757">
        <v>2</v>
      </c>
      <c r="E51" s="757">
        <v>3</v>
      </c>
      <c r="F51" s="757"/>
      <c r="G51" s="757"/>
      <c r="H51" s="751" t="str">
        <f t="shared" si="0"/>
        <v>Ukrajna</v>
      </c>
      <c r="I51" s="751" t="str">
        <f t="shared" si="1"/>
        <v>Ausztria</v>
      </c>
      <c r="J51" s="755" t="s">
        <v>1283</v>
      </c>
      <c r="K51" s="751" t="str">
        <f t="shared" si="2"/>
        <v>Nemzeti Stadion</v>
      </c>
      <c r="L51" s="751" t="s">
        <v>1261</v>
      </c>
      <c r="M51" s="751" t="s">
        <v>701</v>
      </c>
      <c r="N51" s="759">
        <f t="shared" si="3"/>
        <v>44368.749999999993</v>
      </c>
      <c r="O51" s="761" t="str">
        <f t="shared" si="9"/>
        <v>18:00</v>
      </c>
      <c r="P51" s="762">
        <f t="shared" si="10"/>
        <v>44368.749999999993</v>
      </c>
      <c r="Q51" s="751" t="str">
        <f t="shared" si="4"/>
        <v>jún. 21 – 18:00</v>
      </c>
      <c r="R51" s="752" t="str">
        <f t="shared" si="5"/>
        <v>JÚNIUS 21. – HÉTFŐ 18:00</v>
      </c>
      <c r="S51" s="754">
        <f t="shared" si="6"/>
        <v>68</v>
      </c>
      <c r="T51" s="751" t="str">
        <f t="shared" si="13"/>
        <v/>
      </c>
      <c r="U51" s="751" t="str">
        <f t="shared" si="13"/>
        <v/>
      </c>
      <c r="V51" s="751" t="b">
        <f t="shared" si="13"/>
        <v>0</v>
      </c>
      <c r="W51" s="751" t="str">
        <f t="shared" si="13"/>
        <v/>
      </c>
      <c r="X51" s="751" t="str">
        <f t="shared" si="13"/>
        <v/>
      </c>
      <c r="AA51" s="751" t="str">
        <f>""</f>
        <v/>
      </c>
      <c r="AB51" s="753" t="str">
        <f t="shared" si="8"/>
        <v xml:space="preserve">Ukrajna–Ausztria  </v>
      </c>
    </row>
    <row r="52" spans="1:28" x14ac:dyDescent="0.2">
      <c r="A52" s="760">
        <f t="shared" si="12"/>
        <v>29</v>
      </c>
      <c r="B52" s="759">
        <f>B51+3/24</f>
        <v>44368.916666666657</v>
      </c>
      <c r="C52" s="757" t="s">
        <v>650</v>
      </c>
      <c r="D52" s="757">
        <v>2</v>
      </c>
      <c r="E52" s="757">
        <v>3</v>
      </c>
      <c r="F52" s="757"/>
      <c r="G52" s="757"/>
      <c r="H52" s="751" t="str">
        <f t="shared" si="0"/>
        <v>Finnország</v>
      </c>
      <c r="I52" s="751" t="str">
        <f t="shared" si="1"/>
        <v>Belgium</v>
      </c>
      <c r="J52" s="751" t="s">
        <v>1279</v>
      </c>
      <c r="K52" s="751" t="str">
        <f t="shared" si="2"/>
        <v>Kresztovszkij Stadion</v>
      </c>
      <c r="L52" s="751" t="s">
        <v>1261</v>
      </c>
      <c r="M52" s="751" t="s">
        <v>701</v>
      </c>
      <c r="N52" s="759">
        <f t="shared" si="3"/>
        <v>44368.874999999993</v>
      </c>
      <c r="O52" s="761" t="str">
        <f t="shared" si="9"/>
        <v>21:00</v>
      </c>
      <c r="P52" s="762">
        <f t="shared" si="10"/>
        <v>44368.874999999993</v>
      </c>
      <c r="Q52" s="751" t="str">
        <f t="shared" si="4"/>
        <v>jún. 21 – 21:00</v>
      </c>
      <c r="R52" s="752" t="str">
        <f t="shared" si="5"/>
        <v>JÚNIUS 21. – HÉTFŐ 21:00</v>
      </c>
      <c r="S52" s="754">
        <f t="shared" si="6"/>
        <v>69</v>
      </c>
      <c r="T52" s="751" t="str">
        <f t="shared" si="13"/>
        <v/>
      </c>
      <c r="U52" s="751" t="str">
        <f t="shared" si="13"/>
        <v/>
      </c>
      <c r="V52" s="751" t="b">
        <f t="shared" si="13"/>
        <v>0</v>
      </c>
      <c r="W52" s="751" t="str">
        <f t="shared" si="13"/>
        <v/>
      </c>
      <c r="X52" s="751" t="str">
        <f t="shared" si="13"/>
        <v/>
      </c>
      <c r="AA52" s="751" t="str">
        <f>""</f>
        <v/>
      </c>
      <c r="AB52" s="753" t="str">
        <f t="shared" si="8"/>
        <v xml:space="preserve">Finnország–Belgium  </v>
      </c>
    </row>
    <row r="53" spans="1:28" x14ac:dyDescent="0.2">
      <c r="A53" s="760">
        <f t="shared" si="12"/>
        <v>30</v>
      </c>
      <c r="B53" s="759">
        <f>B52-1/24</f>
        <v>44368.874999999993</v>
      </c>
      <c r="C53" s="757" t="s">
        <v>650</v>
      </c>
      <c r="D53" s="757">
        <v>4</v>
      </c>
      <c r="E53" s="757">
        <v>1</v>
      </c>
      <c r="F53" s="757"/>
      <c r="G53" s="757"/>
      <c r="H53" s="751" t="str">
        <f t="shared" si="0"/>
        <v>Oroszország</v>
      </c>
      <c r="I53" s="751" t="str">
        <f t="shared" si="1"/>
        <v>Dánia</v>
      </c>
      <c r="J53" s="751" t="s">
        <v>1280</v>
      </c>
      <c r="K53" s="751" t="str">
        <f t="shared" si="2"/>
        <v>Parken Stadion</v>
      </c>
      <c r="L53" s="751" t="s">
        <v>1261</v>
      </c>
      <c r="M53" s="751" t="s">
        <v>701</v>
      </c>
      <c r="N53" s="759">
        <f t="shared" si="3"/>
        <v>44368.874999999993</v>
      </c>
      <c r="O53" s="761" t="str">
        <f t="shared" si="9"/>
        <v>21:00</v>
      </c>
      <c r="P53" s="762">
        <f t="shared" si="10"/>
        <v>44368.874999999993</v>
      </c>
      <c r="Q53" s="751" t="str">
        <f t="shared" si="4"/>
        <v>jún. 21 – 21:00</v>
      </c>
      <c r="R53" s="752" t="str">
        <f t="shared" si="5"/>
        <v>JÚNIUS 21. – HÉTFŐ 21:00</v>
      </c>
      <c r="S53" s="754">
        <f t="shared" si="6"/>
        <v>70</v>
      </c>
      <c r="T53" s="751" t="str">
        <f t="shared" si="13"/>
        <v/>
      </c>
      <c r="U53" s="751" t="str">
        <f t="shared" si="13"/>
        <v/>
      </c>
      <c r="V53" s="751" t="b">
        <f t="shared" si="13"/>
        <v>0</v>
      </c>
      <c r="W53" s="751" t="str">
        <f t="shared" si="13"/>
        <v/>
      </c>
      <c r="X53" s="751" t="str">
        <f t="shared" si="13"/>
        <v/>
      </c>
      <c r="AA53" s="751" t="str">
        <f>""</f>
        <v/>
      </c>
      <c r="AB53" s="753" t="str">
        <f t="shared" si="8"/>
        <v xml:space="preserve">Oroszország–Dánia  </v>
      </c>
    </row>
    <row r="54" spans="1:28" x14ac:dyDescent="0.2">
      <c r="A54" s="760">
        <f t="shared" si="12"/>
        <v>31</v>
      </c>
      <c r="B54" s="759">
        <f>B53+1-1/24</f>
        <v>44369.833333333328</v>
      </c>
      <c r="C54" s="757" t="s">
        <v>652</v>
      </c>
      <c r="D54" s="757">
        <v>4</v>
      </c>
      <c r="E54" s="757">
        <v>1</v>
      </c>
      <c r="F54" s="757"/>
      <c r="G54" s="757"/>
      <c r="H54" s="751" t="str">
        <f t="shared" si="0"/>
        <v>Csehország</v>
      </c>
      <c r="I54" s="751" t="str">
        <f t="shared" si="1"/>
        <v>Anglia</v>
      </c>
      <c r="J54" s="755" t="s">
        <v>1284</v>
      </c>
      <c r="K54" s="751" t="str">
        <f t="shared" si="2"/>
        <v>Wembley Stadion</v>
      </c>
      <c r="L54" s="751" t="s">
        <v>1261</v>
      </c>
      <c r="M54" s="751" t="s">
        <v>701</v>
      </c>
      <c r="N54" s="759">
        <f t="shared" si="3"/>
        <v>44369.874999999993</v>
      </c>
      <c r="O54" s="761" t="str">
        <f t="shared" si="9"/>
        <v>21:00</v>
      </c>
      <c r="P54" s="762">
        <f t="shared" si="10"/>
        <v>44369.874999999993</v>
      </c>
      <c r="Q54" s="751" t="str">
        <f t="shared" si="4"/>
        <v>jún. 22 – 21:00</v>
      </c>
      <c r="R54" s="752" t="str">
        <f t="shared" si="5"/>
        <v>JÚNIUS 22. – KEDD 21:00</v>
      </c>
      <c r="S54" s="754">
        <f t="shared" si="6"/>
        <v>75</v>
      </c>
      <c r="T54" s="751" t="str">
        <f t="shared" ref="T54:X63" si="14">INDEX(n.er,$S54,T$23)</f>
        <v/>
      </c>
      <c r="U54" s="751" t="str">
        <f t="shared" si="14"/>
        <v/>
      </c>
      <c r="V54" s="751" t="b">
        <f t="shared" si="14"/>
        <v>0</v>
      </c>
      <c r="W54" s="751" t="str">
        <f t="shared" si="14"/>
        <v/>
      </c>
      <c r="X54" s="751" t="str">
        <f t="shared" si="14"/>
        <v/>
      </c>
      <c r="AA54" s="751" t="str">
        <f>""</f>
        <v/>
      </c>
      <c r="AB54" s="753" t="str">
        <f t="shared" si="8"/>
        <v xml:space="preserve">Csehország–Anglia  </v>
      </c>
    </row>
    <row r="55" spans="1:28" x14ac:dyDescent="0.2">
      <c r="A55" s="760">
        <f t="shared" si="12"/>
        <v>32</v>
      </c>
      <c r="B55" s="759">
        <f>B54</f>
        <v>44369.833333333328</v>
      </c>
      <c r="C55" s="757" t="s">
        <v>652</v>
      </c>
      <c r="D55" s="757">
        <v>2</v>
      </c>
      <c r="E55" s="757">
        <v>3</v>
      </c>
      <c r="F55" s="757"/>
      <c r="G55" s="757"/>
      <c r="H55" s="751" t="str">
        <f t="shared" si="0"/>
        <v>Horvátország</v>
      </c>
      <c r="I55" s="751" t="str">
        <f t="shared" si="1"/>
        <v>Skócia</v>
      </c>
      <c r="J55" s="755" t="s">
        <v>1285</v>
      </c>
      <c r="K55" s="751" t="str">
        <f t="shared" si="2"/>
        <v>Hampden Park</v>
      </c>
      <c r="L55" s="751" t="s">
        <v>1261</v>
      </c>
      <c r="M55" s="751" t="s">
        <v>701</v>
      </c>
      <c r="N55" s="759">
        <f t="shared" si="3"/>
        <v>44369.874999999993</v>
      </c>
      <c r="O55" s="761" t="str">
        <f t="shared" si="9"/>
        <v>21:00</v>
      </c>
      <c r="P55" s="762">
        <f t="shared" si="10"/>
        <v>44369.874999999993</v>
      </c>
      <c r="Q55" s="751" t="str">
        <f t="shared" si="4"/>
        <v>jún. 22 – 21:00</v>
      </c>
      <c r="R55" s="752" t="str">
        <f t="shared" si="5"/>
        <v>JÚNIUS 22. – KEDD 21:00</v>
      </c>
      <c r="S55" s="754">
        <f t="shared" si="6"/>
        <v>76</v>
      </c>
      <c r="T55" s="751" t="str">
        <f t="shared" si="14"/>
        <v/>
      </c>
      <c r="U55" s="751" t="str">
        <f t="shared" si="14"/>
        <v/>
      </c>
      <c r="V55" s="751" t="b">
        <f t="shared" si="14"/>
        <v>0</v>
      </c>
      <c r="W55" s="751" t="str">
        <f t="shared" si="14"/>
        <v/>
      </c>
      <c r="X55" s="751" t="str">
        <f t="shared" si="14"/>
        <v/>
      </c>
      <c r="AA55" s="751" t="str">
        <f>""</f>
        <v/>
      </c>
      <c r="AB55" s="753" t="str">
        <f t="shared" si="8"/>
        <v xml:space="preserve">Horvátország–Skócia  </v>
      </c>
    </row>
    <row r="56" spans="1:28" x14ac:dyDescent="0.2">
      <c r="A56" s="760">
        <f t="shared" si="12"/>
        <v>33</v>
      </c>
      <c r="B56" s="759">
        <f>B55+22/24</f>
        <v>44370.749999999993</v>
      </c>
      <c r="C56" s="757" t="s">
        <v>809</v>
      </c>
      <c r="D56" s="757">
        <v>4</v>
      </c>
      <c r="E56" s="757">
        <v>1</v>
      </c>
      <c r="F56" s="757"/>
      <c r="G56" s="757"/>
      <c r="H56" s="751" t="str">
        <f t="shared" si="0"/>
        <v>Szlovákia</v>
      </c>
      <c r="I56" s="751" t="str">
        <f t="shared" si="1"/>
        <v>Spanyolország</v>
      </c>
      <c r="J56" s="751" t="s">
        <v>847</v>
      </c>
      <c r="K56" s="751" t="str">
        <f t="shared" ref="K56:K74" si="15">VLOOKUP(J56,stadium,2,FALSE)</f>
        <v>R. Sánchez-Pizjuán Stadion</v>
      </c>
      <c r="L56" s="751" t="s">
        <v>1261</v>
      </c>
      <c r="M56" s="751" t="s">
        <v>701</v>
      </c>
      <c r="N56" s="759">
        <f t="shared" ref="N56:N74" si="16">B56+VLOOKUP(J56,stadium,5,FALSE)</f>
        <v>44370.749999999993</v>
      </c>
      <c r="O56" s="761" t="str">
        <f t="shared" si="9"/>
        <v>18:00</v>
      </c>
      <c r="P56" s="762">
        <f t="shared" si="10"/>
        <v>44370.749999999993</v>
      </c>
      <c r="Q56" s="751" t="str">
        <f t="shared" ref="Q56:Q74" si="17">HLOOKUP(MONTH(P56),months,2,FALSE)&amp;". "&amp;DAY(P56)&amp;" – "&amp;O56</f>
        <v>jún. 23 – 18:00</v>
      </c>
      <c r="R56" s="752" t="str">
        <f t="shared" ref="R56:R74" si="18">HLOOKUP(MONTH(P56),months,3,FALSE)&amp;" "&amp;DAY(P56)&amp;". – "&amp;VLOOKUP(WEEKDAY(P56,2),days,2,FALSE)&amp;" "&amp;O56</f>
        <v>JÚNIUS 23. – SZERDA 18:00</v>
      </c>
      <c r="S56" s="754">
        <f t="shared" ref="S56:S74" si="19">MATCH(A56,n.er.index,0)</f>
        <v>81</v>
      </c>
      <c r="T56" s="751" t="str">
        <f t="shared" si="14"/>
        <v/>
      </c>
      <c r="U56" s="751" t="str">
        <f t="shared" si="14"/>
        <v/>
      </c>
      <c r="V56" s="751" t="b">
        <f t="shared" si="14"/>
        <v>0</v>
      </c>
      <c r="W56" s="751" t="str">
        <f t="shared" si="14"/>
        <v/>
      </c>
      <c r="X56" s="751" t="str">
        <f t="shared" si="14"/>
        <v/>
      </c>
      <c r="AA56" s="751" t="str">
        <f>""</f>
        <v/>
      </c>
      <c r="AB56" s="753" t="str">
        <f t="shared" ref="AB56:AB74" si="20">H56&amp;"–"&amp;I56&amp;"  "&amp;IF(V56,W56&amp;"–"&amp;X56,"")&amp;IF(Y56,"  ("&amp;Z56&amp;"–"&amp;AA56&amp;")","")</f>
        <v xml:space="preserve">Szlovákia–Spanyolország  </v>
      </c>
    </row>
    <row r="57" spans="1:28" x14ac:dyDescent="0.2">
      <c r="A57" s="760">
        <f t="shared" si="12"/>
        <v>34</v>
      </c>
      <c r="B57" s="759">
        <f>B56+1/24</f>
        <v>44370.791666666657</v>
      </c>
      <c r="C57" s="757" t="s">
        <v>809</v>
      </c>
      <c r="D57" s="757">
        <v>2</v>
      </c>
      <c r="E57" s="757">
        <v>3</v>
      </c>
      <c r="F57" s="757"/>
      <c r="G57" s="757"/>
      <c r="H57" s="751" t="str">
        <f t="shared" si="0"/>
        <v>Svédország</v>
      </c>
      <c r="I57" s="751" t="str">
        <f t="shared" si="1"/>
        <v>Lengyelország</v>
      </c>
      <c r="J57" s="751" t="s">
        <v>1279</v>
      </c>
      <c r="K57" s="751" t="str">
        <f t="shared" si="15"/>
        <v>Kresztovszkij Stadion</v>
      </c>
      <c r="L57" s="751" t="s">
        <v>1261</v>
      </c>
      <c r="M57" s="751" t="s">
        <v>701</v>
      </c>
      <c r="N57" s="759">
        <f t="shared" si="16"/>
        <v>44370.749999999993</v>
      </c>
      <c r="O57" s="761" t="str">
        <f t="shared" si="9"/>
        <v>18:00</v>
      </c>
      <c r="P57" s="762">
        <f t="shared" si="10"/>
        <v>44370.749999999993</v>
      </c>
      <c r="Q57" s="751" t="str">
        <f t="shared" si="17"/>
        <v>jún. 23 – 18:00</v>
      </c>
      <c r="R57" s="752" t="str">
        <f t="shared" si="18"/>
        <v>JÚNIUS 23. – SZERDA 18:00</v>
      </c>
      <c r="S57" s="754">
        <f t="shared" si="19"/>
        <v>82</v>
      </c>
      <c r="T57" s="751" t="str">
        <f t="shared" si="14"/>
        <v/>
      </c>
      <c r="U57" s="751" t="str">
        <f t="shared" si="14"/>
        <v/>
      </c>
      <c r="V57" s="751" t="b">
        <f t="shared" si="14"/>
        <v>0</v>
      </c>
      <c r="W57" s="751" t="str">
        <f t="shared" si="14"/>
        <v/>
      </c>
      <c r="X57" s="751" t="str">
        <f t="shared" si="14"/>
        <v/>
      </c>
      <c r="AA57" s="751" t="str">
        <f>""</f>
        <v/>
      </c>
      <c r="AB57" s="753" t="str">
        <f t="shared" si="20"/>
        <v xml:space="preserve">Svédország–Lengyelország  </v>
      </c>
    </row>
    <row r="58" spans="1:28" x14ac:dyDescent="0.2">
      <c r="A58" s="760">
        <f t="shared" si="12"/>
        <v>35</v>
      </c>
      <c r="B58" s="759">
        <f>B57+2/24</f>
        <v>44370.874999999993</v>
      </c>
      <c r="C58" s="757" t="s">
        <v>810</v>
      </c>
      <c r="D58" s="757">
        <v>4</v>
      </c>
      <c r="E58" s="757">
        <v>1</v>
      </c>
      <c r="F58" s="757"/>
      <c r="G58" s="757"/>
      <c r="H58" s="751" t="str">
        <f t="shared" si="0"/>
        <v>Németország</v>
      </c>
      <c r="I58" s="751" t="str">
        <f t="shared" si="1"/>
        <v>MAGYARORSZÁG</v>
      </c>
      <c r="J58" s="755" t="s">
        <v>1287</v>
      </c>
      <c r="K58" s="751" t="str">
        <f t="shared" si="15"/>
        <v>München Arena</v>
      </c>
      <c r="L58" s="751" t="s">
        <v>1261</v>
      </c>
      <c r="M58" s="751" t="s">
        <v>701</v>
      </c>
      <c r="N58" s="759">
        <f t="shared" si="16"/>
        <v>44370.874999999993</v>
      </c>
      <c r="O58" s="761" t="str">
        <f t="shared" si="9"/>
        <v>21:00</v>
      </c>
      <c r="P58" s="762">
        <f t="shared" si="10"/>
        <v>44370.874999999993</v>
      </c>
      <c r="Q58" s="751" t="str">
        <f t="shared" si="17"/>
        <v>jún. 23 – 21:00</v>
      </c>
      <c r="R58" s="752" t="str">
        <f t="shared" si="18"/>
        <v>JÚNIUS 23. – SZERDA 21:00</v>
      </c>
      <c r="S58" s="754">
        <f t="shared" si="19"/>
        <v>83</v>
      </c>
      <c r="T58" s="751" t="str">
        <f t="shared" si="14"/>
        <v/>
      </c>
      <c r="U58" s="751" t="str">
        <f t="shared" si="14"/>
        <v/>
      </c>
      <c r="V58" s="751" t="b">
        <f t="shared" si="14"/>
        <v>0</v>
      </c>
      <c r="W58" s="751" t="str">
        <f t="shared" si="14"/>
        <v/>
      </c>
      <c r="X58" s="751" t="str">
        <f t="shared" si="14"/>
        <v/>
      </c>
      <c r="AA58" s="751" t="str">
        <f>""</f>
        <v/>
      </c>
      <c r="AB58" s="753" t="str">
        <f t="shared" si="20"/>
        <v xml:space="preserve">Németország–MAGYARORSZÁG  </v>
      </c>
    </row>
    <row r="59" spans="1:28" x14ac:dyDescent="0.2">
      <c r="A59" s="760">
        <f t="shared" si="12"/>
        <v>36</v>
      </c>
      <c r="B59" s="759">
        <f>B58</f>
        <v>44370.874999999993</v>
      </c>
      <c r="C59" s="757" t="s">
        <v>810</v>
      </c>
      <c r="D59" s="757">
        <v>2</v>
      </c>
      <c r="E59" s="757">
        <v>3</v>
      </c>
      <c r="F59" s="757"/>
      <c r="G59" s="757"/>
      <c r="H59" s="751" t="str">
        <f t="shared" si="0"/>
        <v>Portugália</v>
      </c>
      <c r="I59" s="751" t="str">
        <f t="shared" si="1"/>
        <v>Franciaország</v>
      </c>
      <c r="J59" s="755" t="s">
        <v>1288</v>
      </c>
      <c r="K59" s="751" t="str">
        <f t="shared" si="15"/>
        <v>Puskás Ferenc Stadion</v>
      </c>
      <c r="L59" s="751" t="s">
        <v>1261</v>
      </c>
      <c r="M59" s="751" t="s">
        <v>701</v>
      </c>
      <c r="N59" s="759">
        <f t="shared" si="16"/>
        <v>44370.874999999993</v>
      </c>
      <c r="O59" s="761" t="str">
        <f t="shared" si="9"/>
        <v>21:00</v>
      </c>
      <c r="P59" s="762">
        <f t="shared" si="10"/>
        <v>44370.874999999993</v>
      </c>
      <c r="Q59" s="751" t="str">
        <f t="shared" si="17"/>
        <v>jún. 23 – 21:00</v>
      </c>
      <c r="R59" s="752" t="str">
        <f t="shared" si="18"/>
        <v>JÚNIUS 23. – SZERDA 21:00</v>
      </c>
      <c r="S59" s="754">
        <f t="shared" si="19"/>
        <v>84</v>
      </c>
      <c r="T59" s="751" t="str">
        <f t="shared" si="14"/>
        <v/>
      </c>
      <c r="U59" s="751" t="str">
        <f t="shared" si="14"/>
        <v/>
      </c>
      <c r="V59" s="751" t="b">
        <f t="shared" si="14"/>
        <v>0</v>
      </c>
      <c r="W59" s="751" t="str">
        <f t="shared" si="14"/>
        <v/>
      </c>
      <c r="X59" s="751" t="str">
        <f t="shared" si="14"/>
        <v/>
      </c>
      <c r="AA59" s="751" t="str">
        <f>""</f>
        <v/>
      </c>
      <c r="AB59" s="753" t="str">
        <f t="shared" si="20"/>
        <v xml:space="preserve">Portugália–Franciaország  </v>
      </c>
    </row>
    <row r="60" spans="1:28" x14ac:dyDescent="0.2">
      <c r="A60" s="760">
        <v>38</v>
      </c>
      <c r="B60" s="759">
        <f>B59+3-3/24</f>
        <v>44373.749999999993</v>
      </c>
      <c r="C60" s="763" t="s">
        <v>640</v>
      </c>
      <c r="D60" s="757" t="s">
        <v>1234</v>
      </c>
      <c r="E60" s="757" t="s">
        <v>1229</v>
      </c>
      <c r="F60" s="757" t="s">
        <v>1194</v>
      </c>
      <c r="G60" s="757" t="s">
        <v>1209</v>
      </c>
      <c r="H60" s="751" t="str">
        <f t="shared" ref="H60:H67" si="21">VLOOKUP(D60,grouprank,2,FALSE)</f>
        <v>A csoport 2. hely</v>
      </c>
      <c r="I60" s="751" t="str">
        <f t="shared" ref="I60:I67" si="22">VLOOKUP(E60,grouprank,2,FALSE)</f>
        <v>B csoport 2. hely</v>
      </c>
      <c r="J60" s="755" t="s">
        <v>1281</v>
      </c>
      <c r="K60" s="751" t="str">
        <f t="shared" si="15"/>
        <v>Johan Cruijff Arena</v>
      </c>
      <c r="L60" s="751" t="s">
        <v>1262</v>
      </c>
      <c r="M60" s="751" t="s">
        <v>1268</v>
      </c>
      <c r="N60" s="759">
        <f t="shared" si="16"/>
        <v>44373.749999999993</v>
      </c>
      <c r="O60" s="761" t="str">
        <f t="shared" si="9"/>
        <v>18:00</v>
      </c>
      <c r="P60" s="762">
        <f t="shared" si="10"/>
        <v>44373.749999999993</v>
      </c>
      <c r="Q60" s="751" t="str">
        <f t="shared" si="17"/>
        <v>jún. 26 – 18:00</v>
      </c>
      <c r="R60" s="752" t="str">
        <f t="shared" si="18"/>
        <v>JÚNIUS 26. – SZOMBAT 18:00</v>
      </c>
      <c r="S60" s="754">
        <f t="shared" si="19"/>
        <v>91</v>
      </c>
      <c r="T60" s="751" t="str">
        <f t="shared" si="14"/>
        <v/>
      </c>
      <c r="U60" s="751" t="str">
        <f t="shared" si="14"/>
        <v/>
      </c>
      <c r="V60" s="751" t="b">
        <f t="shared" si="14"/>
        <v>0</v>
      </c>
      <c r="W60" s="751" t="str">
        <f t="shared" si="14"/>
        <v/>
      </c>
      <c r="X60" s="751" t="str">
        <f t="shared" si="14"/>
        <v/>
      </c>
      <c r="Y60" s="751" t="b">
        <f t="shared" ref="Y60:AA74" si="23">INDEX(n.er,$S60,Y$23)</f>
        <v>0</v>
      </c>
      <c r="Z60" s="751" t="str">
        <f t="shared" si="23"/>
        <v/>
      </c>
      <c r="AA60" s="751" t="str">
        <f t="shared" si="23"/>
        <v/>
      </c>
      <c r="AB60" s="753" t="str">
        <f t="shared" si="20"/>
        <v xml:space="preserve">A csoport 2. hely–B csoport 2. hely  </v>
      </c>
    </row>
    <row r="61" spans="1:28" x14ac:dyDescent="0.2">
      <c r="A61" s="760">
        <v>37</v>
      </c>
      <c r="B61" s="759">
        <f>B60+2/24</f>
        <v>44373.833333333328</v>
      </c>
      <c r="C61" s="763" t="s">
        <v>634</v>
      </c>
      <c r="D61" s="757" t="s">
        <v>1228</v>
      </c>
      <c r="E61" s="757" t="s">
        <v>1201</v>
      </c>
      <c r="F61" s="757" t="s">
        <v>1203</v>
      </c>
      <c r="G61" s="757" t="s">
        <v>1195</v>
      </c>
      <c r="H61" s="751" t="str">
        <f t="shared" si="21"/>
        <v>A csoport 1. hely</v>
      </c>
      <c r="I61" s="751" t="str">
        <f t="shared" si="22"/>
        <v>C csoport 2. hely</v>
      </c>
      <c r="J61" s="755" t="s">
        <v>1284</v>
      </c>
      <c r="K61" s="751" t="str">
        <f t="shared" si="15"/>
        <v>Wembley Stadion</v>
      </c>
      <c r="L61" s="751" t="s">
        <v>1262</v>
      </c>
      <c r="M61" s="751" t="s">
        <v>1268</v>
      </c>
      <c r="N61" s="759">
        <f t="shared" si="16"/>
        <v>44373.874999999993</v>
      </c>
      <c r="O61" s="761" t="str">
        <f t="shared" si="9"/>
        <v>21:00</v>
      </c>
      <c r="P61" s="762">
        <f t="shared" si="10"/>
        <v>44373.874999999993</v>
      </c>
      <c r="Q61" s="751" t="str">
        <f t="shared" si="17"/>
        <v>jún. 26 – 21:00</v>
      </c>
      <c r="R61" s="752" t="str">
        <f t="shared" si="18"/>
        <v>JÚNIUS 26. – SZOMBAT 21:00</v>
      </c>
      <c r="S61" s="754">
        <f t="shared" si="19"/>
        <v>92</v>
      </c>
      <c r="T61" s="751" t="str">
        <f t="shared" si="14"/>
        <v/>
      </c>
      <c r="U61" s="751" t="str">
        <f t="shared" si="14"/>
        <v/>
      </c>
      <c r="V61" s="751" t="b">
        <f t="shared" si="14"/>
        <v>0</v>
      </c>
      <c r="W61" s="751" t="str">
        <f t="shared" si="14"/>
        <v/>
      </c>
      <c r="X61" s="751" t="str">
        <f t="shared" si="14"/>
        <v/>
      </c>
      <c r="Y61" s="751" t="b">
        <f t="shared" si="23"/>
        <v>0</v>
      </c>
      <c r="Z61" s="751" t="str">
        <f t="shared" si="23"/>
        <v/>
      </c>
      <c r="AA61" s="751" t="str">
        <f t="shared" si="23"/>
        <v/>
      </c>
      <c r="AB61" s="753" t="str">
        <f t="shared" si="20"/>
        <v xml:space="preserve">A csoport 1. hely–C csoport 2. hely  </v>
      </c>
    </row>
    <row r="62" spans="1:28" x14ac:dyDescent="0.2">
      <c r="A62" s="760">
        <v>40</v>
      </c>
      <c r="B62" s="759">
        <f>B60+1</f>
        <v>44374.749999999993</v>
      </c>
      <c r="C62" s="763" t="s">
        <v>639</v>
      </c>
      <c r="D62" s="757" t="s">
        <v>1230</v>
      </c>
      <c r="E62" s="757" t="s">
        <v>483</v>
      </c>
      <c r="F62" s="757" t="s">
        <v>1204</v>
      </c>
      <c r="G62" s="757" t="str">
        <f>IF(NOT(Tabellák!$AN$43),VLOOKUP(E62,grouprank,3,FALSE),RIGHT(VLOOKUP(Tabellák!$AE$50,thirdpl,MATCH(E62,thirdplrow,0),FALSE),1))&amp;"3."</f>
        <v>D/E/F3.</v>
      </c>
      <c r="H62" s="751" t="str">
        <f t="shared" si="21"/>
        <v>C csoport 1. hely</v>
      </c>
      <c r="I62" s="751" t="str">
        <f t="shared" si="22"/>
        <v>D/E/F csoport 3. hely</v>
      </c>
      <c r="J62" s="755" t="s">
        <v>1288</v>
      </c>
      <c r="K62" s="751" t="str">
        <f t="shared" si="15"/>
        <v>Puskás Ferenc Stadion</v>
      </c>
      <c r="L62" s="751" t="s">
        <v>1262</v>
      </c>
      <c r="M62" s="751" t="s">
        <v>1268</v>
      </c>
      <c r="N62" s="759">
        <f t="shared" si="16"/>
        <v>44374.749999999993</v>
      </c>
      <c r="O62" s="761" t="str">
        <f t="shared" si="9"/>
        <v>18:00</v>
      </c>
      <c r="P62" s="762">
        <f t="shared" si="10"/>
        <v>44374.749999999993</v>
      </c>
      <c r="Q62" s="751" t="str">
        <f t="shared" si="17"/>
        <v>jún. 27 – 18:00</v>
      </c>
      <c r="R62" s="752" t="str">
        <f t="shared" si="18"/>
        <v>JÚNIUS 27. – VASÁRNAP 18:00</v>
      </c>
      <c r="S62" s="754">
        <f t="shared" si="19"/>
        <v>97</v>
      </c>
      <c r="T62" s="751" t="str">
        <f t="shared" si="14"/>
        <v/>
      </c>
      <c r="U62" s="751" t="str">
        <f t="shared" si="14"/>
        <v/>
      </c>
      <c r="V62" s="751" t="b">
        <f t="shared" si="14"/>
        <v>0</v>
      </c>
      <c r="W62" s="751" t="str">
        <f t="shared" si="14"/>
        <v/>
      </c>
      <c r="X62" s="751" t="str">
        <f t="shared" si="14"/>
        <v/>
      </c>
      <c r="Y62" s="751" t="b">
        <f t="shared" si="23"/>
        <v>0</v>
      </c>
      <c r="Z62" s="751" t="str">
        <f t="shared" si="23"/>
        <v/>
      </c>
      <c r="AA62" s="751" t="str">
        <f t="shared" si="23"/>
        <v/>
      </c>
      <c r="AB62" s="753" t="str">
        <f t="shared" si="20"/>
        <v xml:space="preserve">C csoport 1. hely–D/E/F csoport 3. hely  </v>
      </c>
    </row>
    <row r="63" spans="1:28" x14ac:dyDescent="0.2">
      <c r="A63" s="760">
        <v>39</v>
      </c>
      <c r="B63" s="759">
        <f>B62+3/24</f>
        <v>44374.874999999993</v>
      </c>
      <c r="C63" s="763" t="s">
        <v>633</v>
      </c>
      <c r="D63" s="757" t="s">
        <v>1233</v>
      </c>
      <c r="E63" s="757" t="s">
        <v>482</v>
      </c>
      <c r="F63" s="757" t="s">
        <v>1196</v>
      </c>
      <c r="G63" s="757" t="str">
        <f>IF(NOT(Tabellák!$AN$43),VLOOKUP(E63,grouprank,3,FALSE),RIGHT(VLOOKUP(Tabellák!$AE$50,thirdpl,MATCH(E63,thirdplrow,0),FALSE),1))&amp;"3."</f>
        <v>A/D/E/F3.</v>
      </c>
      <c r="H63" s="751" t="str">
        <f t="shared" si="21"/>
        <v>B csoport 1. hely</v>
      </c>
      <c r="I63" s="751" t="str">
        <f t="shared" si="22"/>
        <v>A/D/E/F csoport 3. hely</v>
      </c>
      <c r="J63" s="751" t="s">
        <v>847</v>
      </c>
      <c r="K63" s="751" t="str">
        <f t="shared" si="15"/>
        <v>R. Sánchez-Pizjuán Stadion</v>
      </c>
      <c r="L63" s="751" t="s">
        <v>1262</v>
      </c>
      <c r="M63" s="751" t="s">
        <v>1268</v>
      </c>
      <c r="N63" s="759">
        <f t="shared" si="16"/>
        <v>44374.874999999993</v>
      </c>
      <c r="O63" s="761" t="str">
        <f t="shared" si="9"/>
        <v>21:00</v>
      </c>
      <c r="P63" s="762">
        <f t="shared" si="10"/>
        <v>44374.874999999993</v>
      </c>
      <c r="Q63" s="751" t="str">
        <f t="shared" si="17"/>
        <v>jún. 27 – 21:00</v>
      </c>
      <c r="R63" s="752" t="str">
        <f t="shared" si="18"/>
        <v>JÚNIUS 27. – VASÁRNAP 21:00</v>
      </c>
      <c r="S63" s="754">
        <f t="shared" si="19"/>
        <v>98</v>
      </c>
      <c r="T63" s="751" t="str">
        <f t="shared" si="14"/>
        <v/>
      </c>
      <c r="U63" s="751" t="str">
        <f t="shared" si="14"/>
        <v/>
      </c>
      <c r="V63" s="751" t="b">
        <f t="shared" si="14"/>
        <v>0</v>
      </c>
      <c r="W63" s="751" t="str">
        <f t="shared" si="14"/>
        <v/>
      </c>
      <c r="X63" s="751" t="str">
        <f t="shared" si="14"/>
        <v/>
      </c>
      <c r="Y63" s="751" t="b">
        <f t="shared" si="23"/>
        <v>0</v>
      </c>
      <c r="Z63" s="751" t="str">
        <f t="shared" si="23"/>
        <v/>
      </c>
      <c r="AA63" s="751" t="str">
        <f t="shared" si="23"/>
        <v/>
      </c>
      <c r="AB63" s="753" t="str">
        <f t="shared" si="20"/>
        <v xml:space="preserve">B csoport 1. hely–A/D/E/F csoport 3. hely  </v>
      </c>
    </row>
    <row r="64" spans="1:28" x14ac:dyDescent="0.2">
      <c r="A64" s="760">
        <v>42</v>
      </c>
      <c r="B64" s="759">
        <f>B62+1+0/24</f>
        <v>44375.749999999993</v>
      </c>
      <c r="C64" s="763" t="s">
        <v>636</v>
      </c>
      <c r="D64" s="757" t="s">
        <v>1231</v>
      </c>
      <c r="E64" s="757" t="s">
        <v>1238</v>
      </c>
      <c r="F64" s="757" t="s">
        <v>1208</v>
      </c>
      <c r="G64" s="757" t="s">
        <v>1206</v>
      </c>
      <c r="H64" s="751" t="str">
        <f t="shared" si="21"/>
        <v>D csoport 2. hely</v>
      </c>
      <c r="I64" s="751" t="str">
        <f t="shared" si="22"/>
        <v>E csoport 2. hely</v>
      </c>
      <c r="J64" s="751" t="s">
        <v>1280</v>
      </c>
      <c r="K64" s="751" t="str">
        <f t="shared" si="15"/>
        <v>Parken Stadion</v>
      </c>
      <c r="L64" s="751" t="s">
        <v>1262</v>
      </c>
      <c r="M64" s="751" t="s">
        <v>1268</v>
      </c>
      <c r="N64" s="759">
        <f t="shared" si="16"/>
        <v>44375.749999999993</v>
      </c>
      <c r="O64" s="761" t="str">
        <f t="shared" si="9"/>
        <v>18:00</v>
      </c>
      <c r="P64" s="762">
        <f t="shared" si="10"/>
        <v>44375.749999999993</v>
      </c>
      <c r="Q64" s="751" t="str">
        <f t="shared" si="17"/>
        <v>jún. 28 – 18:00</v>
      </c>
      <c r="R64" s="752" t="str">
        <f t="shared" si="18"/>
        <v>JÚNIUS 28. – HÉTFŐ 18:00</v>
      </c>
      <c r="S64" s="754">
        <f t="shared" si="19"/>
        <v>103</v>
      </c>
      <c r="T64" s="751" t="str">
        <f t="shared" ref="T64:X74" si="24">INDEX(n.er,$S64,T$23)</f>
        <v/>
      </c>
      <c r="U64" s="751" t="str">
        <f t="shared" si="24"/>
        <v/>
      </c>
      <c r="V64" s="751" t="b">
        <f t="shared" si="24"/>
        <v>0</v>
      </c>
      <c r="W64" s="751" t="str">
        <f t="shared" si="24"/>
        <v/>
      </c>
      <c r="X64" s="751" t="str">
        <f t="shared" si="24"/>
        <v/>
      </c>
      <c r="Y64" s="751" t="b">
        <f t="shared" si="23"/>
        <v>0</v>
      </c>
      <c r="Z64" s="751" t="str">
        <f t="shared" si="23"/>
        <v/>
      </c>
      <c r="AA64" s="751" t="str">
        <f t="shared" si="23"/>
        <v/>
      </c>
      <c r="AB64" s="753" t="str">
        <f t="shared" si="20"/>
        <v xml:space="preserve">D csoport 2. hely–E csoport 2. hely  </v>
      </c>
    </row>
    <row r="65" spans="1:28" x14ac:dyDescent="0.2">
      <c r="A65" s="760">
        <v>41</v>
      </c>
      <c r="B65" s="759">
        <f>B64+4/24</f>
        <v>44375.916666666657</v>
      </c>
      <c r="C65" s="763" t="s">
        <v>635</v>
      </c>
      <c r="D65" s="757" t="s">
        <v>1237</v>
      </c>
      <c r="E65" s="757" t="s">
        <v>524</v>
      </c>
      <c r="F65" s="757" t="s">
        <v>1205</v>
      </c>
      <c r="G65" s="757" t="str">
        <f>IF(NOT(Tabellák!$AN$43),VLOOKUP(E65,grouprank,3,FALSE),RIGHT(VLOOKUP(Tabellák!$AE$50,thirdpl,MATCH(E65,thirdplrow,0),FALSE),1))&amp;"3."</f>
        <v>A/B/C3.</v>
      </c>
      <c r="H65" s="751" t="str">
        <f t="shared" si="21"/>
        <v>F csoport 1. hely</v>
      </c>
      <c r="I65" s="751" t="str">
        <f t="shared" si="22"/>
        <v>A/B/C csoport 3. hely</v>
      </c>
      <c r="J65" s="755" t="s">
        <v>1283</v>
      </c>
      <c r="K65" s="751" t="str">
        <f t="shared" si="15"/>
        <v>Nemzeti Stadion</v>
      </c>
      <c r="L65" s="751" t="s">
        <v>1262</v>
      </c>
      <c r="M65" s="751" t="s">
        <v>1268</v>
      </c>
      <c r="N65" s="759">
        <f t="shared" si="16"/>
        <v>44375.874999999993</v>
      </c>
      <c r="O65" s="761" t="str">
        <f t="shared" si="9"/>
        <v>21:00</v>
      </c>
      <c r="P65" s="762">
        <f t="shared" si="10"/>
        <v>44375.874999999993</v>
      </c>
      <c r="Q65" s="751" t="str">
        <f t="shared" si="17"/>
        <v>jún. 28 – 21:00</v>
      </c>
      <c r="R65" s="752" t="str">
        <f t="shared" si="18"/>
        <v>JÚNIUS 28. – HÉTFŐ 21:00</v>
      </c>
      <c r="S65" s="754">
        <f t="shared" si="19"/>
        <v>104</v>
      </c>
      <c r="T65" s="751" t="str">
        <f t="shared" si="24"/>
        <v/>
      </c>
      <c r="U65" s="751" t="str">
        <f t="shared" si="24"/>
        <v/>
      </c>
      <c r="V65" s="751" t="b">
        <f t="shared" si="24"/>
        <v>0</v>
      </c>
      <c r="W65" s="751" t="str">
        <f t="shared" si="24"/>
        <v/>
      </c>
      <c r="X65" s="751" t="str">
        <f t="shared" si="24"/>
        <v/>
      </c>
      <c r="Y65" s="751" t="b">
        <f t="shared" si="23"/>
        <v>0</v>
      </c>
      <c r="Z65" s="751" t="str">
        <f t="shared" si="23"/>
        <v/>
      </c>
      <c r="AA65" s="751" t="str">
        <f t="shared" si="23"/>
        <v/>
      </c>
      <c r="AB65" s="753" t="str">
        <f t="shared" si="20"/>
        <v xml:space="preserve">F csoport 1. hely–A/B/C csoport 3. hely  </v>
      </c>
    </row>
    <row r="66" spans="1:28" x14ac:dyDescent="0.2">
      <c r="A66" s="760">
        <v>44</v>
      </c>
      <c r="B66" s="759">
        <f>B65+1-5/24</f>
        <v>44376.708333333321</v>
      </c>
      <c r="C66" s="763" t="s">
        <v>638</v>
      </c>
      <c r="D66" s="757" t="s">
        <v>1232</v>
      </c>
      <c r="E66" s="757" t="s">
        <v>1236</v>
      </c>
      <c r="F66" s="757" t="s">
        <v>1202</v>
      </c>
      <c r="G66" s="757" t="s">
        <v>1210</v>
      </c>
      <c r="H66" s="751" t="str">
        <f t="shared" si="21"/>
        <v>D csoport 1. hely</v>
      </c>
      <c r="I66" s="751" t="str">
        <f t="shared" si="22"/>
        <v>F csoport 2. hely</v>
      </c>
      <c r="J66" s="755" t="s">
        <v>1284</v>
      </c>
      <c r="K66" s="751" t="str">
        <f t="shared" si="15"/>
        <v>Wembley Stadion</v>
      </c>
      <c r="L66" s="751" t="s">
        <v>1262</v>
      </c>
      <c r="M66" s="751" t="s">
        <v>1268</v>
      </c>
      <c r="N66" s="759">
        <f t="shared" si="16"/>
        <v>44376.749999999985</v>
      </c>
      <c r="O66" s="761" t="str">
        <f t="shared" si="9"/>
        <v>18:00</v>
      </c>
      <c r="P66" s="762">
        <f t="shared" si="10"/>
        <v>44376.749999999985</v>
      </c>
      <c r="Q66" s="751" t="str">
        <f t="shared" si="17"/>
        <v>jún. 29 – 18:00</v>
      </c>
      <c r="R66" s="752" t="str">
        <f t="shared" si="18"/>
        <v>JÚNIUS 29. – KEDD 18:00</v>
      </c>
      <c r="S66" s="754">
        <f t="shared" si="19"/>
        <v>109</v>
      </c>
      <c r="T66" s="751" t="str">
        <f t="shared" si="24"/>
        <v/>
      </c>
      <c r="U66" s="751" t="str">
        <f t="shared" si="24"/>
        <v/>
      </c>
      <c r="V66" s="751" t="b">
        <f t="shared" si="24"/>
        <v>0</v>
      </c>
      <c r="W66" s="751" t="str">
        <f t="shared" si="24"/>
        <v/>
      </c>
      <c r="X66" s="751" t="str">
        <f t="shared" si="24"/>
        <v/>
      </c>
      <c r="Y66" s="751" t="b">
        <f t="shared" si="23"/>
        <v>0</v>
      </c>
      <c r="Z66" s="751" t="str">
        <f t="shared" si="23"/>
        <v/>
      </c>
      <c r="AA66" s="751" t="str">
        <f t="shared" si="23"/>
        <v/>
      </c>
      <c r="AB66" s="753" t="str">
        <f t="shared" si="20"/>
        <v xml:space="preserve">D csoport 1. hely–F csoport 2. hely  </v>
      </c>
    </row>
    <row r="67" spans="1:28" x14ac:dyDescent="0.2">
      <c r="A67" s="760">
        <v>43</v>
      </c>
      <c r="B67" s="759">
        <f>B66+3/24</f>
        <v>44376.833333333321</v>
      </c>
      <c r="C67" s="763" t="s">
        <v>637</v>
      </c>
      <c r="D67" s="757" t="s">
        <v>1235</v>
      </c>
      <c r="E67" s="757" t="s">
        <v>523</v>
      </c>
      <c r="F67" s="757" t="s">
        <v>1207</v>
      </c>
      <c r="G67" s="757" t="str">
        <f>IF(NOT(Tabellák!$AN$43),VLOOKUP(E67,grouprank,3,FALSE),RIGHT(VLOOKUP(Tabellák!$AE$50,thirdpl,MATCH(E67,thirdplrow,0),FALSE),1))&amp;"3."</f>
        <v>A/B/C/D3.</v>
      </c>
      <c r="H67" s="751" t="str">
        <f t="shared" si="21"/>
        <v>E csoport 1. hely</v>
      </c>
      <c r="I67" s="751" t="str">
        <f t="shared" si="22"/>
        <v>A/B/C/D csoport 3. hely</v>
      </c>
      <c r="J67" s="755" t="s">
        <v>1285</v>
      </c>
      <c r="K67" s="751" t="str">
        <f t="shared" si="15"/>
        <v>Hampden Park</v>
      </c>
      <c r="L67" s="751" t="s">
        <v>1262</v>
      </c>
      <c r="M67" s="751" t="s">
        <v>1268</v>
      </c>
      <c r="N67" s="759">
        <f t="shared" si="16"/>
        <v>44376.874999999985</v>
      </c>
      <c r="O67" s="761" t="str">
        <f t="shared" si="9"/>
        <v>21:00</v>
      </c>
      <c r="P67" s="762">
        <f t="shared" si="10"/>
        <v>44376.874999999985</v>
      </c>
      <c r="Q67" s="751" t="str">
        <f t="shared" si="17"/>
        <v>jún. 29 – 21:00</v>
      </c>
      <c r="R67" s="752" t="str">
        <f t="shared" si="18"/>
        <v>JÚNIUS 29. – KEDD 21:00</v>
      </c>
      <c r="S67" s="754">
        <f t="shared" si="19"/>
        <v>110</v>
      </c>
      <c r="T67" s="751" t="str">
        <f t="shared" si="24"/>
        <v/>
      </c>
      <c r="U67" s="751" t="str">
        <f t="shared" si="24"/>
        <v/>
      </c>
      <c r="V67" s="751" t="b">
        <f t="shared" si="24"/>
        <v>0</v>
      </c>
      <c r="W67" s="751" t="str">
        <f t="shared" si="24"/>
        <v/>
      </c>
      <c r="X67" s="751" t="str">
        <f t="shared" si="24"/>
        <v/>
      </c>
      <c r="Y67" s="751" t="b">
        <f t="shared" si="23"/>
        <v>0</v>
      </c>
      <c r="Z67" s="751" t="str">
        <f t="shared" si="23"/>
        <v/>
      </c>
      <c r="AA67" s="751" t="str">
        <f t="shared" si="23"/>
        <v/>
      </c>
      <c r="AB67" s="753" t="str">
        <f t="shared" si="20"/>
        <v xml:space="preserve">E csoport 1. hely–A/B/C/D csoport 3. hely  </v>
      </c>
    </row>
    <row r="68" spans="1:28" x14ac:dyDescent="0.2">
      <c r="A68" s="760">
        <v>45</v>
      </c>
      <c r="B68" s="759">
        <f>B67+3-1/24</f>
        <v>44379.791666666657</v>
      </c>
      <c r="C68" s="763" t="s">
        <v>489</v>
      </c>
      <c r="D68" s="757">
        <v>41</v>
      </c>
      <c r="E68" s="757">
        <v>42</v>
      </c>
      <c r="F68" s="757" t="str">
        <f t="shared" ref="F68:G74" si="25">VLOOKUP(D68,schedule,F$23,FALSE)</f>
        <v/>
      </c>
      <c r="G68" s="757" t="str">
        <f t="shared" si="25"/>
        <v/>
      </c>
      <c r="H68" s="764" t="str">
        <f t="shared" ref="H68:I73" si="26">IF(F68="",VLOOKUP(D68,schedule,3,FALSE)&amp;" győztese",F68)</f>
        <v>3/8 győztese</v>
      </c>
      <c r="I68" s="764" t="str">
        <f t="shared" si="26"/>
        <v>4/8 győztese</v>
      </c>
      <c r="J68" s="751" t="s">
        <v>1279</v>
      </c>
      <c r="K68" s="751" t="str">
        <f t="shared" si="15"/>
        <v>Kresztovszkij Stadion</v>
      </c>
      <c r="L68" s="751" t="s">
        <v>1263</v>
      </c>
      <c r="M68" s="751" t="s">
        <v>702</v>
      </c>
      <c r="N68" s="759">
        <f t="shared" si="16"/>
        <v>44379.749999999993</v>
      </c>
      <c r="O68" s="761" t="str">
        <f t="shared" si="9"/>
        <v>18:00</v>
      </c>
      <c r="P68" s="762">
        <f t="shared" si="10"/>
        <v>44379.749999999993</v>
      </c>
      <c r="Q68" s="751" t="str">
        <f t="shared" si="17"/>
        <v>júl. 2 – 18:00</v>
      </c>
      <c r="R68" s="752" t="str">
        <f t="shared" si="18"/>
        <v>JÚLIUS 2. – PÉNTEK 18:00</v>
      </c>
      <c r="S68" s="754">
        <f t="shared" si="19"/>
        <v>117</v>
      </c>
      <c r="T68" s="751" t="str">
        <f t="shared" si="24"/>
        <v/>
      </c>
      <c r="U68" s="751" t="str">
        <f t="shared" si="24"/>
        <v/>
      </c>
      <c r="V68" s="751" t="b">
        <f t="shared" si="24"/>
        <v>0</v>
      </c>
      <c r="W68" s="751" t="str">
        <f t="shared" si="24"/>
        <v/>
      </c>
      <c r="X68" s="751" t="str">
        <f t="shared" si="24"/>
        <v/>
      </c>
      <c r="Y68" s="751" t="b">
        <f t="shared" si="23"/>
        <v>0</v>
      </c>
      <c r="Z68" s="751" t="str">
        <f t="shared" si="23"/>
        <v/>
      </c>
      <c r="AA68" s="751" t="str">
        <f t="shared" si="23"/>
        <v/>
      </c>
      <c r="AB68" s="753" t="str">
        <f t="shared" si="20"/>
        <v xml:space="preserve">3/8 győztese–4/8 győztese  </v>
      </c>
    </row>
    <row r="69" spans="1:28" x14ac:dyDescent="0.2">
      <c r="A69" s="760">
        <v>46</v>
      </c>
      <c r="B69" s="759">
        <f>B68+2/24</f>
        <v>44379.874999999993</v>
      </c>
      <c r="C69" s="763" t="s">
        <v>488</v>
      </c>
      <c r="D69" s="757">
        <v>39</v>
      </c>
      <c r="E69" s="757">
        <v>37</v>
      </c>
      <c r="F69" s="757" t="str">
        <f t="shared" si="25"/>
        <v/>
      </c>
      <c r="G69" s="757" t="str">
        <f t="shared" si="25"/>
        <v/>
      </c>
      <c r="H69" s="764" t="str">
        <f t="shared" si="26"/>
        <v>1/8 győztese</v>
      </c>
      <c r="I69" s="764" t="str">
        <f t="shared" si="26"/>
        <v>2/8 győztese</v>
      </c>
      <c r="J69" s="755" t="s">
        <v>1287</v>
      </c>
      <c r="K69" s="751" t="str">
        <f t="shared" si="15"/>
        <v>München Arena</v>
      </c>
      <c r="L69" s="751" t="s">
        <v>1263</v>
      </c>
      <c r="M69" s="751" t="s">
        <v>702</v>
      </c>
      <c r="N69" s="759">
        <f t="shared" si="16"/>
        <v>44379.874999999993</v>
      </c>
      <c r="O69" s="761" t="str">
        <f t="shared" si="9"/>
        <v>21:00</v>
      </c>
      <c r="P69" s="762">
        <f t="shared" si="10"/>
        <v>44379.874999999993</v>
      </c>
      <c r="Q69" s="751" t="str">
        <f t="shared" si="17"/>
        <v>júl. 2 – 21:00</v>
      </c>
      <c r="R69" s="752" t="str">
        <f t="shared" si="18"/>
        <v>JÚLIUS 2. – PÉNTEK 21:00</v>
      </c>
      <c r="S69" s="754">
        <f t="shared" si="19"/>
        <v>118</v>
      </c>
      <c r="T69" s="751" t="str">
        <f t="shared" si="24"/>
        <v/>
      </c>
      <c r="U69" s="751" t="str">
        <f t="shared" si="24"/>
        <v/>
      </c>
      <c r="V69" s="751" t="b">
        <f t="shared" si="24"/>
        <v>0</v>
      </c>
      <c r="W69" s="751" t="str">
        <f t="shared" si="24"/>
        <v/>
      </c>
      <c r="X69" s="751" t="str">
        <f t="shared" si="24"/>
        <v/>
      </c>
      <c r="Y69" s="751" t="b">
        <f t="shared" si="23"/>
        <v>0</v>
      </c>
      <c r="Z69" s="751" t="str">
        <f t="shared" si="23"/>
        <v/>
      </c>
      <c r="AA69" s="751" t="str">
        <f t="shared" si="23"/>
        <v/>
      </c>
      <c r="AB69" s="753" t="str">
        <f t="shared" si="20"/>
        <v xml:space="preserve">1/8 győztese–2/8 győztese  </v>
      </c>
    </row>
    <row r="70" spans="1:28" x14ac:dyDescent="0.2">
      <c r="A70" s="760">
        <v>47</v>
      </c>
      <c r="B70" s="759">
        <f>B68+1+1/24</f>
        <v>44380.833333333321</v>
      </c>
      <c r="C70" s="763" t="s">
        <v>491</v>
      </c>
      <c r="D70" s="757">
        <v>40</v>
      </c>
      <c r="E70" s="757">
        <v>38</v>
      </c>
      <c r="F70" s="757" t="str">
        <f t="shared" si="25"/>
        <v/>
      </c>
      <c r="G70" s="757" t="str">
        <f t="shared" si="25"/>
        <v/>
      </c>
      <c r="H70" s="764" t="str">
        <f t="shared" si="26"/>
        <v>7/8 győztese</v>
      </c>
      <c r="I70" s="764" t="str">
        <f t="shared" si="26"/>
        <v>8/8 győztese</v>
      </c>
      <c r="J70" s="751" t="s">
        <v>1278</v>
      </c>
      <c r="K70" s="751" t="str">
        <f t="shared" si="15"/>
        <v>Olimpiai Stadion</v>
      </c>
      <c r="L70" s="751" t="s">
        <v>1263</v>
      </c>
      <c r="M70" s="751" t="s">
        <v>702</v>
      </c>
      <c r="N70" s="759">
        <f t="shared" si="16"/>
        <v>44380.749999999985</v>
      </c>
      <c r="O70" s="761" t="str">
        <f t="shared" si="9"/>
        <v>18:00</v>
      </c>
      <c r="P70" s="762">
        <f t="shared" si="10"/>
        <v>44380.749999999985</v>
      </c>
      <c r="Q70" s="751" t="str">
        <f t="shared" si="17"/>
        <v>júl. 3 – 18:00</v>
      </c>
      <c r="R70" s="752" t="str">
        <f t="shared" si="18"/>
        <v>JÚLIUS 3. – SZOMBAT 18:00</v>
      </c>
      <c r="S70" s="754">
        <f t="shared" si="19"/>
        <v>123</v>
      </c>
      <c r="T70" s="751" t="str">
        <f t="shared" si="24"/>
        <v/>
      </c>
      <c r="U70" s="751" t="str">
        <f t="shared" si="24"/>
        <v/>
      </c>
      <c r="V70" s="751" t="b">
        <f t="shared" si="24"/>
        <v>0</v>
      </c>
      <c r="W70" s="751" t="str">
        <f t="shared" si="24"/>
        <v/>
      </c>
      <c r="X70" s="751" t="str">
        <f t="shared" si="24"/>
        <v/>
      </c>
      <c r="Y70" s="751" t="b">
        <f t="shared" si="23"/>
        <v>0</v>
      </c>
      <c r="Z70" s="751" t="str">
        <f t="shared" si="23"/>
        <v/>
      </c>
      <c r="AA70" s="751" t="str">
        <f t="shared" si="23"/>
        <v/>
      </c>
      <c r="AB70" s="753" t="str">
        <f t="shared" si="20"/>
        <v xml:space="preserve">7/8 győztese–8/8 győztese  </v>
      </c>
    </row>
    <row r="71" spans="1:28" x14ac:dyDescent="0.2">
      <c r="A71" s="760">
        <v>48</v>
      </c>
      <c r="B71" s="759">
        <f>B70+1/24</f>
        <v>44380.874999999985</v>
      </c>
      <c r="C71" s="763" t="s">
        <v>490</v>
      </c>
      <c r="D71" s="757">
        <v>43</v>
      </c>
      <c r="E71" s="757">
        <v>44</v>
      </c>
      <c r="F71" s="757" t="str">
        <f t="shared" si="25"/>
        <v/>
      </c>
      <c r="G71" s="757" t="str">
        <f t="shared" si="25"/>
        <v/>
      </c>
      <c r="H71" s="764" t="str">
        <f t="shared" si="26"/>
        <v>5/8 győztese</v>
      </c>
      <c r="I71" s="764" t="str">
        <f t="shared" si="26"/>
        <v>6/8 győztese</v>
      </c>
      <c r="J71" s="751" t="s">
        <v>1282</v>
      </c>
      <c r="K71" s="751" t="str">
        <f t="shared" si="15"/>
        <v>Stadio Olimpico</v>
      </c>
      <c r="L71" s="751" t="s">
        <v>1263</v>
      </c>
      <c r="M71" s="751" t="s">
        <v>702</v>
      </c>
      <c r="N71" s="759">
        <f t="shared" si="16"/>
        <v>44380.874999999985</v>
      </c>
      <c r="O71" s="761" t="str">
        <f t="shared" si="9"/>
        <v>21:00</v>
      </c>
      <c r="P71" s="762">
        <f t="shared" si="10"/>
        <v>44380.874999999985</v>
      </c>
      <c r="Q71" s="751" t="str">
        <f t="shared" si="17"/>
        <v>júl. 3 – 21:00</v>
      </c>
      <c r="R71" s="752" t="str">
        <f t="shared" si="18"/>
        <v>JÚLIUS 3. – SZOMBAT 21:00</v>
      </c>
      <c r="S71" s="754">
        <f t="shared" si="19"/>
        <v>124</v>
      </c>
      <c r="T71" s="751" t="str">
        <f t="shared" si="24"/>
        <v/>
      </c>
      <c r="U71" s="751" t="str">
        <f t="shared" si="24"/>
        <v/>
      </c>
      <c r="V71" s="751" t="b">
        <f t="shared" si="24"/>
        <v>0</v>
      </c>
      <c r="W71" s="751" t="str">
        <f t="shared" si="24"/>
        <v/>
      </c>
      <c r="X71" s="751" t="str">
        <f t="shared" si="24"/>
        <v/>
      </c>
      <c r="Y71" s="751" t="b">
        <f t="shared" si="23"/>
        <v>0</v>
      </c>
      <c r="Z71" s="751" t="str">
        <f t="shared" si="23"/>
        <v/>
      </c>
      <c r="AA71" s="751" t="str">
        <f t="shared" si="23"/>
        <v/>
      </c>
      <c r="AB71" s="753" t="str">
        <f t="shared" si="20"/>
        <v xml:space="preserve">5/8 győztese–6/8 győztese  </v>
      </c>
    </row>
    <row r="72" spans="1:28" x14ac:dyDescent="0.2">
      <c r="A72" s="760">
        <v>49</v>
      </c>
      <c r="B72" s="759">
        <f>B71+3-1/24</f>
        <v>44383.833333333321</v>
      </c>
      <c r="C72" s="763" t="s">
        <v>492</v>
      </c>
      <c r="D72" s="757">
        <v>46</v>
      </c>
      <c r="E72" s="757">
        <v>45</v>
      </c>
      <c r="F72" s="757" t="str">
        <f t="shared" si="25"/>
        <v/>
      </c>
      <c r="G72" s="757" t="str">
        <f t="shared" si="25"/>
        <v/>
      </c>
      <c r="H72" s="764" t="str">
        <f t="shared" si="26"/>
        <v>1/4 győztese</v>
      </c>
      <c r="I72" s="764" t="str">
        <f t="shared" si="26"/>
        <v>2/4 győztese</v>
      </c>
      <c r="J72" s="755" t="s">
        <v>1284</v>
      </c>
      <c r="K72" s="751" t="str">
        <f t="shared" si="15"/>
        <v>Wembley Stadion</v>
      </c>
      <c r="L72" s="751" t="s">
        <v>1239</v>
      </c>
      <c r="M72" s="751" t="s">
        <v>1269</v>
      </c>
      <c r="N72" s="759">
        <f t="shared" si="16"/>
        <v>44383.874999999985</v>
      </c>
      <c r="O72" s="761" t="str">
        <f t="shared" si="9"/>
        <v>21:00</v>
      </c>
      <c r="P72" s="762">
        <f t="shared" si="10"/>
        <v>44383.874999999985</v>
      </c>
      <c r="Q72" s="751" t="str">
        <f t="shared" si="17"/>
        <v>júl. 6 – 21:00</v>
      </c>
      <c r="R72" s="752" t="str">
        <f t="shared" si="18"/>
        <v>JÚLIUS 6. – KEDD 21:00</v>
      </c>
      <c r="S72" s="754">
        <f t="shared" si="19"/>
        <v>132</v>
      </c>
      <c r="T72" s="751" t="str">
        <f t="shared" si="24"/>
        <v/>
      </c>
      <c r="U72" s="751" t="str">
        <f t="shared" si="24"/>
        <v/>
      </c>
      <c r="V72" s="751" t="b">
        <f t="shared" si="24"/>
        <v>0</v>
      </c>
      <c r="W72" s="751" t="str">
        <f t="shared" si="24"/>
        <v/>
      </c>
      <c r="X72" s="751" t="str">
        <f t="shared" si="24"/>
        <v/>
      </c>
      <c r="Y72" s="751" t="b">
        <f t="shared" si="23"/>
        <v>0</v>
      </c>
      <c r="Z72" s="751" t="str">
        <f t="shared" si="23"/>
        <v/>
      </c>
      <c r="AA72" s="751" t="str">
        <f t="shared" si="23"/>
        <v/>
      </c>
      <c r="AB72" s="753" t="str">
        <f t="shared" si="20"/>
        <v xml:space="preserve">1/4 győztese–2/4 győztese  </v>
      </c>
    </row>
    <row r="73" spans="1:28" x14ac:dyDescent="0.2">
      <c r="A73" s="760">
        <v>50</v>
      </c>
      <c r="B73" s="759">
        <f>B72+1</f>
        <v>44384.833333333321</v>
      </c>
      <c r="C73" s="763" t="s">
        <v>493</v>
      </c>
      <c r="D73" s="757">
        <v>48</v>
      </c>
      <c r="E73" s="757">
        <v>47</v>
      </c>
      <c r="F73" s="757" t="str">
        <f t="shared" si="25"/>
        <v/>
      </c>
      <c r="G73" s="757" t="str">
        <f t="shared" si="25"/>
        <v/>
      </c>
      <c r="H73" s="764" t="str">
        <f t="shared" si="26"/>
        <v>3/4 győztese</v>
      </c>
      <c r="I73" s="764" t="str">
        <f t="shared" si="26"/>
        <v>4/4 győztese</v>
      </c>
      <c r="J73" s="755" t="s">
        <v>1284</v>
      </c>
      <c r="K73" s="751" t="str">
        <f t="shared" si="15"/>
        <v>Wembley Stadion</v>
      </c>
      <c r="L73" s="751" t="s">
        <v>1239</v>
      </c>
      <c r="M73" s="751" t="s">
        <v>1269</v>
      </c>
      <c r="N73" s="759">
        <f t="shared" si="16"/>
        <v>44384.874999999985</v>
      </c>
      <c r="O73" s="761" t="str">
        <f t="shared" si="9"/>
        <v>21:00</v>
      </c>
      <c r="P73" s="762">
        <f t="shared" si="10"/>
        <v>44384.874999999985</v>
      </c>
      <c r="Q73" s="751" t="str">
        <f t="shared" si="17"/>
        <v>júl. 7 – 21:00</v>
      </c>
      <c r="R73" s="752" t="str">
        <f t="shared" si="18"/>
        <v>JÚLIUS 7. – SZERDA 21:00</v>
      </c>
      <c r="S73" s="754">
        <f t="shared" si="19"/>
        <v>137</v>
      </c>
      <c r="T73" s="751" t="str">
        <f t="shared" si="24"/>
        <v/>
      </c>
      <c r="U73" s="751" t="str">
        <f t="shared" si="24"/>
        <v/>
      </c>
      <c r="V73" s="751" t="b">
        <f t="shared" si="24"/>
        <v>0</v>
      </c>
      <c r="W73" s="751" t="str">
        <f t="shared" si="24"/>
        <v/>
      </c>
      <c r="X73" s="751" t="str">
        <f t="shared" si="24"/>
        <v/>
      </c>
      <c r="Y73" s="751" t="b">
        <f t="shared" si="23"/>
        <v>0</v>
      </c>
      <c r="Z73" s="751" t="str">
        <f t="shared" si="23"/>
        <v/>
      </c>
      <c r="AA73" s="751" t="str">
        <f t="shared" si="23"/>
        <v/>
      </c>
      <c r="AB73" s="753" t="str">
        <f t="shared" si="20"/>
        <v xml:space="preserve">3/4 győztese–4/4 győztese  </v>
      </c>
    </row>
    <row r="74" spans="1:28" x14ac:dyDescent="0.2">
      <c r="A74" s="760">
        <v>51</v>
      </c>
      <c r="B74" s="759">
        <f>B73+4</f>
        <v>44388.833333333321</v>
      </c>
      <c r="C74" s="757" t="str">
        <f>""</f>
        <v/>
      </c>
      <c r="D74" s="757">
        <v>49</v>
      </c>
      <c r="E74" s="757">
        <v>50</v>
      </c>
      <c r="F74" s="757" t="str">
        <f t="shared" si="25"/>
        <v/>
      </c>
      <c r="G74" s="757" t="str">
        <f t="shared" si="25"/>
        <v/>
      </c>
      <c r="H74" s="764" t="str">
        <f>IF(F74="",VLOOKUP(D74,schedule,3,FALSE)&amp;" győztese",F74)</f>
        <v>1/2 győztese</v>
      </c>
      <c r="I74" s="764" t="str">
        <f>IF(G74="",VLOOKUP(E74,schedule,3,FALSE)&amp;" győztese",G74)</f>
        <v>2/2 győztese</v>
      </c>
      <c r="J74" s="755" t="s">
        <v>1284</v>
      </c>
      <c r="K74" s="751" t="str">
        <f t="shared" si="15"/>
        <v>Wembley Stadion</v>
      </c>
      <c r="L74" s="751" t="s">
        <v>698</v>
      </c>
      <c r="M74" s="751" t="s">
        <v>497</v>
      </c>
      <c r="N74" s="759">
        <f t="shared" si="16"/>
        <v>44388.874999999985</v>
      </c>
      <c r="O74" s="761" t="str">
        <f t="shared" si="9"/>
        <v>21:00</v>
      </c>
      <c r="P74" s="762">
        <f t="shared" si="10"/>
        <v>44388.874999999985</v>
      </c>
      <c r="Q74" s="751" t="str">
        <f t="shared" si="17"/>
        <v>júl. 11 – 21:00</v>
      </c>
      <c r="R74" s="752" t="str">
        <f t="shared" si="18"/>
        <v>JÚLIUS 11. – VASÁRNAP 21:00</v>
      </c>
      <c r="S74" s="754">
        <f t="shared" si="19"/>
        <v>145</v>
      </c>
      <c r="T74" s="751" t="str">
        <f t="shared" si="24"/>
        <v/>
      </c>
      <c r="U74" s="751" t="str">
        <f t="shared" si="24"/>
        <v/>
      </c>
      <c r="V74" s="751" t="b">
        <f t="shared" si="24"/>
        <v>0</v>
      </c>
      <c r="W74" s="751" t="str">
        <f t="shared" si="24"/>
        <v/>
      </c>
      <c r="X74" s="751" t="str">
        <f t="shared" si="24"/>
        <v/>
      </c>
      <c r="Y74" s="751" t="b">
        <f t="shared" si="23"/>
        <v>0</v>
      </c>
      <c r="Z74" s="751" t="str">
        <f t="shared" si="23"/>
        <v/>
      </c>
      <c r="AA74" s="751" t="str">
        <f t="shared" si="23"/>
        <v/>
      </c>
      <c r="AB74" s="753" t="str">
        <f t="shared" si="20"/>
        <v xml:space="preserve">1/2 győztese–2/2 győztese  </v>
      </c>
    </row>
    <row r="76" spans="1:28" x14ac:dyDescent="0.2">
      <c r="C76" s="763"/>
      <c r="D76" s="757"/>
      <c r="E76" s="757"/>
      <c r="J76" s="755"/>
    </row>
    <row r="77" spans="1:28" x14ac:dyDescent="0.2">
      <c r="A77" s="751" t="s">
        <v>443</v>
      </c>
      <c r="B77" s="753" t="str">
        <f t="shared" ref="B77:B100" si="27">HLOOKUP(LEFT(A77,1),teams,VALUE(RIGHT(A77,1))+1,FALSE)</f>
        <v>Törökország</v>
      </c>
      <c r="C77" s="763"/>
      <c r="D77" s="757"/>
      <c r="E77" s="757"/>
      <c r="F77" s="757"/>
      <c r="G77" s="757"/>
      <c r="J77" s="755"/>
    </row>
    <row r="78" spans="1:28" x14ac:dyDescent="0.2">
      <c r="A78" s="751" t="s">
        <v>444</v>
      </c>
      <c r="B78" s="753" t="str">
        <f t="shared" si="27"/>
        <v>Olaszország</v>
      </c>
      <c r="C78" s="763"/>
      <c r="D78" s="757"/>
      <c r="E78" s="757"/>
      <c r="F78" s="757"/>
      <c r="G78" s="757"/>
      <c r="J78" s="755"/>
    </row>
    <row r="79" spans="1:28" x14ac:dyDescent="0.2">
      <c r="A79" s="751" t="s">
        <v>445</v>
      </c>
      <c r="B79" s="753" t="str">
        <f t="shared" si="27"/>
        <v>Wales</v>
      </c>
    </row>
    <row r="80" spans="1:28" x14ac:dyDescent="0.2">
      <c r="A80" s="751" t="s">
        <v>446</v>
      </c>
      <c r="B80" s="753" t="str">
        <f t="shared" si="27"/>
        <v>Svájc</v>
      </c>
    </row>
    <row r="81" spans="1:2" x14ac:dyDescent="0.2">
      <c r="A81" s="751" t="s">
        <v>447</v>
      </c>
      <c r="B81" s="753" t="str">
        <f t="shared" si="27"/>
        <v>Dánia</v>
      </c>
    </row>
    <row r="82" spans="1:2" x14ac:dyDescent="0.2">
      <c r="A82" s="751" t="s">
        <v>448</v>
      </c>
      <c r="B82" s="753" t="str">
        <f t="shared" si="27"/>
        <v>Finnország</v>
      </c>
    </row>
    <row r="83" spans="1:2" x14ac:dyDescent="0.2">
      <c r="A83" s="751" t="s">
        <v>449</v>
      </c>
      <c r="B83" s="753" t="str">
        <f t="shared" si="27"/>
        <v>Belgium</v>
      </c>
    </row>
    <row r="84" spans="1:2" x14ac:dyDescent="0.2">
      <c r="A84" s="751" t="s">
        <v>450</v>
      </c>
      <c r="B84" s="753" t="str">
        <f t="shared" si="27"/>
        <v>Oroszország</v>
      </c>
    </row>
    <row r="85" spans="1:2" x14ac:dyDescent="0.2">
      <c r="A85" s="751" t="s">
        <v>451</v>
      </c>
      <c r="B85" s="753" t="str">
        <f t="shared" si="27"/>
        <v>Hollandia</v>
      </c>
    </row>
    <row r="86" spans="1:2" x14ac:dyDescent="0.2">
      <c r="A86" s="751" t="s">
        <v>452</v>
      </c>
      <c r="B86" s="753" t="str">
        <f t="shared" si="27"/>
        <v>Ukrajna</v>
      </c>
    </row>
    <row r="87" spans="1:2" x14ac:dyDescent="0.2">
      <c r="A87" s="751" t="s">
        <v>453</v>
      </c>
      <c r="B87" s="753" t="str">
        <f t="shared" si="27"/>
        <v>Ausztria</v>
      </c>
    </row>
    <row r="88" spans="1:2" x14ac:dyDescent="0.2">
      <c r="A88" s="751" t="s">
        <v>454</v>
      </c>
      <c r="B88" s="753" t="str">
        <f t="shared" si="27"/>
        <v>Észak-Macedónia</v>
      </c>
    </row>
    <row r="89" spans="1:2" x14ac:dyDescent="0.2">
      <c r="A89" s="751" t="s">
        <v>455</v>
      </c>
      <c r="B89" s="753" t="str">
        <f t="shared" si="27"/>
        <v>Anglia</v>
      </c>
    </row>
    <row r="90" spans="1:2" x14ac:dyDescent="0.2">
      <c r="A90" s="751" t="s">
        <v>456</v>
      </c>
      <c r="B90" s="753" t="str">
        <f t="shared" si="27"/>
        <v>Horvátország</v>
      </c>
    </row>
    <row r="91" spans="1:2" x14ac:dyDescent="0.2">
      <c r="A91" s="751" t="s">
        <v>457</v>
      </c>
      <c r="B91" s="753" t="str">
        <f t="shared" si="27"/>
        <v>Skócia</v>
      </c>
    </row>
    <row r="92" spans="1:2" x14ac:dyDescent="0.2">
      <c r="A92" s="751" t="s">
        <v>458</v>
      </c>
      <c r="B92" s="753" t="str">
        <f t="shared" si="27"/>
        <v>Csehország</v>
      </c>
    </row>
    <row r="93" spans="1:2" x14ac:dyDescent="0.2">
      <c r="A93" s="751" t="s">
        <v>459</v>
      </c>
      <c r="B93" s="753" t="str">
        <f t="shared" si="27"/>
        <v>Spanyolország</v>
      </c>
    </row>
    <row r="94" spans="1:2" x14ac:dyDescent="0.2">
      <c r="A94" s="751" t="s">
        <v>460</v>
      </c>
      <c r="B94" s="753" t="str">
        <f t="shared" si="27"/>
        <v>Svédország</v>
      </c>
    </row>
    <row r="95" spans="1:2" x14ac:dyDescent="0.2">
      <c r="A95" s="751" t="s">
        <v>461</v>
      </c>
      <c r="B95" s="753" t="str">
        <f t="shared" si="27"/>
        <v>Lengyelország</v>
      </c>
    </row>
    <row r="96" spans="1:2" x14ac:dyDescent="0.2">
      <c r="A96" s="751" t="s">
        <v>462</v>
      </c>
      <c r="B96" s="753" t="str">
        <f t="shared" si="27"/>
        <v>Szlovákia</v>
      </c>
    </row>
    <row r="97" spans="1:2" x14ac:dyDescent="0.2">
      <c r="A97" s="751" t="s">
        <v>463</v>
      </c>
      <c r="B97" s="753" t="str">
        <f t="shared" si="27"/>
        <v>MAGYARORSZÁG</v>
      </c>
    </row>
    <row r="98" spans="1:2" x14ac:dyDescent="0.2">
      <c r="A98" s="751" t="s">
        <v>464</v>
      </c>
      <c r="B98" s="753" t="str">
        <f t="shared" si="27"/>
        <v>Portugália</v>
      </c>
    </row>
    <row r="99" spans="1:2" x14ac:dyDescent="0.2">
      <c r="A99" s="751" t="s">
        <v>465</v>
      </c>
      <c r="B99" s="753" t="str">
        <f t="shared" si="27"/>
        <v>Franciaország</v>
      </c>
    </row>
    <row r="100" spans="1:2" x14ac:dyDescent="0.2">
      <c r="A100" s="751" t="s">
        <v>466</v>
      </c>
      <c r="B100" s="753" t="str">
        <f t="shared" si="27"/>
        <v>Németország</v>
      </c>
    </row>
  </sheetData>
  <sheetProtection algorithmName="SHA-512" hashValue="+l/oUTLFUGuBqRJq3Pd+esVkno1iHNJkLp3g9Ga32hlMSWAYbNbTfyYYcdT8hWn92+BJVGlff4dEu6egKffGHg==" saltValue="eTsiTDeZyg0e1vVFFJUx7w==" spinCount="100000" sheet="1" objects="1" scenarios="1" selectLockedCells="1" selectUnlockedCells="1"/>
  <phoneticPr fontId="0" type="noConversion"/>
  <pageMargins left="0.75" right="0.75" top="1" bottom="1" header="0.5" footer="0.5"/>
  <pageSetup paperSize="9" orientation="portrait" horizontalDpi="300" verticalDpi="300" r:id="rId1"/>
  <headerFooter alignWithMargins="0"/>
  <ignoredErrors>
    <ignoredError sqref="G19:H19" numberStoredAsText="1"/>
    <ignoredError sqref="B44:B45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4">
    <pageSetUpPr autoPageBreaks="0"/>
  </sheetPr>
  <dimension ref="A1:CN162"/>
  <sheetViews>
    <sheetView showGridLines="0" showRowColHeaders="0" zoomScaleNormal="100" workbookViewId="0">
      <pane ySplit="4" topLeftCell="A5" activePane="bottomLeft" state="frozen"/>
      <selection pane="bottomLeft"/>
    </sheetView>
  </sheetViews>
  <sheetFormatPr defaultRowHeight="12.75" customHeight="1" x14ac:dyDescent="0.3"/>
  <cols>
    <col min="1" max="1" width="1.42578125" style="564" customWidth="1"/>
    <col min="2" max="2" width="5.140625" style="183" customWidth="1"/>
    <col min="3" max="3" width="5.7109375" style="183" customWidth="1"/>
    <col min="4" max="4" width="31.42578125" style="97" customWidth="1"/>
    <col min="5" max="5" width="5.7109375" style="98" customWidth="1"/>
    <col min="6" max="8" width="4.28515625" style="102" customWidth="1"/>
    <col min="9" max="9" width="8.5703125" style="99" customWidth="1"/>
    <col min="10" max="10" width="6" style="100" customWidth="1"/>
    <col min="11" max="11" width="6.42578125" style="101" customWidth="1"/>
    <col min="12" max="12" width="6.5703125" style="98" customWidth="1"/>
    <col min="13" max="13" width="5.7109375" style="184" customWidth="1"/>
    <col min="14" max="14" width="31.42578125" style="97" customWidth="1"/>
    <col min="15" max="15" width="5.7109375" style="98" customWidth="1"/>
    <col min="16" max="18" width="4.28515625" style="102" customWidth="1"/>
    <col min="19" max="19" width="8.5703125" style="99" customWidth="1"/>
    <col min="20" max="20" width="6" style="100" customWidth="1"/>
    <col min="21" max="21" width="6.42578125" style="101" customWidth="1"/>
    <col min="22" max="22" width="2.85546875" style="97" customWidth="1"/>
    <col min="23" max="23" width="10.7109375" style="98" customWidth="1"/>
    <col min="24" max="24" width="2.7109375" style="98" customWidth="1"/>
    <col min="25" max="25" width="2.7109375" style="287" hidden="1" customWidth="1"/>
    <col min="26" max="26" width="4.140625" style="323" hidden="1" customWidth="1"/>
    <col min="27" max="27" width="13.5703125" style="323" hidden="1" customWidth="1"/>
    <col min="28" max="28" width="15.28515625" style="323" hidden="1" customWidth="1"/>
    <col min="29" max="29" width="4.42578125" style="323" hidden="1" customWidth="1"/>
    <col min="30" max="30" width="17" style="324" hidden="1" customWidth="1"/>
    <col min="31" max="31" width="14.140625" style="324" hidden="1" customWidth="1"/>
    <col min="32" max="37" width="3.140625" style="325" hidden="1" customWidth="1"/>
    <col min="38" max="38" width="3.5703125" style="325" hidden="1" customWidth="1"/>
    <col min="39" max="39" width="3.140625" style="325" hidden="1" customWidth="1"/>
    <col min="40" max="42" width="6" style="325" hidden="1" customWidth="1"/>
    <col min="43" max="43" width="9" style="325" hidden="1" customWidth="1"/>
    <col min="44" max="44" width="4.140625" style="323" hidden="1" customWidth="1"/>
    <col min="45" max="45" width="2.7109375" style="287" hidden="1" customWidth="1"/>
    <col min="46" max="47" width="4.140625" style="323" hidden="1" customWidth="1"/>
    <col min="48" max="48" width="18.7109375" style="323" hidden="1" customWidth="1"/>
    <col min="49" max="49" width="5.140625" style="323" hidden="1" customWidth="1"/>
    <col min="50" max="50" width="4.140625" style="323" hidden="1" customWidth="1"/>
    <col min="51" max="51" width="2.7109375" style="287" hidden="1" customWidth="1"/>
    <col min="52" max="52" width="4.140625" style="323" hidden="1" customWidth="1"/>
    <col min="53" max="54" width="12.85546875" style="323" hidden="1" customWidth="1"/>
    <col min="55" max="59" width="4.140625" style="323" hidden="1" customWidth="1"/>
    <col min="60" max="60" width="2.7109375" style="287" hidden="1" customWidth="1"/>
    <col min="61" max="61" width="4.140625" style="323" hidden="1" customWidth="1"/>
    <col min="62" max="62" width="4.28515625" style="324" hidden="1" customWidth="1"/>
    <col min="63" max="72" width="4.140625" style="323" hidden="1" customWidth="1"/>
    <col min="73" max="73" width="10.5703125" style="323" hidden="1" customWidth="1"/>
    <col min="74" max="76" width="4.140625" style="323" hidden="1" customWidth="1"/>
    <col min="77" max="77" width="7.85546875" style="323" hidden="1" customWidth="1"/>
    <col min="78" max="78" width="4.140625" style="323" hidden="1" customWidth="1"/>
    <col min="79" max="79" width="7.28515625" style="323" hidden="1" customWidth="1"/>
    <col min="80" max="80" width="4.140625" style="323" hidden="1" customWidth="1"/>
    <col min="81" max="81" width="2.7109375" style="287" hidden="1" customWidth="1"/>
    <col min="82" max="82" width="4.140625" style="323" hidden="1" customWidth="1"/>
    <col min="83" max="83" width="12.140625" style="323" hidden="1" customWidth="1"/>
    <col min="84" max="87" width="4.140625" style="328" hidden="1" customWidth="1"/>
    <col min="88" max="89" width="4.140625" style="325" hidden="1" customWidth="1"/>
    <col min="90" max="90" width="13.85546875" style="323" hidden="1" customWidth="1"/>
    <col min="91" max="91" width="4.140625" style="323" hidden="1" customWidth="1"/>
    <col min="92" max="92" width="2.7109375" style="287" hidden="1" customWidth="1"/>
    <col min="93" max="16384" width="9.140625" style="98"/>
  </cols>
  <sheetData>
    <row r="1" spans="1:92" s="561" customFormat="1" ht="9.75" customHeight="1" x14ac:dyDescent="0.2">
      <c r="F1" s="562"/>
      <c r="G1" s="562"/>
      <c r="H1" s="562"/>
      <c r="P1" s="562"/>
      <c r="Q1" s="562"/>
      <c r="R1" s="562"/>
    </row>
    <row r="2" spans="1:92" s="561" customFormat="1" ht="9.75" customHeight="1" x14ac:dyDescent="0.2">
      <c r="F2" s="562"/>
      <c r="G2" s="562"/>
      <c r="H2" s="562"/>
      <c r="P2" s="562"/>
      <c r="Q2" s="562"/>
      <c r="R2" s="562"/>
    </row>
    <row r="3" spans="1:92" s="561" customFormat="1" ht="9" customHeight="1" thickBot="1" x14ac:dyDescent="0.25">
      <c r="A3" s="563"/>
      <c r="B3" s="563"/>
      <c r="C3" s="563"/>
      <c r="D3" s="563"/>
      <c r="E3" s="563"/>
      <c r="F3" s="612"/>
      <c r="G3" s="562"/>
      <c r="H3" s="562"/>
      <c r="P3" s="562"/>
      <c r="Q3" s="562"/>
      <c r="R3" s="562"/>
    </row>
    <row r="4" spans="1:92" s="565" customFormat="1" ht="12" customHeight="1" thickTop="1" x14ac:dyDescent="0.2">
      <c r="B4" s="567" t="s">
        <v>954</v>
      </c>
      <c r="F4" s="566"/>
      <c r="G4" s="566"/>
      <c r="H4" s="566"/>
      <c r="P4" s="566"/>
      <c r="Q4" s="566"/>
      <c r="R4" s="566"/>
    </row>
    <row r="5" spans="1:92" ht="18.75" customHeight="1" x14ac:dyDescent="0.3">
      <c r="B5" s="161"/>
      <c r="C5" s="161"/>
      <c r="D5" s="83"/>
      <c r="E5" s="83"/>
      <c r="F5" s="187"/>
      <c r="G5" s="187"/>
      <c r="H5" s="187"/>
      <c r="I5" s="84"/>
      <c r="J5" s="85"/>
      <c r="K5" s="86"/>
      <c r="L5" s="83"/>
      <c r="M5" s="162"/>
      <c r="N5" s="83"/>
      <c r="O5" s="83"/>
      <c r="P5" s="187"/>
      <c r="Q5" s="187"/>
      <c r="R5" s="187"/>
      <c r="S5" s="84"/>
      <c r="T5" s="85"/>
      <c r="U5" s="86"/>
      <c r="AD5" s="323"/>
      <c r="AE5" s="323"/>
      <c r="AF5" s="323"/>
      <c r="AG5" s="323"/>
      <c r="AH5" s="323"/>
      <c r="AI5" s="323"/>
      <c r="AJ5" s="323"/>
      <c r="AK5" s="323"/>
      <c r="AL5" s="323"/>
      <c r="AM5" s="323"/>
      <c r="AN5" s="323"/>
      <c r="AO5" s="323"/>
      <c r="AP5" s="323"/>
      <c r="AQ5" s="323"/>
      <c r="BJ5" s="323"/>
    </row>
    <row r="6" spans="1:92" s="117" customFormat="1" ht="15.75" customHeight="1" x14ac:dyDescent="0.3">
      <c r="A6" s="564"/>
      <c r="B6" s="163"/>
      <c r="C6" s="163"/>
      <c r="D6" s="164"/>
      <c r="E6" s="165"/>
      <c r="F6" s="165"/>
      <c r="G6" s="165"/>
      <c r="H6" s="165"/>
      <c r="I6" s="166"/>
      <c r="J6" s="167"/>
      <c r="K6" s="168"/>
      <c r="L6" s="28"/>
      <c r="N6" s="164"/>
      <c r="O6" s="165"/>
      <c r="P6" s="165"/>
      <c r="Q6" s="165"/>
      <c r="R6" s="165"/>
      <c r="S6" s="166"/>
      <c r="T6" s="167"/>
      <c r="U6" s="168"/>
      <c r="V6" s="37"/>
      <c r="W6" s="98"/>
      <c r="X6" s="98"/>
      <c r="Y6" s="287"/>
      <c r="Z6" s="323"/>
      <c r="AA6" s="323"/>
      <c r="AB6" s="329" t="b">
        <f>SUM(AF7:AF10)=12</f>
        <v>0</v>
      </c>
      <c r="AC6" s="330"/>
      <c r="AD6" s="344" t="s">
        <v>660</v>
      </c>
      <c r="AE6" s="345" t="s">
        <v>649</v>
      </c>
      <c r="AF6" s="346" t="s">
        <v>655</v>
      </c>
      <c r="AG6" s="346" t="s">
        <v>653</v>
      </c>
      <c r="AH6" s="346" t="s">
        <v>648</v>
      </c>
      <c r="AI6" s="346" t="s">
        <v>654</v>
      </c>
      <c r="AJ6" s="346" t="s">
        <v>656</v>
      </c>
      <c r="AK6" s="346" t="s">
        <v>645</v>
      </c>
      <c r="AL6" s="346" t="s">
        <v>657</v>
      </c>
      <c r="AM6" s="346" t="s">
        <v>658</v>
      </c>
      <c r="AN6" s="346" t="s">
        <v>695</v>
      </c>
      <c r="AO6" s="346" t="s">
        <v>531</v>
      </c>
      <c r="AP6" s="346" t="s">
        <v>467</v>
      </c>
      <c r="AQ6" s="346" t="s">
        <v>659</v>
      </c>
      <c r="AR6" s="323"/>
      <c r="AS6" s="322"/>
      <c r="AT6" s="323"/>
      <c r="AU6" s="323"/>
      <c r="AV6" s="323"/>
      <c r="AW6" s="323"/>
      <c r="AX6" s="323"/>
      <c r="AY6" s="322"/>
      <c r="AZ6" s="323"/>
      <c r="BA6" s="369" t="s">
        <v>644</v>
      </c>
      <c r="BB6" s="442" t="b">
        <f>AND(AVERAGE(BC7:BC10)=MAX(BC7:BC10),AVERAGE(BD7:BD10)=MAX(BD7:BD10))</f>
        <v>1</v>
      </c>
      <c r="BC6" s="371"/>
      <c r="BD6" s="369"/>
      <c r="BE6" s="369"/>
      <c r="BF6" s="369"/>
      <c r="BG6" s="323"/>
      <c r="BH6" s="322"/>
      <c r="BI6" s="323"/>
      <c r="BJ6" s="324"/>
      <c r="BK6" s="324"/>
      <c r="BL6" s="324"/>
      <c r="BM6" s="324"/>
      <c r="BN6" s="346">
        <f>IF(BM7=0,"xxx",VLOOKUP(BM7,BK7:BL10,2,FALSE))</f>
        <v>0</v>
      </c>
      <c r="BO6" s="323"/>
      <c r="BP6" s="323"/>
      <c r="BQ6" s="346" t="str">
        <f>IF(BM8=0,"xxx",VLOOKUP(BM8,BK7:BL10,2,FALSE))</f>
        <v>xxx</v>
      </c>
      <c r="BR6" s="323"/>
      <c r="BS6" s="323"/>
      <c r="BT6" s="304"/>
      <c r="BU6" s="346" t="s">
        <v>649</v>
      </c>
      <c r="BV6" s="346" t="s">
        <v>658</v>
      </c>
      <c r="BW6" s="346" t="s">
        <v>648</v>
      </c>
      <c r="BX6" s="346" t="s">
        <v>656</v>
      </c>
      <c r="BY6" s="346" t="s">
        <v>697</v>
      </c>
      <c r="BZ6" s="346" t="s">
        <v>696</v>
      </c>
      <c r="CA6" s="346" t="s">
        <v>695</v>
      </c>
      <c r="CB6" s="323"/>
      <c r="CC6" s="322"/>
      <c r="CD6" s="323"/>
      <c r="CE6" s="303"/>
      <c r="CF6" s="346" t="s">
        <v>808</v>
      </c>
      <c r="CG6" s="364" t="s">
        <v>653</v>
      </c>
      <c r="CH6" s="364" t="s">
        <v>648</v>
      </c>
      <c r="CI6" s="365"/>
      <c r="CJ6" s="346" t="s">
        <v>656</v>
      </c>
      <c r="CK6" s="346" t="s">
        <v>645</v>
      </c>
      <c r="CL6" s="303"/>
      <c r="CM6" s="323"/>
      <c r="CN6" s="322"/>
    </row>
    <row r="7" spans="1:92" s="117" customFormat="1" ht="16.5" customHeight="1" x14ac:dyDescent="0.3">
      <c r="A7" s="564"/>
      <c r="B7" s="163"/>
      <c r="C7" s="163"/>
      <c r="D7" s="169" t="str">
        <f>CONCATENATE("  ",AC7,". ",AA7)</f>
        <v xml:space="preserve">  1. Törökország</v>
      </c>
      <c r="E7" s="170">
        <f>VLOOKUP(AB7,groupph,3,FALSE)</f>
        <v>0</v>
      </c>
      <c r="F7" s="170" t="str">
        <f>IF(VLOOKUP(AB7,groupph,4,FALSE)=0,"–",VLOOKUP(AB7,groupph,4,FALSE))</f>
        <v>–</v>
      </c>
      <c r="G7" s="170" t="str">
        <f>IF(VLOOKUP(AB7,groupph,5,FALSE)=0,"–",VLOOKUP(AB7,groupph,5,FALSE))</f>
        <v>–</v>
      </c>
      <c r="H7" s="170" t="str">
        <f>IF(VLOOKUP(AB7,groupph,6,FALSE)=0,"–",VLOOKUP(AB7,groupph,6,FALSE))</f>
        <v>–</v>
      </c>
      <c r="I7" s="170" t="str">
        <f>CONCATENATE(VLOOKUP(AB7,groupph,7,FALSE),"–",VLOOKUP(AB7,groupph,8,FALSE))</f>
        <v>0–0</v>
      </c>
      <c r="J7" s="171">
        <f>IF(VLOOKUP(AB7,groupph,9,FALSE)&gt;0,CONCATENATE("+",VLOOKUP(AB7,groupph,9,FALSE)," "),IF(VLOOKUP(AB7,groupph,9,FALSE)&lt;0,CONCATENATE("–",VLOOKUP(AB7,groupph,9,FALSE)*-1," "),0))</f>
        <v>0</v>
      </c>
      <c r="K7" s="172">
        <f>VLOOKUP(AB7,groupph,10,FALSE)</f>
        <v>0</v>
      </c>
      <c r="L7" s="28"/>
      <c r="M7" s="28"/>
      <c r="N7" s="169" t="str">
        <f>CONCATENATE("  ",AC25,". ",AA25)</f>
        <v xml:space="preserve">  1. Anglia</v>
      </c>
      <c r="O7" s="170">
        <f>VLOOKUP(AB25,groupph,3,FALSE)</f>
        <v>0</v>
      </c>
      <c r="P7" s="170" t="str">
        <f>IF(VLOOKUP(AB25,groupph,4,FALSE)=0,"–",VLOOKUP(AB25,groupph,4,FALSE))</f>
        <v>–</v>
      </c>
      <c r="Q7" s="170" t="str">
        <f>IF(VLOOKUP(AB25,groupph,5,FALSE)=0,"–",VLOOKUP(AB25,groupph,5,FALSE))</f>
        <v>–</v>
      </c>
      <c r="R7" s="170" t="str">
        <f>IF(VLOOKUP(AB25,groupph,6,FALSE)=0,"–",VLOOKUP(AB25,groupph,6,FALSE))</f>
        <v>–</v>
      </c>
      <c r="S7" s="170" t="str">
        <f>CONCATENATE(VLOOKUP(AB25,groupph,7,FALSE),"–",VLOOKUP(AB25,groupph,8,FALSE))</f>
        <v>0–0</v>
      </c>
      <c r="T7" s="171">
        <f>IF(VLOOKUP(AB25,groupph,9,FALSE)&gt;0,CONCATENATE("+",VLOOKUP(AB25,groupph,9,FALSE)," "),IF(VLOOKUP(AB25,groupph,9,FALSE)&lt;0,CONCATENATE("–",VLOOKUP(AB25,groupph,9,FALSE)*-1," "),0))</f>
        <v>0</v>
      </c>
      <c r="U7" s="172">
        <f>VLOOKUP(AB25,groupph,10,FALSE)</f>
        <v>0</v>
      </c>
      <c r="V7" s="37"/>
      <c r="W7" s="98"/>
      <c r="X7" s="98"/>
      <c r="Y7" s="287"/>
      <c r="Z7" s="323"/>
      <c r="AA7" s="323" t="str">
        <f>VLOOKUP(AB7,groupph,2,FALSE)</f>
        <v>Törökország</v>
      </c>
      <c r="AB7" s="332">
        <f>LARGE(AD7:AD10,BJ7)</f>
        <v>3.2000000000000003E-4</v>
      </c>
      <c r="AC7" s="333">
        <v>1</v>
      </c>
      <c r="AD7" s="334">
        <f>AM7*1000000+AL7*1000+AJ7*10+AN7+AO7+AG7/10+AP7+AQ7</f>
        <v>3.2000000000000003E-4</v>
      </c>
      <c r="AE7" s="331" t="str">
        <f>Adatok!A2</f>
        <v>Törökország</v>
      </c>
      <c r="AF7" s="327">
        <f>AG7+AH7+AI7</f>
        <v>0</v>
      </c>
      <c r="AG7" s="327">
        <f>COUNTIF(win.g,$AE7)</f>
        <v>0</v>
      </c>
      <c r="AH7" s="327">
        <f>COUNTIF(draw.g,$AE7)</f>
        <v>0</v>
      </c>
      <c r="AI7" s="327">
        <f>COUNTIF(loss.g,$AE7)</f>
        <v>0</v>
      </c>
      <c r="AJ7" s="327">
        <f>SUMIF(home.g,$AE7,hf.g)+SUMIF(away.g,$AE7,af.g)</f>
        <v>0</v>
      </c>
      <c r="AK7" s="327">
        <f>SUMIF(home.g,$AE7,ha.g)+SUMIF(away.g,$AE7,aa.g)</f>
        <v>0</v>
      </c>
      <c r="AL7" s="327">
        <f>AJ7-AK7</f>
        <v>0</v>
      </c>
      <c r="AM7" s="327">
        <f>AG7*3+AH7</f>
        <v>0</v>
      </c>
      <c r="AN7" s="337">
        <f>IF(AF7=3,IF(ISNUMBER(CA7),CA7,0),0)</f>
        <v>0</v>
      </c>
      <c r="AO7" s="337">
        <f>IF(COUNTIF(tie.3rdmw,AE7)&gt;0,1,0)</f>
        <v>0</v>
      </c>
      <c r="AP7" s="397">
        <f>IF(COUNTIF(tie.sp,AE7)&gt;0,0.04-MATCH(AE7,tie.sp,0)/100,0)</f>
        <v>0</v>
      </c>
      <c r="AQ7" s="336">
        <v>3.2000000000000003E-4</v>
      </c>
      <c r="AR7" s="323"/>
      <c r="AS7" s="287"/>
      <c r="AT7" s="323"/>
      <c r="AU7" s="326" t="str">
        <f>BJ7&amp;AE6</f>
        <v>1A</v>
      </c>
      <c r="AV7" s="326" t="str">
        <f>IF(AB6,AA7,AE6&amp;" csoport "&amp;BJ7&amp;". hely")</f>
        <v>A csoport 1. hely</v>
      </c>
      <c r="AW7" s="327">
        <f>IF(ISNA(VLOOKUP(AV7,ekiscore,2,FALSE)),-10,VLOOKUP(AV7,ekiscore,2,FALSE))</f>
        <v>0</v>
      </c>
      <c r="AX7" s="323"/>
      <c r="AY7" s="287"/>
      <c r="AZ7" s="323"/>
      <c r="BA7" s="440" t="str">
        <f>IF(BB7="","",IF(BB6,BB7,""))</f>
        <v/>
      </c>
      <c r="BB7" s="440" t="str">
        <f>IF(BP9="",BN7&amp;BN8&amp;BN9&amp;BN10,"")</f>
        <v/>
      </c>
      <c r="BC7" s="440">
        <f>IF(BN7="","",VLOOKUP(BN7,grouptable,6,FALSE))</f>
        <v>0</v>
      </c>
      <c r="BD7" s="440">
        <f>IF(BN7="","",VLOOKUP(BN7,grouptable,7,FALSE))</f>
        <v>0</v>
      </c>
      <c r="BE7" s="441" t="str">
        <f>IF(BQ7="","",VLOOKUP(BQ7,grouptable,6,FALSE))</f>
        <v/>
      </c>
      <c r="BF7" s="441" t="str">
        <f>IF(BQ7="","",VLOOKUP(BQ7,grouptable,7,FALSE))</f>
        <v/>
      </c>
      <c r="BG7" s="323"/>
      <c r="BH7" s="287"/>
      <c r="BI7" s="304"/>
      <c r="BJ7" s="325">
        <v>1</v>
      </c>
      <c r="BK7" s="338">
        <f>COUNTIF(AM7:AM10,BL7)+BJ7/10</f>
        <v>4.0999999999999996</v>
      </c>
      <c r="BL7" s="311">
        <f>LARGE(AM7:AM10,BJ7)</f>
        <v>0</v>
      </c>
      <c r="BM7" s="311">
        <f>IF(LARGE(BK7:BK10,BJ7)&lt;2,0,LARGE(BK7:BK10,BJ7))</f>
        <v>4.0999999999999996</v>
      </c>
      <c r="BN7" s="310" t="str">
        <f>IF(AM7=BN6,AE7,"")</f>
        <v>Törökország</v>
      </c>
      <c r="BO7" s="311">
        <f>IF(BN7="","",BJ7)</f>
        <v>1</v>
      </c>
      <c r="BP7" s="311">
        <f>IF(ISERR(LARGE(BO7:BO10,BJ7)),"",LARGE(BO7:BO10,BJ7))</f>
        <v>4</v>
      </c>
      <c r="BQ7" s="310" t="str">
        <f>IF(AM7=BQ6,AE7,"")</f>
        <v/>
      </c>
      <c r="BR7" s="311" t="str">
        <f>IF(BQ7="","",BJ7)</f>
        <v/>
      </c>
      <c r="BS7" s="311" t="str">
        <f>IF(ISERR(LARGE(BR7:BR10,BJ7)),"",LARGE(BR7:BR10,BJ7))</f>
        <v/>
      </c>
      <c r="BT7" s="304"/>
      <c r="BU7" s="309" t="str">
        <f>AE7</f>
        <v>Törökország</v>
      </c>
      <c r="BV7" s="311">
        <f>COUNTIF($CG$7:$CG$124,BU7)*3+COUNTIF($CH$7:$CI$124,BU7)</f>
        <v>0</v>
      </c>
      <c r="BW7" s="311">
        <f>BX7-SUMIF($CE$7:$CE$124,BU7,$CK$7:$CK$124)-SUMIF($CL$7:$CL$124,BU7,$CJ$7:$CJ$124)</f>
        <v>0</v>
      </c>
      <c r="BX7" s="311">
        <f>SUMIF($CE$7:$CE$124,BU7,$CJ$7:$CJ$124)+SUMIF($CL$7:$CL$124,BU7,$CK$7:$CK$124)</f>
        <v>0</v>
      </c>
      <c r="BY7" s="311">
        <f>BV7*1000000+BW7*1000+BX7</f>
        <v>0</v>
      </c>
      <c r="BZ7" s="311">
        <f>RANK(BY7,BY7:BY10,1)</f>
        <v>1</v>
      </c>
      <c r="CA7" s="311">
        <f>BZ7*100000</f>
        <v>100000</v>
      </c>
      <c r="CB7" s="323"/>
      <c r="CC7" s="287"/>
      <c r="CD7" s="323"/>
      <c r="CE7" s="309" t="str">
        <f>IF(BP7="","",VLOOKUP(BP7,BJ7:BS10,5,FALSE))</f>
        <v>Svájc</v>
      </c>
      <c r="CF7" s="310" t="str">
        <f>IF(OR(CE7="",CL7="",CE7=CL7),"",IF(COUNTIF(groupm,CONCATENATE(CE7,CL7))=0,"",CONCATENATE(CE7,CL7)))</f>
        <v/>
      </c>
      <c r="CG7" s="310" t="str">
        <f>IF(CF7="","",VLOOKUP(CF7,groupm,3,FALSE))</f>
        <v/>
      </c>
      <c r="CH7" s="339" t="str">
        <f>IF(CF7="","",VLOOKUP(CF7,groupm,4,FALSE))</f>
        <v/>
      </c>
      <c r="CI7" s="339" t="str">
        <f>IF(CF7="","",VLOOKUP(CF7,groupm,5,FALSE))</f>
        <v/>
      </c>
      <c r="CJ7" s="311" t="str">
        <f>IF(CF7="","",VLOOKUP(CF7,groupm,8,FALSE))</f>
        <v/>
      </c>
      <c r="CK7" s="311" t="str">
        <f>IF(CF7="","",VLOOKUP(CF7,groupm,9,FALSE))</f>
        <v/>
      </c>
      <c r="CL7" s="309" t="str">
        <f>CE7</f>
        <v>Svájc</v>
      </c>
      <c r="CM7" s="323"/>
      <c r="CN7" s="287"/>
    </row>
    <row r="8" spans="1:92" s="117" customFormat="1" ht="16.5" customHeight="1" x14ac:dyDescent="0.3">
      <c r="A8" s="564"/>
      <c r="B8" s="163"/>
      <c r="C8" s="163"/>
      <c r="D8" s="544" t="str">
        <f>CONCATENATE("  ",AC8,". ",AA8)</f>
        <v xml:space="preserve">  1. Olaszország</v>
      </c>
      <c r="E8" s="545">
        <f>VLOOKUP(AB8,groupph,3,FALSE)</f>
        <v>0</v>
      </c>
      <c r="F8" s="545" t="str">
        <f>IF(VLOOKUP(AB8,groupph,4,FALSE)=0,"–",VLOOKUP(AB8,groupph,4,FALSE))</f>
        <v>–</v>
      </c>
      <c r="G8" s="545" t="str">
        <f>IF(VLOOKUP(AB8,groupph,5,FALSE)=0,"–",VLOOKUP(AB8,groupph,5,FALSE))</f>
        <v>–</v>
      </c>
      <c r="H8" s="545" t="str">
        <f>IF(VLOOKUP(AB8,groupph,6,FALSE)=0,"–",VLOOKUP(AB8,groupph,6,FALSE))</f>
        <v>–</v>
      </c>
      <c r="I8" s="545" t="str">
        <f>CONCATENATE(VLOOKUP(AB8,groupph,7,FALSE),"–",VLOOKUP(AB8,groupph,8,FALSE))</f>
        <v>0–0</v>
      </c>
      <c r="J8" s="546">
        <f>IF(VLOOKUP(AB8,groupph,9,FALSE)&gt;0,CONCATENATE("+",VLOOKUP(AB8,groupph,9,FALSE)," "),IF(VLOOKUP(AB8,groupph,9,FALSE)&lt;0,CONCATENATE("–",VLOOKUP(AB8,groupph,9,FALSE)*-1," "),0))</f>
        <v>0</v>
      </c>
      <c r="K8" s="547">
        <f>VLOOKUP(AB8,groupph,10,FALSE)</f>
        <v>0</v>
      </c>
      <c r="L8" s="28"/>
      <c r="M8" s="28"/>
      <c r="N8" s="544" t="str">
        <f>CONCATENATE("  ",AC26,". ",AA26)</f>
        <v xml:space="preserve">  1. Horvátország</v>
      </c>
      <c r="O8" s="545">
        <f>VLOOKUP(AB26,groupph,3,FALSE)</f>
        <v>0</v>
      </c>
      <c r="P8" s="545" t="str">
        <f>IF(VLOOKUP(AB26,groupph,4,FALSE)=0,"–",VLOOKUP(AB26,groupph,4,FALSE))</f>
        <v>–</v>
      </c>
      <c r="Q8" s="545" t="str">
        <f>IF(VLOOKUP(AB26,groupph,5,FALSE)=0,"–",VLOOKUP(AB26,groupph,5,FALSE))</f>
        <v>–</v>
      </c>
      <c r="R8" s="545" t="str">
        <f>IF(VLOOKUP(AB26,groupph,6,FALSE)=0,"–",VLOOKUP(AB26,groupph,6,FALSE))</f>
        <v>–</v>
      </c>
      <c r="S8" s="545" t="str">
        <f>CONCATENATE(VLOOKUP(AB26,groupph,7,FALSE),"–",VLOOKUP(AB26,groupph,8,FALSE))</f>
        <v>0–0</v>
      </c>
      <c r="T8" s="546">
        <f>IF(VLOOKUP(AB26,groupph,9,FALSE)&gt;0,CONCATENATE("+",VLOOKUP(AB26,groupph,9,FALSE)," "),IF(VLOOKUP(AB26,groupph,9,FALSE)&lt;0,CONCATENATE("–",VLOOKUP(AB26,groupph,9,FALSE)*-1," "),0))</f>
        <v>0</v>
      </c>
      <c r="U8" s="547">
        <f>VLOOKUP(AB26,groupph,10,FALSE)</f>
        <v>0</v>
      </c>
      <c r="V8" s="37"/>
      <c r="W8" s="98"/>
      <c r="X8" s="98"/>
      <c r="Y8" s="287"/>
      <c r="Z8" s="323"/>
      <c r="AA8" s="323" t="str">
        <f>VLOOKUP(AB8,groupph,2,FALSE)</f>
        <v>Olaszország</v>
      </c>
      <c r="AB8" s="334">
        <f>LARGE(AD7:AD10,BJ8)</f>
        <v>3.1E-4</v>
      </c>
      <c r="AC8" s="337">
        <f>IF(ABS(AB7-AB8)&lt;0.0005,AC7,BJ8)</f>
        <v>1</v>
      </c>
      <c r="AD8" s="334">
        <f>AM8*1000000+AL8*1000+AJ8*10+AN8+AO8+AG8/10+AP8+AQ8</f>
        <v>3.1E-4</v>
      </c>
      <c r="AE8" s="331" t="str">
        <f>Adatok!A3</f>
        <v>Olaszország</v>
      </c>
      <c r="AF8" s="327">
        <f>AG8+AH8+AI8</f>
        <v>0</v>
      </c>
      <c r="AG8" s="327">
        <f>COUNTIF(win.g,$AE8)</f>
        <v>0</v>
      </c>
      <c r="AH8" s="327">
        <f>COUNTIF(draw.g,$AE8)</f>
        <v>0</v>
      </c>
      <c r="AI8" s="327">
        <f>COUNTIF(loss.g,$AE8)</f>
        <v>0</v>
      </c>
      <c r="AJ8" s="327">
        <f>SUMIF(home.g,$AE8,hf.g)+SUMIF(away.g,$AE8,af.g)</f>
        <v>0</v>
      </c>
      <c r="AK8" s="327">
        <f>SUMIF(home.g,$AE8,ha.g)+SUMIF(away.g,$AE8,aa.g)</f>
        <v>0</v>
      </c>
      <c r="AL8" s="327">
        <f>AJ8-AK8</f>
        <v>0</v>
      </c>
      <c r="AM8" s="327">
        <f>AG8*3+AH8</f>
        <v>0</v>
      </c>
      <c r="AN8" s="337">
        <f>IF(AF8=3,IF(ISNUMBER(CA8),CA8,0),0)</f>
        <v>0</v>
      </c>
      <c r="AO8" s="337">
        <f>IF(COUNTIF(tie.3rdmw,AE8)&gt;0,1,0)</f>
        <v>0</v>
      </c>
      <c r="AP8" s="397">
        <f>IF(COUNTIF(tie.sp,AE8)&gt;0,0.04-MATCH(AE8,tie.sp,0)/100,0)</f>
        <v>0</v>
      </c>
      <c r="AQ8" s="336">
        <f>AQ7-0.00001</f>
        <v>3.1E-4</v>
      </c>
      <c r="AR8" s="323"/>
      <c r="AS8" s="287"/>
      <c r="AT8" s="323"/>
      <c r="AU8" s="326" t="str">
        <f>BJ8&amp;AE6</f>
        <v>2A</v>
      </c>
      <c r="AV8" s="326" t="str">
        <f>IF(AB6,AA8,AE6&amp;" csoport "&amp;BJ8&amp;". hely")</f>
        <v>A csoport 2. hely</v>
      </c>
      <c r="AW8" s="327">
        <f>IF(ISNA(VLOOKUP(AV8,ekiscore,2,FALSE)),-10,VLOOKUP(AV8,ekiscore,2,FALSE))</f>
        <v>0</v>
      </c>
      <c r="AX8" s="323"/>
      <c r="AY8" s="287"/>
      <c r="AZ8" s="323"/>
      <c r="BA8" s="440" t="str">
        <f>IF(BB8="","",IF(BB6,BB8,""))</f>
        <v/>
      </c>
      <c r="BB8" s="440" t="str">
        <f>IF(BP9="",BN10&amp;BN9&amp;BN8&amp;BN7,"")</f>
        <v/>
      </c>
      <c r="BC8" s="440">
        <f>IF(BN8="","",VLOOKUP(BN8,grouptable,6,FALSE))</f>
        <v>0</v>
      </c>
      <c r="BD8" s="440">
        <f>IF(BN8="","",VLOOKUP(BN8,grouptable,7,FALSE))</f>
        <v>0</v>
      </c>
      <c r="BE8" s="441" t="str">
        <f>IF(BQ8="","",VLOOKUP(BQ8,grouptable,6,FALSE))</f>
        <v/>
      </c>
      <c r="BF8" s="441" t="str">
        <f>IF(BQ8="","",VLOOKUP(BQ8,grouptable,7,FALSE))</f>
        <v/>
      </c>
      <c r="BG8" s="323"/>
      <c r="BH8" s="287"/>
      <c r="BI8" s="314"/>
      <c r="BJ8" s="325">
        <v>2</v>
      </c>
      <c r="BK8" s="338">
        <f>IF(BL8=BL7,0,COUNTIF(AM7:AM10,BL8)+BJ8/10)</f>
        <v>0</v>
      </c>
      <c r="BL8" s="311">
        <f>LARGE(AM7:AM10,BJ8)</f>
        <v>0</v>
      </c>
      <c r="BM8" s="311">
        <f>IF(LARGE(BK7:BK10,BJ8)&lt;2,0,LARGE(BK7:BK10,BJ8))</f>
        <v>0</v>
      </c>
      <c r="BN8" s="310" t="str">
        <f>IF(AM8=BN6,AE8,"")</f>
        <v>Olaszország</v>
      </c>
      <c r="BO8" s="311">
        <f>IF(BN8="","",BJ8)</f>
        <v>2</v>
      </c>
      <c r="BP8" s="311">
        <f>IF(ISERR(LARGE(BO7:BO10,BJ8)),"",LARGE(BO7:BO10,BJ8))</f>
        <v>3</v>
      </c>
      <c r="BQ8" s="310" t="str">
        <f>IF(AM8=BQ6,AE8,"")</f>
        <v/>
      </c>
      <c r="BR8" s="311" t="str">
        <f>IF(BQ8="","",BJ8)</f>
        <v/>
      </c>
      <c r="BS8" s="311" t="str">
        <f>IF(ISERR(LARGE(BR7:BR10,BJ8)),"",LARGE(BR7:BR10,BJ8))</f>
        <v/>
      </c>
      <c r="BT8" s="304"/>
      <c r="BU8" s="309" t="str">
        <f>AE8</f>
        <v>Olaszország</v>
      </c>
      <c r="BV8" s="311">
        <f>COUNTIF($CG$7:$CG$124,BU8)*3+COUNTIF($CH$7:$CI$124,BU8)</f>
        <v>0</v>
      </c>
      <c r="BW8" s="311">
        <f>BX8-SUMIF($CE$7:$CE$124,BU8,$CK$7:$CK$124)-SUMIF($CL$7:$CL$124,BU8,$CJ$7:$CJ$124)</f>
        <v>0</v>
      </c>
      <c r="BX8" s="311">
        <f>SUMIF($CE$7:$CE$124,BU8,$CJ$7:$CJ$124)+SUMIF($CL$7:$CL$124,BU8,$CK$7:$CK$124)</f>
        <v>0</v>
      </c>
      <c r="BY8" s="311">
        <f>BV8*1000000+BW8*1000+BX8</f>
        <v>0</v>
      </c>
      <c r="BZ8" s="311">
        <f>RANK(BY8,BY7:BY10,1)</f>
        <v>1</v>
      </c>
      <c r="CA8" s="311">
        <f>BZ8*100000</f>
        <v>100000</v>
      </c>
      <c r="CB8" s="323"/>
      <c r="CC8" s="287"/>
      <c r="CD8" s="323"/>
      <c r="CE8" s="309" t="str">
        <f>IF(BP8="","",VLOOKUP(BP8,BJ7:BS10,5,FALSE))</f>
        <v>Wales</v>
      </c>
      <c r="CF8" s="310" t="str">
        <f>IF(OR(CE8="",CL8="",CE8=CL8),"",IF(COUNTIF(groupm,CONCATENATE(CE8,CL8))=0,"",CONCATENATE(CE8,CL8)))</f>
        <v>WalesSvájc</v>
      </c>
      <c r="CG8" s="310" t="str">
        <f>IF(CF8="","",VLOOKUP(CF8,groupm,3,FALSE))</f>
        <v/>
      </c>
      <c r="CH8" s="339" t="str">
        <f>IF(CF8="","",VLOOKUP(CF8,groupm,4,FALSE))</f>
        <v/>
      </c>
      <c r="CI8" s="339" t="str">
        <f>IF(CF8="","",VLOOKUP(CF8,groupm,5,FALSE))</f>
        <v/>
      </c>
      <c r="CJ8" s="311" t="str">
        <f>IF(CF8="","",VLOOKUP(CF8,groupm,8,FALSE))</f>
        <v/>
      </c>
      <c r="CK8" s="311" t="str">
        <f>IF(CF8="","",VLOOKUP(CF8,groupm,9,FALSE))</f>
        <v/>
      </c>
      <c r="CL8" s="309" t="str">
        <f>CL7</f>
        <v>Svájc</v>
      </c>
      <c r="CM8" s="323"/>
      <c r="CN8" s="287"/>
    </row>
    <row r="9" spans="1:92" s="117" customFormat="1" ht="16.5" customHeight="1" x14ac:dyDescent="0.3">
      <c r="A9" s="564"/>
      <c r="C9" s="549" t="str">
        <f>"("&amp;VLOOKUP(AA9,$AE$54:$AF$59,2,FALSE)&amp;".)"</f>
        <v>(1.)</v>
      </c>
      <c r="D9" s="169" t="str">
        <f>CONCATENATE("  ",AC9,". ",AA9)</f>
        <v xml:space="preserve">  1. Wales</v>
      </c>
      <c r="E9" s="170">
        <f>VLOOKUP(AB9,groupph,3,FALSE)</f>
        <v>0</v>
      </c>
      <c r="F9" s="170" t="str">
        <f>IF(VLOOKUP(AB9,groupph,4,FALSE)=0,"–",VLOOKUP(AB9,groupph,4,FALSE))</f>
        <v>–</v>
      </c>
      <c r="G9" s="170" t="str">
        <f>IF(VLOOKUP(AB9,groupph,5,FALSE)=0,"–",VLOOKUP(AB9,groupph,5,FALSE))</f>
        <v>–</v>
      </c>
      <c r="H9" s="170" t="str">
        <f>IF(VLOOKUP(AB9,groupph,6,FALSE)=0,"–",VLOOKUP(AB9,groupph,6,FALSE))</f>
        <v>–</v>
      </c>
      <c r="I9" s="170" t="str">
        <f>CONCATENATE(VLOOKUP(AB9,groupph,7,FALSE),"–",VLOOKUP(AB9,groupph,8,FALSE))</f>
        <v>0–0</v>
      </c>
      <c r="J9" s="171">
        <f>IF(VLOOKUP(AB9,groupph,9,FALSE)&gt;0,CONCATENATE("+",VLOOKUP(AB9,groupph,9,FALSE)," "),IF(VLOOKUP(AB9,groupph,9,FALSE)&lt;0,CONCATENATE("–",VLOOKUP(AB9,groupph,9,FALSE)*-1," "),0))</f>
        <v>0</v>
      </c>
      <c r="K9" s="172">
        <f>VLOOKUP(AB9,groupph,10,FALSE)</f>
        <v>0</v>
      </c>
      <c r="L9" s="548"/>
      <c r="M9" s="549" t="str">
        <f>"("&amp;VLOOKUP(AA27,$AE$54:$AF$59,2,FALSE)&amp;".)"</f>
        <v>(1.)</v>
      </c>
      <c r="N9" s="169" t="str">
        <f>CONCATENATE("  ",AC27,". ",AA27)</f>
        <v xml:space="preserve">  1. Skócia</v>
      </c>
      <c r="O9" s="170">
        <f>VLOOKUP(AB27,groupph,3,FALSE)</f>
        <v>0</v>
      </c>
      <c r="P9" s="170" t="str">
        <f>IF(VLOOKUP(AB27,groupph,4,FALSE)=0,"–",VLOOKUP(AB27,groupph,4,FALSE))</f>
        <v>–</v>
      </c>
      <c r="Q9" s="170" t="str">
        <f>IF(VLOOKUP(AB27,groupph,5,FALSE)=0,"–",VLOOKUP(AB27,groupph,5,FALSE))</f>
        <v>–</v>
      </c>
      <c r="R9" s="170" t="str">
        <f>IF(VLOOKUP(AB27,groupph,6,FALSE)=0,"–",VLOOKUP(AB27,groupph,6,FALSE))</f>
        <v>–</v>
      </c>
      <c r="S9" s="170" t="str">
        <f>CONCATENATE(VLOOKUP(AB27,groupph,7,FALSE),"–",VLOOKUP(AB27,groupph,8,FALSE))</f>
        <v>0–0</v>
      </c>
      <c r="T9" s="171">
        <f>IF(VLOOKUP(AB27,groupph,9,FALSE)&gt;0,CONCATENATE("+",VLOOKUP(AB27,groupph,9,FALSE)," "),IF(VLOOKUP(AB27,groupph,9,FALSE)&lt;0,CONCATENATE("–",VLOOKUP(AB27,groupph,9,FALSE)*-1," "),0))</f>
        <v>0</v>
      </c>
      <c r="U9" s="172">
        <f>VLOOKUP(AB27,groupph,10,FALSE)</f>
        <v>0</v>
      </c>
      <c r="V9" s="37"/>
      <c r="W9" s="98"/>
      <c r="X9" s="98"/>
      <c r="Y9" s="287"/>
      <c r="Z9" s="323"/>
      <c r="AA9" s="323" t="str">
        <f>VLOOKUP(AB9,groupph,2,FALSE)</f>
        <v>Wales</v>
      </c>
      <c r="AB9" s="334">
        <f>LARGE(AD7:AD10,BJ9)</f>
        <v>2.9999999999999997E-4</v>
      </c>
      <c r="AC9" s="337">
        <f>IF(ABS(AB8-AB9)&lt;0.0005,AC8,BJ9)</f>
        <v>1</v>
      </c>
      <c r="AD9" s="334">
        <f>AM9*1000000+AL9*1000+AJ9*10+AN9+AO9+AG9/10+AP9+AQ9</f>
        <v>2.9999999999999997E-4</v>
      </c>
      <c r="AE9" s="331" t="str">
        <f>Adatok!A4</f>
        <v>Wales</v>
      </c>
      <c r="AF9" s="327">
        <f>AG9+AH9+AI9</f>
        <v>0</v>
      </c>
      <c r="AG9" s="327">
        <f>COUNTIF(win.g,$AE9)</f>
        <v>0</v>
      </c>
      <c r="AH9" s="327">
        <f>COUNTIF(draw.g,$AE9)</f>
        <v>0</v>
      </c>
      <c r="AI9" s="327">
        <f>COUNTIF(loss.g,$AE9)</f>
        <v>0</v>
      </c>
      <c r="AJ9" s="327">
        <f>SUMIF(home.g,$AE9,hf.g)+SUMIF(away.g,$AE9,af.g)</f>
        <v>0</v>
      </c>
      <c r="AK9" s="327">
        <f>SUMIF(home.g,$AE9,ha.g)+SUMIF(away.g,$AE9,aa.g)</f>
        <v>0</v>
      </c>
      <c r="AL9" s="327">
        <f>AJ9-AK9</f>
        <v>0</v>
      </c>
      <c r="AM9" s="327">
        <f>AG9*3+AH9</f>
        <v>0</v>
      </c>
      <c r="AN9" s="337">
        <f>IF(AF9=3,IF(ISNUMBER(CA9),CA9,0),0)</f>
        <v>0</v>
      </c>
      <c r="AO9" s="337">
        <f>IF(COUNTIF(tie.3rdmw,AE9)&gt;0,1,0)</f>
        <v>0</v>
      </c>
      <c r="AP9" s="397">
        <f>IF(COUNTIF(tie.sp,AE9)&gt;0,0.04-MATCH(AE9,tie.sp,0)/100,0)</f>
        <v>0</v>
      </c>
      <c r="AQ9" s="336">
        <f>AQ8-0.00001</f>
        <v>2.9999999999999997E-4</v>
      </c>
      <c r="AR9" s="323"/>
      <c r="AS9" s="287"/>
      <c r="AT9" s="323"/>
      <c r="AU9" s="326" t="str">
        <f>BJ9&amp;AE6</f>
        <v>3A</v>
      </c>
      <c r="AV9" s="326" t="str">
        <f>IF(AB6,AA9,AE6&amp;" csoport "&amp;BJ9&amp;". hely")</f>
        <v>A csoport 3. hely</v>
      </c>
      <c r="AW9" s="327">
        <f>IF(ISNA(VLOOKUP(AV9,ekiscore,2,FALSE)),-10,VLOOKUP(AV9,ekiscore,2,FALSE))</f>
        <v>-10</v>
      </c>
      <c r="AX9" s="323"/>
      <c r="AY9" s="287"/>
      <c r="AZ9" s="323"/>
      <c r="BA9" s="441" t="str">
        <f>IF(BB9="","",IF(BB11,BB9,""))</f>
        <v/>
      </c>
      <c r="BB9" s="441" t="str">
        <f>BQ7&amp;BQ8&amp;BQ9&amp;BQ10</f>
        <v/>
      </c>
      <c r="BC9" s="440">
        <f>IF(BN9="","",VLOOKUP(BN9,grouptable,6,FALSE))</f>
        <v>0</v>
      </c>
      <c r="BD9" s="440">
        <f>IF(BN9="","",VLOOKUP(BN9,grouptable,7,FALSE))</f>
        <v>0</v>
      </c>
      <c r="BE9" s="441" t="str">
        <f>IF(BQ9="","",VLOOKUP(BQ9,grouptable,6,FALSE))</f>
        <v/>
      </c>
      <c r="BF9" s="441" t="str">
        <f>IF(BQ9="","",VLOOKUP(BQ9,grouptable,7,FALSE))</f>
        <v/>
      </c>
      <c r="BG9" s="323"/>
      <c r="BH9" s="287"/>
      <c r="BI9" s="314"/>
      <c r="BJ9" s="325">
        <v>3</v>
      </c>
      <c r="BK9" s="338">
        <f>IF(BL9=BL8,0,COUNTIF(AM7:AM10,BL9)+BJ9/10)</f>
        <v>0</v>
      </c>
      <c r="BL9" s="311">
        <f>LARGE(AM7:AM10,BJ9)</f>
        <v>0</v>
      </c>
      <c r="BM9" s="303"/>
      <c r="BN9" s="310" t="str">
        <f>IF(AM9=BN6,AE9,"")</f>
        <v>Wales</v>
      </c>
      <c r="BO9" s="311">
        <f>IF(BN9="","",BJ9)</f>
        <v>3</v>
      </c>
      <c r="BP9" s="311">
        <f>IF(ISERR(LARGE(BO7:BO10,BJ9)),"",LARGE(BO7:BO10,BJ9))</f>
        <v>2</v>
      </c>
      <c r="BQ9" s="310" t="str">
        <f>IF(AM9=BQ6,AE9,"")</f>
        <v/>
      </c>
      <c r="BR9" s="311" t="str">
        <f>IF(BQ9="","",BJ9)</f>
        <v/>
      </c>
      <c r="BS9" s="303"/>
      <c r="BT9" s="304"/>
      <c r="BU9" s="309" t="str">
        <f>AE9</f>
        <v>Wales</v>
      </c>
      <c r="BV9" s="311">
        <f>COUNTIF($CG$7:$CG$124,BU9)*3+COUNTIF($CH$7:$CI$124,BU9)</f>
        <v>0</v>
      </c>
      <c r="BW9" s="311">
        <f>BX9-SUMIF($CE$7:$CE$124,BU9,$CK$7:$CK$124)-SUMIF($CL$7:$CL$124,BU9,$CJ$7:$CJ$124)</f>
        <v>0</v>
      </c>
      <c r="BX9" s="311">
        <f>SUMIF($CE$7:$CE$124,BU9,$CJ$7:$CJ$124)+SUMIF($CL$7:$CL$124,BU9,$CK$7:$CK$124)</f>
        <v>0</v>
      </c>
      <c r="BY9" s="311">
        <f>BV9*1000000+BW9*1000+BX9</f>
        <v>0</v>
      </c>
      <c r="BZ9" s="311">
        <f>RANK(BY9,BY7:BY10,1)</f>
        <v>1</v>
      </c>
      <c r="CA9" s="311">
        <f>BZ9*100000</f>
        <v>100000</v>
      </c>
      <c r="CB9" s="323"/>
      <c r="CC9" s="287"/>
      <c r="CD9" s="323"/>
      <c r="CE9" s="309" t="str">
        <f>IF(BP9="","",VLOOKUP(BP9,BJ7:BS10,5,FALSE))</f>
        <v>Olaszország</v>
      </c>
      <c r="CF9" s="310" t="str">
        <f>IF(OR(CE9="",CL9="",CE9=CL9),"",IF(COUNTIF(groupm,CONCATENATE(CE9,CL9))=0,"",CONCATENATE(CE9,CL9)))</f>
        <v>OlaszországSvájc</v>
      </c>
      <c r="CG9" s="310" t="str">
        <f>IF(CF9="","",VLOOKUP(CF9,groupm,3,FALSE))</f>
        <v/>
      </c>
      <c r="CH9" s="339" t="str">
        <f>IF(CF9="","",VLOOKUP(CF9,groupm,4,FALSE))</f>
        <v/>
      </c>
      <c r="CI9" s="339" t="str">
        <f>IF(CF9="","",VLOOKUP(CF9,groupm,5,FALSE))</f>
        <v/>
      </c>
      <c r="CJ9" s="311" t="str">
        <f>IF(CF9="","",VLOOKUP(CF9,groupm,8,FALSE))</f>
        <v/>
      </c>
      <c r="CK9" s="311" t="str">
        <f>IF(CF9="","",VLOOKUP(CF9,groupm,9,FALSE))</f>
        <v/>
      </c>
      <c r="CL9" s="309" t="str">
        <f>CL8</f>
        <v>Svájc</v>
      </c>
      <c r="CM9" s="323"/>
      <c r="CN9" s="287"/>
    </row>
    <row r="10" spans="1:92" s="117" customFormat="1" ht="16.5" customHeight="1" x14ac:dyDescent="0.3">
      <c r="A10" s="564"/>
      <c r="B10" s="163"/>
      <c r="C10" s="163"/>
      <c r="D10" s="176" t="str">
        <f>CONCATENATE("  ",AC10,". ",AA10)</f>
        <v xml:space="preserve">  1. Svájc</v>
      </c>
      <c r="E10" s="177">
        <f>VLOOKUP(AB10,groupph,3,FALSE)</f>
        <v>0</v>
      </c>
      <c r="F10" s="177" t="str">
        <f>IF(VLOOKUP(AB10,groupph,4,FALSE)=0,"–",VLOOKUP(AB10,groupph,4,FALSE))</f>
        <v>–</v>
      </c>
      <c r="G10" s="177" t="str">
        <f>IF(VLOOKUP(AB10,groupph,5,FALSE)=0,"–",VLOOKUP(AB10,groupph,5,FALSE))</f>
        <v>–</v>
      </c>
      <c r="H10" s="177" t="str">
        <f>IF(VLOOKUP(AB10,groupph,6,FALSE)=0,"–",VLOOKUP(AB10,groupph,6,FALSE))</f>
        <v>–</v>
      </c>
      <c r="I10" s="177" t="str">
        <f>CONCATENATE(VLOOKUP(AB10,groupph,7,FALSE),"–",VLOOKUP(AB10,groupph,8,FALSE))</f>
        <v>0–0</v>
      </c>
      <c r="J10" s="178">
        <f>IF(VLOOKUP(AB10,groupph,9,FALSE)&gt;0,CONCATENATE("+",VLOOKUP(AB10,groupph,9,FALSE)," "),IF(VLOOKUP(AB10,groupph,9,FALSE)&lt;0,CONCATENATE("–",VLOOKUP(AB10,groupph,9,FALSE)*-1," "),0))</f>
        <v>0</v>
      </c>
      <c r="K10" s="179">
        <f>VLOOKUP(AB10,groupph,10,FALSE)</f>
        <v>0</v>
      </c>
      <c r="L10" s="28"/>
      <c r="M10" s="28"/>
      <c r="N10" s="176" t="str">
        <f>CONCATENATE("  ",AC28,". ",AA28)</f>
        <v xml:space="preserve">  1. Csehország</v>
      </c>
      <c r="O10" s="177">
        <f>VLOOKUP(AB28,groupph,3,FALSE)</f>
        <v>0</v>
      </c>
      <c r="P10" s="177" t="str">
        <f>IF(VLOOKUP(AB28,groupph,4,FALSE)=0,"–",VLOOKUP(AB28,groupph,4,FALSE))</f>
        <v>–</v>
      </c>
      <c r="Q10" s="177" t="str">
        <f>IF(VLOOKUP(AB28,groupph,5,FALSE)=0,"–",VLOOKUP(AB28,groupph,5,FALSE))</f>
        <v>–</v>
      </c>
      <c r="R10" s="177" t="str">
        <f>IF(VLOOKUP(AB28,groupph,6,FALSE)=0,"–",VLOOKUP(AB28,groupph,6,FALSE))</f>
        <v>–</v>
      </c>
      <c r="S10" s="177" t="str">
        <f>CONCATENATE(VLOOKUP(AB28,groupph,7,FALSE),"–",VLOOKUP(AB28,groupph,8,FALSE))</f>
        <v>0–0</v>
      </c>
      <c r="T10" s="178">
        <f>IF(VLOOKUP(AB28,groupph,9,FALSE)&gt;0,CONCATENATE("+",VLOOKUP(AB28,groupph,9,FALSE)," "),IF(VLOOKUP(AB28,groupph,9,FALSE)&lt;0,CONCATENATE("–",VLOOKUP(AB28,groupph,9,FALSE)*-1," "),0))</f>
        <v>0</v>
      </c>
      <c r="U10" s="179">
        <f>VLOOKUP(AB28,groupph,10,FALSE)</f>
        <v>0</v>
      </c>
      <c r="V10" s="37"/>
      <c r="W10" s="98"/>
      <c r="X10" s="98"/>
      <c r="Y10" s="287"/>
      <c r="Z10" s="323"/>
      <c r="AA10" s="323" t="str">
        <f>VLOOKUP(AB10,groupph,2,FALSE)</f>
        <v>Svájc</v>
      </c>
      <c r="AB10" s="334">
        <f>LARGE(AD7:AD10,BJ10)</f>
        <v>2.8999999999999995E-4</v>
      </c>
      <c r="AC10" s="337">
        <f>IF(ABS(AB9-AB10)&lt;0.0005,AC9,BJ10)</f>
        <v>1</v>
      </c>
      <c r="AD10" s="334">
        <f>AM10*1000000+AL10*1000+AJ10*10+AN10+AO10+AG10/10+AP10+AQ10</f>
        <v>2.8999999999999995E-4</v>
      </c>
      <c r="AE10" s="331" t="str">
        <f>Adatok!A5</f>
        <v>Svájc</v>
      </c>
      <c r="AF10" s="327">
        <f>AG10+AH10+AI10</f>
        <v>0</v>
      </c>
      <c r="AG10" s="327">
        <f>COUNTIF(win.g,$AE10)</f>
        <v>0</v>
      </c>
      <c r="AH10" s="327">
        <f>COUNTIF(draw.g,$AE10)</f>
        <v>0</v>
      </c>
      <c r="AI10" s="327">
        <f>COUNTIF(loss.g,$AE10)</f>
        <v>0</v>
      </c>
      <c r="AJ10" s="327">
        <f>SUMIF(home.g,$AE10,hf.g)+SUMIF(away.g,$AE10,af.g)</f>
        <v>0</v>
      </c>
      <c r="AK10" s="327">
        <f>SUMIF(home.g,$AE10,ha.g)+SUMIF(away.g,$AE10,aa.g)</f>
        <v>0</v>
      </c>
      <c r="AL10" s="327">
        <f>AJ10-AK10</f>
        <v>0</v>
      </c>
      <c r="AM10" s="327">
        <f>AG10*3+AH10</f>
        <v>0</v>
      </c>
      <c r="AN10" s="337">
        <f>IF(AF10=3,IF(ISNUMBER(CA10),CA10,0),0)</f>
        <v>0</v>
      </c>
      <c r="AO10" s="337">
        <f>IF(COUNTIF(tie.3rdmw,AE10)&gt;0,1,0)</f>
        <v>0</v>
      </c>
      <c r="AP10" s="397">
        <f>IF(COUNTIF(tie.sp,AE10)&gt;0,0.04-MATCH(AE10,tie.sp,0)/100,0)</f>
        <v>0</v>
      </c>
      <c r="AQ10" s="336">
        <f>AQ9-0.00001</f>
        <v>2.8999999999999995E-4</v>
      </c>
      <c r="AR10" s="323"/>
      <c r="AS10" s="287"/>
      <c r="AT10" s="323"/>
      <c r="AU10" s="326" t="str">
        <f>BJ10&amp;AE6</f>
        <v>4A</v>
      </c>
      <c r="AV10" s="326" t="str">
        <f>IF(AB6,AA10,AE6&amp;" csoport "&amp;BJ10&amp;". hely")</f>
        <v>A csoport 4. hely</v>
      </c>
      <c r="AW10" s="327">
        <f>IF(ISNA(VLOOKUP(AV10,ekiscore,2,FALSE)),-10,VLOOKUP(AV10,ekiscore,2,FALSE))</f>
        <v>-10</v>
      </c>
      <c r="AX10" s="323"/>
      <c r="AY10" s="287"/>
      <c r="AZ10" s="323"/>
      <c r="BA10" s="441" t="str">
        <f>IF(BB10="","",IF(BB11,BB10,""))</f>
        <v/>
      </c>
      <c r="BB10" s="441" t="str">
        <f>BQ10&amp;BQ9&amp;BQ8&amp;BQ7</f>
        <v/>
      </c>
      <c r="BC10" s="440">
        <f>IF(BN10="","",VLOOKUP(BN10,grouptable,6,FALSE))</f>
        <v>0</v>
      </c>
      <c r="BD10" s="440">
        <f>IF(BN10="","",VLOOKUP(BN10,grouptable,7,FALSE))</f>
        <v>0</v>
      </c>
      <c r="BE10" s="441" t="str">
        <f>IF(BQ10="","",VLOOKUP(BQ10,grouptable,6,FALSE))</f>
        <v/>
      </c>
      <c r="BF10" s="441" t="str">
        <f>IF(BQ10="","",VLOOKUP(BQ10,grouptable,7,FALSE))</f>
        <v/>
      </c>
      <c r="BG10" s="323"/>
      <c r="BH10" s="287"/>
      <c r="BI10" s="314"/>
      <c r="BJ10" s="325">
        <v>4</v>
      </c>
      <c r="BK10" s="338">
        <f>IF(BL10=BL9,0,COUNTIF(AM7:AM10,BL10)+BJ10/10)</f>
        <v>0</v>
      </c>
      <c r="BL10" s="311">
        <f>LARGE(AM7:AM10,BJ10)</f>
        <v>0</v>
      </c>
      <c r="BM10" s="303"/>
      <c r="BN10" s="339" t="str">
        <f>IF(AM10=BN6,AE10,"")</f>
        <v>Svájc</v>
      </c>
      <c r="BO10" s="340">
        <f>IF(BN10="","",BJ10)</f>
        <v>4</v>
      </c>
      <c r="BP10" s="303"/>
      <c r="BQ10" s="339" t="str">
        <f>IF(AM10=BQ6,AE10,"")</f>
        <v/>
      </c>
      <c r="BR10" s="340" t="str">
        <f>IF(BQ10="","",BJ10)</f>
        <v/>
      </c>
      <c r="BS10" s="303"/>
      <c r="BT10" s="304"/>
      <c r="BU10" s="309" t="str">
        <f>AE10</f>
        <v>Svájc</v>
      </c>
      <c r="BV10" s="311">
        <f>COUNTIF($CG$7:$CG$124,BU10)*3+COUNTIF($CH$7:$CI$124,BU10)</f>
        <v>0</v>
      </c>
      <c r="BW10" s="311">
        <f>BX10-SUMIF($CE$7:$CE$124,BU10,$CK$7:$CK$124)-SUMIF($CL$7:$CL$124,BU10,$CJ$7:$CJ$124)</f>
        <v>0</v>
      </c>
      <c r="BX10" s="311">
        <f>SUMIF($CE$7:$CE$124,BU10,$CJ$7:$CJ$124)+SUMIF($CL$7:$CL$124,BU10,$CK$7:$CK$124)</f>
        <v>0</v>
      </c>
      <c r="BY10" s="311">
        <f>BV10*1000000+BW10*1000+BX10</f>
        <v>0</v>
      </c>
      <c r="BZ10" s="311">
        <f>RANK(BY10,BY7:BY10,1)</f>
        <v>1</v>
      </c>
      <c r="CA10" s="311">
        <f>BZ10*100000</f>
        <v>100000</v>
      </c>
      <c r="CB10" s="323"/>
      <c r="CC10" s="287"/>
      <c r="CD10" s="323"/>
      <c r="CE10" s="303"/>
      <c r="CF10" s="346" t="s">
        <v>808</v>
      </c>
      <c r="CG10" s="364" t="s">
        <v>653</v>
      </c>
      <c r="CH10" s="364" t="s">
        <v>648</v>
      </c>
      <c r="CI10" s="365"/>
      <c r="CJ10" s="346" t="s">
        <v>656</v>
      </c>
      <c r="CK10" s="346" t="s">
        <v>645</v>
      </c>
      <c r="CL10" s="303"/>
      <c r="CM10" s="323"/>
      <c r="CN10" s="287"/>
    </row>
    <row r="11" spans="1:92" s="117" customFormat="1" ht="16.5" customHeight="1" x14ac:dyDescent="0.3">
      <c r="A11" s="564"/>
      <c r="B11" s="163"/>
      <c r="C11" s="163"/>
      <c r="D11" s="28"/>
      <c r="E11" s="33"/>
      <c r="F11" s="33"/>
      <c r="G11" s="33"/>
      <c r="H11" s="33"/>
      <c r="I11" s="32"/>
      <c r="J11" s="180"/>
      <c r="K11" s="181"/>
      <c r="L11" s="28"/>
      <c r="M11" s="28"/>
      <c r="N11" s="28"/>
      <c r="O11" s="33"/>
      <c r="P11" s="33"/>
      <c r="Q11" s="33"/>
      <c r="R11" s="33"/>
      <c r="S11" s="32"/>
      <c r="T11" s="180"/>
      <c r="U11" s="181"/>
      <c r="V11" s="37"/>
      <c r="W11" s="98"/>
      <c r="X11" s="98"/>
      <c r="Y11" s="287"/>
      <c r="Z11" s="323"/>
      <c r="AA11" s="323"/>
      <c r="AB11" s="323"/>
      <c r="AC11" s="323"/>
      <c r="AD11" s="323"/>
      <c r="AE11" s="323"/>
      <c r="AF11" s="323"/>
      <c r="AG11" s="323"/>
      <c r="AH11" s="323"/>
      <c r="AI11" s="323"/>
      <c r="AJ11" s="323"/>
      <c r="AK11" s="323"/>
      <c r="AL11" s="323"/>
      <c r="AM11" s="323"/>
      <c r="AN11" s="323"/>
      <c r="AO11" s="323"/>
      <c r="AP11" s="323"/>
      <c r="AQ11" s="323"/>
      <c r="AR11" s="323"/>
      <c r="AS11" s="287"/>
      <c r="AT11" s="323"/>
      <c r="AU11" s="323"/>
      <c r="AV11" s="323"/>
      <c r="AW11" s="323"/>
      <c r="AX11" s="323"/>
      <c r="AY11" s="287"/>
      <c r="AZ11" s="323"/>
      <c r="BA11" s="370"/>
      <c r="BB11" s="443" t="e">
        <f>AND(AVERAGE(BE7:BE10)=MAX(BE7:BE10),AVERAGE(BF7:BF10)=MAX(BF7:BF10))</f>
        <v>#DIV/0!</v>
      </c>
      <c r="BC11" s="370"/>
      <c r="BD11" s="370"/>
      <c r="BE11" s="370"/>
      <c r="BF11" s="370"/>
      <c r="BG11" s="323"/>
      <c r="BH11" s="287"/>
      <c r="BI11" s="314"/>
      <c r="BJ11" s="325"/>
      <c r="BK11" s="323"/>
      <c r="BL11" s="323"/>
      <c r="BM11" s="323"/>
      <c r="BN11" s="323"/>
      <c r="BO11" s="323"/>
      <c r="BP11" s="323"/>
      <c r="BQ11" s="323"/>
      <c r="BR11" s="323"/>
      <c r="BS11" s="323"/>
      <c r="BT11" s="323"/>
      <c r="BU11" s="323"/>
      <c r="BV11" s="323"/>
      <c r="BW11" s="323"/>
      <c r="BX11" s="323"/>
      <c r="BY11" s="323"/>
      <c r="BZ11" s="323"/>
      <c r="CA11" s="323"/>
      <c r="CB11" s="323"/>
      <c r="CC11" s="287"/>
      <c r="CD11" s="323"/>
      <c r="CE11" s="309" t="str">
        <f>CE7</f>
        <v>Svájc</v>
      </c>
      <c r="CF11" s="310" t="str">
        <f>IF(OR(CE11="",CL11="",CE11=CL11),"",IF(COUNTIF(groupm,CONCATENATE(CE11,CL11))=0,"",CONCATENATE(CE11,CL11)))</f>
        <v/>
      </c>
      <c r="CG11" s="310" t="str">
        <f>IF(CF11="","",VLOOKUP(CF11,groupm,3,FALSE))</f>
        <v/>
      </c>
      <c r="CH11" s="339" t="str">
        <f>IF(CF11="","",VLOOKUP(CF11,groupm,4,FALSE))</f>
        <v/>
      </c>
      <c r="CI11" s="339" t="str">
        <f>IF(CF11="","",VLOOKUP(CF11,groupm,5,FALSE))</f>
        <v/>
      </c>
      <c r="CJ11" s="311" t="str">
        <f>IF(CF11="","",VLOOKUP(CF11,groupm,8,FALSE))</f>
        <v/>
      </c>
      <c r="CK11" s="311" t="str">
        <f>IF(CF11="","",VLOOKUP(CF11,groupm,9,FALSE))</f>
        <v/>
      </c>
      <c r="CL11" s="309" t="str">
        <f>CE8</f>
        <v>Wales</v>
      </c>
      <c r="CM11" s="323"/>
      <c r="CN11" s="287"/>
    </row>
    <row r="12" spans="1:92" s="117" customFormat="1" ht="15.75" customHeight="1" x14ac:dyDescent="0.3">
      <c r="A12" s="564"/>
      <c r="B12" s="163"/>
      <c r="C12" s="163"/>
      <c r="D12" s="164"/>
      <c r="E12" s="165"/>
      <c r="F12" s="165"/>
      <c r="G12" s="165"/>
      <c r="H12" s="165"/>
      <c r="I12" s="166"/>
      <c r="J12" s="167"/>
      <c r="K12" s="168"/>
      <c r="L12" s="28"/>
      <c r="M12" s="28"/>
      <c r="N12" s="164"/>
      <c r="O12" s="165"/>
      <c r="P12" s="165"/>
      <c r="Q12" s="165"/>
      <c r="R12" s="165"/>
      <c r="S12" s="166"/>
      <c r="T12" s="167"/>
      <c r="U12" s="168"/>
      <c r="V12" s="37"/>
      <c r="W12" s="98"/>
      <c r="X12" s="98"/>
      <c r="Y12" s="287"/>
      <c r="Z12" s="323"/>
      <c r="AA12" s="323"/>
      <c r="AB12" s="329" t="b">
        <f>SUM(AF13:AF16)=12</f>
        <v>0</v>
      </c>
      <c r="AC12" s="330"/>
      <c r="AD12" s="353" t="s">
        <v>660</v>
      </c>
      <c r="AE12" s="354" t="s">
        <v>650</v>
      </c>
      <c r="AF12" s="355" t="s">
        <v>655</v>
      </c>
      <c r="AG12" s="355" t="s">
        <v>653</v>
      </c>
      <c r="AH12" s="355" t="s">
        <v>648</v>
      </c>
      <c r="AI12" s="355" t="s">
        <v>654</v>
      </c>
      <c r="AJ12" s="355" t="s">
        <v>656</v>
      </c>
      <c r="AK12" s="355" t="s">
        <v>645</v>
      </c>
      <c r="AL12" s="355" t="s">
        <v>657</v>
      </c>
      <c r="AM12" s="355" t="s">
        <v>658</v>
      </c>
      <c r="AN12" s="355" t="s">
        <v>695</v>
      </c>
      <c r="AO12" s="355" t="s">
        <v>531</v>
      </c>
      <c r="AP12" s="355" t="s">
        <v>467</v>
      </c>
      <c r="AQ12" s="355" t="s">
        <v>659</v>
      </c>
      <c r="AR12" s="323"/>
      <c r="AS12" s="287"/>
      <c r="AT12" s="323"/>
      <c r="AU12" s="323"/>
      <c r="AV12" s="323"/>
      <c r="AW12" s="323"/>
      <c r="AX12" s="323"/>
      <c r="AY12" s="287"/>
      <c r="AZ12" s="323"/>
      <c r="BA12" s="369"/>
      <c r="BB12" s="442" t="b">
        <f>AND(AVERAGE(BC13:BC16)=MAX(BC13:BC16),AVERAGE(BD13:BD16)=MAX(BD13:BD16))</f>
        <v>1</v>
      </c>
      <c r="BC12" s="371"/>
      <c r="BD12" s="369"/>
      <c r="BE12" s="369"/>
      <c r="BF12" s="369"/>
      <c r="BG12" s="323"/>
      <c r="BH12" s="287"/>
      <c r="BI12" s="314"/>
      <c r="BJ12" s="324"/>
      <c r="BK12" s="324"/>
      <c r="BL12" s="324"/>
      <c r="BM12" s="324"/>
      <c r="BN12" s="355">
        <f>IF(BM13=0,"xxx",VLOOKUP(BM13,BK13:BL16,2,FALSE))</f>
        <v>0</v>
      </c>
      <c r="BO12" s="323"/>
      <c r="BP12" s="323"/>
      <c r="BQ12" s="355" t="str">
        <f>IF(BM14=0,"xxx",VLOOKUP(BM14,BK13:BL16,2,FALSE))</f>
        <v>xxx</v>
      </c>
      <c r="BR12" s="323"/>
      <c r="BS12" s="323"/>
      <c r="BT12" s="323"/>
      <c r="BU12" s="355" t="s">
        <v>650</v>
      </c>
      <c r="BV12" s="355" t="s">
        <v>658</v>
      </c>
      <c r="BW12" s="355" t="s">
        <v>648</v>
      </c>
      <c r="BX12" s="355" t="s">
        <v>656</v>
      </c>
      <c r="BY12" s="355" t="s">
        <v>697</v>
      </c>
      <c r="BZ12" s="355" t="s">
        <v>696</v>
      </c>
      <c r="CA12" s="355" t="s">
        <v>695</v>
      </c>
      <c r="CB12" s="323"/>
      <c r="CC12" s="287"/>
      <c r="CD12" s="323"/>
      <c r="CE12" s="309" t="str">
        <f>CE8</f>
        <v>Wales</v>
      </c>
      <c r="CF12" s="310" t="str">
        <f>IF(OR(CE12="",CL12="",CE12=CL12),"",IF(COUNTIF(groupm,CONCATENATE(CE12,CL12))=0,"",CONCATENATE(CE12,CL12)))</f>
        <v/>
      </c>
      <c r="CG12" s="310" t="str">
        <f>IF(CF12="","",VLOOKUP(CF12,groupm,3,FALSE))</f>
        <v/>
      </c>
      <c r="CH12" s="339" t="str">
        <f>IF(CF12="","",VLOOKUP(CF12,groupm,4,FALSE))</f>
        <v/>
      </c>
      <c r="CI12" s="339" t="str">
        <f>IF(CF12="","",VLOOKUP(CF12,groupm,5,FALSE))</f>
        <v/>
      </c>
      <c r="CJ12" s="311" t="str">
        <f>IF(CF12="","",VLOOKUP(CF12,groupm,8,FALSE))</f>
        <v/>
      </c>
      <c r="CK12" s="311" t="str">
        <f>IF(CF12="","",VLOOKUP(CF12,groupm,9,FALSE))</f>
        <v/>
      </c>
      <c r="CL12" s="309" t="str">
        <f>CL11</f>
        <v>Wales</v>
      </c>
      <c r="CM12" s="323"/>
      <c r="CN12" s="287"/>
    </row>
    <row r="13" spans="1:92" s="117" customFormat="1" ht="16.5" customHeight="1" x14ac:dyDescent="0.3">
      <c r="A13" s="564"/>
      <c r="B13" s="163"/>
      <c r="C13" s="163"/>
      <c r="D13" s="169" t="str">
        <f>CONCATENATE("  ",AC13,". ",AA13)</f>
        <v xml:space="preserve">  1. Dánia</v>
      </c>
      <c r="E13" s="170">
        <f>VLOOKUP(AB13,groupph,3,FALSE)</f>
        <v>0</v>
      </c>
      <c r="F13" s="170" t="str">
        <f>IF(VLOOKUP(AB13,groupph,4,FALSE)=0,"–",VLOOKUP(AB13,groupph,4,FALSE))</f>
        <v>–</v>
      </c>
      <c r="G13" s="170" t="str">
        <f>IF(VLOOKUP(AB13,groupph,5,FALSE)=0,"–",VLOOKUP(AB13,groupph,5,FALSE))</f>
        <v>–</v>
      </c>
      <c r="H13" s="170" t="str">
        <f>IF(VLOOKUP(AB13,groupph,6,FALSE)=0,"–",VLOOKUP(AB13,groupph,6,FALSE))</f>
        <v>–</v>
      </c>
      <c r="I13" s="170" t="str">
        <f>CONCATENATE(VLOOKUP(AB13,groupph,7,FALSE),"–",VLOOKUP(AB13,groupph,8,FALSE))</f>
        <v>0–0</v>
      </c>
      <c r="J13" s="171">
        <f>IF(VLOOKUP(AB13,groupph,9,FALSE)&gt;0,CONCATENATE("+",VLOOKUP(AB13,groupph,9,FALSE)," "),IF(VLOOKUP(AB13,groupph,9,FALSE)&lt;0,CONCATENATE("–",VLOOKUP(AB13,groupph,9,FALSE)*-1," "),0))</f>
        <v>0</v>
      </c>
      <c r="K13" s="172">
        <f>VLOOKUP(AB13,groupph,10,FALSE)</f>
        <v>0</v>
      </c>
      <c r="L13" s="28"/>
      <c r="M13" s="182"/>
      <c r="N13" s="169" t="str">
        <f>CONCATENATE("  ",AC31,". ",AA31)</f>
        <v xml:space="preserve">  1. Spanyolország</v>
      </c>
      <c r="O13" s="170">
        <f>VLOOKUP(AB31,groupph,3,FALSE)</f>
        <v>0</v>
      </c>
      <c r="P13" s="170" t="str">
        <f>IF(VLOOKUP(AB31,groupph,4,FALSE)=0,"–",VLOOKUP(AB31,groupph,4,FALSE))</f>
        <v>–</v>
      </c>
      <c r="Q13" s="170" t="str">
        <f>IF(VLOOKUP(AB31,groupph,5,FALSE)=0,"–",VLOOKUP(AB31,groupph,5,FALSE))</f>
        <v>–</v>
      </c>
      <c r="R13" s="170" t="str">
        <f>IF(VLOOKUP(AB31,groupph,6,FALSE)=0,"–",VLOOKUP(AB31,groupph,6,FALSE))</f>
        <v>–</v>
      </c>
      <c r="S13" s="170" t="str">
        <f>CONCATENATE(VLOOKUP(AB31,groupph,7,FALSE),"–",VLOOKUP(AB31,groupph,8,FALSE))</f>
        <v>0–0</v>
      </c>
      <c r="T13" s="171">
        <f>IF(VLOOKUP(AB31,groupph,9,FALSE)&gt;0,CONCATENATE("+",VLOOKUP(AB31,groupph,9,FALSE)," "),IF(VLOOKUP(AB31,groupph,9,FALSE)&lt;0,CONCATENATE("–",VLOOKUP(AB31,groupph,9,FALSE)*-1," "),0))</f>
        <v>0</v>
      </c>
      <c r="U13" s="172">
        <f>VLOOKUP(AB31,groupph,10,FALSE)</f>
        <v>0</v>
      </c>
      <c r="V13" s="37"/>
      <c r="W13" s="98"/>
      <c r="X13" s="98"/>
      <c r="Y13" s="287"/>
      <c r="Z13" s="323"/>
      <c r="AA13" s="323" t="str">
        <f>VLOOKUP(AB13,groupph,2,FALSE)</f>
        <v>Dánia</v>
      </c>
      <c r="AB13" s="332">
        <f>LARGE(AD13:AD16,BJ13)</f>
        <v>2.7999999999999992E-4</v>
      </c>
      <c r="AC13" s="333">
        <v>1</v>
      </c>
      <c r="AD13" s="334">
        <f>AM13*1000000+AL13*1000+AJ13*10+AN13+AO13+AG13/10+AP13+AQ13</f>
        <v>2.7999999999999992E-4</v>
      </c>
      <c r="AE13" s="331" t="str">
        <f>Adatok!B2</f>
        <v>Dánia</v>
      </c>
      <c r="AF13" s="327">
        <f>AG13+AH13+AI13</f>
        <v>0</v>
      </c>
      <c r="AG13" s="327">
        <f>COUNTIF(win.g,$AE13)</f>
        <v>0</v>
      </c>
      <c r="AH13" s="327">
        <f>COUNTIF(draw.g,$AE13)</f>
        <v>0</v>
      </c>
      <c r="AI13" s="327">
        <f>COUNTIF(loss.g,$AE13)</f>
        <v>0</v>
      </c>
      <c r="AJ13" s="327">
        <f>SUMIF(home.g,$AE13,hf.g)+SUMIF(away.g,$AE13,af.g)</f>
        <v>0</v>
      </c>
      <c r="AK13" s="327">
        <f>SUMIF(home.g,$AE13,ha.g)+SUMIF(away.g,$AE13,aa.g)</f>
        <v>0</v>
      </c>
      <c r="AL13" s="327">
        <f>AJ13-AK13</f>
        <v>0</v>
      </c>
      <c r="AM13" s="327">
        <f>AG13*3+AH13</f>
        <v>0</v>
      </c>
      <c r="AN13" s="337">
        <f>IF(AF13=3,IF(ISNUMBER(CA13),CA13,0),0)</f>
        <v>0</v>
      </c>
      <c r="AO13" s="337">
        <f>IF(COUNTIF(tie.3rdmw,AE13)&gt;0,1,0)</f>
        <v>0</v>
      </c>
      <c r="AP13" s="397">
        <f>IF(COUNTIF(tie.sp,AE13)&gt;0,0.04-MATCH(AE13,tie.sp,0)/100,0)</f>
        <v>0</v>
      </c>
      <c r="AQ13" s="336">
        <f>AQ10-0.00001</f>
        <v>2.7999999999999992E-4</v>
      </c>
      <c r="AR13" s="323"/>
      <c r="AS13" s="287"/>
      <c r="AT13" s="323"/>
      <c r="AU13" s="326" t="str">
        <f>BJ13&amp;AE12</f>
        <v>1B</v>
      </c>
      <c r="AV13" s="326" t="str">
        <f>IF(AB12,AA13,AE12&amp;" csoport "&amp;BJ13&amp;". hely")</f>
        <v>B csoport 1. hely</v>
      </c>
      <c r="AW13" s="327">
        <f>IF(ISNA(VLOOKUP(AV13,ekiscore,2,FALSE)),-10,VLOOKUP(AV13,ekiscore,2,FALSE))</f>
        <v>0</v>
      </c>
      <c r="AX13" s="323"/>
      <c r="AY13" s="287"/>
      <c r="AZ13" s="323"/>
      <c r="BA13" s="440" t="str">
        <f>IF(BB13="","",IF(BB12,BB13,""))</f>
        <v/>
      </c>
      <c r="BB13" s="440" t="str">
        <f>IF(BP15="",BN13&amp;BN14&amp;BN15&amp;BN16,"")</f>
        <v/>
      </c>
      <c r="BC13" s="440">
        <f>IF(BN13="","",VLOOKUP(BN13,grouptable,6,FALSE))</f>
        <v>0</v>
      </c>
      <c r="BD13" s="440">
        <f>IF(BN13="","",VLOOKUP(BN13,grouptable,7,FALSE))</f>
        <v>0</v>
      </c>
      <c r="BE13" s="441" t="str">
        <f>IF(BQ13="","",VLOOKUP(BQ13,grouptable,6,FALSE))</f>
        <v/>
      </c>
      <c r="BF13" s="441" t="str">
        <f>IF(BQ13="","",VLOOKUP(BQ13,grouptable,7,FALSE))</f>
        <v/>
      </c>
      <c r="BG13" s="323"/>
      <c r="BH13" s="287"/>
      <c r="BI13" s="314"/>
      <c r="BJ13" s="325">
        <v>1</v>
      </c>
      <c r="BK13" s="338">
        <f>COUNTIF(AM13:AM16,BL13)+BJ13/10</f>
        <v>4.0999999999999996</v>
      </c>
      <c r="BL13" s="311">
        <f>LARGE(AM13:AM16,BJ13)</f>
        <v>0</v>
      </c>
      <c r="BM13" s="311">
        <f>IF(LARGE(BK13:BK16,BJ13)&lt;2,0,LARGE(BK13:BK16,BJ13))</f>
        <v>4.0999999999999996</v>
      </c>
      <c r="BN13" s="310" t="str">
        <f>IF(AM13=BN12,AE13,"")</f>
        <v>Dánia</v>
      </c>
      <c r="BO13" s="311">
        <f>IF(BN13="","",BJ13)</f>
        <v>1</v>
      </c>
      <c r="BP13" s="311">
        <f>IF(ISERR(LARGE(BO13:BO16,BJ13)),"",LARGE(BO13:BO16,BJ13))</f>
        <v>4</v>
      </c>
      <c r="BQ13" s="310" t="str">
        <f>IF(AM13=BQ12,AE13,"")</f>
        <v/>
      </c>
      <c r="BR13" s="311" t="str">
        <f>IF(BQ13="","",BJ13)</f>
        <v/>
      </c>
      <c r="BS13" s="311" t="str">
        <f>IF(ISERR(LARGE(BR13:BR16,BJ13)),"",LARGE(BR13:BR16,BJ13))</f>
        <v/>
      </c>
      <c r="BT13" s="323"/>
      <c r="BU13" s="309" t="str">
        <f>AE13</f>
        <v>Dánia</v>
      </c>
      <c r="BV13" s="311">
        <f>COUNTIF($CG$7:$CG$124,BU13)*3+COUNTIF($CH$7:$CI$124,BU13)</f>
        <v>0</v>
      </c>
      <c r="BW13" s="311">
        <f>BX13-SUMIF($CE$7:$CE$124,BU13,$CK$7:$CK$124)-SUMIF($CL$7:$CL$124,BU13,$CJ$7:$CJ$124)</f>
        <v>0</v>
      </c>
      <c r="BX13" s="311">
        <f>SUMIF($CE$7:$CE$124,BU13,$CJ$7:$CJ$124)+SUMIF($CL$7:$CL$124,BU13,$CK$7:$CK$124)</f>
        <v>0</v>
      </c>
      <c r="BY13" s="311">
        <f>BV13*1000000+BW13*1000+BX13</f>
        <v>0</v>
      </c>
      <c r="BZ13" s="311">
        <f>RANK(BY13,BY13:BY16,1)</f>
        <v>1</v>
      </c>
      <c r="CA13" s="311">
        <f>BZ13*100000</f>
        <v>100000</v>
      </c>
      <c r="CB13" s="323"/>
      <c r="CC13" s="287"/>
      <c r="CD13" s="323"/>
      <c r="CE13" s="309" t="str">
        <f>CE9</f>
        <v>Olaszország</v>
      </c>
      <c r="CF13" s="310" t="str">
        <f>IF(OR(CE13="",CL13="",CE13=CL13),"",IF(COUNTIF(groupm,CONCATENATE(CE13,CL13))=0,"",CONCATENATE(CE13,CL13)))</f>
        <v>OlaszországWales</v>
      </c>
      <c r="CG13" s="310" t="str">
        <f>IF(CF13="","",VLOOKUP(CF13,groupm,3,FALSE))</f>
        <v/>
      </c>
      <c r="CH13" s="339" t="str">
        <f>IF(CF13="","",VLOOKUP(CF13,groupm,4,FALSE))</f>
        <v/>
      </c>
      <c r="CI13" s="339" t="str">
        <f>IF(CF13="","",VLOOKUP(CF13,groupm,5,FALSE))</f>
        <v/>
      </c>
      <c r="CJ13" s="311" t="str">
        <f>IF(CF13="","",VLOOKUP(CF13,groupm,8,FALSE))</f>
        <v/>
      </c>
      <c r="CK13" s="311" t="str">
        <f>IF(CF13="","",VLOOKUP(CF13,groupm,9,FALSE))</f>
        <v/>
      </c>
      <c r="CL13" s="309" t="str">
        <f>CL12</f>
        <v>Wales</v>
      </c>
      <c r="CM13" s="323"/>
      <c r="CN13" s="287"/>
    </row>
    <row r="14" spans="1:92" s="117" customFormat="1" ht="16.5" customHeight="1" x14ac:dyDescent="0.3">
      <c r="A14" s="564"/>
      <c r="B14" s="163"/>
      <c r="C14" s="163"/>
      <c r="D14" s="544" t="str">
        <f>CONCATENATE("  ",AC14,". ",AA14)</f>
        <v xml:space="preserve">  1. Finnország</v>
      </c>
      <c r="E14" s="545">
        <f>VLOOKUP(AB14,groupph,3,FALSE)</f>
        <v>0</v>
      </c>
      <c r="F14" s="545" t="str">
        <f>IF(VLOOKUP(AB14,groupph,4,FALSE)=0,"–",VLOOKUP(AB14,groupph,4,FALSE))</f>
        <v>–</v>
      </c>
      <c r="G14" s="545" t="str">
        <f>IF(VLOOKUP(AB14,groupph,5,FALSE)=0,"–",VLOOKUP(AB14,groupph,5,FALSE))</f>
        <v>–</v>
      </c>
      <c r="H14" s="545" t="str">
        <f>IF(VLOOKUP(AB14,groupph,6,FALSE)=0,"–",VLOOKUP(AB14,groupph,6,FALSE))</f>
        <v>–</v>
      </c>
      <c r="I14" s="545" t="str">
        <f>CONCATENATE(VLOOKUP(AB14,groupph,7,FALSE),"–",VLOOKUP(AB14,groupph,8,FALSE))</f>
        <v>0–0</v>
      </c>
      <c r="J14" s="546">
        <f>IF(VLOOKUP(AB14,groupph,9,FALSE)&gt;0,CONCATENATE("+",VLOOKUP(AB14,groupph,9,FALSE)," "),IF(VLOOKUP(AB14,groupph,9,FALSE)&lt;0,CONCATENATE("–",VLOOKUP(AB14,groupph,9,FALSE)*-1," "),0))</f>
        <v>0</v>
      </c>
      <c r="K14" s="547">
        <f>VLOOKUP(AB14,groupph,10,FALSE)</f>
        <v>0</v>
      </c>
      <c r="L14" s="28"/>
      <c r="M14" s="28"/>
      <c r="N14" s="544" t="str">
        <f>CONCATENATE("  ",AC32,". ",AA32)</f>
        <v xml:space="preserve">  1. Svédország</v>
      </c>
      <c r="O14" s="545">
        <f>VLOOKUP(AB32,groupph,3,FALSE)</f>
        <v>0</v>
      </c>
      <c r="P14" s="545" t="str">
        <f>IF(VLOOKUP(AB32,groupph,4,FALSE)=0,"–",VLOOKUP(AB32,groupph,4,FALSE))</f>
        <v>–</v>
      </c>
      <c r="Q14" s="545" t="str">
        <f>IF(VLOOKUP(AB32,groupph,5,FALSE)=0,"–",VLOOKUP(AB32,groupph,5,FALSE))</f>
        <v>–</v>
      </c>
      <c r="R14" s="545" t="str">
        <f>IF(VLOOKUP(AB32,groupph,6,FALSE)=0,"–",VLOOKUP(AB32,groupph,6,FALSE))</f>
        <v>–</v>
      </c>
      <c r="S14" s="545" t="str">
        <f>CONCATENATE(VLOOKUP(AB32,groupph,7,FALSE),"–",VLOOKUP(AB32,groupph,8,FALSE))</f>
        <v>0–0</v>
      </c>
      <c r="T14" s="546">
        <f>IF(VLOOKUP(AB32,groupph,9,FALSE)&gt;0,CONCATENATE("+",VLOOKUP(AB32,groupph,9,FALSE)," "),IF(VLOOKUP(AB32,groupph,9,FALSE)&lt;0,CONCATENATE("–",VLOOKUP(AB32,groupph,9,FALSE)*-1," "),0))</f>
        <v>0</v>
      </c>
      <c r="U14" s="547">
        <f>VLOOKUP(AB32,groupph,10,FALSE)</f>
        <v>0</v>
      </c>
      <c r="V14" s="37"/>
      <c r="W14" s="98"/>
      <c r="X14" s="98"/>
      <c r="Y14" s="287"/>
      <c r="Z14" s="323"/>
      <c r="AA14" s="323" t="str">
        <f>VLOOKUP(AB14,groupph,2,FALSE)</f>
        <v>Finnország</v>
      </c>
      <c r="AB14" s="334">
        <f>LARGE(AD13:AD16,BJ14)</f>
        <v>2.699999999999999E-4</v>
      </c>
      <c r="AC14" s="337">
        <f>IF(ABS(AB13-AB14)&lt;0.0005,AC13,BJ14)</f>
        <v>1</v>
      </c>
      <c r="AD14" s="334">
        <f>AM14*1000000+AL14*1000+AJ14*10+AN14+AO14+AG14/10+AP14+AQ14</f>
        <v>2.699999999999999E-4</v>
      </c>
      <c r="AE14" s="331" t="str">
        <f>Adatok!B3</f>
        <v>Finnország</v>
      </c>
      <c r="AF14" s="327">
        <f>AG14+AH14+AI14</f>
        <v>0</v>
      </c>
      <c r="AG14" s="327">
        <f>COUNTIF(win.g,$AE14)</f>
        <v>0</v>
      </c>
      <c r="AH14" s="327">
        <f>COUNTIF(draw.g,$AE14)</f>
        <v>0</v>
      </c>
      <c r="AI14" s="327">
        <f>COUNTIF(loss.g,$AE14)</f>
        <v>0</v>
      </c>
      <c r="AJ14" s="327">
        <f>SUMIF(home.g,$AE14,hf.g)+SUMIF(away.g,$AE14,af.g)</f>
        <v>0</v>
      </c>
      <c r="AK14" s="327">
        <f>SUMIF(home.g,$AE14,ha.g)+SUMIF(away.g,$AE14,aa.g)</f>
        <v>0</v>
      </c>
      <c r="AL14" s="327">
        <f>AJ14-AK14</f>
        <v>0</v>
      </c>
      <c r="AM14" s="327">
        <f>AG14*3+AH14</f>
        <v>0</v>
      </c>
      <c r="AN14" s="337">
        <f>IF(AF14=3,IF(ISNUMBER(CA14),CA14,0),0)</f>
        <v>0</v>
      </c>
      <c r="AO14" s="337">
        <f>IF(COUNTIF(tie.3rdmw,AE14)&gt;0,1,0)</f>
        <v>0</v>
      </c>
      <c r="AP14" s="397">
        <f>IF(COUNTIF(tie.sp,AE14)&gt;0,0.04-MATCH(AE14,tie.sp,0)/100,0)</f>
        <v>0</v>
      </c>
      <c r="AQ14" s="336">
        <f>AQ13-0.00001</f>
        <v>2.699999999999999E-4</v>
      </c>
      <c r="AR14" s="323"/>
      <c r="AS14" s="287"/>
      <c r="AT14" s="323"/>
      <c r="AU14" s="326" t="str">
        <f>BJ14&amp;AE12</f>
        <v>2B</v>
      </c>
      <c r="AV14" s="326" t="str">
        <f>IF(AB12,AA14,AE12&amp;" csoport "&amp;BJ14&amp;". hely")</f>
        <v>B csoport 2. hely</v>
      </c>
      <c r="AW14" s="327">
        <f>IF(ISNA(VLOOKUP(AV14,ekiscore,2,FALSE)),-10,VLOOKUP(AV14,ekiscore,2,FALSE))</f>
        <v>0</v>
      </c>
      <c r="AX14" s="323"/>
      <c r="AY14" s="287"/>
      <c r="AZ14" s="323"/>
      <c r="BA14" s="440" t="str">
        <f>IF(BB14="","",IF(BB12,BB14,""))</f>
        <v/>
      </c>
      <c r="BB14" s="440" t="str">
        <f>IF(BP15="",BN16&amp;BN15&amp;BN14&amp;BN13,"")</f>
        <v/>
      </c>
      <c r="BC14" s="440">
        <f>IF(BN14="","",VLOOKUP(BN14,grouptable,6,FALSE))</f>
        <v>0</v>
      </c>
      <c r="BD14" s="440">
        <f>IF(BN14="","",VLOOKUP(BN14,grouptable,7,FALSE))</f>
        <v>0</v>
      </c>
      <c r="BE14" s="441" t="str">
        <f>IF(BQ14="","",VLOOKUP(BQ14,grouptable,6,FALSE))</f>
        <v/>
      </c>
      <c r="BF14" s="441" t="str">
        <f>IF(BQ14="","",VLOOKUP(BQ14,grouptable,7,FALSE))</f>
        <v/>
      </c>
      <c r="BG14" s="323"/>
      <c r="BH14" s="287"/>
      <c r="BI14" s="314"/>
      <c r="BJ14" s="325">
        <v>2</v>
      </c>
      <c r="BK14" s="338">
        <f>IF(BL14=BL13,0,COUNTIF(AM13:AM16,BL14)+BJ14/10)</f>
        <v>0</v>
      </c>
      <c r="BL14" s="311">
        <f>LARGE(AM13:AM16,BJ14)</f>
        <v>0</v>
      </c>
      <c r="BM14" s="311">
        <f>IF(LARGE(BK13:BK16,BJ14)&lt;2,0,LARGE(BK13:BK16,BJ14))</f>
        <v>0</v>
      </c>
      <c r="BN14" s="310" t="str">
        <f>IF(AM14=BN12,AE14,"")</f>
        <v>Finnország</v>
      </c>
      <c r="BO14" s="311">
        <f>IF(BN14="","",BJ14)</f>
        <v>2</v>
      </c>
      <c r="BP14" s="311">
        <f>IF(ISERR(LARGE(BO13:BO16,BJ14)),"",LARGE(BO13:BO16,BJ14))</f>
        <v>3</v>
      </c>
      <c r="BQ14" s="310" t="str">
        <f>IF(AM14=BQ12,AE14,"")</f>
        <v/>
      </c>
      <c r="BR14" s="311" t="str">
        <f>IF(BQ14="","",BJ14)</f>
        <v/>
      </c>
      <c r="BS14" s="311" t="str">
        <f>IF(ISERR(LARGE(BR13:BR16,BJ14)),"",LARGE(BR13:BR16,BJ14))</f>
        <v/>
      </c>
      <c r="BT14" s="323"/>
      <c r="BU14" s="309" t="str">
        <f>AE14</f>
        <v>Finnország</v>
      </c>
      <c r="BV14" s="311">
        <f>COUNTIF($CG$7:$CG$124,BU14)*3+COUNTIF($CH$7:$CI$124,BU14)</f>
        <v>0</v>
      </c>
      <c r="BW14" s="311">
        <f>BX14-SUMIF($CE$7:$CE$124,BU14,$CK$7:$CK$124)-SUMIF($CL$7:$CL$124,BU14,$CJ$7:$CJ$124)</f>
        <v>0</v>
      </c>
      <c r="BX14" s="311">
        <f>SUMIF($CE$7:$CE$124,BU14,$CJ$7:$CJ$124)+SUMIF($CL$7:$CL$124,BU14,$CK$7:$CK$124)</f>
        <v>0</v>
      </c>
      <c r="BY14" s="311">
        <f>BV14*1000000+BW14*1000+BX14</f>
        <v>0</v>
      </c>
      <c r="BZ14" s="311">
        <f>RANK(BY14,BY13:BY16,1)</f>
        <v>1</v>
      </c>
      <c r="CA14" s="311">
        <f>BZ14*100000</f>
        <v>100000</v>
      </c>
      <c r="CB14" s="323"/>
      <c r="CC14" s="287"/>
      <c r="CD14" s="323"/>
      <c r="CE14" s="303"/>
      <c r="CF14" s="346" t="s">
        <v>808</v>
      </c>
      <c r="CG14" s="364" t="s">
        <v>653</v>
      </c>
      <c r="CH14" s="364" t="s">
        <v>648</v>
      </c>
      <c r="CI14" s="365"/>
      <c r="CJ14" s="346" t="s">
        <v>656</v>
      </c>
      <c r="CK14" s="346" t="s">
        <v>645</v>
      </c>
      <c r="CL14" s="303"/>
      <c r="CM14" s="323"/>
      <c r="CN14" s="287"/>
    </row>
    <row r="15" spans="1:92" s="117" customFormat="1" ht="16.5" customHeight="1" x14ac:dyDescent="0.3">
      <c r="A15" s="564"/>
      <c r="B15" s="163"/>
      <c r="C15" s="549" t="str">
        <f>"("&amp;VLOOKUP(AA15,$AE$54:$AF$59,2,FALSE)&amp;".)"</f>
        <v>(1.)</v>
      </c>
      <c r="D15" s="169" t="str">
        <f>CONCATENATE("  ",AC15,". ",AA15)</f>
        <v xml:space="preserve">  1. Belgium</v>
      </c>
      <c r="E15" s="170">
        <f>VLOOKUP(AB15,groupph,3,FALSE)</f>
        <v>0</v>
      </c>
      <c r="F15" s="170" t="str">
        <f>IF(VLOOKUP(AB15,groupph,4,FALSE)=0,"–",VLOOKUP(AB15,groupph,4,FALSE))</f>
        <v>–</v>
      </c>
      <c r="G15" s="170" t="str">
        <f>IF(VLOOKUP(AB15,groupph,5,FALSE)=0,"–",VLOOKUP(AB15,groupph,5,FALSE))</f>
        <v>–</v>
      </c>
      <c r="H15" s="170" t="str">
        <f>IF(VLOOKUP(AB15,groupph,6,FALSE)=0,"–",VLOOKUP(AB15,groupph,6,FALSE))</f>
        <v>–</v>
      </c>
      <c r="I15" s="170" t="str">
        <f>CONCATENATE(VLOOKUP(AB15,groupph,7,FALSE),"–",VLOOKUP(AB15,groupph,8,FALSE))</f>
        <v>0–0</v>
      </c>
      <c r="J15" s="171">
        <f>IF(VLOOKUP(AB15,groupph,9,FALSE)&gt;0,CONCATENATE("+",VLOOKUP(AB15,groupph,9,FALSE)," "),IF(VLOOKUP(AB15,groupph,9,FALSE)&lt;0,CONCATENATE("–",VLOOKUP(AB15,groupph,9,FALSE)*-1," "),0))</f>
        <v>0</v>
      </c>
      <c r="K15" s="172">
        <f>VLOOKUP(AB15,groupph,10,FALSE)</f>
        <v>0</v>
      </c>
      <c r="L15" s="28"/>
      <c r="M15" s="549" t="str">
        <f>"("&amp;VLOOKUP(AA33,$AE$54:$AF$59,2,FALSE)&amp;".)"</f>
        <v>(1.)</v>
      </c>
      <c r="N15" s="169" t="str">
        <f>CONCATENATE("  ",AC33,". ",AA33)</f>
        <v xml:space="preserve">  1. Lengyelország</v>
      </c>
      <c r="O15" s="170">
        <f>VLOOKUP(AB33,groupph,3,FALSE)</f>
        <v>0</v>
      </c>
      <c r="P15" s="170" t="str">
        <f>IF(VLOOKUP(AB33,groupph,4,FALSE)=0,"–",VLOOKUP(AB33,groupph,4,FALSE))</f>
        <v>–</v>
      </c>
      <c r="Q15" s="170" t="str">
        <f>IF(VLOOKUP(AB33,groupph,5,FALSE)=0,"–",VLOOKUP(AB33,groupph,5,FALSE))</f>
        <v>–</v>
      </c>
      <c r="R15" s="170" t="str">
        <f>IF(VLOOKUP(AB33,groupph,6,FALSE)=0,"–",VLOOKUP(AB33,groupph,6,FALSE))</f>
        <v>–</v>
      </c>
      <c r="S15" s="170" t="str">
        <f>CONCATENATE(VLOOKUP(AB33,groupph,7,FALSE),"–",VLOOKUP(AB33,groupph,8,FALSE))</f>
        <v>0–0</v>
      </c>
      <c r="T15" s="171">
        <f>IF(VLOOKUP(AB33,groupph,9,FALSE)&gt;0,CONCATENATE("+",VLOOKUP(AB33,groupph,9,FALSE)," "),IF(VLOOKUP(AB33,groupph,9,FALSE)&lt;0,CONCATENATE("–",VLOOKUP(AB33,groupph,9,FALSE)*-1," "),0))</f>
        <v>0</v>
      </c>
      <c r="U15" s="172">
        <f>VLOOKUP(AB33,groupph,10,FALSE)</f>
        <v>0</v>
      </c>
      <c r="V15" s="37"/>
      <c r="Y15" s="287"/>
      <c r="Z15" s="323"/>
      <c r="AA15" s="323" t="str">
        <f>VLOOKUP(AB15,groupph,2,FALSE)</f>
        <v>Belgium</v>
      </c>
      <c r="AB15" s="334">
        <f>LARGE(AD13:AD16,BJ15)</f>
        <v>2.5999999999999987E-4</v>
      </c>
      <c r="AC15" s="337">
        <f>IF(ABS(AB14-AB15)&lt;0.0005,AC14,BJ15)</f>
        <v>1</v>
      </c>
      <c r="AD15" s="334">
        <f>AM15*1000000+AL15*1000+AJ15*10+AN15+AO15+AG15/10+AP15+AQ15</f>
        <v>2.5999999999999987E-4</v>
      </c>
      <c r="AE15" s="331" t="str">
        <f>Adatok!B4</f>
        <v>Belgium</v>
      </c>
      <c r="AF15" s="327">
        <f>AG15+AH15+AI15</f>
        <v>0</v>
      </c>
      <c r="AG15" s="327">
        <f>COUNTIF(win.g,$AE15)</f>
        <v>0</v>
      </c>
      <c r="AH15" s="327">
        <f>COUNTIF(draw.g,$AE15)</f>
        <v>0</v>
      </c>
      <c r="AI15" s="327">
        <f>COUNTIF(loss.g,$AE15)</f>
        <v>0</v>
      </c>
      <c r="AJ15" s="327">
        <f>SUMIF(home.g,$AE15,hf.g)+SUMIF(away.g,$AE15,af.g)</f>
        <v>0</v>
      </c>
      <c r="AK15" s="327">
        <f>SUMIF(home.g,$AE15,ha.g)+SUMIF(away.g,$AE15,aa.g)</f>
        <v>0</v>
      </c>
      <c r="AL15" s="327">
        <f>AJ15-AK15</f>
        <v>0</v>
      </c>
      <c r="AM15" s="327">
        <f>AG15*3+AH15</f>
        <v>0</v>
      </c>
      <c r="AN15" s="337">
        <f>IF(AF15=3,IF(ISNUMBER(CA15),CA15,0),0)</f>
        <v>0</v>
      </c>
      <c r="AO15" s="337">
        <f>IF(COUNTIF(tie.3rdmw,AE15)&gt;0,1,0)</f>
        <v>0</v>
      </c>
      <c r="AP15" s="397">
        <f>IF(COUNTIF(tie.sp,AE15)&gt;0,0.04-MATCH(AE15,tie.sp,0)/100,0)</f>
        <v>0</v>
      </c>
      <c r="AQ15" s="336">
        <f>AQ14-0.00001</f>
        <v>2.5999999999999987E-4</v>
      </c>
      <c r="AR15" s="323"/>
      <c r="AS15" s="287"/>
      <c r="AT15" s="323"/>
      <c r="AU15" s="326" t="str">
        <f>BJ15&amp;AE12</f>
        <v>3B</v>
      </c>
      <c r="AV15" s="326" t="str">
        <f>IF(AB12,AA15,AE12&amp;" csoport "&amp;BJ15&amp;". hely")</f>
        <v>B csoport 3. hely</v>
      </c>
      <c r="AW15" s="327">
        <f>IF(ISNA(VLOOKUP(AV15,ekiscore,2,FALSE)),-10,VLOOKUP(AV15,ekiscore,2,FALSE))</f>
        <v>-10</v>
      </c>
      <c r="AX15" s="323"/>
      <c r="AY15" s="287"/>
      <c r="AZ15" s="323"/>
      <c r="BA15" s="441" t="str">
        <f>IF(BB15="","",IF(BB17,BB15,""))</f>
        <v/>
      </c>
      <c r="BB15" s="441" t="str">
        <f>BQ13&amp;BQ14&amp;BQ15&amp;BQ16</f>
        <v/>
      </c>
      <c r="BC15" s="440">
        <f>IF(BN15="","",VLOOKUP(BN15,grouptable,6,FALSE))</f>
        <v>0</v>
      </c>
      <c r="BD15" s="440">
        <f>IF(BN15="","",VLOOKUP(BN15,grouptable,7,FALSE))</f>
        <v>0</v>
      </c>
      <c r="BE15" s="441" t="str">
        <f>IF(BQ15="","",VLOOKUP(BQ15,grouptable,6,FALSE))</f>
        <v/>
      </c>
      <c r="BF15" s="441" t="str">
        <f>IF(BQ15="","",VLOOKUP(BQ15,grouptable,7,FALSE))</f>
        <v/>
      </c>
      <c r="BG15" s="323"/>
      <c r="BH15" s="287"/>
      <c r="BI15" s="314"/>
      <c r="BJ15" s="325">
        <v>3</v>
      </c>
      <c r="BK15" s="338">
        <f>IF(BL15=BL14,0,COUNTIF(AM13:AM16,BL15)+BJ15/10)</f>
        <v>0</v>
      </c>
      <c r="BL15" s="311">
        <f>LARGE(AM13:AM16,BJ15)</f>
        <v>0</v>
      </c>
      <c r="BM15" s="303"/>
      <c r="BN15" s="310" t="str">
        <f>IF(AM15=BN12,AE15,"")</f>
        <v>Belgium</v>
      </c>
      <c r="BO15" s="311">
        <f>IF(BN15="","",BJ15)</f>
        <v>3</v>
      </c>
      <c r="BP15" s="311">
        <f>IF(ISERR(LARGE(BO13:BO16,BJ15)),"",LARGE(BO13:BO16,BJ15))</f>
        <v>2</v>
      </c>
      <c r="BQ15" s="310" t="str">
        <f>IF(AM15=BQ12,AE15,"")</f>
        <v/>
      </c>
      <c r="BR15" s="311" t="str">
        <f>IF(BQ15="","",BJ15)</f>
        <v/>
      </c>
      <c r="BS15" s="303"/>
      <c r="BT15" s="323"/>
      <c r="BU15" s="309" t="str">
        <f>AE15</f>
        <v>Belgium</v>
      </c>
      <c r="BV15" s="311">
        <f>COUNTIF($CG$7:$CG$124,BU15)*3+COUNTIF($CH$7:$CI$124,BU15)</f>
        <v>0</v>
      </c>
      <c r="BW15" s="311">
        <f>BX15-SUMIF($CE$7:$CE$124,BU15,$CK$7:$CK$124)-SUMIF($CL$7:$CL$124,BU15,$CJ$7:$CJ$124)</f>
        <v>0</v>
      </c>
      <c r="BX15" s="311">
        <f>SUMIF($CE$7:$CE$124,BU15,$CJ$7:$CJ$124)+SUMIF($CL$7:$CL$124,BU15,$CK$7:$CK$124)</f>
        <v>0</v>
      </c>
      <c r="BY15" s="311">
        <f>BV15*1000000+BW15*1000+BX15</f>
        <v>0</v>
      </c>
      <c r="BZ15" s="311">
        <f>RANK(BY15,BY13:BY16,1)</f>
        <v>1</v>
      </c>
      <c r="CA15" s="311">
        <f>BZ15*100000</f>
        <v>100000</v>
      </c>
      <c r="CB15" s="323"/>
      <c r="CC15" s="287"/>
      <c r="CD15" s="323"/>
      <c r="CE15" s="309" t="str">
        <f>CE11</f>
        <v>Svájc</v>
      </c>
      <c r="CF15" s="310" t="str">
        <f>IF(OR(CE15="",CL15="",CE15=CL15),"",IF(COUNTIF(groupm,CONCATENATE(CE15,CL15))=0,"",CONCATENATE(CE15,CL15)))</f>
        <v/>
      </c>
      <c r="CG15" s="310" t="str">
        <f>IF(CF15="","",VLOOKUP(CF15,groupm,3,FALSE))</f>
        <v/>
      </c>
      <c r="CH15" s="339" t="str">
        <f>IF(CF15="","",VLOOKUP(CF15,groupm,4,FALSE))</f>
        <v/>
      </c>
      <c r="CI15" s="339" t="str">
        <f>IF(CF15="","",VLOOKUP(CF15,groupm,5,FALSE))</f>
        <v/>
      </c>
      <c r="CJ15" s="311" t="str">
        <f>IF(CF15="","",VLOOKUP(CF15,groupm,8,FALSE))</f>
        <v/>
      </c>
      <c r="CK15" s="311" t="str">
        <f>IF(CF15="","",VLOOKUP(CF15,groupm,9,FALSE))</f>
        <v/>
      </c>
      <c r="CL15" s="309" t="str">
        <f>CE9</f>
        <v>Olaszország</v>
      </c>
      <c r="CM15" s="323"/>
      <c r="CN15" s="287"/>
    </row>
    <row r="16" spans="1:92" s="117" customFormat="1" ht="16.5" customHeight="1" x14ac:dyDescent="0.3">
      <c r="A16" s="564"/>
      <c r="B16" s="163"/>
      <c r="C16" s="163"/>
      <c r="D16" s="176" t="str">
        <f>CONCATENATE("  ",AC16,". ",AA16)</f>
        <v xml:space="preserve">  1. Oroszország</v>
      </c>
      <c r="E16" s="177">
        <f>VLOOKUP(AB16,groupph,3,FALSE)</f>
        <v>0</v>
      </c>
      <c r="F16" s="177" t="str">
        <f>IF(VLOOKUP(AB16,groupph,4,FALSE)=0,"–",VLOOKUP(AB16,groupph,4,FALSE))</f>
        <v>–</v>
      </c>
      <c r="G16" s="177" t="str">
        <f>IF(VLOOKUP(AB16,groupph,5,FALSE)=0,"–",VLOOKUP(AB16,groupph,5,FALSE))</f>
        <v>–</v>
      </c>
      <c r="H16" s="177" t="str">
        <f>IF(VLOOKUP(AB16,groupph,6,FALSE)=0,"–",VLOOKUP(AB16,groupph,6,FALSE))</f>
        <v>–</v>
      </c>
      <c r="I16" s="177" t="str">
        <f>CONCATENATE(VLOOKUP(AB16,groupph,7,FALSE),"–",VLOOKUP(AB16,groupph,8,FALSE))</f>
        <v>0–0</v>
      </c>
      <c r="J16" s="178">
        <f>IF(VLOOKUP(AB16,groupph,9,FALSE)&gt;0,CONCATENATE("+",VLOOKUP(AB16,groupph,9,FALSE)," "),IF(VLOOKUP(AB16,groupph,9,FALSE)&lt;0,CONCATENATE("–",VLOOKUP(AB16,groupph,9,FALSE)*-1," "),0))</f>
        <v>0</v>
      </c>
      <c r="K16" s="179">
        <f>VLOOKUP(AB16,groupph,10,FALSE)</f>
        <v>0</v>
      </c>
      <c r="L16" s="28"/>
      <c r="M16" s="28"/>
      <c r="N16" s="176" t="str">
        <f>CONCATENATE("  ",AC34,". ",AA34)</f>
        <v xml:space="preserve">  1. Szlovákia</v>
      </c>
      <c r="O16" s="177">
        <f>VLOOKUP(AB34,groupph,3,FALSE)</f>
        <v>0</v>
      </c>
      <c r="P16" s="177" t="str">
        <f>IF(VLOOKUP(AB34,groupph,4,FALSE)=0,"–",VLOOKUP(AB34,groupph,4,FALSE))</f>
        <v>–</v>
      </c>
      <c r="Q16" s="177" t="str">
        <f>IF(VLOOKUP(AB34,groupph,5,FALSE)=0,"–",VLOOKUP(AB34,groupph,5,FALSE))</f>
        <v>–</v>
      </c>
      <c r="R16" s="177" t="str">
        <f>IF(VLOOKUP(AB34,groupph,6,FALSE)=0,"–",VLOOKUP(AB34,groupph,6,FALSE))</f>
        <v>–</v>
      </c>
      <c r="S16" s="177" t="str">
        <f>CONCATENATE(VLOOKUP(AB34,groupph,7,FALSE),"–",VLOOKUP(AB34,groupph,8,FALSE))</f>
        <v>0–0</v>
      </c>
      <c r="T16" s="178">
        <f>IF(VLOOKUP(AB34,groupph,9,FALSE)&gt;0,CONCATENATE("+",VLOOKUP(AB34,groupph,9,FALSE)," "),IF(VLOOKUP(AB34,groupph,9,FALSE)&lt;0,CONCATENATE("–",VLOOKUP(AB34,groupph,9,FALSE)*-1," "),0))</f>
        <v>0</v>
      </c>
      <c r="U16" s="179">
        <f>VLOOKUP(AB34,groupph,10,FALSE)</f>
        <v>0</v>
      </c>
      <c r="V16" s="37"/>
      <c r="Y16" s="287"/>
      <c r="Z16" s="323"/>
      <c r="AA16" s="323" t="str">
        <f>VLOOKUP(AB16,groupph,2,FALSE)</f>
        <v>Oroszország</v>
      </c>
      <c r="AB16" s="334">
        <f>LARGE(AD13:AD16,BJ16)</f>
        <v>2.4999999999999984E-4</v>
      </c>
      <c r="AC16" s="337">
        <f>IF(ABS(AB15-AB16)&lt;0.0005,AC15,BJ16)</f>
        <v>1</v>
      </c>
      <c r="AD16" s="334">
        <f>AM16*1000000+AL16*1000+AJ16*10+AN16+AO16+AG16/10+AP16+AQ16</f>
        <v>2.4999999999999984E-4</v>
      </c>
      <c r="AE16" s="331" t="str">
        <f>Adatok!B5</f>
        <v>Oroszország</v>
      </c>
      <c r="AF16" s="327">
        <f>AG16+AH16+AI16</f>
        <v>0</v>
      </c>
      <c r="AG16" s="327">
        <f>COUNTIF(win.g,$AE16)</f>
        <v>0</v>
      </c>
      <c r="AH16" s="327">
        <f>COUNTIF(draw.g,$AE16)</f>
        <v>0</v>
      </c>
      <c r="AI16" s="327">
        <f>COUNTIF(loss.g,$AE16)</f>
        <v>0</v>
      </c>
      <c r="AJ16" s="327">
        <f>SUMIF(home.g,$AE16,hf.g)+SUMIF(away.g,$AE16,af.g)</f>
        <v>0</v>
      </c>
      <c r="AK16" s="327">
        <f>SUMIF(home.g,$AE16,ha.g)+SUMIF(away.g,$AE16,aa.g)</f>
        <v>0</v>
      </c>
      <c r="AL16" s="327">
        <f>AJ16-AK16</f>
        <v>0</v>
      </c>
      <c r="AM16" s="327">
        <f>AG16*3+AH16</f>
        <v>0</v>
      </c>
      <c r="AN16" s="337">
        <f>IF(AF16=3,IF(ISNUMBER(CA16),CA16,0),0)</f>
        <v>0</v>
      </c>
      <c r="AO16" s="337">
        <f>IF(COUNTIF(tie.3rdmw,AE16)&gt;0,1,0)</f>
        <v>0</v>
      </c>
      <c r="AP16" s="397">
        <f>IF(COUNTIF(tie.sp,AE16)&gt;0,0.04-MATCH(AE16,tie.sp,0)/100,0)</f>
        <v>0</v>
      </c>
      <c r="AQ16" s="336">
        <f>AQ15-0.00001</f>
        <v>2.4999999999999984E-4</v>
      </c>
      <c r="AR16" s="323"/>
      <c r="AS16" s="287"/>
      <c r="AT16" s="323"/>
      <c r="AU16" s="326" t="str">
        <f>BJ16&amp;AE12</f>
        <v>4B</v>
      </c>
      <c r="AV16" s="326" t="str">
        <f>IF(AB12,AA16,AE12&amp;" csoport "&amp;BJ16&amp;". hely")</f>
        <v>B csoport 4. hely</v>
      </c>
      <c r="AW16" s="327">
        <f>IF(ISNA(VLOOKUP(AV16,ekiscore,2,FALSE)),-10,VLOOKUP(AV16,ekiscore,2,FALSE))</f>
        <v>-10</v>
      </c>
      <c r="AX16" s="323"/>
      <c r="AY16" s="287"/>
      <c r="AZ16" s="323"/>
      <c r="BA16" s="441" t="str">
        <f>IF(BB16="","",IF(BB17,BB16,""))</f>
        <v/>
      </c>
      <c r="BB16" s="441" t="str">
        <f>BQ16&amp;BQ15&amp;BQ14&amp;BQ13</f>
        <v/>
      </c>
      <c r="BC16" s="440">
        <f>IF(BN16="","",VLOOKUP(BN16,grouptable,6,FALSE))</f>
        <v>0</v>
      </c>
      <c r="BD16" s="440">
        <f>IF(BN16="","",VLOOKUP(BN16,grouptable,7,FALSE))</f>
        <v>0</v>
      </c>
      <c r="BE16" s="441" t="str">
        <f>IF(BQ16="","",VLOOKUP(BQ16,grouptable,6,FALSE))</f>
        <v/>
      </c>
      <c r="BF16" s="441" t="str">
        <f>IF(BQ16="","",VLOOKUP(BQ16,grouptable,7,FALSE))</f>
        <v/>
      </c>
      <c r="BG16" s="323"/>
      <c r="BH16" s="287"/>
      <c r="BI16" s="314"/>
      <c r="BJ16" s="325">
        <v>4</v>
      </c>
      <c r="BK16" s="338">
        <f>IF(BL16=BL15,0,COUNTIF(AM13:AM16,BL16)+BJ16/10)</f>
        <v>0</v>
      </c>
      <c r="BL16" s="311">
        <f>LARGE(AM13:AM16,BJ16)</f>
        <v>0</v>
      </c>
      <c r="BM16" s="303"/>
      <c r="BN16" s="339" t="str">
        <f>IF(AM16=BN12,AE16,"")</f>
        <v>Oroszország</v>
      </c>
      <c r="BO16" s="340">
        <f>IF(BN16="","",BJ16)</f>
        <v>4</v>
      </c>
      <c r="BP16" s="303"/>
      <c r="BQ16" s="339" t="str">
        <f>IF(AM16=BQ12,AE16,"")</f>
        <v/>
      </c>
      <c r="BR16" s="340" t="str">
        <f>IF(BQ16="","",BJ16)</f>
        <v/>
      </c>
      <c r="BS16" s="303"/>
      <c r="BT16" s="323"/>
      <c r="BU16" s="309" t="str">
        <f>AE16</f>
        <v>Oroszország</v>
      </c>
      <c r="BV16" s="311">
        <f>COUNTIF($CG$7:$CG$124,BU16)*3+COUNTIF($CH$7:$CI$124,BU16)</f>
        <v>0</v>
      </c>
      <c r="BW16" s="311">
        <f>BX16-SUMIF($CE$7:$CE$124,BU16,$CK$7:$CK$124)-SUMIF($CL$7:$CL$124,BU16,$CJ$7:$CJ$124)</f>
        <v>0</v>
      </c>
      <c r="BX16" s="311">
        <f>SUMIF($CE$7:$CE$124,BU16,$CJ$7:$CJ$124)+SUMIF($CL$7:$CL$124,BU16,$CK$7:$CK$124)</f>
        <v>0</v>
      </c>
      <c r="BY16" s="311">
        <f>BV16*1000000+BW16*1000+BX16</f>
        <v>0</v>
      </c>
      <c r="BZ16" s="311">
        <f>RANK(BY16,BY13:BY16,1)</f>
        <v>1</v>
      </c>
      <c r="CA16" s="311">
        <f>BZ16*100000</f>
        <v>100000</v>
      </c>
      <c r="CB16" s="323"/>
      <c r="CC16" s="287"/>
      <c r="CD16" s="323"/>
      <c r="CE16" s="309" t="str">
        <f>CE12</f>
        <v>Wales</v>
      </c>
      <c r="CF16" s="310" t="str">
        <f>IF(OR(CE16="",CL16="",CE16=CL16),"",IF(COUNTIF(groupm,CONCATENATE(CE16,CL16))=0,"",CONCATENATE(CE16,CL16)))</f>
        <v/>
      </c>
      <c r="CG16" s="310" t="str">
        <f>IF(CF16="","",VLOOKUP(CF16,groupm,3,FALSE))</f>
        <v/>
      </c>
      <c r="CH16" s="339" t="str">
        <f>IF(CF16="","",VLOOKUP(CF16,groupm,4,FALSE))</f>
        <v/>
      </c>
      <c r="CI16" s="339" t="str">
        <f>IF(CF16="","",VLOOKUP(CF16,groupm,5,FALSE))</f>
        <v/>
      </c>
      <c r="CJ16" s="311" t="str">
        <f>IF(CF16="","",VLOOKUP(CF16,groupm,8,FALSE))</f>
        <v/>
      </c>
      <c r="CK16" s="311" t="str">
        <f>IF(CF16="","",VLOOKUP(CF16,groupm,9,FALSE))</f>
        <v/>
      </c>
      <c r="CL16" s="309" t="str">
        <f>CL15</f>
        <v>Olaszország</v>
      </c>
      <c r="CM16" s="323"/>
      <c r="CN16" s="287"/>
    </row>
    <row r="17" spans="2:90" ht="16.5" customHeight="1" x14ac:dyDescent="0.3">
      <c r="B17" s="161"/>
      <c r="C17" s="161"/>
      <c r="D17" s="98"/>
      <c r="I17" s="98"/>
      <c r="J17" s="99"/>
      <c r="L17" s="83"/>
      <c r="M17" s="98"/>
      <c r="N17" s="98"/>
      <c r="S17" s="98"/>
      <c r="T17" s="99"/>
      <c r="BA17" s="370"/>
      <c r="BB17" s="443" t="e">
        <f>AND(AVERAGE(BE13:BE16)=MAX(BE13:BE16),AVERAGE(BF13:BF16)=MAX(BF13:BF16))</f>
        <v>#DIV/0!</v>
      </c>
      <c r="BC17" s="370"/>
      <c r="BD17" s="370"/>
      <c r="BE17" s="370"/>
      <c r="BF17" s="370"/>
      <c r="BI17" s="314"/>
      <c r="BJ17" s="323"/>
      <c r="CE17" s="309" t="str">
        <f>CE13</f>
        <v>Olaszország</v>
      </c>
      <c r="CF17" s="310" t="str">
        <f>IF(OR(CE17="",CL17="",CE17=CL17),"",IF(COUNTIF(groupm,CONCATENATE(CE17,CL17))=0,"",CONCATENATE(CE17,CL17)))</f>
        <v/>
      </c>
      <c r="CG17" s="310" t="str">
        <f>IF(CF17="","",VLOOKUP(CF17,groupm,3,FALSE))</f>
        <v/>
      </c>
      <c r="CH17" s="339" t="str">
        <f>IF(CF17="","",VLOOKUP(CF17,groupm,4,FALSE))</f>
        <v/>
      </c>
      <c r="CI17" s="339" t="str">
        <f>IF(CF17="","",VLOOKUP(CF17,groupm,5,FALSE))</f>
        <v/>
      </c>
      <c r="CJ17" s="311" t="str">
        <f>IF(CF17="","",VLOOKUP(CF17,groupm,8,FALSE))</f>
        <v/>
      </c>
      <c r="CK17" s="311" t="str">
        <f>IF(CF17="","",VLOOKUP(CF17,groupm,9,FALSE))</f>
        <v/>
      </c>
      <c r="CL17" s="309" t="str">
        <f>CL16</f>
        <v>Olaszország</v>
      </c>
    </row>
    <row r="18" spans="2:90" ht="15.75" customHeight="1" x14ac:dyDescent="0.3">
      <c r="B18" s="161"/>
      <c r="C18" s="161"/>
      <c r="D18" s="164"/>
      <c r="E18" s="165"/>
      <c r="F18" s="165"/>
      <c r="G18" s="165"/>
      <c r="H18" s="165"/>
      <c r="I18" s="166"/>
      <c r="J18" s="167"/>
      <c r="K18" s="168"/>
      <c r="L18" s="83"/>
      <c r="M18" s="98"/>
      <c r="N18" s="164"/>
      <c r="O18" s="165"/>
      <c r="P18" s="165"/>
      <c r="Q18" s="165"/>
      <c r="R18" s="165"/>
      <c r="S18" s="166"/>
      <c r="T18" s="167"/>
      <c r="U18" s="168"/>
      <c r="AB18" s="329" t="b">
        <f>SUM(AF19:AF22)=12</f>
        <v>0</v>
      </c>
      <c r="AC18" s="330"/>
      <c r="AD18" s="350" t="s">
        <v>660</v>
      </c>
      <c r="AE18" s="351" t="s">
        <v>651</v>
      </c>
      <c r="AF18" s="352" t="s">
        <v>655</v>
      </c>
      <c r="AG18" s="352" t="s">
        <v>653</v>
      </c>
      <c r="AH18" s="352" t="s">
        <v>648</v>
      </c>
      <c r="AI18" s="352" t="s">
        <v>654</v>
      </c>
      <c r="AJ18" s="352" t="s">
        <v>656</v>
      </c>
      <c r="AK18" s="352" t="s">
        <v>645</v>
      </c>
      <c r="AL18" s="352" t="s">
        <v>657</v>
      </c>
      <c r="AM18" s="352" t="s">
        <v>658</v>
      </c>
      <c r="AN18" s="352" t="s">
        <v>695</v>
      </c>
      <c r="AO18" s="352" t="s">
        <v>531</v>
      </c>
      <c r="AP18" s="352" t="s">
        <v>467</v>
      </c>
      <c r="AQ18" s="352" t="s">
        <v>659</v>
      </c>
      <c r="BA18" s="369"/>
      <c r="BB18" s="442" t="b">
        <f>AND(AVERAGE(BC19:BC22)=MAX(BC19:BC22),AVERAGE(BD19:BD22)=MAX(BD19:BD22))</f>
        <v>1</v>
      </c>
      <c r="BC18" s="371"/>
      <c r="BD18" s="369"/>
      <c r="BE18" s="369"/>
      <c r="BF18" s="369"/>
      <c r="BI18" s="314"/>
      <c r="BK18" s="324"/>
      <c r="BL18" s="324"/>
      <c r="BM18" s="324"/>
      <c r="BN18" s="358">
        <f>IF(BM19=0,"xxx",VLOOKUP(BM19,BK19:BL22,2,FALSE))</f>
        <v>0</v>
      </c>
      <c r="BQ18" s="358" t="str">
        <f>IF(BM20=0,"xxx",VLOOKUP(BM20,BK19:BL22,2,FALSE))</f>
        <v>xxx</v>
      </c>
      <c r="BU18" s="352" t="s">
        <v>651</v>
      </c>
      <c r="BV18" s="352" t="s">
        <v>658</v>
      </c>
      <c r="BW18" s="352" t="s">
        <v>648</v>
      </c>
      <c r="BX18" s="352" t="s">
        <v>656</v>
      </c>
      <c r="BY18" s="352" t="s">
        <v>697</v>
      </c>
      <c r="BZ18" s="352" t="s">
        <v>696</v>
      </c>
      <c r="CA18" s="352" t="s">
        <v>695</v>
      </c>
      <c r="CE18" s="303"/>
      <c r="CF18" s="346" t="s">
        <v>808</v>
      </c>
      <c r="CG18" s="364" t="s">
        <v>653</v>
      </c>
      <c r="CH18" s="364" t="s">
        <v>648</v>
      </c>
      <c r="CI18" s="365"/>
      <c r="CJ18" s="346" t="s">
        <v>656</v>
      </c>
      <c r="CK18" s="346" t="s">
        <v>645</v>
      </c>
      <c r="CL18" s="303"/>
    </row>
    <row r="19" spans="2:90" ht="16.5" customHeight="1" x14ac:dyDescent="0.3">
      <c r="B19" s="161"/>
      <c r="C19" s="161"/>
      <c r="D19" s="169" t="str">
        <f>CONCATENATE("  ",AC19,". ",AA19)</f>
        <v xml:space="preserve">  1. Hollandia</v>
      </c>
      <c r="E19" s="170">
        <f>VLOOKUP(AB19,groupph,3,FALSE)</f>
        <v>0</v>
      </c>
      <c r="F19" s="170" t="str">
        <f>IF(VLOOKUP(AB19,groupph,4,FALSE)=0,"–",VLOOKUP(AB19,groupph,4,FALSE))</f>
        <v>–</v>
      </c>
      <c r="G19" s="170" t="str">
        <f>IF(VLOOKUP(AB19,groupph,5,FALSE)=0,"–",VLOOKUP(AB19,groupph,5,FALSE))</f>
        <v>–</v>
      </c>
      <c r="H19" s="170" t="str">
        <f>IF(VLOOKUP(AB19,groupph,6,FALSE)=0,"–",VLOOKUP(AB19,groupph,6,FALSE))</f>
        <v>–</v>
      </c>
      <c r="I19" s="170" t="str">
        <f>CONCATENATE(VLOOKUP(AB19,groupph,7,FALSE),"–",VLOOKUP(AB19,groupph,8,FALSE))</f>
        <v>0–0</v>
      </c>
      <c r="J19" s="171">
        <f>IF(VLOOKUP(AB19,groupph,9,FALSE)&gt;0,CONCATENATE("+",VLOOKUP(AB19,groupph,9,FALSE)," "),IF(VLOOKUP(AB19,groupph,9,FALSE)&lt;0,CONCATENATE("–",VLOOKUP(AB19,groupph,9,FALSE)*-1," "),0))</f>
        <v>0</v>
      </c>
      <c r="K19" s="172">
        <f>VLOOKUP(AB19,groupph,10,FALSE)</f>
        <v>0</v>
      </c>
      <c r="L19" s="83"/>
      <c r="M19" s="162"/>
      <c r="N19" s="169" t="str">
        <f>CONCATENATE("  ",AC37,". ",AA37)</f>
        <v xml:space="preserve">  1. MAGYARORSZÁG</v>
      </c>
      <c r="O19" s="170">
        <f>VLOOKUP(AB37,groupph,3,FALSE)</f>
        <v>0</v>
      </c>
      <c r="P19" s="170" t="str">
        <f>IF(VLOOKUP(AB37,groupph,4,FALSE)=0,"–",VLOOKUP(AB37,groupph,4,FALSE))</f>
        <v>–</v>
      </c>
      <c r="Q19" s="170" t="str">
        <f>IF(VLOOKUP(AB37,groupph,5,FALSE)=0,"–",VLOOKUP(AB37,groupph,5,FALSE))</f>
        <v>–</v>
      </c>
      <c r="R19" s="170" t="str">
        <f>IF(VLOOKUP(AB37,groupph,6,FALSE)=0,"–",VLOOKUP(AB37,groupph,6,FALSE))</f>
        <v>–</v>
      </c>
      <c r="S19" s="170" t="str">
        <f>CONCATENATE(VLOOKUP(AB37,groupph,7,FALSE),"–",VLOOKUP(AB37,groupph,8,FALSE))</f>
        <v>0–0</v>
      </c>
      <c r="T19" s="171">
        <f>IF(VLOOKUP(AB37,groupph,9,FALSE)&gt;0,CONCATENATE("+",VLOOKUP(AB37,groupph,9,FALSE)," "),IF(VLOOKUP(AB37,groupph,9,FALSE)&lt;0,CONCATENATE("–",VLOOKUP(AB37,groupph,9,FALSE)*-1," "),0))</f>
        <v>0</v>
      </c>
      <c r="U19" s="172">
        <f>VLOOKUP(AB37,groupph,10,FALSE)</f>
        <v>0</v>
      </c>
      <c r="AA19" s="323" t="str">
        <f>VLOOKUP(AB19,groupph,2,FALSE)</f>
        <v>Hollandia</v>
      </c>
      <c r="AB19" s="332">
        <f>LARGE(AD19:AD22,BJ19)</f>
        <v>2.3999999999999984E-4</v>
      </c>
      <c r="AC19" s="333">
        <v>1</v>
      </c>
      <c r="AD19" s="334">
        <f>AM19*1000000+AL19*1000+AJ19*10+AN19+AO19+AG19/10+AP19+AQ19</f>
        <v>2.3999999999999984E-4</v>
      </c>
      <c r="AE19" s="331" t="str">
        <f>Adatok!C2</f>
        <v>Hollandia</v>
      </c>
      <c r="AF19" s="327">
        <f>AG19+AH19+AI19</f>
        <v>0</v>
      </c>
      <c r="AG19" s="327">
        <f>COUNTIF(win.g,$AE19)</f>
        <v>0</v>
      </c>
      <c r="AH19" s="327">
        <f>COUNTIF(draw.g,$AE19)</f>
        <v>0</v>
      </c>
      <c r="AI19" s="327">
        <f>COUNTIF(loss.g,$AE19)</f>
        <v>0</v>
      </c>
      <c r="AJ19" s="327">
        <f>SUMIF(home.g,$AE19,hf.g)+SUMIF(away.g,$AE19,af.g)</f>
        <v>0</v>
      </c>
      <c r="AK19" s="327">
        <f>SUMIF(home.g,$AE19,ha.g)+SUMIF(away.g,$AE19,aa.g)</f>
        <v>0</v>
      </c>
      <c r="AL19" s="327">
        <f>AJ19-AK19</f>
        <v>0</v>
      </c>
      <c r="AM19" s="327">
        <f>AG19*3+AH19</f>
        <v>0</v>
      </c>
      <c r="AN19" s="337">
        <f>IF(AF19=3,IF(ISNUMBER(CA19),CA19,0),0)</f>
        <v>0</v>
      </c>
      <c r="AO19" s="337">
        <f>IF(COUNTIF(tie.3rdmw,AE19)&gt;0,1,0)</f>
        <v>0</v>
      </c>
      <c r="AP19" s="397">
        <f>IF(COUNTIF(tie.sp,AE19)&gt;0,0.04-MATCH(AE19,tie.sp,0)/100,0)</f>
        <v>0</v>
      </c>
      <c r="AQ19" s="336">
        <f>AQ16-0.00001</f>
        <v>2.3999999999999984E-4</v>
      </c>
      <c r="AU19" s="326" t="str">
        <f>BJ19&amp;AE18</f>
        <v>1C</v>
      </c>
      <c r="AV19" s="326" t="str">
        <f>IF(AB18,AA19,AE18&amp;" csoport "&amp;BJ19&amp;". hely")</f>
        <v>C csoport 1. hely</v>
      </c>
      <c r="AW19" s="327">
        <f>IF(ISNA(VLOOKUP(AV19,ekiscore,2,FALSE)),-10,VLOOKUP(AV19,ekiscore,2,FALSE))</f>
        <v>0</v>
      </c>
      <c r="BA19" s="440" t="str">
        <f>IF(BB19="","",IF(BB18,BB19,""))</f>
        <v/>
      </c>
      <c r="BB19" s="440" t="str">
        <f>IF(BP21="",BN19&amp;BN20&amp;BN21&amp;BN22,"")</f>
        <v/>
      </c>
      <c r="BC19" s="440">
        <f>IF(BN19="","",VLOOKUP(BN19,grouptable,6,FALSE))</f>
        <v>0</v>
      </c>
      <c r="BD19" s="440">
        <f>IF(BN19="","",VLOOKUP(BN19,grouptable,7,FALSE))</f>
        <v>0</v>
      </c>
      <c r="BE19" s="441" t="str">
        <f>IF(BQ19="","",VLOOKUP(BQ19,grouptable,6,FALSE))</f>
        <v/>
      </c>
      <c r="BF19" s="441" t="str">
        <f>IF(BQ19="","",VLOOKUP(BQ19,grouptable,7,FALSE))</f>
        <v/>
      </c>
      <c r="BI19" s="314"/>
      <c r="BJ19" s="325">
        <v>1</v>
      </c>
      <c r="BK19" s="338">
        <f>COUNTIF(AM19:AM22,BL19)+BJ19/10</f>
        <v>4.0999999999999996</v>
      </c>
      <c r="BL19" s="311">
        <f>LARGE(AM19:AM22,BJ19)</f>
        <v>0</v>
      </c>
      <c r="BM19" s="311">
        <f>IF(LARGE(BK19:BK22,BJ19)&lt;2,0,LARGE(BK19:BK22,BJ19))</f>
        <v>4.0999999999999996</v>
      </c>
      <c r="BN19" s="310" t="str">
        <f>IF(AM19=BN18,AE19,"")</f>
        <v>Hollandia</v>
      </c>
      <c r="BO19" s="311">
        <f>IF(BN19="","",BJ19)</f>
        <v>1</v>
      </c>
      <c r="BP19" s="311">
        <f>IF(ISERR(LARGE(BO19:BO22,BJ19)),"",LARGE(BO19:BO22,BJ19))</f>
        <v>4</v>
      </c>
      <c r="BQ19" s="310" t="str">
        <f>IF(AM19=BQ18,AE19,"")</f>
        <v/>
      </c>
      <c r="BR19" s="311" t="str">
        <f>IF(BQ19="","",BJ19)</f>
        <v/>
      </c>
      <c r="BS19" s="311" t="str">
        <f>IF(ISERR(LARGE(BR19:BR22,BJ19)),"",LARGE(BR19:BR22,BJ19))</f>
        <v/>
      </c>
      <c r="BU19" s="309" t="str">
        <f>AE19</f>
        <v>Hollandia</v>
      </c>
      <c r="BV19" s="311">
        <f>COUNTIF($CG$7:$CG$124,BU19)*3+COUNTIF($CH$7:$CI$124,BU19)</f>
        <v>0</v>
      </c>
      <c r="BW19" s="311">
        <f>BX19-SUMIF($CE$7:$CE$124,BU19,$CK$7:$CK$124)-SUMIF($CL$7:$CL$124,BU19,$CJ$7:$CJ$124)</f>
        <v>0</v>
      </c>
      <c r="BX19" s="311">
        <f>SUMIF($CE$7:$CE$124,BU19,$CJ$7:$CJ$124)+SUMIF($CL$7:$CL$124,BU19,$CK$7:$CK$124)</f>
        <v>0</v>
      </c>
      <c r="BY19" s="311">
        <f>BV19*1000000+BW19*1000+BX19</f>
        <v>0</v>
      </c>
      <c r="BZ19" s="311">
        <f>RANK(BY19,BY19:BY22,1)</f>
        <v>1</v>
      </c>
      <c r="CA19" s="311">
        <f>BZ19*100000</f>
        <v>100000</v>
      </c>
      <c r="CE19" s="309" t="str">
        <f>IF(BS7="","",VLOOKUP(BS7,BJ7:BS10,8,FALSE))</f>
        <v/>
      </c>
      <c r="CF19" s="310" t="str">
        <f>IF(OR(CE19="",CL19="",CE19=CL19),"",IF(COUNTIF(groupm,CONCATENATE(CE19,CL19))=0,"",CONCATENATE(CE19,CL19)))</f>
        <v/>
      </c>
      <c r="CG19" s="310" t="str">
        <f>IF(CF19="","",VLOOKUP(CF19,groupm,3,FALSE))</f>
        <v/>
      </c>
      <c r="CH19" s="339" t="str">
        <f>IF(CF19="","",VLOOKUP(CF19,groupm,4,FALSE))</f>
        <v/>
      </c>
      <c r="CI19" s="339" t="str">
        <f>IF(CF19="","",VLOOKUP(CF19,groupm,5,FALSE))</f>
        <v/>
      </c>
      <c r="CJ19" s="311" t="str">
        <f>IF(CF19="","",VLOOKUP(CF19,groupm,8,FALSE))</f>
        <v/>
      </c>
      <c r="CK19" s="311" t="str">
        <f>IF(CF19="","",VLOOKUP(CF19,groupm,9,FALSE))</f>
        <v/>
      </c>
      <c r="CL19" s="309" t="str">
        <f>CE19</f>
        <v/>
      </c>
    </row>
    <row r="20" spans="2:90" ht="16.5" customHeight="1" x14ac:dyDescent="0.3">
      <c r="B20" s="161"/>
      <c r="C20" s="161"/>
      <c r="D20" s="544" t="str">
        <f>CONCATENATE("  ",AC20,". ",AA20)</f>
        <v xml:space="preserve">  1. Ukrajna</v>
      </c>
      <c r="E20" s="545">
        <f>VLOOKUP(AB20,groupph,3,FALSE)</f>
        <v>0</v>
      </c>
      <c r="F20" s="545" t="str">
        <f>IF(VLOOKUP(AB20,groupph,4,FALSE)=0,"–",VLOOKUP(AB20,groupph,4,FALSE))</f>
        <v>–</v>
      </c>
      <c r="G20" s="545" t="str">
        <f>IF(VLOOKUP(AB20,groupph,5,FALSE)=0,"–",VLOOKUP(AB20,groupph,5,FALSE))</f>
        <v>–</v>
      </c>
      <c r="H20" s="545" t="str">
        <f>IF(VLOOKUP(AB20,groupph,6,FALSE)=0,"–",VLOOKUP(AB20,groupph,6,FALSE))</f>
        <v>–</v>
      </c>
      <c r="I20" s="545" t="str">
        <f>CONCATENATE(VLOOKUP(AB20,groupph,7,FALSE),"–",VLOOKUP(AB20,groupph,8,FALSE))</f>
        <v>0–0</v>
      </c>
      <c r="J20" s="546">
        <f>IF(VLOOKUP(AB20,groupph,9,FALSE)&gt;0,CONCATENATE("+",VLOOKUP(AB20,groupph,9,FALSE)," "),IF(VLOOKUP(AB20,groupph,9,FALSE)&lt;0,CONCATENATE("–",VLOOKUP(AB20,groupph,9,FALSE)*-1," "),0))</f>
        <v>0</v>
      </c>
      <c r="K20" s="547">
        <f>VLOOKUP(AB20,groupph,10,FALSE)</f>
        <v>0</v>
      </c>
      <c r="L20" s="83"/>
      <c r="M20" s="162"/>
      <c r="N20" s="544" t="str">
        <f>CONCATENATE("  ",AC38,". ",AA38)</f>
        <v xml:space="preserve">  1. Portugália</v>
      </c>
      <c r="O20" s="545">
        <f>VLOOKUP(AB38,groupph,3,FALSE)</f>
        <v>0</v>
      </c>
      <c r="P20" s="545" t="str">
        <f>IF(VLOOKUP(AB38,groupph,4,FALSE)=0,"–",VLOOKUP(AB38,groupph,4,FALSE))</f>
        <v>–</v>
      </c>
      <c r="Q20" s="545" t="str">
        <f>IF(VLOOKUP(AB38,groupph,5,FALSE)=0,"–",VLOOKUP(AB38,groupph,5,FALSE))</f>
        <v>–</v>
      </c>
      <c r="R20" s="545" t="str">
        <f>IF(VLOOKUP(AB38,groupph,6,FALSE)=0,"–",VLOOKUP(AB38,groupph,6,FALSE))</f>
        <v>–</v>
      </c>
      <c r="S20" s="545" t="str">
        <f>CONCATENATE(VLOOKUP(AB38,groupph,7,FALSE),"–",VLOOKUP(AB38,groupph,8,FALSE))</f>
        <v>0–0</v>
      </c>
      <c r="T20" s="546">
        <f>IF(VLOOKUP(AB38,groupph,9,FALSE)&gt;0,CONCATENATE("+",VLOOKUP(AB38,groupph,9,FALSE)," "),IF(VLOOKUP(AB38,groupph,9,FALSE)&lt;0,CONCATENATE("–",VLOOKUP(AB38,groupph,9,FALSE)*-1," "),0))</f>
        <v>0</v>
      </c>
      <c r="U20" s="547">
        <f>VLOOKUP(AB38,groupph,10,FALSE)</f>
        <v>0</v>
      </c>
      <c r="AA20" s="323" t="str">
        <f>VLOOKUP(AB20,groupph,2,FALSE)</f>
        <v>Ukrajna</v>
      </c>
      <c r="AB20" s="334">
        <f>LARGE(AD19:AD22,BJ20)</f>
        <v>2.2999999999999984E-4</v>
      </c>
      <c r="AC20" s="337">
        <f>IF(ABS(AB19-AB20)&lt;0.0005,AC19,BJ20)</f>
        <v>1</v>
      </c>
      <c r="AD20" s="334">
        <f>AM20*1000000+AL20*1000+AJ20*10+AN20+AO20+AG20/10+AP20+AQ20</f>
        <v>2.2999999999999984E-4</v>
      </c>
      <c r="AE20" s="331" t="str">
        <f>Adatok!C3</f>
        <v>Ukrajna</v>
      </c>
      <c r="AF20" s="327">
        <f>AG20+AH20+AI20</f>
        <v>0</v>
      </c>
      <c r="AG20" s="327">
        <f>COUNTIF(win.g,$AE20)</f>
        <v>0</v>
      </c>
      <c r="AH20" s="327">
        <f>COUNTIF(draw.g,$AE20)</f>
        <v>0</v>
      </c>
      <c r="AI20" s="327">
        <f>COUNTIF(loss.g,$AE20)</f>
        <v>0</v>
      </c>
      <c r="AJ20" s="327">
        <f>SUMIF(home.g,$AE20,hf.g)+SUMIF(away.g,$AE20,af.g)</f>
        <v>0</v>
      </c>
      <c r="AK20" s="327">
        <f>SUMIF(home.g,$AE20,ha.g)+SUMIF(away.g,$AE20,aa.g)</f>
        <v>0</v>
      </c>
      <c r="AL20" s="327">
        <f>AJ20-AK20</f>
        <v>0</v>
      </c>
      <c r="AM20" s="327">
        <f>AG20*3+AH20</f>
        <v>0</v>
      </c>
      <c r="AN20" s="337">
        <f>IF(AF20=3,IF(ISNUMBER(CA20),CA20,0),0)</f>
        <v>0</v>
      </c>
      <c r="AO20" s="337">
        <f>IF(COUNTIF(tie.3rdmw,AE20)&gt;0,1,0)</f>
        <v>0</v>
      </c>
      <c r="AP20" s="397">
        <f>IF(COUNTIF(tie.sp,AE20)&gt;0,0.04-MATCH(AE20,tie.sp,0)/100,0)</f>
        <v>0</v>
      </c>
      <c r="AQ20" s="336">
        <f>AQ19-0.00001</f>
        <v>2.2999999999999984E-4</v>
      </c>
      <c r="AU20" s="326" t="str">
        <f>BJ20&amp;AE18</f>
        <v>2C</v>
      </c>
      <c r="AV20" s="326" t="str">
        <f>IF(AB18,AA20,AE18&amp;" csoport "&amp;BJ20&amp;". hely")</f>
        <v>C csoport 2. hely</v>
      </c>
      <c r="AW20" s="327">
        <f>IF(ISNA(VLOOKUP(AV20,ekiscore,2,FALSE)),-10,VLOOKUP(AV20,ekiscore,2,FALSE))</f>
        <v>0</v>
      </c>
      <c r="BA20" s="440" t="str">
        <f>IF(BB20="","",IF(BB18,BB20,""))</f>
        <v/>
      </c>
      <c r="BB20" s="440" t="str">
        <f>IF(BP21="",BN22&amp;BN21&amp;BN20&amp;BN19,"")</f>
        <v/>
      </c>
      <c r="BC20" s="440">
        <f>IF(BN20="","",VLOOKUP(BN20,grouptable,6,FALSE))</f>
        <v>0</v>
      </c>
      <c r="BD20" s="440">
        <f>IF(BN20="","",VLOOKUP(BN20,grouptable,7,FALSE))</f>
        <v>0</v>
      </c>
      <c r="BE20" s="441" t="str">
        <f>IF(BQ20="","",VLOOKUP(BQ20,grouptable,6,FALSE))</f>
        <v/>
      </c>
      <c r="BF20" s="441" t="str">
        <f>IF(BQ20="","",VLOOKUP(BQ20,grouptable,7,FALSE))</f>
        <v/>
      </c>
      <c r="BI20" s="314"/>
      <c r="BJ20" s="325">
        <v>2</v>
      </c>
      <c r="BK20" s="338">
        <f>IF(BL20=BL19,0,COUNTIF(AM19:AM22,BL20)+BJ20/10)</f>
        <v>0</v>
      </c>
      <c r="BL20" s="311">
        <f>LARGE(AM19:AM22,BJ20)</f>
        <v>0</v>
      </c>
      <c r="BM20" s="311">
        <f>IF(LARGE(BK19:BK22,BJ20)&lt;2,0,LARGE(BK19:BK22,BJ20))</f>
        <v>0</v>
      </c>
      <c r="BN20" s="310" t="str">
        <f>IF(AM20=BN18,AE20,"")</f>
        <v>Ukrajna</v>
      </c>
      <c r="BO20" s="311">
        <f>IF(BN20="","",BJ20)</f>
        <v>2</v>
      </c>
      <c r="BP20" s="311">
        <f>IF(ISERR(LARGE(BO19:BO22,BJ20)),"",LARGE(BO19:BO22,BJ20))</f>
        <v>3</v>
      </c>
      <c r="BQ20" s="310" t="str">
        <f>IF(AM20=BQ18,AE20,"")</f>
        <v/>
      </c>
      <c r="BR20" s="311" t="str">
        <f>IF(BQ20="","",BJ20)</f>
        <v/>
      </c>
      <c r="BS20" s="311" t="str">
        <f>IF(ISERR(LARGE(BR19:BR22,BJ20)),"",LARGE(BR19:BR22,BJ20))</f>
        <v/>
      </c>
      <c r="BU20" s="309" t="str">
        <f>AE20</f>
        <v>Ukrajna</v>
      </c>
      <c r="BV20" s="311">
        <f>COUNTIF($CG$7:$CG$124,BU20)*3+COUNTIF($CH$7:$CI$124,BU20)</f>
        <v>0</v>
      </c>
      <c r="BW20" s="311">
        <f>BX20-SUMIF($CE$7:$CE$124,BU20,$CK$7:$CK$124)-SUMIF($CL$7:$CL$124,BU20,$CJ$7:$CJ$124)</f>
        <v>0</v>
      </c>
      <c r="BX20" s="311">
        <f>SUMIF($CE$7:$CE$124,BU20,$CJ$7:$CJ$124)+SUMIF($CL$7:$CL$124,BU20,$CK$7:$CK$124)</f>
        <v>0</v>
      </c>
      <c r="BY20" s="311">
        <f>BV20*1000000+BW20*1000+BX20</f>
        <v>0</v>
      </c>
      <c r="BZ20" s="311">
        <f>RANK(BY20,BY19:BY22,1)</f>
        <v>1</v>
      </c>
      <c r="CA20" s="311">
        <f>BZ20*100000</f>
        <v>100000</v>
      </c>
      <c r="CE20" s="309" t="str">
        <f>IF(BS8="","",VLOOKUP(BS8,BJ7:BS10,8,FALSE))</f>
        <v/>
      </c>
      <c r="CF20" s="310" t="str">
        <f>IF(OR(CE20="",CL20="",CE20=CL20),"",IF(COUNTIF(groupm,CONCATENATE(CE20,CL20))=0,"",CONCATENATE(CE20,CL20)))</f>
        <v/>
      </c>
      <c r="CG20" s="310" t="str">
        <f>IF(CF20="","",VLOOKUP(CF20,groupm,3,FALSE))</f>
        <v/>
      </c>
      <c r="CH20" s="339" t="str">
        <f>IF(CF20="","",VLOOKUP(CF20,groupm,4,FALSE))</f>
        <v/>
      </c>
      <c r="CI20" s="339" t="str">
        <f>IF(CF20="","",VLOOKUP(CF20,groupm,5,FALSE))</f>
        <v/>
      </c>
      <c r="CJ20" s="311" t="str">
        <f>IF(CF20="","",VLOOKUP(CF20,groupm,8,FALSE))</f>
        <v/>
      </c>
      <c r="CK20" s="311" t="str">
        <f>IF(CF20="","",VLOOKUP(CF20,groupm,9,FALSE))</f>
        <v/>
      </c>
      <c r="CL20" s="309" t="str">
        <f>CL19</f>
        <v/>
      </c>
    </row>
    <row r="21" spans="2:90" ht="16.5" customHeight="1" x14ac:dyDescent="0.3">
      <c r="C21" s="549" t="str">
        <f>"("&amp;VLOOKUP(AA21,$AE$54:$AF$59,2,FALSE)&amp;".)"</f>
        <v>(1.)</v>
      </c>
      <c r="D21" s="169" t="str">
        <f>CONCATENATE("  ",AC21,". ",AA21)</f>
        <v xml:space="preserve">  1. Ausztria</v>
      </c>
      <c r="E21" s="170">
        <f>VLOOKUP(AB21,groupph,3,FALSE)</f>
        <v>0</v>
      </c>
      <c r="F21" s="170" t="str">
        <f>IF(VLOOKUP(AB21,groupph,4,FALSE)=0,"–",VLOOKUP(AB21,groupph,4,FALSE))</f>
        <v>–</v>
      </c>
      <c r="G21" s="170" t="str">
        <f>IF(VLOOKUP(AB21,groupph,5,FALSE)=0,"–",VLOOKUP(AB21,groupph,5,FALSE))</f>
        <v>–</v>
      </c>
      <c r="H21" s="170" t="str">
        <f>IF(VLOOKUP(AB21,groupph,6,FALSE)=0,"–",VLOOKUP(AB21,groupph,6,FALSE))</f>
        <v>–</v>
      </c>
      <c r="I21" s="170" t="str">
        <f>CONCATENATE(VLOOKUP(AB21,groupph,7,FALSE),"–",VLOOKUP(AB21,groupph,8,FALSE))</f>
        <v>0–0</v>
      </c>
      <c r="J21" s="171">
        <f>IF(VLOOKUP(AB21,groupph,9,FALSE)&gt;0,CONCATENATE("+",VLOOKUP(AB21,groupph,9,FALSE)," "),IF(VLOOKUP(AB21,groupph,9,FALSE)&lt;0,CONCATENATE("–",VLOOKUP(AB21,groupph,9,FALSE)*-1," "),0))</f>
        <v>0</v>
      </c>
      <c r="K21" s="172">
        <f>VLOOKUP(AB21,groupph,10,FALSE)</f>
        <v>0</v>
      </c>
      <c r="M21" s="549" t="str">
        <f>"("&amp;VLOOKUP(AA39,$AE$54:$AF$59,2,FALSE)&amp;".)"</f>
        <v>(1.)</v>
      </c>
      <c r="N21" s="169" t="str">
        <f>CONCATENATE("  ",AC39,". ",AA39)</f>
        <v xml:space="preserve">  1. Franciaország</v>
      </c>
      <c r="O21" s="170">
        <f>VLOOKUP(AB39,groupph,3,FALSE)</f>
        <v>0</v>
      </c>
      <c r="P21" s="170" t="str">
        <f>IF(VLOOKUP(AB39,groupph,4,FALSE)=0,"–",VLOOKUP(AB39,groupph,4,FALSE))</f>
        <v>–</v>
      </c>
      <c r="Q21" s="170" t="str">
        <f>IF(VLOOKUP(AB39,groupph,5,FALSE)=0,"–",VLOOKUP(AB39,groupph,5,FALSE))</f>
        <v>–</v>
      </c>
      <c r="R21" s="170" t="str">
        <f>IF(VLOOKUP(AB39,groupph,6,FALSE)=0,"–",VLOOKUP(AB39,groupph,6,FALSE))</f>
        <v>–</v>
      </c>
      <c r="S21" s="170" t="str">
        <f>CONCATENATE(VLOOKUP(AB39,groupph,7,FALSE),"–",VLOOKUP(AB39,groupph,8,FALSE))</f>
        <v>0–0</v>
      </c>
      <c r="T21" s="171">
        <f>IF(VLOOKUP(AB39,groupph,9,FALSE)&gt;0,CONCATENATE("+",VLOOKUP(AB39,groupph,9,FALSE)," "),IF(VLOOKUP(AB39,groupph,9,FALSE)&lt;0,CONCATENATE("–",VLOOKUP(AB39,groupph,9,FALSE)*-1," "),0))</f>
        <v>0</v>
      </c>
      <c r="U21" s="172">
        <f>VLOOKUP(AB39,groupph,10,FALSE)</f>
        <v>0</v>
      </c>
      <c r="AA21" s="323" t="str">
        <f>VLOOKUP(AB21,groupph,2,FALSE)</f>
        <v>Ausztria</v>
      </c>
      <c r="AB21" s="334">
        <f>LARGE(AD19:AD22,BJ21)</f>
        <v>2.1999999999999985E-4</v>
      </c>
      <c r="AC21" s="337">
        <f>IF(ABS(AB20-AB21)&lt;0.0005,AC20,BJ21)</f>
        <v>1</v>
      </c>
      <c r="AD21" s="334">
        <f>AM21*1000000+AL21*1000+AJ21*10+AN21+AO21+AG21/10+AP21+AQ21</f>
        <v>2.1999999999999985E-4</v>
      </c>
      <c r="AE21" s="331" t="str">
        <f>Adatok!C4</f>
        <v>Ausztria</v>
      </c>
      <c r="AF21" s="327">
        <f>AG21+AH21+AI21</f>
        <v>0</v>
      </c>
      <c r="AG21" s="327">
        <f>COUNTIF(win.g,$AE21)</f>
        <v>0</v>
      </c>
      <c r="AH21" s="327">
        <f>COUNTIF(draw.g,$AE21)</f>
        <v>0</v>
      </c>
      <c r="AI21" s="327">
        <f>COUNTIF(loss.g,$AE21)</f>
        <v>0</v>
      </c>
      <c r="AJ21" s="327">
        <f>SUMIF(home.g,$AE21,hf.g)+SUMIF(away.g,$AE21,af.g)</f>
        <v>0</v>
      </c>
      <c r="AK21" s="327">
        <f>SUMIF(home.g,$AE21,ha.g)+SUMIF(away.g,$AE21,aa.g)</f>
        <v>0</v>
      </c>
      <c r="AL21" s="327">
        <f>AJ21-AK21</f>
        <v>0</v>
      </c>
      <c r="AM21" s="327">
        <f>AG21*3+AH21</f>
        <v>0</v>
      </c>
      <c r="AN21" s="337">
        <f>IF(AF21=3,IF(ISNUMBER(CA21),CA21,0),0)</f>
        <v>0</v>
      </c>
      <c r="AO21" s="337">
        <f>IF(COUNTIF(tie.3rdmw,AE21)&gt;0,1,0)</f>
        <v>0</v>
      </c>
      <c r="AP21" s="397">
        <f>IF(COUNTIF(tie.sp,AE21)&gt;0,0.04-MATCH(AE21,tie.sp,0)/100,0)</f>
        <v>0</v>
      </c>
      <c r="AQ21" s="336">
        <f>AQ20-0.00001</f>
        <v>2.1999999999999985E-4</v>
      </c>
      <c r="AU21" s="326" t="str">
        <f>BJ21&amp;AE18</f>
        <v>3C</v>
      </c>
      <c r="AV21" s="326" t="str">
        <f>IF(AB18,AA21,AE18&amp;" csoport "&amp;BJ21&amp;". hely")</f>
        <v>C csoport 3. hely</v>
      </c>
      <c r="AW21" s="327">
        <f>IF(ISNA(VLOOKUP(AV21,ekiscore,2,FALSE)),-10,VLOOKUP(AV21,ekiscore,2,FALSE))</f>
        <v>-10</v>
      </c>
      <c r="BA21" s="441" t="str">
        <f>IF(BB21="","",IF(BB23,BB21,""))</f>
        <v/>
      </c>
      <c r="BB21" s="441" t="str">
        <f>BQ19&amp;BQ20&amp;BQ21&amp;BQ22</f>
        <v/>
      </c>
      <c r="BC21" s="440">
        <f>IF(BN21="","",VLOOKUP(BN21,grouptable,6,FALSE))</f>
        <v>0</v>
      </c>
      <c r="BD21" s="440">
        <f>IF(BN21="","",VLOOKUP(BN21,grouptable,7,FALSE))</f>
        <v>0</v>
      </c>
      <c r="BE21" s="441" t="str">
        <f>IF(BQ21="","",VLOOKUP(BQ21,grouptable,6,FALSE))</f>
        <v/>
      </c>
      <c r="BF21" s="441" t="str">
        <f>IF(BQ21="","",VLOOKUP(BQ21,grouptable,7,FALSE))</f>
        <v/>
      </c>
      <c r="BI21" s="314"/>
      <c r="BJ21" s="325">
        <v>3</v>
      </c>
      <c r="BK21" s="338">
        <f>IF(BL21=BL20,0,COUNTIF(AM19:AM22,BL21)+BJ21/10)</f>
        <v>0</v>
      </c>
      <c r="BL21" s="311">
        <f>LARGE(AM19:AM22,BJ21)</f>
        <v>0</v>
      </c>
      <c r="BM21" s="303"/>
      <c r="BN21" s="310" t="str">
        <f>IF(AM21=BN18,AE21,"")</f>
        <v>Ausztria</v>
      </c>
      <c r="BO21" s="311">
        <f>IF(BN21="","",BJ21)</f>
        <v>3</v>
      </c>
      <c r="BP21" s="311">
        <f>IF(ISERR(LARGE(BO19:BO22,BJ21)),"",LARGE(BO19:BO22,BJ21))</f>
        <v>2</v>
      </c>
      <c r="BQ21" s="310" t="str">
        <f>IF(AM21=BQ18,AE21,"")</f>
        <v/>
      </c>
      <c r="BR21" s="311" t="str">
        <f>IF(BQ21="","",BJ21)</f>
        <v/>
      </c>
      <c r="BS21" s="303"/>
      <c r="BU21" s="309" t="str">
        <f>AE21</f>
        <v>Ausztria</v>
      </c>
      <c r="BV21" s="311">
        <f>COUNTIF($CG$7:$CG$124,BU21)*3+COUNTIF($CH$7:$CI$124,BU21)</f>
        <v>0</v>
      </c>
      <c r="BW21" s="311">
        <f>BX21-SUMIF($CE$7:$CE$124,BU21,$CK$7:$CK$124)-SUMIF($CL$7:$CL$124,BU21,$CJ$7:$CJ$124)</f>
        <v>0</v>
      </c>
      <c r="BX21" s="311">
        <f>SUMIF($CE$7:$CE$124,BU21,$CJ$7:$CJ$124)+SUMIF($CL$7:$CL$124,BU21,$CK$7:$CK$124)</f>
        <v>0</v>
      </c>
      <c r="BY21" s="311">
        <f>BV21*1000000+BW21*1000+BX21</f>
        <v>0</v>
      </c>
      <c r="BZ21" s="311">
        <f>RANK(BY21,BY19:BY22,1)</f>
        <v>1</v>
      </c>
      <c r="CA21" s="311">
        <f>BZ21*100000</f>
        <v>100000</v>
      </c>
      <c r="CE21" s="303"/>
      <c r="CF21" s="346" t="s">
        <v>808</v>
      </c>
      <c r="CG21" s="364" t="s">
        <v>653</v>
      </c>
      <c r="CH21" s="364" t="s">
        <v>648</v>
      </c>
      <c r="CI21" s="365"/>
      <c r="CJ21" s="346" t="s">
        <v>656</v>
      </c>
      <c r="CK21" s="346" t="s">
        <v>645</v>
      </c>
      <c r="CL21" s="303"/>
    </row>
    <row r="22" spans="2:90" ht="16.5" customHeight="1" x14ac:dyDescent="0.3">
      <c r="D22" s="176" t="str">
        <f>CONCATENATE("  ",AC22,". ",AA22)</f>
        <v xml:space="preserve">  1. Észak-Macedónia</v>
      </c>
      <c r="E22" s="177">
        <f>VLOOKUP(AB22,groupph,3,FALSE)</f>
        <v>0</v>
      </c>
      <c r="F22" s="177" t="str">
        <f>IF(VLOOKUP(AB22,groupph,4,FALSE)=0,"–",VLOOKUP(AB22,groupph,4,FALSE))</f>
        <v>–</v>
      </c>
      <c r="G22" s="177" t="str">
        <f>IF(VLOOKUP(AB22,groupph,5,FALSE)=0,"–",VLOOKUP(AB22,groupph,5,FALSE))</f>
        <v>–</v>
      </c>
      <c r="H22" s="177" t="str">
        <f>IF(VLOOKUP(AB22,groupph,6,FALSE)=0,"–",VLOOKUP(AB22,groupph,6,FALSE))</f>
        <v>–</v>
      </c>
      <c r="I22" s="177" t="str">
        <f>CONCATENATE(VLOOKUP(AB22,groupph,7,FALSE),"–",VLOOKUP(AB22,groupph,8,FALSE))</f>
        <v>0–0</v>
      </c>
      <c r="J22" s="178">
        <f>IF(VLOOKUP(AB22,groupph,9,FALSE)&gt;0,CONCATENATE("+",VLOOKUP(AB22,groupph,9,FALSE)," "),IF(VLOOKUP(AB22,groupph,9,FALSE)&lt;0,CONCATENATE("–",VLOOKUP(AB22,groupph,9,FALSE)*-1," "),0))</f>
        <v>0</v>
      </c>
      <c r="K22" s="179">
        <f>VLOOKUP(AB22,groupph,10,FALSE)</f>
        <v>0</v>
      </c>
      <c r="N22" s="176" t="str">
        <f>CONCATENATE("  ",AC40,". ",AA40)</f>
        <v xml:space="preserve">  1. Németország</v>
      </c>
      <c r="O22" s="177">
        <f>VLOOKUP(AB40,groupph,3,FALSE)</f>
        <v>0</v>
      </c>
      <c r="P22" s="177" t="str">
        <f>IF(VLOOKUP(AB40,groupph,4,FALSE)=0,"–",VLOOKUP(AB40,groupph,4,FALSE))</f>
        <v>–</v>
      </c>
      <c r="Q22" s="177" t="str">
        <f>IF(VLOOKUP(AB40,groupph,5,FALSE)=0,"–",VLOOKUP(AB40,groupph,5,FALSE))</f>
        <v>–</v>
      </c>
      <c r="R22" s="177" t="str">
        <f>IF(VLOOKUP(AB40,groupph,6,FALSE)=0,"–",VLOOKUP(AB40,groupph,6,FALSE))</f>
        <v>–</v>
      </c>
      <c r="S22" s="177" t="str">
        <f>CONCATENATE(VLOOKUP(AB40,groupph,7,FALSE),"–",VLOOKUP(AB40,groupph,8,FALSE))</f>
        <v>0–0</v>
      </c>
      <c r="T22" s="178">
        <f>IF(VLOOKUP(AB40,groupph,9,FALSE)&gt;0,CONCATENATE("+",VLOOKUP(AB40,groupph,9,FALSE)," "),IF(VLOOKUP(AB40,groupph,9,FALSE)&lt;0,CONCATENATE("–",VLOOKUP(AB40,groupph,9,FALSE)*-1," "),0))</f>
        <v>0</v>
      </c>
      <c r="U22" s="179">
        <f>VLOOKUP(AB40,groupph,10,FALSE)</f>
        <v>0</v>
      </c>
      <c r="AA22" s="323" t="str">
        <f>VLOOKUP(AB22,groupph,2,FALSE)</f>
        <v>Észak-Macedónia</v>
      </c>
      <c r="AB22" s="334">
        <f>LARGE(AD19:AD22,BJ22)</f>
        <v>2.0999999999999985E-4</v>
      </c>
      <c r="AC22" s="337">
        <f>IF(ABS(AB21-AB22)&lt;0.0005,AC21,BJ22)</f>
        <v>1</v>
      </c>
      <c r="AD22" s="334">
        <f>AM22*1000000+AL22*1000+AJ22*10+AN22+AO22+AG22/10+AP22+AQ22</f>
        <v>2.0999999999999985E-4</v>
      </c>
      <c r="AE22" s="331" t="str">
        <f>Adatok!C5</f>
        <v>Észak-Macedónia</v>
      </c>
      <c r="AF22" s="327">
        <f>AG22+AH22+AI22</f>
        <v>0</v>
      </c>
      <c r="AG22" s="327">
        <f>COUNTIF(win.g,$AE22)</f>
        <v>0</v>
      </c>
      <c r="AH22" s="327">
        <f>COUNTIF(draw.g,$AE22)</f>
        <v>0</v>
      </c>
      <c r="AI22" s="327">
        <f>COUNTIF(loss.g,$AE22)</f>
        <v>0</v>
      </c>
      <c r="AJ22" s="327">
        <f>SUMIF(home.g,$AE22,hf.g)+SUMIF(away.g,$AE22,af.g)</f>
        <v>0</v>
      </c>
      <c r="AK22" s="327">
        <f>SUMIF(home.g,$AE22,ha.g)+SUMIF(away.g,$AE22,aa.g)</f>
        <v>0</v>
      </c>
      <c r="AL22" s="327">
        <f>AJ22-AK22</f>
        <v>0</v>
      </c>
      <c r="AM22" s="327">
        <f>AG22*3+AH22</f>
        <v>0</v>
      </c>
      <c r="AN22" s="337">
        <f>IF(AF22=3,IF(ISNUMBER(CA22),CA22,0),0)</f>
        <v>0</v>
      </c>
      <c r="AO22" s="337">
        <f>IF(COUNTIF(tie.3rdmw,AE22)&gt;0,1,0)</f>
        <v>0</v>
      </c>
      <c r="AP22" s="397">
        <f>IF(COUNTIF(tie.sp,AE22)&gt;0,0.04-MATCH(AE22,tie.sp,0)/100,0)</f>
        <v>0</v>
      </c>
      <c r="AQ22" s="336">
        <f>AQ21-0.00001</f>
        <v>2.0999999999999985E-4</v>
      </c>
      <c r="AU22" s="326" t="str">
        <f>BJ22&amp;AE18</f>
        <v>4C</v>
      </c>
      <c r="AV22" s="326" t="str">
        <f>IF(AB18,AA22,AE18&amp;" csoport "&amp;BJ22&amp;". hely")</f>
        <v>C csoport 4. hely</v>
      </c>
      <c r="AW22" s="327">
        <f>IF(ISNA(VLOOKUP(AV22,ekiscore,2,FALSE)),-10,VLOOKUP(AV22,ekiscore,2,FALSE))</f>
        <v>-10</v>
      </c>
      <c r="BA22" s="441" t="str">
        <f>IF(BB22="","",IF(BB23,BB22,""))</f>
        <v/>
      </c>
      <c r="BB22" s="441" t="str">
        <f>BQ22&amp;BQ21&amp;BQ20&amp;BQ19</f>
        <v/>
      </c>
      <c r="BC22" s="440">
        <f>IF(BN22="","",VLOOKUP(BN22,grouptable,6,FALSE))</f>
        <v>0</v>
      </c>
      <c r="BD22" s="440">
        <f>IF(BN22="","",VLOOKUP(BN22,grouptable,7,FALSE))</f>
        <v>0</v>
      </c>
      <c r="BE22" s="441" t="str">
        <f>IF(BQ22="","",VLOOKUP(BQ22,grouptable,6,FALSE))</f>
        <v/>
      </c>
      <c r="BF22" s="441" t="str">
        <f>IF(BQ22="","",VLOOKUP(BQ22,grouptable,7,FALSE))</f>
        <v/>
      </c>
      <c r="BI22" s="314"/>
      <c r="BJ22" s="325">
        <v>4</v>
      </c>
      <c r="BK22" s="338">
        <f>IF(BL22=BL21,0,COUNTIF(AM19:AM22,BL22)+BJ22/10)</f>
        <v>0</v>
      </c>
      <c r="BL22" s="311">
        <f>LARGE(AM19:AM22,BJ22)</f>
        <v>0</v>
      </c>
      <c r="BM22" s="303"/>
      <c r="BN22" s="339" t="str">
        <f>IF(AM22=BN18,AE22,"")</f>
        <v>Észak-Macedónia</v>
      </c>
      <c r="BO22" s="340">
        <f>IF(BN22="","",BJ22)</f>
        <v>4</v>
      </c>
      <c r="BP22" s="303"/>
      <c r="BQ22" s="339" t="str">
        <f>IF(AM22=BQ18,AE22,"")</f>
        <v/>
      </c>
      <c r="BR22" s="340" t="str">
        <f>IF(BQ22="","",BJ22)</f>
        <v/>
      </c>
      <c r="BS22" s="303"/>
      <c r="BU22" s="309" t="str">
        <f>AE22</f>
        <v>Észak-Macedónia</v>
      </c>
      <c r="BV22" s="311">
        <f>COUNTIF($CG$7:$CG$124,BU22)*3+COUNTIF($CH$7:$CI$124,BU22)</f>
        <v>0</v>
      </c>
      <c r="BW22" s="311">
        <f>BX22-SUMIF($CE$7:$CE$124,BU22,$CK$7:$CK$124)-SUMIF($CL$7:$CL$124,BU22,$CJ$7:$CJ$124)</f>
        <v>0</v>
      </c>
      <c r="BX22" s="311">
        <f>SUMIF($CE$7:$CE$124,BU22,$CJ$7:$CJ$124)+SUMIF($CL$7:$CL$124,BU22,$CK$7:$CK$124)</f>
        <v>0</v>
      </c>
      <c r="BY22" s="311">
        <f>BV22*1000000+BW22*1000+BX22</f>
        <v>0</v>
      </c>
      <c r="BZ22" s="311">
        <f>RANK(BY22,BY19:BY22,1)</f>
        <v>1</v>
      </c>
      <c r="CA22" s="311">
        <f>BZ22*100000</f>
        <v>100000</v>
      </c>
      <c r="CE22" s="309" t="str">
        <f>CE19</f>
        <v/>
      </c>
      <c r="CF22" s="310" t="str">
        <f>IF(OR(CE22="",CL22="",CE22=CL22),"",IF(COUNTIF(groupm,CONCATENATE(CE22,CL22))=0,"",CONCATENATE(CE22,CL22)))</f>
        <v/>
      </c>
      <c r="CG22" s="310" t="str">
        <f>IF(CF22="","",VLOOKUP(CF22,groupm,3,FALSE))</f>
        <v/>
      </c>
      <c r="CH22" s="339" t="str">
        <f>IF(CF22="","",VLOOKUP(CF22,groupm,4,FALSE))</f>
        <v/>
      </c>
      <c r="CI22" s="339" t="str">
        <f>IF(CF22="","",VLOOKUP(CF22,groupm,5,FALSE))</f>
        <v/>
      </c>
      <c r="CJ22" s="311" t="str">
        <f>IF(CF22="","",VLOOKUP(CF22,groupm,8,FALSE))</f>
        <v/>
      </c>
      <c r="CK22" s="311" t="str">
        <f>IF(CF22="","",VLOOKUP(CF22,groupm,9,FALSE))</f>
        <v/>
      </c>
      <c r="CL22" s="309" t="str">
        <f>CE20</f>
        <v/>
      </c>
    </row>
    <row r="23" spans="2:90" ht="18.75" customHeight="1" x14ac:dyDescent="0.3">
      <c r="D23" s="98"/>
      <c r="I23" s="98"/>
      <c r="J23" s="99"/>
      <c r="N23" s="98"/>
      <c r="S23" s="98"/>
      <c r="T23" s="99"/>
      <c r="BA23" s="370"/>
      <c r="BB23" s="443" t="e">
        <f>AND(AVERAGE(BE19:BE22)=MAX(BE19:BE22),AVERAGE(BF19:BF22)=MAX(BF19:BF22))</f>
        <v>#DIV/0!</v>
      </c>
      <c r="BC23" s="370"/>
      <c r="BD23" s="370"/>
      <c r="BE23" s="370"/>
      <c r="BF23" s="370"/>
      <c r="BI23" s="314"/>
      <c r="CE23" s="309" t="str">
        <f>CE20</f>
        <v/>
      </c>
      <c r="CF23" s="310" t="str">
        <f>IF(OR(CE23="",CL23="",CE23=CL23),"",IF(COUNTIF(groupm,CONCATENATE(CE23,CL23))=0,"",CONCATENATE(CE23,CL23)))</f>
        <v/>
      </c>
      <c r="CG23" s="310" t="str">
        <f>IF(CF23="","",VLOOKUP(CF23,groupm,3,FALSE))</f>
        <v/>
      </c>
      <c r="CH23" s="339" t="str">
        <f>IF(CF23="","",VLOOKUP(CF23,groupm,4,FALSE))</f>
        <v/>
      </c>
      <c r="CI23" s="339" t="str">
        <f>IF(CF23="","",VLOOKUP(CF23,groupm,5,FALSE))</f>
        <v/>
      </c>
      <c r="CJ23" s="311" t="str">
        <f>IF(CF23="","",VLOOKUP(CF23,groupm,8,FALSE))</f>
        <v/>
      </c>
      <c r="CK23" s="311" t="str">
        <f>IF(CF23="","",VLOOKUP(CF23,groupm,9,FALSE))</f>
        <v/>
      </c>
      <c r="CL23" s="309" t="str">
        <f>CL22</f>
        <v/>
      </c>
    </row>
    <row r="24" spans="2:90" ht="18.75" customHeight="1" x14ac:dyDescent="0.3">
      <c r="AB24" s="329" t="b">
        <f>SUM(AF25:AF28)=12</f>
        <v>0</v>
      </c>
      <c r="AC24" s="330"/>
      <c r="AD24" s="347" t="s">
        <v>660</v>
      </c>
      <c r="AE24" s="348" t="s">
        <v>652</v>
      </c>
      <c r="AF24" s="349" t="s">
        <v>655</v>
      </c>
      <c r="AG24" s="349" t="s">
        <v>653</v>
      </c>
      <c r="AH24" s="349" t="s">
        <v>648</v>
      </c>
      <c r="AI24" s="349" t="s">
        <v>654</v>
      </c>
      <c r="AJ24" s="349" t="s">
        <v>656</v>
      </c>
      <c r="AK24" s="349" t="s">
        <v>645</v>
      </c>
      <c r="AL24" s="349" t="s">
        <v>657</v>
      </c>
      <c r="AM24" s="349" t="s">
        <v>658</v>
      </c>
      <c r="AN24" s="349" t="s">
        <v>695</v>
      </c>
      <c r="AO24" s="349" t="s">
        <v>531</v>
      </c>
      <c r="AP24" s="349" t="s">
        <v>467</v>
      </c>
      <c r="AQ24" s="349" t="s">
        <v>659</v>
      </c>
      <c r="BA24" s="369"/>
      <c r="BB24" s="442" t="b">
        <f>AND(AVERAGE(BC25:BC28)=MAX(BC25:BC28),AVERAGE(BD25:BD28)=MAX(BD25:BD28))</f>
        <v>1</v>
      </c>
      <c r="BC24" s="371"/>
      <c r="BD24" s="369"/>
      <c r="BE24" s="369"/>
      <c r="BF24" s="369"/>
      <c r="BI24" s="314"/>
      <c r="BK24" s="324"/>
      <c r="BL24" s="324"/>
      <c r="BM24" s="324"/>
      <c r="BN24" s="361">
        <f>IF(BM25=0,"xxx",VLOOKUP(BM25,BK25:BL28,2,FALSE))</f>
        <v>0</v>
      </c>
      <c r="BQ24" s="361" t="str">
        <f>IF(BM26=0,"xxx",VLOOKUP(BM26,BK25:BL28,2,FALSE))</f>
        <v>xxx</v>
      </c>
      <c r="BU24" s="349" t="s">
        <v>652</v>
      </c>
      <c r="BV24" s="349" t="s">
        <v>658</v>
      </c>
      <c r="BW24" s="349" t="s">
        <v>648</v>
      </c>
      <c r="BX24" s="349" t="s">
        <v>656</v>
      </c>
      <c r="BY24" s="349" t="s">
        <v>697</v>
      </c>
      <c r="BZ24" s="349" t="s">
        <v>696</v>
      </c>
      <c r="CA24" s="349" t="s">
        <v>695</v>
      </c>
    </row>
    <row r="25" spans="2:90" ht="18.75" customHeight="1" x14ac:dyDescent="0.3">
      <c r="AA25" s="323" t="str">
        <f>VLOOKUP(AB25,groupph,2,FALSE)</f>
        <v>Anglia</v>
      </c>
      <c r="AB25" s="332">
        <f>LARGE(AD25:AD28,BJ25)</f>
        <v>1.9999999999999985E-4</v>
      </c>
      <c r="AC25" s="333">
        <v>1</v>
      </c>
      <c r="AD25" s="334">
        <f>AM25*1000000+AL25*1000+AJ25*10+AN25+AO25+AG25/10+AP25+AQ25</f>
        <v>1.9999999999999985E-4</v>
      </c>
      <c r="AE25" s="331" t="str">
        <f>Adatok!D2</f>
        <v>Anglia</v>
      </c>
      <c r="AF25" s="327">
        <f>AG25+AH25+AI25</f>
        <v>0</v>
      </c>
      <c r="AG25" s="327">
        <f>COUNTIF(win.g,$AE25)</f>
        <v>0</v>
      </c>
      <c r="AH25" s="327">
        <f>COUNTIF(draw.g,$AE25)</f>
        <v>0</v>
      </c>
      <c r="AI25" s="327">
        <f>COUNTIF(loss.g,$AE25)</f>
        <v>0</v>
      </c>
      <c r="AJ25" s="327">
        <f>SUMIF(home.g,$AE25,hf.g)+SUMIF(away.g,$AE25,af.g)</f>
        <v>0</v>
      </c>
      <c r="AK25" s="327">
        <f>SUMIF(home.g,$AE25,ha.g)+SUMIF(away.g,$AE25,aa.g)</f>
        <v>0</v>
      </c>
      <c r="AL25" s="327">
        <f>AJ25-AK25</f>
        <v>0</v>
      </c>
      <c r="AM25" s="327">
        <f>AG25*3+AH25</f>
        <v>0</v>
      </c>
      <c r="AN25" s="337">
        <f>IF(AF25=3,IF(ISNUMBER(CA25),CA25,0),0)</f>
        <v>0</v>
      </c>
      <c r="AO25" s="337">
        <f>IF(COUNTIF(tie.3rdmw,AE25)&gt;0,1,0)</f>
        <v>0</v>
      </c>
      <c r="AP25" s="397">
        <f>IF(COUNTIF(tie.sp,AE25)&gt;0,0.04-MATCH(AE25,tie.sp,0)/100,0)</f>
        <v>0</v>
      </c>
      <c r="AQ25" s="336">
        <f>AQ22-0.00001</f>
        <v>1.9999999999999985E-4</v>
      </c>
      <c r="AU25" s="326" t="str">
        <f>BJ25&amp;AE24</f>
        <v>1D</v>
      </c>
      <c r="AV25" s="326" t="str">
        <f>IF(AB24,AA25,AE24&amp;" csoport "&amp;BJ25&amp;". hely")</f>
        <v>D csoport 1. hely</v>
      </c>
      <c r="AW25" s="327">
        <f>IF(ISNA(VLOOKUP(AV25,ekiscore,2,FALSE)),-10,VLOOKUP(AV25,ekiscore,2,FALSE))</f>
        <v>0</v>
      </c>
      <c r="BA25" s="440" t="str">
        <f>IF(BB25="","",IF(BB24,BB25,""))</f>
        <v/>
      </c>
      <c r="BB25" s="440" t="str">
        <f>IF(BP27="",BN25&amp;BN26&amp;BN27&amp;BN28,"")</f>
        <v/>
      </c>
      <c r="BC25" s="440">
        <f>IF(BN25="","",VLOOKUP(BN25,grouptable,6,FALSE))</f>
        <v>0</v>
      </c>
      <c r="BD25" s="440">
        <f>IF(BN25="","",VLOOKUP(BN25,grouptable,7,FALSE))</f>
        <v>0</v>
      </c>
      <c r="BE25" s="441" t="str">
        <f>IF(BQ25="","",VLOOKUP(BQ25,grouptable,6,FALSE))</f>
        <v/>
      </c>
      <c r="BF25" s="441" t="str">
        <f>IF(BQ25="","",VLOOKUP(BQ25,grouptable,7,FALSE))</f>
        <v/>
      </c>
      <c r="BI25" s="314"/>
      <c r="BJ25" s="325">
        <v>1</v>
      </c>
      <c r="BK25" s="338">
        <f>COUNTIF(AM25:AM28,BL25)+BJ25/10</f>
        <v>4.0999999999999996</v>
      </c>
      <c r="BL25" s="311">
        <f>LARGE(AM25:AM28,BJ25)</f>
        <v>0</v>
      </c>
      <c r="BM25" s="311">
        <f>IF(LARGE(BK25:BK28,BJ25)&lt;2,0,LARGE(BK25:BK28,BJ25))</f>
        <v>4.0999999999999996</v>
      </c>
      <c r="BN25" s="310" t="str">
        <f>IF(AM25=BN24,AE25,"")</f>
        <v>Anglia</v>
      </c>
      <c r="BO25" s="311">
        <f>IF(BN25="","",BJ25)</f>
        <v>1</v>
      </c>
      <c r="BP25" s="311">
        <f>IF(ISERR(LARGE(BO25:BO28,BJ25)),"",LARGE(BO25:BO28,BJ25))</f>
        <v>4</v>
      </c>
      <c r="BQ25" s="310" t="str">
        <f>IF(AM25=BQ24,AE25,"")</f>
        <v/>
      </c>
      <c r="BR25" s="311" t="str">
        <f>IF(BQ25="","",BJ25)</f>
        <v/>
      </c>
      <c r="BS25" s="311" t="str">
        <f>IF(ISERR(LARGE(BR25:BR28,BJ25)),"",LARGE(BR25:BR28,BJ25))</f>
        <v/>
      </c>
      <c r="BU25" s="309" t="str">
        <f>AE25</f>
        <v>Anglia</v>
      </c>
      <c r="BV25" s="311">
        <f>COUNTIF($CG$7:$CG$124,BU25)*3+COUNTIF($CH$7:$CI$124,BU25)</f>
        <v>0</v>
      </c>
      <c r="BW25" s="311">
        <f>BX25-SUMIF($CE$7:$CE$124,BU25,$CK$7:$CK$124)-SUMIF($CL$7:$CL$124,BU25,$CJ$7:$CJ$124)</f>
        <v>0</v>
      </c>
      <c r="BX25" s="311">
        <f>SUMIF($CE$7:$CE$124,BU25,$CJ$7:$CJ$124)+SUMIF($CL$7:$CL$124,BU25,$CK$7:$CK$124)</f>
        <v>0</v>
      </c>
      <c r="BY25" s="311">
        <f>BV25*1000000+BW25*1000+BX25</f>
        <v>0</v>
      </c>
      <c r="BZ25" s="311">
        <f>RANK(BY25,BY25:BY28,1)</f>
        <v>1</v>
      </c>
      <c r="CA25" s="311">
        <f>BZ25*100000</f>
        <v>100000</v>
      </c>
    </row>
    <row r="26" spans="2:90" ht="18.75" customHeight="1" x14ac:dyDescent="0.3">
      <c r="AA26" s="323" t="str">
        <f>VLOOKUP(AB26,groupph,2,FALSE)</f>
        <v>Horvátország</v>
      </c>
      <c r="AB26" s="334">
        <f>LARGE(AD25:AD28,BJ26)</f>
        <v>1.8999999999999985E-4</v>
      </c>
      <c r="AC26" s="337">
        <f>IF(ABS(AB25-AB26)&lt;0.0005,AC25,BJ26)</f>
        <v>1</v>
      </c>
      <c r="AD26" s="334">
        <f>AM26*1000000+AL26*1000+AJ26*10+AN26+AO26+AG26/10+AP26+AQ26</f>
        <v>1.8999999999999985E-4</v>
      </c>
      <c r="AE26" s="331" t="str">
        <f>Adatok!D3</f>
        <v>Horvátország</v>
      </c>
      <c r="AF26" s="327">
        <f>AG26+AH26+AI26</f>
        <v>0</v>
      </c>
      <c r="AG26" s="327">
        <f>COUNTIF(win.g,$AE26)</f>
        <v>0</v>
      </c>
      <c r="AH26" s="327">
        <f>COUNTIF(draw.g,$AE26)</f>
        <v>0</v>
      </c>
      <c r="AI26" s="327">
        <f>COUNTIF(loss.g,$AE26)</f>
        <v>0</v>
      </c>
      <c r="AJ26" s="327">
        <f>SUMIF(home.g,$AE26,hf.g)+SUMIF(away.g,$AE26,af.g)</f>
        <v>0</v>
      </c>
      <c r="AK26" s="327">
        <f>SUMIF(home.g,$AE26,ha.g)+SUMIF(away.g,$AE26,aa.g)</f>
        <v>0</v>
      </c>
      <c r="AL26" s="327">
        <f>AJ26-AK26</f>
        <v>0</v>
      </c>
      <c r="AM26" s="327">
        <f>AG26*3+AH26</f>
        <v>0</v>
      </c>
      <c r="AN26" s="337">
        <f>IF(AF26=3,IF(ISNUMBER(CA26),CA26,0),0)</f>
        <v>0</v>
      </c>
      <c r="AO26" s="337">
        <f>IF(COUNTIF(tie.3rdmw,AE26)&gt;0,1,0)</f>
        <v>0</v>
      </c>
      <c r="AP26" s="397">
        <f>IF(COUNTIF(tie.sp,AE26)&gt;0,0.04-MATCH(AE26,tie.sp,0)/100,0)</f>
        <v>0</v>
      </c>
      <c r="AQ26" s="336">
        <f>AQ25-0.00001</f>
        <v>1.8999999999999985E-4</v>
      </c>
      <c r="AU26" s="326" t="str">
        <f>BJ26&amp;AE24</f>
        <v>2D</v>
      </c>
      <c r="AV26" s="326" t="str">
        <f>IF(AB24,AA26,AE24&amp;" csoport "&amp;BJ26&amp;". hely")</f>
        <v>D csoport 2. hely</v>
      </c>
      <c r="AW26" s="327">
        <f>IF(ISNA(VLOOKUP(AV26,ekiscore,2,FALSE)),-10,VLOOKUP(AV26,ekiscore,2,FALSE))</f>
        <v>0</v>
      </c>
      <c r="BA26" s="440" t="str">
        <f>IF(BB26="","",IF(BB24,BB26,""))</f>
        <v/>
      </c>
      <c r="BB26" s="440" t="str">
        <f>IF(BP27="",BN28&amp;BN27&amp;BN26&amp;BN25,"")</f>
        <v/>
      </c>
      <c r="BC26" s="440">
        <f>IF(BN26="","",VLOOKUP(BN26,grouptable,6,FALSE))</f>
        <v>0</v>
      </c>
      <c r="BD26" s="440">
        <f>IF(BN26="","",VLOOKUP(BN26,grouptable,7,FALSE))</f>
        <v>0</v>
      </c>
      <c r="BE26" s="441" t="str">
        <f>IF(BQ26="","",VLOOKUP(BQ26,grouptable,6,FALSE))</f>
        <v/>
      </c>
      <c r="BF26" s="441" t="str">
        <f>IF(BQ26="","",VLOOKUP(BQ26,grouptable,7,FALSE))</f>
        <v/>
      </c>
      <c r="BJ26" s="325">
        <v>2</v>
      </c>
      <c r="BK26" s="338">
        <f>IF(BL26=BL25,0,COUNTIF(AM25:AM28,BL26)+BJ26/10)</f>
        <v>0</v>
      </c>
      <c r="BL26" s="311">
        <f>LARGE(AM25:AM28,BJ26)</f>
        <v>0</v>
      </c>
      <c r="BM26" s="311">
        <f>IF(LARGE(BK25:BK28,BJ26)&lt;2,0,LARGE(BK25:BK28,BJ26))</f>
        <v>0</v>
      </c>
      <c r="BN26" s="310" t="str">
        <f>IF(AM26=BN24,AE26,"")</f>
        <v>Horvátország</v>
      </c>
      <c r="BO26" s="311">
        <f>IF(BN26="","",BJ26)</f>
        <v>2</v>
      </c>
      <c r="BP26" s="311">
        <f>IF(ISERR(LARGE(BO25:BO28,BJ26)),"",LARGE(BO25:BO28,BJ26))</f>
        <v>3</v>
      </c>
      <c r="BQ26" s="310" t="str">
        <f>IF(AM26=BQ24,AE26,"")</f>
        <v/>
      </c>
      <c r="BR26" s="311" t="str">
        <f>IF(BQ26="","",BJ26)</f>
        <v/>
      </c>
      <c r="BS26" s="311" t="str">
        <f>IF(ISERR(LARGE(BR25:BR28,BJ26)),"",LARGE(BR25:BR28,BJ26))</f>
        <v/>
      </c>
      <c r="BU26" s="309" t="str">
        <f>AE26</f>
        <v>Horvátország</v>
      </c>
      <c r="BV26" s="311">
        <f>COUNTIF($CG$7:$CG$124,BU26)*3+COUNTIF($CH$7:$CI$124,BU26)</f>
        <v>0</v>
      </c>
      <c r="BW26" s="311">
        <f>BX26-SUMIF($CE$7:$CE$124,BU26,$CK$7:$CK$124)-SUMIF($CL$7:$CL$124,BU26,$CJ$7:$CJ$124)</f>
        <v>0</v>
      </c>
      <c r="BX26" s="311">
        <f>SUMIF($CE$7:$CE$124,BU26,$CJ$7:$CJ$124)+SUMIF($CL$7:$CL$124,BU26,$CK$7:$CK$124)</f>
        <v>0</v>
      </c>
      <c r="BY26" s="311">
        <f>BV26*1000000+BW26*1000+BX26</f>
        <v>0</v>
      </c>
      <c r="BZ26" s="311">
        <f>RANK(BY26,BY25:BY28,1)</f>
        <v>1</v>
      </c>
      <c r="CA26" s="311">
        <f>BZ26*100000</f>
        <v>100000</v>
      </c>
      <c r="CE26" s="303"/>
      <c r="CF26" s="355" t="s">
        <v>808</v>
      </c>
      <c r="CG26" s="356" t="s">
        <v>653</v>
      </c>
      <c r="CH26" s="356" t="s">
        <v>648</v>
      </c>
      <c r="CI26" s="357"/>
      <c r="CJ26" s="355" t="s">
        <v>656</v>
      </c>
      <c r="CK26" s="355" t="s">
        <v>645</v>
      </c>
      <c r="CL26" s="303"/>
    </row>
    <row r="27" spans="2:90" ht="18.75" customHeight="1" x14ac:dyDescent="0.3">
      <c r="AA27" s="323" t="str">
        <f>VLOOKUP(AB27,groupph,2,FALSE)</f>
        <v>Skócia</v>
      </c>
      <c r="AB27" s="334">
        <f>LARGE(AD25:AD28,BJ27)</f>
        <v>1.7999999999999985E-4</v>
      </c>
      <c r="AC27" s="337">
        <f>IF(ABS(AB26-AB27)&lt;0.0005,AC26,BJ27)</f>
        <v>1</v>
      </c>
      <c r="AD27" s="334">
        <f>AM27*1000000+AL27*1000+AJ27*10+AN27+AO27+AG27/10+AP27+AQ27</f>
        <v>1.7999999999999985E-4</v>
      </c>
      <c r="AE27" s="331" t="str">
        <f>Adatok!D4</f>
        <v>Skócia</v>
      </c>
      <c r="AF27" s="327">
        <f>AG27+AH27+AI27</f>
        <v>0</v>
      </c>
      <c r="AG27" s="327">
        <f>COUNTIF(win.g,$AE27)</f>
        <v>0</v>
      </c>
      <c r="AH27" s="327">
        <f>COUNTIF(draw.g,$AE27)</f>
        <v>0</v>
      </c>
      <c r="AI27" s="327">
        <f>COUNTIF(loss.g,$AE27)</f>
        <v>0</v>
      </c>
      <c r="AJ27" s="327">
        <f>SUMIF(home.g,$AE27,hf.g)+SUMIF(away.g,$AE27,af.g)</f>
        <v>0</v>
      </c>
      <c r="AK27" s="327">
        <f>SUMIF(home.g,$AE27,ha.g)+SUMIF(away.g,$AE27,aa.g)</f>
        <v>0</v>
      </c>
      <c r="AL27" s="327">
        <f>AJ27-AK27</f>
        <v>0</v>
      </c>
      <c r="AM27" s="327">
        <f>AG27*3+AH27</f>
        <v>0</v>
      </c>
      <c r="AN27" s="337">
        <f>IF(AF27=3,IF(ISNUMBER(CA27),CA27,0),0)</f>
        <v>0</v>
      </c>
      <c r="AO27" s="337">
        <f>IF(COUNTIF(tie.3rdmw,AE27)&gt;0,1,0)</f>
        <v>0</v>
      </c>
      <c r="AP27" s="397">
        <f>IF(COUNTIF(tie.sp,AE27)&gt;0,0.04-MATCH(AE27,tie.sp,0)/100,0)</f>
        <v>0</v>
      </c>
      <c r="AQ27" s="336">
        <f>AQ26-0.00001</f>
        <v>1.7999999999999985E-4</v>
      </c>
      <c r="AU27" s="326" t="str">
        <f>BJ27&amp;AE24</f>
        <v>3D</v>
      </c>
      <c r="AV27" s="326" t="str">
        <f>IF(AB24,AA27,AE24&amp;" csoport "&amp;BJ27&amp;". hely")</f>
        <v>D csoport 3. hely</v>
      </c>
      <c r="AW27" s="327">
        <f>IF(ISNA(VLOOKUP(AV27,ekiscore,2,FALSE)),-10,VLOOKUP(AV27,ekiscore,2,FALSE))</f>
        <v>-10</v>
      </c>
      <c r="BA27" s="441" t="str">
        <f>IF(BB27="","",IF(BB29,BB27,""))</f>
        <v/>
      </c>
      <c r="BB27" s="441" t="str">
        <f>BQ25&amp;BQ26&amp;BQ27&amp;BQ28</f>
        <v/>
      </c>
      <c r="BC27" s="440">
        <f>IF(BN27="","",VLOOKUP(BN27,grouptable,6,FALSE))</f>
        <v>0</v>
      </c>
      <c r="BD27" s="440">
        <f>IF(BN27="","",VLOOKUP(BN27,grouptable,7,FALSE))</f>
        <v>0</v>
      </c>
      <c r="BE27" s="441" t="str">
        <f>IF(BQ27="","",VLOOKUP(BQ27,grouptable,6,FALSE))</f>
        <v/>
      </c>
      <c r="BF27" s="441" t="str">
        <f>IF(BQ27="","",VLOOKUP(BQ27,grouptable,7,FALSE))</f>
        <v/>
      </c>
      <c r="BJ27" s="325">
        <v>3</v>
      </c>
      <c r="BK27" s="338">
        <f>IF(BL27=BL26,0,COUNTIF(AM25:AM28,BL27)+BJ27/10)</f>
        <v>0</v>
      </c>
      <c r="BL27" s="311">
        <f>LARGE(AM25:AM28,BJ27)</f>
        <v>0</v>
      </c>
      <c r="BM27" s="303"/>
      <c r="BN27" s="310" t="str">
        <f>IF(AM27=BN24,AE27,"")</f>
        <v>Skócia</v>
      </c>
      <c r="BO27" s="311">
        <f>IF(BN27="","",BJ27)</f>
        <v>3</v>
      </c>
      <c r="BP27" s="311">
        <f>IF(ISERR(LARGE(BO25:BO28,BJ27)),"",LARGE(BO25:BO28,BJ27))</f>
        <v>2</v>
      </c>
      <c r="BQ27" s="310" t="str">
        <f>IF(AM27=BQ24,AE27,"")</f>
        <v/>
      </c>
      <c r="BR27" s="311" t="str">
        <f>IF(BQ27="","",BJ27)</f>
        <v/>
      </c>
      <c r="BS27" s="303"/>
      <c r="BU27" s="309" t="str">
        <f>AE27</f>
        <v>Skócia</v>
      </c>
      <c r="BV27" s="311">
        <f>COUNTIF($CG$7:$CG$124,BU27)*3+COUNTIF($CH$7:$CI$124,BU27)</f>
        <v>0</v>
      </c>
      <c r="BW27" s="311">
        <f>BX27-SUMIF($CE$7:$CE$124,BU27,$CK$7:$CK$124)-SUMIF($CL$7:$CL$124,BU27,$CJ$7:$CJ$124)</f>
        <v>0</v>
      </c>
      <c r="BX27" s="311">
        <f>SUMIF($CE$7:$CE$124,BU27,$CJ$7:$CJ$124)+SUMIF($CL$7:$CL$124,BU27,$CK$7:$CK$124)</f>
        <v>0</v>
      </c>
      <c r="BY27" s="311">
        <f>BV27*1000000+BW27*1000+BX27</f>
        <v>0</v>
      </c>
      <c r="BZ27" s="311">
        <f>RANK(BY27,BY25:BY28,1)</f>
        <v>1</v>
      </c>
      <c r="CA27" s="311">
        <f>BZ27*100000</f>
        <v>100000</v>
      </c>
      <c r="CE27" s="309" t="str">
        <f>IF(BP13="","",VLOOKUP(BP13,BJ13:BS16,5,FALSE))</f>
        <v>Oroszország</v>
      </c>
      <c r="CF27" s="310" t="str">
        <f>IF(OR(CE27="",CL27="",CE27=CL27),"",IF(COUNTIF(groupm,CONCATENATE(CE27,CL27))=0,"",CONCATENATE(CE27,CL27)))</f>
        <v/>
      </c>
      <c r="CG27" s="310" t="str">
        <f>IF(CF27="","",VLOOKUP(CF27,groupm,3,FALSE))</f>
        <v/>
      </c>
      <c r="CH27" s="339" t="str">
        <f>IF(CF27="","",VLOOKUP(CF27,groupm,4,FALSE))</f>
        <v/>
      </c>
      <c r="CI27" s="339" t="str">
        <f>IF(CF27="","",VLOOKUP(CF27,groupm,5,FALSE))</f>
        <v/>
      </c>
      <c r="CJ27" s="311" t="str">
        <f>IF(CF27="","",VLOOKUP(CF27,groupm,8,FALSE))</f>
        <v/>
      </c>
      <c r="CK27" s="311" t="str">
        <f>IF(CF27="","",VLOOKUP(CF27,groupm,9,FALSE))</f>
        <v/>
      </c>
      <c r="CL27" s="309" t="str">
        <f>CE27</f>
        <v>Oroszország</v>
      </c>
    </row>
    <row r="28" spans="2:90" ht="18.75" customHeight="1" x14ac:dyDescent="0.3">
      <c r="AA28" s="323" t="str">
        <f>VLOOKUP(AB28,groupph,2,FALSE)</f>
        <v>Csehország</v>
      </c>
      <c r="AB28" s="334">
        <f>LARGE(AD25:AD28,BJ28)</f>
        <v>1.6999999999999985E-4</v>
      </c>
      <c r="AC28" s="337">
        <f>IF(ABS(AB27-AB28)&lt;0.0005,AC27,BJ28)</f>
        <v>1</v>
      </c>
      <c r="AD28" s="334">
        <f>AM28*1000000+AL28*1000+AJ28*10+AN28+AO28+AG28/10+AP28+AQ28</f>
        <v>1.6999999999999985E-4</v>
      </c>
      <c r="AE28" s="331" t="str">
        <f>Adatok!D5</f>
        <v>Csehország</v>
      </c>
      <c r="AF28" s="327">
        <f>AG28+AH28+AI28</f>
        <v>0</v>
      </c>
      <c r="AG28" s="327">
        <f>COUNTIF(win.g,$AE28)</f>
        <v>0</v>
      </c>
      <c r="AH28" s="327">
        <f>COUNTIF(draw.g,$AE28)</f>
        <v>0</v>
      </c>
      <c r="AI28" s="327">
        <f>COUNTIF(loss.g,$AE28)</f>
        <v>0</v>
      </c>
      <c r="AJ28" s="327">
        <f>SUMIF(home.g,$AE28,hf.g)+SUMIF(away.g,$AE28,af.g)</f>
        <v>0</v>
      </c>
      <c r="AK28" s="327">
        <f>SUMIF(home.g,$AE28,ha.g)+SUMIF(away.g,$AE28,aa.g)</f>
        <v>0</v>
      </c>
      <c r="AL28" s="327">
        <f>AJ28-AK28</f>
        <v>0</v>
      </c>
      <c r="AM28" s="327">
        <f>AG28*3+AH28</f>
        <v>0</v>
      </c>
      <c r="AN28" s="337">
        <f>IF(AF28=3,IF(ISNUMBER(CA28),CA28,0),0)</f>
        <v>0</v>
      </c>
      <c r="AO28" s="337">
        <f>IF(COUNTIF(tie.3rdmw,AE28)&gt;0,1,0)</f>
        <v>0</v>
      </c>
      <c r="AP28" s="397">
        <f>IF(COUNTIF(tie.sp,AE28)&gt;0,0.04-MATCH(AE28,tie.sp,0)/100,0)</f>
        <v>0</v>
      </c>
      <c r="AQ28" s="336">
        <f>AQ27-0.00001</f>
        <v>1.6999999999999985E-4</v>
      </c>
      <c r="AU28" s="326" t="str">
        <f>BJ28&amp;AE24</f>
        <v>4D</v>
      </c>
      <c r="AV28" s="326" t="str">
        <f>IF(AB24,AA28,AE24&amp;" csoport "&amp;BJ28&amp;". hely")</f>
        <v>D csoport 4. hely</v>
      </c>
      <c r="AW28" s="327">
        <f>IF(ISNA(VLOOKUP(AV28,ekiscore,2,FALSE)),-10,VLOOKUP(AV28,ekiscore,2,FALSE))</f>
        <v>-10</v>
      </c>
      <c r="BA28" s="441" t="str">
        <f>IF(BB28="","",IF(BB29,BB28,""))</f>
        <v/>
      </c>
      <c r="BB28" s="441" t="str">
        <f>BQ28&amp;BQ27&amp;BQ26&amp;BQ25</f>
        <v/>
      </c>
      <c r="BC28" s="440">
        <f>IF(BN28="","",VLOOKUP(BN28,grouptable,6,FALSE))</f>
        <v>0</v>
      </c>
      <c r="BD28" s="440">
        <f>IF(BN28="","",VLOOKUP(BN28,grouptable,7,FALSE))</f>
        <v>0</v>
      </c>
      <c r="BE28" s="441" t="str">
        <f>IF(BQ28="","",VLOOKUP(BQ28,grouptable,6,FALSE))</f>
        <v/>
      </c>
      <c r="BF28" s="441" t="str">
        <f>IF(BQ28="","",VLOOKUP(BQ28,grouptable,7,FALSE))</f>
        <v/>
      </c>
      <c r="BJ28" s="325">
        <v>4</v>
      </c>
      <c r="BK28" s="338">
        <f>IF(BL28=BL27,0,COUNTIF(AM25:AM28,BL28)+BJ28/10)</f>
        <v>0</v>
      </c>
      <c r="BL28" s="311">
        <f>LARGE(AM25:AM28,BJ28)</f>
        <v>0</v>
      </c>
      <c r="BM28" s="303"/>
      <c r="BN28" s="339" t="str">
        <f>IF(AM28=BN24,AE28,"")</f>
        <v>Csehország</v>
      </c>
      <c r="BO28" s="340">
        <f>IF(BN28="","",BJ28)</f>
        <v>4</v>
      </c>
      <c r="BP28" s="303"/>
      <c r="BQ28" s="339" t="str">
        <f>IF(AM28=BQ24,AE28,"")</f>
        <v/>
      </c>
      <c r="BR28" s="340" t="str">
        <f>IF(BQ28="","",BJ28)</f>
        <v/>
      </c>
      <c r="BS28" s="303"/>
      <c r="BU28" s="309" t="str">
        <f>AE28</f>
        <v>Csehország</v>
      </c>
      <c r="BV28" s="311">
        <f>COUNTIF($CG$7:$CG$124,BU28)*3+COUNTIF($CH$7:$CI$124,BU28)</f>
        <v>0</v>
      </c>
      <c r="BW28" s="311">
        <f>BX28-SUMIF($CE$7:$CE$124,BU28,$CK$7:$CK$124)-SUMIF($CL$7:$CL$124,BU28,$CJ$7:$CJ$124)</f>
        <v>0</v>
      </c>
      <c r="BX28" s="311">
        <f>SUMIF($CE$7:$CE$124,BU28,$CJ$7:$CJ$124)+SUMIF($CL$7:$CL$124,BU28,$CK$7:$CK$124)</f>
        <v>0</v>
      </c>
      <c r="BY28" s="311">
        <f>BV28*1000000+BW28*1000+BX28</f>
        <v>0</v>
      </c>
      <c r="BZ28" s="311">
        <f>RANK(BY28,BY25:BY28,1)</f>
        <v>1</v>
      </c>
      <c r="CA28" s="311">
        <f>BZ28*100000</f>
        <v>100000</v>
      </c>
      <c r="CE28" s="309" t="str">
        <f>IF(BP14="","",VLOOKUP(BP14,BJ13:BS16,5,FALSE))</f>
        <v>Belgium</v>
      </c>
      <c r="CF28" s="310" t="str">
        <f>IF(OR(CE28="",CL28="",CE28=CL28),"",IF(COUNTIF(groupm,CONCATENATE(CE28,CL28))=0,"",CONCATENATE(CE28,CL28)))</f>
        <v>BelgiumOroszország</v>
      </c>
      <c r="CG28" s="310" t="str">
        <f>IF(CF28="","",VLOOKUP(CF28,groupm,3,FALSE))</f>
        <v/>
      </c>
      <c r="CH28" s="339" t="str">
        <f>IF(CF28="","",VLOOKUP(CF28,groupm,4,FALSE))</f>
        <v/>
      </c>
      <c r="CI28" s="339" t="str">
        <f>IF(CF28="","",VLOOKUP(CF28,groupm,5,FALSE))</f>
        <v/>
      </c>
      <c r="CJ28" s="311" t="str">
        <f>IF(CF28="","",VLOOKUP(CF28,groupm,8,FALSE))</f>
        <v/>
      </c>
      <c r="CK28" s="311" t="str">
        <f>IF(CF28="","",VLOOKUP(CF28,groupm,9,FALSE))</f>
        <v/>
      </c>
      <c r="CL28" s="309" t="str">
        <f>CL27</f>
        <v>Oroszország</v>
      </c>
    </row>
    <row r="29" spans="2:90" ht="18.75" customHeight="1" x14ac:dyDescent="0.3">
      <c r="BA29" s="370"/>
      <c r="BB29" s="443" t="e">
        <f>AND(AVERAGE(BE25:BE28)=MAX(BE25:BE28),AVERAGE(BF25:BF28)=MAX(BF25:BF28))</f>
        <v>#DIV/0!</v>
      </c>
      <c r="BC29" s="370"/>
      <c r="BD29" s="370"/>
      <c r="BE29" s="370"/>
      <c r="BF29" s="370"/>
      <c r="CE29" s="309" t="str">
        <f>IF(BP15="","",VLOOKUP(BP15,BJ13:BS16,5,FALSE))</f>
        <v>Finnország</v>
      </c>
      <c r="CF29" s="310" t="str">
        <f>IF(OR(CE29="",CL29="",CE29=CL29),"",IF(COUNTIF(groupm,CONCATENATE(CE29,CL29))=0,"",CONCATENATE(CE29,CL29)))</f>
        <v>FinnországOroszország</v>
      </c>
      <c r="CG29" s="310" t="str">
        <f>IF(CF29="","",VLOOKUP(CF29,groupm,3,FALSE))</f>
        <v/>
      </c>
      <c r="CH29" s="339" t="str">
        <f>IF(CF29="","",VLOOKUP(CF29,groupm,4,FALSE))</f>
        <v/>
      </c>
      <c r="CI29" s="339" t="str">
        <f>IF(CF29="","",VLOOKUP(CF29,groupm,5,FALSE))</f>
        <v/>
      </c>
      <c r="CJ29" s="311" t="str">
        <f>IF(CF29="","",VLOOKUP(CF29,groupm,8,FALSE))</f>
        <v/>
      </c>
      <c r="CK29" s="311" t="str">
        <f>IF(CF29="","",VLOOKUP(CF29,groupm,9,FALSE))</f>
        <v/>
      </c>
      <c r="CL29" s="309" t="str">
        <f>CL28</f>
        <v>Oroszország</v>
      </c>
    </row>
    <row r="30" spans="2:90" ht="18.75" customHeight="1" x14ac:dyDescent="0.3">
      <c r="AB30" s="329" t="b">
        <f>SUM(AF31:AF34)=12</f>
        <v>0</v>
      </c>
      <c r="AC30" s="330"/>
      <c r="AD30" s="341" t="s">
        <v>660</v>
      </c>
      <c r="AE30" s="342" t="s">
        <v>809</v>
      </c>
      <c r="AF30" s="343" t="s">
        <v>655</v>
      </c>
      <c r="AG30" s="343" t="s">
        <v>653</v>
      </c>
      <c r="AH30" s="343" t="s">
        <v>648</v>
      </c>
      <c r="AI30" s="343" t="s">
        <v>654</v>
      </c>
      <c r="AJ30" s="343" t="s">
        <v>656</v>
      </c>
      <c r="AK30" s="343" t="s">
        <v>645</v>
      </c>
      <c r="AL30" s="343" t="s">
        <v>657</v>
      </c>
      <c r="AM30" s="343" t="s">
        <v>658</v>
      </c>
      <c r="AN30" s="343" t="s">
        <v>695</v>
      </c>
      <c r="AO30" s="343" t="s">
        <v>531</v>
      </c>
      <c r="AP30" s="343" t="s">
        <v>467</v>
      </c>
      <c r="AQ30" s="343" t="s">
        <v>659</v>
      </c>
      <c r="BA30" s="369"/>
      <c r="BB30" s="442" t="b">
        <f>AND(AVERAGE(BC31:BC34)=MAX(BC31:BC34),AVERAGE(BD31:BD34)=MAX(BD31:BD34))</f>
        <v>1</v>
      </c>
      <c r="BC30" s="371"/>
      <c r="BD30" s="369"/>
      <c r="BE30" s="369"/>
      <c r="BF30" s="369"/>
      <c r="BK30" s="324"/>
      <c r="BL30" s="324"/>
      <c r="BM30" s="324"/>
      <c r="BN30" s="366">
        <f>IF(BM31=0,"xxx",VLOOKUP(BM31,BK31:BL34,2,FALSE))</f>
        <v>0</v>
      </c>
      <c r="BQ30" s="366" t="str">
        <f>IF(BM32=0,"xxx",VLOOKUP(BM32,BK31:BL34,2,FALSE))</f>
        <v>xxx</v>
      </c>
      <c r="BU30" s="343" t="s">
        <v>809</v>
      </c>
      <c r="BV30" s="343" t="s">
        <v>658</v>
      </c>
      <c r="BW30" s="343" t="s">
        <v>648</v>
      </c>
      <c r="BX30" s="343" t="s">
        <v>656</v>
      </c>
      <c r="BY30" s="343" t="s">
        <v>697</v>
      </c>
      <c r="BZ30" s="343" t="s">
        <v>696</v>
      </c>
      <c r="CA30" s="343" t="s">
        <v>695</v>
      </c>
      <c r="CE30" s="303"/>
      <c r="CF30" s="355" t="s">
        <v>808</v>
      </c>
      <c r="CG30" s="356" t="s">
        <v>653</v>
      </c>
      <c r="CH30" s="356" t="s">
        <v>648</v>
      </c>
      <c r="CI30" s="357"/>
      <c r="CJ30" s="355" t="s">
        <v>656</v>
      </c>
      <c r="CK30" s="355" t="s">
        <v>645</v>
      </c>
      <c r="CL30" s="303"/>
    </row>
    <row r="31" spans="2:90" ht="18.75" customHeight="1" x14ac:dyDescent="0.3">
      <c r="AA31" s="323" t="str">
        <f>VLOOKUP(AB31,groupph,2,FALSE)</f>
        <v>Spanyolország</v>
      </c>
      <c r="AB31" s="332">
        <f>LARGE(AD31:AD34,BJ31)</f>
        <v>1.5999999999999985E-4</v>
      </c>
      <c r="AC31" s="333">
        <v>1</v>
      </c>
      <c r="AD31" s="334">
        <f>AM31*1000000+AL31*1000+AJ31*10+AN31+AO31+AG31/10+AP31+AQ31</f>
        <v>1.5999999999999985E-4</v>
      </c>
      <c r="AE31" s="331" t="str">
        <f>Adatok!E2</f>
        <v>Spanyolország</v>
      </c>
      <c r="AF31" s="327">
        <f>AG31+AH31+AI31</f>
        <v>0</v>
      </c>
      <c r="AG31" s="327">
        <f>COUNTIF(win.g,$AE31)</f>
        <v>0</v>
      </c>
      <c r="AH31" s="327">
        <f>COUNTIF(draw.g,$AE31)</f>
        <v>0</v>
      </c>
      <c r="AI31" s="327">
        <f>COUNTIF(loss.g,$AE31)</f>
        <v>0</v>
      </c>
      <c r="AJ31" s="327">
        <f>SUMIF(home.g,$AE31,hf.g)+SUMIF(away.g,$AE31,af.g)</f>
        <v>0</v>
      </c>
      <c r="AK31" s="327">
        <f>SUMIF(home.g,$AE31,ha.g)+SUMIF(away.g,$AE31,aa.g)</f>
        <v>0</v>
      </c>
      <c r="AL31" s="327">
        <f>AJ31-AK31</f>
        <v>0</v>
      </c>
      <c r="AM31" s="327">
        <f>AG31*3+AH31</f>
        <v>0</v>
      </c>
      <c r="AN31" s="337">
        <f>IF(AF31=3,IF(ISNUMBER(CA31),CA31,0),0)</f>
        <v>0</v>
      </c>
      <c r="AO31" s="337">
        <f>IF(COUNTIF(tie.3rdmw,AE31)&gt;0,1,0)</f>
        <v>0</v>
      </c>
      <c r="AP31" s="397">
        <f>IF(COUNTIF(tie.sp,AE31)&gt;0,0.04-MATCH(AE31,tie.sp,0)/100,0)</f>
        <v>0</v>
      </c>
      <c r="AQ31" s="336">
        <f>AQ28-0.00001</f>
        <v>1.5999999999999985E-4</v>
      </c>
      <c r="AU31" s="326" t="str">
        <f>BJ31&amp;AE30</f>
        <v>1E</v>
      </c>
      <c r="AV31" s="326" t="str">
        <f>IF(AB30,AA31,AE30&amp;" csoport "&amp;BJ31&amp;". hely")</f>
        <v>E csoport 1. hely</v>
      </c>
      <c r="AW31" s="327">
        <f>IF(ISNA(VLOOKUP(AV31,ekiscore,2,FALSE)),-10,VLOOKUP(AV31,ekiscore,2,FALSE))</f>
        <v>0</v>
      </c>
      <c r="BA31" s="440" t="str">
        <f>IF(BB31="","",IF(BB30,BB31,""))</f>
        <v/>
      </c>
      <c r="BB31" s="440" t="str">
        <f>IF(BP33="",BN31&amp;BN32&amp;BN33&amp;BN34,"")</f>
        <v/>
      </c>
      <c r="BC31" s="440">
        <f>IF(BN31="","",VLOOKUP(BN31,grouptable,6,FALSE))</f>
        <v>0</v>
      </c>
      <c r="BD31" s="440">
        <f>IF(BN31="","",VLOOKUP(BN31,grouptable,7,FALSE))</f>
        <v>0</v>
      </c>
      <c r="BE31" s="441" t="str">
        <f>IF(BQ31="","",VLOOKUP(BQ31,grouptable,6,FALSE))</f>
        <v/>
      </c>
      <c r="BF31" s="441" t="str">
        <f>IF(BQ31="","",VLOOKUP(BQ31,grouptable,7,FALSE))</f>
        <v/>
      </c>
      <c r="BJ31" s="325">
        <v>1</v>
      </c>
      <c r="BK31" s="338">
        <f>COUNTIF(AM31:AM34,BL31)+BJ31/10</f>
        <v>4.0999999999999996</v>
      </c>
      <c r="BL31" s="311">
        <f>LARGE(AM31:AM34,BJ31)</f>
        <v>0</v>
      </c>
      <c r="BM31" s="311">
        <f>IF(LARGE(BK31:BK34,BJ31)&lt;2,0,LARGE(BK31:BK34,BJ31))</f>
        <v>4.0999999999999996</v>
      </c>
      <c r="BN31" s="310" t="str">
        <f>IF(AM31=BN30,AE31,"")</f>
        <v>Spanyolország</v>
      </c>
      <c r="BO31" s="311">
        <f>IF(BN31="","",BJ31)</f>
        <v>1</v>
      </c>
      <c r="BP31" s="311">
        <f>IF(ISERR(LARGE(BO31:BO34,BJ31)),"",LARGE(BO31:BO34,BJ31))</f>
        <v>4</v>
      </c>
      <c r="BQ31" s="310" t="str">
        <f>IF(AM31=BQ30,AE31,"")</f>
        <v/>
      </c>
      <c r="BR31" s="311" t="str">
        <f>IF(BQ31="","",BJ31)</f>
        <v/>
      </c>
      <c r="BS31" s="311" t="str">
        <f>IF(ISERR(LARGE(BR31:BR34,BJ31)),"",LARGE(BR31:BR34,BJ31))</f>
        <v/>
      </c>
      <c r="BU31" s="309" t="str">
        <f>AE31</f>
        <v>Spanyolország</v>
      </c>
      <c r="BV31" s="311">
        <f>COUNTIF($CG$7:$CG$124,BU31)*3+COUNTIF($CH$7:$CI$124,BU31)</f>
        <v>0</v>
      </c>
      <c r="BW31" s="311">
        <f>BX31-SUMIF($CE$7:$CE$124,BU31,$CK$7:$CK$124)-SUMIF($CL$7:$CL$124,BU31,$CJ$7:$CJ$124)</f>
        <v>0</v>
      </c>
      <c r="BX31" s="311">
        <f>SUMIF($CE$7:$CE$124,BU31,$CJ$7:$CJ$124)+SUMIF($CL$7:$CL$124,BU31,$CK$7:$CK$124)</f>
        <v>0</v>
      </c>
      <c r="BY31" s="311">
        <f>BV31*1000000+BW31*1000+BX31</f>
        <v>0</v>
      </c>
      <c r="BZ31" s="311">
        <f>RANK(BY31,BY31:BY34,1)</f>
        <v>1</v>
      </c>
      <c r="CA31" s="311">
        <f>BZ31*100000</f>
        <v>100000</v>
      </c>
      <c r="CE31" s="309" t="str">
        <f>CE27</f>
        <v>Oroszország</v>
      </c>
      <c r="CF31" s="310" t="str">
        <f>IF(OR(CE31="",CL31="",CE31=CL31),"",IF(COUNTIF(groupm,CONCATENATE(CE31,CL31))=0,"",CONCATENATE(CE31,CL31)))</f>
        <v/>
      </c>
      <c r="CG31" s="310" t="str">
        <f>IF(CF31="","",VLOOKUP(CF31,groupm,3,FALSE))</f>
        <v/>
      </c>
      <c r="CH31" s="339" t="str">
        <f>IF(CF31="","",VLOOKUP(CF31,groupm,4,FALSE))</f>
        <v/>
      </c>
      <c r="CI31" s="339" t="str">
        <f>IF(CF31="","",VLOOKUP(CF31,groupm,5,FALSE))</f>
        <v/>
      </c>
      <c r="CJ31" s="311" t="str">
        <f>IF(CF31="","",VLOOKUP(CF31,groupm,8,FALSE))</f>
        <v/>
      </c>
      <c r="CK31" s="311" t="str">
        <f>IF(CF31="","",VLOOKUP(CF31,groupm,9,FALSE))</f>
        <v/>
      </c>
      <c r="CL31" s="309" t="str">
        <f>CE28</f>
        <v>Belgium</v>
      </c>
    </row>
    <row r="32" spans="2:90" ht="18.75" customHeight="1" x14ac:dyDescent="0.3">
      <c r="AA32" s="323" t="str">
        <f>VLOOKUP(AB32,groupph,2,FALSE)</f>
        <v>Svédország</v>
      </c>
      <c r="AB32" s="334">
        <f>LARGE(AD31:AD34,BJ32)</f>
        <v>1.4999999999999985E-4</v>
      </c>
      <c r="AC32" s="337">
        <f>IF(ABS(AB31-AB32)&lt;0.0005,AC31,BJ32)</f>
        <v>1</v>
      </c>
      <c r="AD32" s="334">
        <f>AM32*1000000+AL32*1000+AJ32*10+AN32+AO32+AG32/10+AP32+AQ32</f>
        <v>1.4999999999999985E-4</v>
      </c>
      <c r="AE32" s="331" t="str">
        <f>Adatok!E3</f>
        <v>Svédország</v>
      </c>
      <c r="AF32" s="327">
        <f>AG32+AH32+AI32</f>
        <v>0</v>
      </c>
      <c r="AG32" s="327">
        <f>COUNTIF(win.g,$AE32)</f>
        <v>0</v>
      </c>
      <c r="AH32" s="327">
        <f>COUNTIF(draw.g,$AE32)</f>
        <v>0</v>
      </c>
      <c r="AI32" s="327">
        <f>COUNTIF(loss.g,$AE32)</f>
        <v>0</v>
      </c>
      <c r="AJ32" s="327">
        <f>SUMIF(home.g,$AE32,hf.g)+SUMIF(away.g,$AE32,af.g)</f>
        <v>0</v>
      </c>
      <c r="AK32" s="327">
        <f>SUMIF(home.g,$AE32,ha.g)+SUMIF(away.g,$AE32,aa.g)</f>
        <v>0</v>
      </c>
      <c r="AL32" s="327">
        <f>AJ32-AK32</f>
        <v>0</v>
      </c>
      <c r="AM32" s="327">
        <f>AG32*3+AH32</f>
        <v>0</v>
      </c>
      <c r="AN32" s="337">
        <f>IF(AF32=3,IF(ISNUMBER(CA32),CA32,0),0)</f>
        <v>0</v>
      </c>
      <c r="AO32" s="337">
        <f>IF(COUNTIF(tie.3rdmw,AE32)&gt;0,1,0)</f>
        <v>0</v>
      </c>
      <c r="AP32" s="397">
        <f>IF(COUNTIF(tie.sp,AE32)&gt;0,0.04-MATCH(AE32,tie.sp,0)/100,0)</f>
        <v>0</v>
      </c>
      <c r="AQ32" s="336">
        <f>AQ31-0.00001</f>
        <v>1.4999999999999985E-4</v>
      </c>
      <c r="AU32" s="326" t="str">
        <f>BJ32&amp;AE30</f>
        <v>2E</v>
      </c>
      <c r="AV32" s="326" t="str">
        <f>IF(AB30,AA32,AE30&amp;" csoport "&amp;BJ32&amp;". hely")</f>
        <v>E csoport 2. hely</v>
      </c>
      <c r="AW32" s="327">
        <f>IF(ISNA(VLOOKUP(AV32,ekiscore,2,FALSE)),-10,VLOOKUP(AV32,ekiscore,2,FALSE))</f>
        <v>0</v>
      </c>
      <c r="BA32" s="440" t="str">
        <f>IF(BB32="","",IF(BB30,BB32,""))</f>
        <v/>
      </c>
      <c r="BB32" s="440" t="str">
        <f>IF(BP33="",BN34&amp;BN33&amp;BN32&amp;BN31,"")</f>
        <v/>
      </c>
      <c r="BC32" s="440">
        <f>IF(BN32="","",VLOOKUP(BN32,grouptable,6,FALSE))</f>
        <v>0</v>
      </c>
      <c r="BD32" s="440">
        <f>IF(BN32="","",VLOOKUP(BN32,grouptable,7,FALSE))</f>
        <v>0</v>
      </c>
      <c r="BE32" s="441" t="str">
        <f>IF(BQ32="","",VLOOKUP(BQ32,grouptable,6,FALSE))</f>
        <v/>
      </c>
      <c r="BF32" s="441" t="str">
        <f>IF(BQ32="","",VLOOKUP(BQ32,grouptable,7,FALSE))</f>
        <v/>
      </c>
      <c r="BJ32" s="325">
        <v>2</v>
      </c>
      <c r="BK32" s="338">
        <f>IF(BL32=BL31,0,COUNTIF(AM31:AM34,BL32)+BJ32/10)</f>
        <v>0</v>
      </c>
      <c r="BL32" s="311">
        <f>LARGE(AM31:AM34,BJ32)</f>
        <v>0</v>
      </c>
      <c r="BM32" s="311">
        <f>IF(LARGE(BK31:BK34,BJ32)&lt;2,0,LARGE(BK31:BK34,BJ32))</f>
        <v>0</v>
      </c>
      <c r="BN32" s="310" t="str">
        <f>IF(AM32=BN30,AE32,"")</f>
        <v>Svédország</v>
      </c>
      <c r="BO32" s="311">
        <f>IF(BN32="","",BJ32)</f>
        <v>2</v>
      </c>
      <c r="BP32" s="311">
        <f>IF(ISERR(LARGE(BO31:BO34,BJ32)),"",LARGE(BO31:BO34,BJ32))</f>
        <v>3</v>
      </c>
      <c r="BQ32" s="310" t="str">
        <f>IF(AM32=BQ30,AE32,"")</f>
        <v/>
      </c>
      <c r="BR32" s="311" t="str">
        <f>IF(BQ32="","",BJ32)</f>
        <v/>
      </c>
      <c r="BS32" s="311" t="str">
        <f>IF(ISERR(LARGE(BR31:BR34,BJ32)),"",LARGE(BR31:BR34,BJ32))</f>
        <v/>
      </c>
      <c r="BU32" s="309" t="str">
        <f>AE32</f>
        <v>Svédország</v>
      </c>
      <c r="BV32" s="311">
        <f>COUNTIF($CG$7:$CG$124,BU32)*3+COUNTIF($CH$7:$CI$124,BU32)</f>
        <v>0</v>
      </c>
      <c r="BW32" s="311">
        <f>BX32-SUMIF($CE$7:$CE$124,BU32,$CK$7:$CK$124)-SUMIF($CL$7:$CL$124,BU32,$CJ$7:$CJ$124)</f>
        <v>0</v>
      </c>
      <c r="BX32" s="311">
        <f>SUMIF($CE$7:$CE$124,BU32,$CJ$7:$CJ$124)+SUMIF($CL$7:$CL$124,BU32,$CK$7:$CK$124)</f>
        <v>0</v>
      </c>
      <c r="BY32" s="311">
        <f>BV32*1000000+BW32*1000+BX32</f>
        <v>0</v>
      </c>
      <c r="BZ32" s="311">
        <f>RANK(BY32,BY31:BY34,1)</f>
        <v>1</v>
      </c>
      <c r="CA32" s="311">
        <f>BZ32*100000</f>
        <v>100000</v>
      </c>
      <c r="CE32" s="309" t="str">
        <f>CE28</f>
        <v>Belgium</v>
      </c>
      <c r="CF32" s="310" t="str">
        <f>IF(OR(CE32="",CL32="",CE32=CL32),"",IF(COUNTIF(groupm,CONCATENATE(CE32,CL32))=0,"",CONCATENATE(CE32,CL32)))</f>
        <v/>
      </c>
      <c r="CG32" s="310" t="str">
        <f>IF(CF32="","",VLOOKUP(CF32,groupm,3,FALSE))</f>
        <v/>
      </c>
      <c r="CH32" s="339" t="str">
        <f>IF(CF32="","",VLOOKUP(CF32,groupm,4,FALSE))</f>
        <v/>
      </c>
      <c r="CI32" s="339" t="str">
        <f>IF(CF32="","",VLOOKUP(CF32,groupm,5,FALSE))</f>
        <v/>
      </c>
      <c r="CJ32" s="311" t="str">
        <f>IF(CF32="","",VLOOKUP(CF32,groupm,8,FALSE))</f>
        <v/>
      </c>
      <c r="CK32" s="311" t="str">
        <f>IF(CF32="","",VLOOKUP(CF32,groupm,9,FALSE))</f>
        <v/>
      </c>
      <c r="CL32" s="309" t="str">
        <f>CL31</f>
        <v>Belgium</v>
      </c>
    </row>
    <row r="33" spans="27:90" ht="18.75" customHeight="1" x14ac:dyDescent="0.3">
      <c r="AA33" s="323" t="str">
        <f>VLOOKUP(AB33,groupph,2,FALSE)</f>
        <v>Lengyelország</v>
      </c>
      <c r="AB33" s="334">
        <f>LARGE(AD31:AD34,BJ33)</f>
        <v>1.3999999999999985E-4</v>
      </c>
      <c r="AC33" s="337">
        <f>IF(ABS(AB32-AB33)&lt;0.0005,AC32,BJ33)</f>
        <v>1</v>
      </c>
      <c r="AD33" s="334">
        <f>AM33*1000000+AL33*1000+AJ33*10+AN33+AO33+AG33/10+AP33+AQ33</f>
        <v>1.3999999999999985E-4</v>
      </c>
      <c r="AE33" s="331" t="str">
        <f>Adatok!E4</f>
        <v>Lengyelország</v>
      </c>
      <c r="AF33" s="327">
        <f>AG33+AH33+AI33</f>
        <v>0</v>
      </c>
      <c r="AG33" s="327">
        <f>COUNTIF(win.g,$AE33)</f>
        <v>0</v>
      </c>
      <c r="AH33" s="327">
        <f>COUNTIF(draw.g,$AE33)</f>
        <v>0</v>
      </c>
      <c r="AI33" s="327">
        <f>COUNTIF(loss.g,$AE33)</f>
        <v>0</v>
      </c>
      <c r="AJ33" s="327">
        <f>SUMIF(home.g,$AE33,hf.g)+SUMIF(away.g,$AE33,af.g)</f>
        <v>0</v>
      </c>
      <c r="AK33" s="327">
        <f>SUMIF(home.g,$AE33,ha.g)+SUMIF(away.g,$AE33,aa.g)</f>
        <v>0</v>
      </c>
      <c r="AL33" s="327">
        <f>AJ33-AK33</f>
        <v>0</v>
      </c>
      <c r="AM33" s="327">
        <f>AG33*3+AH33</f>
        <v>0</v>
      </c>
      <c r="AN33" s="337">
        <f>IF(AF33=3,IF(ISNUMBER(CA33),CA33,0),0)</f>
        <v>0</v>
      </c>
      <c r="AO33" s="337">
        <f>IF(COUNTIF(tie.3rdmw,AE33)&gt;0,1,0)</f>
        <v>0</v>
      </c>
      <c r="AP33" s="397">
        <f>IF(COUNTIF(tie.sp,AE33)&gt;0,0.04-MATCH(AE33,tie.sp,0)/100,0)</f>
        <v>0</v>
      </c>
      <c r="AQ33" s="336">
        <f>AQ32-0.00001</f>
        <v>1.3999999999999985E-4</v>
      </c>
      <c r="AU33" s="326" t="str">
        <f>BJ33&amp;AE30</f>
        <v>3E</v>
      </c>
      <c r="AV33" s="326" t="str">
        <f>IF(AB30,AA33,AE30&amp;" csoport "&amp;BJ33&amp;". hely")</f>
        <v>E csoport 3. hely</v>
      </c>
      <c r="AW33" s="327">
        <f>IF(ISNA(VLOOKUP(AV33,ekiscore,2,FALSE)),-10,VLOOKUP(AV33,ekiscore,2,FALSE))</f>
        <v>-10</v>
      </c>
      <c r="BA33" s="441" t="str">
        <f>IF(BB33="","",IF(BB35,BB33,""))</f>
        <v/>
      </c>
      <c r="BB33" s="441" t="str">
        <f>BQ31&amp;BQ32&amp;BQ33&amp;BQ34</f>
        <v/>
      </c>
      <c r="BC33" s="440">
        <f>IF(BN33="","",VLOOKUP(BN33,grouptable,6,FALSE))</f>
        <v>0</v>
      </c>
      <c r="BD33" s="440">
        <f>IF(BN33="","",VLOOKUP(BN33,grouptable,7,FALSE))</f>
        <v>0</v>
      </c>
      <c r="BE33" s="441" t="str">
        <f>IF(BQ33="","",VLOOKUP(BQ33,grouptable,6,FALSE))</f>
        <v/>
      </c>
      <c r="BF33" s="441" t="str">
        <f>IF(BQ33="","",VLOOKUP(BQ33,grouptable,7,FALSE))</f>
        <v/>
      </c>
      <c r="BJ33" s="325">
        <v>3</v>
      </c>
      <c r="BK33" s="338">
        <f>IF(BL33=BL32,0,COUNTIF(AM31:AM34,BL33)+BJ33/10)</f>
        <v>0</v>
      </c>
      <c r="BL33" s="311">
        <f>LARGE(AM31:AM34,BJ33)</f>
        <v>0</v>
      </c>
      <c r="BM33" s="303"/>
      <c r="BN33" s="310" t="str">
        <f>IF(AM33=BN30,AE33,"")</f>
        <v>Lengyelország</v>
      </c>
      <c r="BO33" s="311">
        <f>IF(BN33="","",BJ33)</f>
        <v>3</v>
      </c>
      <c r="BP33" s="311">
        <f>IF(ISERR(LARGE(BO31:BO34,BJ33)),"",LARGE(BO31:BO34,BJ33))</f>
        <v>2</v>
      </c>
      <c r="BQ33" s="310" t="str">
        <f>IF(AM33=BQ30,AE33,"")</f>
        <v/>
      </c>
      <c r="BR33" s="311" t="str">
        <f>IF(BQ33="","",BJ33)</f>
        <v/>
      </c>
      <c r="BS33" s="303"/>
      <c r="BU33" s="309" t="str">
        <f>AE33</f>
        <v>Lengyelország</v>
      </c>
      <c r="BV33" s="311">
        <f>COUNTIF($CG$7:$CG$124,BU33)*3+COUNTIF($CH$7:$CI$124,BU33)</f>
        <v>0</v>
      </c>
      <c r="BW33" s="311">
        <f>BX33-SUMIF($CE$7:$CE$124,BU33,$CK$7:$CK$124)-SUMIF($CL$7:$CL$124,BU33,$CJ$7:$CJ$124)</f>
        <v>0</v>
      </c>
      <c r="BX33" s="311">
        <f>SUMIF($CE$7:$CE$124,BU33,$CJ$7:$CJ$124)+SUMIF($CL$7:$CL$124,BU33,$CK$7:$CK$124)</f>
        <v>0</v>
      </c>
      <c r="BY33" s="311">
        <f>BV33*1000000+BW33*1000+BX33</f>
        <v>0</v>
      </c>
      <c r="BZ33" s="311">
        <f>RANK(BY33,BY31:BY34,1)</f>
        <v>1</v>
      </c>
      <c r="CA33" s="311">
        <f>BZ33*100000</f>
        <v>100000</v>
      </c>
      <c r="CE33" s="309" t="str">
        <f>CE29</f>
        <v>Finnország</v>
      </c>
      <c r="CF33" s="310" t="str">
        <f>IF(OR(CE33="",CL33="",CE33=CL33),"",IF(COUNTIF(groupm,CONCATENATE(CE33,CL33))=0,"",CONCATENATE(CE33,CL33)))</f>
        <v>FinnországBelgium</v>
      </c>
      <c r="CG33" s="310" t="str">
        <f>IF(CF33="","",VLOOKUP(CF33,groupm,3,FALSE))</f>
        <v/>
      </c>
      <c r="CH33" s="339" t="str">
        <f>IF(CF33="","",VLOOKUP(CF33,groupm,4,FALSE))</f>
        <v/>
      </c>
      <c r="CI33" s="339" t="str">
        <f>IF(CF33="","",VLOOKUP(CF33,groupm,5,FALSE))</f>
        <v/>
      </c>
      <c r="CJ33" s="311" t="str">
        <f>IF(CF33="","",VLOOKUP(CF33,groupm,8,FALSE))</f>
        <v/>
      </c>
      <c r="CK33" s="311" t="str">
        <f>IF(CF33="","",VLOOKUP(CF33,groupm,9,FALSE))</f>
        <v/>
      </c>
      <c r="CL33" s="309" t="str">
        <f>CL32</f>
        <v>Belgium</v>
      </c>
    </row>
    <row r="34" spans="27:90" ht="18.75" customHeight="1" x14ac:dyDescent="0.3">
      <c r="AA34" s="323" t="str">
        <f>VLOOKUP(AB34,groupph,2,FALSE)</f>
        <v>Szlovákia</v>
      </c>
      <c r="AB34" s="334">
        <f>LARGE(AD31:AD34,BJ34)</f>
        <v>1.2999999999999985E-4</v>
      </c>
      <c r="AC34" s="337">
        <f>IF(ABS(AB33-AB34)&lt;0.0005,AC33,BJ34)</f>
        <v>1</v>
      </c>
      <c r="AD34" s="334">
        <f>AM34*1000000+AL34*1000+AJ34*10+AN34+AO34+AG34/10+AP34+AQ34</f>
        <v>1.2999999999999985E-4</v>
      </c>
      <c r="AE34" s="331" t="str">
        <f>Adatok!E5</f>
        <v>Szlovákia</v>
      </c>
      <c r="AF34" s="327">
        <f>AG34+AH34+AI34</f>
        <v>0</v>
      </c>
      <c r="AG34" s="327">
        <f>COUNTIF(win.g,$AE34)</f>
        <v>0</v>
      </c>
      <c r="AH34" s="327">
        <f>COUNTIF(draw.g,$AE34)</f>
        <v>0</v>
      </c>
      <c r="AI34" s="327">
        <f>COUNTIF(loss.g,$AE34)</f>
        <v>0</v>
      </c>
      <c r="AJ34" s="327">
        <f>SUMIF(home.g,$AE34,hf.g)+SUMIF(away.g,$AE34,af.g)</f>
        <v>0</v>
      </c>
      <c r="AK34" s="327">
        <f>SUMIF(home.g,$AE34,ha.g)+SUMIF(away.g,$AE34,aa.g)</f>
        <v>0</v>
      </c>
      <c r="AL34" s="327">
        <f>AJ34-AK34</f>
        <v>0</v>
      </c>
      <c r="AM34" s="327">
        <f>AG34*3+AH34</f>
        <v>0</v>
      </c>
      <c r="AN34" s="337">
        <f>IF(AF34=3,IF(ISNUMBER(CA34),CA34,0),0)</f>
        <v>0</v>
      </c>
      <c r="AO34" s="337">
        <f>IF(COUNTIF(tie.3rdmw,AE34)&gt;0,1,0)</f>
        <v>0</v>
      </c>
      <c r="AP34" s="397">
        <f>IF(COUNTIF(tie.sp,AE34)&gt;0,0.04-MATCH(AE34,tie.sp,0)/100,0)</f>
        <v>0</v>
      </c>
      <c r="AQ34" s="336">
        <f>AQ33-0.00001</f>
        <v>1.2999999999999985E-4</v>
      </c>
      <c r="AU34" s="326" t="str">
        <f>BJ34&amp;AE30</f>
        <v>4E</v>
      </c>
      <c r="AV34" s="326" t="str">
        <f>IF(AB30,AA34,AE30&amp;" csoport "&amp;BJ34&amp;". hely")</f>
        <v>E csoport 4. hely</v>
      </c>
      <c r="AW34" s="327">
        <f>IF(ISNA(VLOOKUP(AV34,ekiscore,2,FALSE)),-10,VLOOKUP(AV34,ekiscore,2,FALSE))</f>
        <v>-10</v>
      </c>
      <c r="BA34" s="441" t="str">
        <f>IF(BB34="","",IF(BB35,BB34,""))</f>
        <v/>
      </c>
      <c r="BB34" s="441" t="str">
        <f>BQ34&amp;BQ33&amp;BQ32&amp;BQ31</f>
        <v/>
      </c>
      <c r="BC34" s="440">
        <f>IF(BN34="","",VLOOKUP(BN34,grouptable,6,FALSE))</f>
        <v>0</v>
      </c>
      <c r="BD34" s="440">
        <f>IF(BN34="","",VLOOKUP(BN34,grouptable,7,FALSE))</f>
        <v>0</v>
      </c>
      <c r="BE34" s="441" t="str">
        <f>IF(BQ34="","",VLOOKUP(BQ34,grouptable,6,FALSE))</f>
        <v/>
      </c>
      <c r="BF34" s="441" t="str">
        <f>IF(BQ34="","",VLOOKUP(BQ34,grouptable,7,FALSE))</f>
        <v/>
      </c>
      <c r="BJ34" s="325">
        <v>4</v>
      </c>
      <c r="BK34" s="338">
        <f>IF(BL34=BL33,0,COUNTIF(AM31:AM34,BL34)+BJ34/10)</f>
        <v>0</v>
      </c>
      <c r="BL34" s="311">
        <f>LARGE(AM31:AM34,BJ34)</f>
        <v>0</v>
      </c>
      <c r="BM34" s="303"/>
      <c r="BN34" s="339" t="str">
        <f>IF(AM34=BN30,AE34,"")</f>
        <v>Szlovákia</v>
      </c>
      <c r="BO34" s="340">
        <f>IF(BN34="","",BJ34)</f>
        <v>4</v>
      </c>
      <c r="BP34" s="303"/>
      <c r="BQ34" s="339" t="str">
        <f>IF(AM34=BQ30,AE34,"")</f>
        <v/>
      </c>
      <c r="BR34" s="340" t="str">
        <f>IF(BQ34="","",BJ34)</f>
        <v/>
      </c>
      <c r="BS34" s="303"/>
      <c r="BU34" s="309" t="str">
        <f>AE34</f>
        <v>Szlovákia</v>
      </c>
      <c r="BV34" s="311">
        <f>COUNTIF($CG$7:$CG$124,BU34)*3+COUNTIF($CH$7:$CI$124,BU34)</f>
        <v>0</v>
      </c>
      <c r="BW34" s="311">
        <f>BX34-SUMIF($CE$7:$CE$124,BU34,$CK$7:$CK$124)-SUMIF($CL$7:$CL$124,BU34,$CJ$7:$CJ$124)</f>
        <v>0</v>
      </c>
      <c r="BX34" s="311">
        <f>SUMIF($CE$7:$CE$124,BU34,$CJ$7:$CJ$124)+SUMIF($CL$7:$CL$124,BU34,$CK$7:$CK$124)</f>
        <v>0</v>
      </c>
      <c r="BY34" s="311">
        <f>BV34*1000000+BW34*1000+BX34</f>
        <v>0</v>
      </c>
      <c r="BZ34" s="311">
        <f>RANK(BY34,BY31:BY34,1)</f>
        <v>1</v>
      </c>
      <c r="CA34" s="311">
        <f>BZ34*100000</f>
        <v>100000</v>
      </c>
      <c r="CE34" s="303"/>
      <c r="CF34" s="355" t="s">
        <v>808</v>
      </c>
      <c r="CG34" s="356" t="s">
        <v>653</v>
      </c>
      <c r="CH34" s="356" t="s">
        <v>648</v>
      </c>
      <c r="CI34" s="357"/>
      <c r="CJ34" s="355" t="s">
        <v>656</v>
      </c>
      <c r="CK34" s="355" t="s">
        <v>645</v>
      </c>
      <c r="CL34" s="303"/>
    </row>
    <row r="35" spans="27:90" ht="18.75" customHeight="1" x14ac:dyDescent="0.3">
      <c r="BA35" s="370"/>
      <c r="BB35" s="443" t="e">
        <f>AND(AVERAGE(BE31:BE34)=MAX(BE31:BE34),AVERAGE(BF31:BF34)=MAX(BF31:BF34))</f>
        <v>#DIV/0!</v>
      </c>
      <c r="BC35" s="370"/>
      <c r="BD35" s="370"/>
      <c r="BE35" s="370"/>
      <c r="BF35" s="370"/>
      <c r="CE35" s="309" t="str">
        <f>CE31</f>
        <v>Oroszország</v>
      </c>
      <c r="CF35" s="310" t="str">
        <f>IF(OR(CE35="",CL35="",CE35=CL35),"",IF(COUNTIF(groupm,CONCATENATE(CE35,CL35))=0,"",CONCATENATE(CE35,CL35)))</f>
        <v/>
      </c>
      <c r="CG35" s="310" t="str">
        <f>IF(CF35="","",VLOOKUP(CF35,groupm,3,FALSE))</f>
        <v/>
      </c>
      <c r="CH35" s="339" t="str">
        <f>IF(CF35="","",VLOOKUP(CF35,groupm,4,FALSE))</f>
        <v/>
      </c>
      <c r="CI35" s="339" t="str">
        <f>IF(CF35="","",VLOOKUP(CF35,groupm,5,FALSE))</f>
        <v/>
      </c>
      <c r="CJ35" s="311" t="str">
        <f>IF(CF35="","",VLOOKUP(CF35,groupm,8,FALSE))</f>
        <v/>
      </c>
      <c r="CK35" s="311" t="str">
        <f>IF(CF35="","",VLOOKUP(CF35,groupm,9,FALSE))</f>
        <v/>
      </c>
      <c r="CL35" s="309" t="str">
        <f>CE29</f>
        <v>Finnország</v>
      </c>
    </row>
    <row r="36" spans="27:90" ht="18.75" customHeight="1" x14ac:dyDescent="0.3">
      <c r="AB36" s="329" t="b">
        <f>SUM(AF37:AF40)=12</f>
        <v>0</v>
      </c>
      <c r="AC36" s="330"/>
      <c r="AD36" s="613" t="s">
        <v>660</v>
      </c>
      <c r="AE36" s="614" t="s">
        <v>810</v>
      </c>
      <c r="AF36" s="615" t="s">
        <v>655</v>
      </c>
      <c r="AG36" s="615" t="s">
        <v>653</v>
      </c>
      <c r="AH36" s="615" t="s">
        <v>648</v>
      </c>
      <c r="AI36" s="615" t="s">
        <v>654</v>
      </c>
      <c r="AJ36" s="615" t="s">
        <v>656</v>
      </c>
      <c r="AK36" s="615" t="s">
        <v>645</v>
      </c>
      <c r="AL36" s="615" t="s">
        <v>657</v>
      </c>
      <c r="AM36" s="615" t="s">
        <v>658</v>
      </c>
      <c r="AN36" s="615" t="s">
        <v>695</v>
      </c>
      <c r="AO36" s="615" t="s">
        <v>531</v>
      </c>
      <c r="AP36" s="615" t="s">
        <v>467</v>
      </c>
      <c r="AQ36" s="615" t="s">
        <v>659</v>
      </c>
      <c r="BA36" s="369"/>
      <c r="BB36" s="442" t="b">
        <f>AND(AVERAGE(BC37:BC40)=MAX(BC37:BC40),AVERAGE(BD37:BD40)=MAX(BD37:BD40))</f>
        <v>1</v>
      </c>
      <c r="BC36" s="371"/>
      <c r="BD36" s="369"/>
      <c r="BE36" s="369"/>
      <c r="BF36" s="369"/>
      <c r="BK36" s="324"/>
      <c r="BL36" s="324"/>
      <c r="BM36" s="324"/>
      <c r="BN36" s="616">
        <f>IF(BM37=0,"xxx",VLOOKUP(BM37,BK37:BL40,2,FALSE))</f>
        <v>0</v>
      </c>
      <c r="BQ36" s="616" t="str">
        <f>IF(BM38=0,"xxx",VLOOKUP(BM38,BK37:BL40,2,FALSE))</f>
        <v>xxx</v>
      </c>
      <c r="BU36" s="615" t="s">
        <v>810</v>
      </c>
      <c r="BV36" s="615" t="s">
        <v>658</v>
      </c>
      <c r="BW36" s="615" t="s">
        <v>648</v>
      </c>
      <c r="BX36" s="615" t="s">
        <v>656</v>
      </c>
      <c r="BY36" s="615" t="s">
        <v>697</v>
      </c>
      <c r="BZ36" s="615" t="s">
        <v>696</v>
      </c>
      <c r="CA36" s="615" t="s">
        <v>695</v>
      </c>
      <c r="CE36" s="309" t="str">
        <f>CE32</f>
        <v>Belgium</v>
      </c>
      <c r="CF36" s="310" t="str">
        <f>IF(OR(CE36="",CL36="",CE36=CL36),"",IF(COUNTIF(groupm,CONCATENATE(CE36,CL36))=0,"",CONCATENATE(CE36,CL36)))</f>
        <v/>
      </c>
      <c r="CG36" s="310" t="str">
        <f>IF(CF36="","",VLOOKUP(CF36,groupm,3,FALSE))</f>
        <v/>
      </c>
      <c r="CH36" s="339" t="str">
        <f>IF(CF36="","",VLOOKUP(CF36,groupm,4,FALSE))</f>
        <v/>
      </c>
      <c r="CI36" s="339" t="str">
        <f>IF(CF36="","",VLOOKUP(CF36,groupm,5,FALSE))</f>
        <v/>
      </c>
      <c r="CJ36" s="311" t="str">
        <f>IF(CF36="","",VLOOKUP(CF36,groupm,8,FALSE))</f>
        <v/>
      </c>
      <c r="CK36" s="311" t="str">
        <f>IF(CF36="","",VLOOKUP(CF36,groupm,9,FALSE))</f>
        <v/>
      </c>
      <c r="CL36" s="309" t="str">
        <f>CL35</f>
        <v>Finnország</v>
      </c>
    </row>
    <row r="37" spans="27:90" ht="18.75" customHeight="1" x14ac:dyDescent="0.3">
      <c r="AA37" s="323" t="str">
        <f>VLOOKUP(AB37,groupph,2,FALSE)</f>
        <v>MAGYARORSZÁG</v>
      </c>
      <c r="AB37" s="332">
        <f>LARGE(AD37:AD40,BJ37)</f>
        <v>1.1999999999999985E-4</v>
      </c>
      <c r="AC37" s="333">
        <v>1</v>
      </c>
      <c r="AD37" s="334">
        <f>AM37*1000000+AL37*1000+AJ37*10+AN37+AO37+AG37/10+AP37+AQ37</f>
        <v>1.1999999999999985E-4</v>
      </c>
      <c r="AE37" s="331" t="str">
        <f>Adatok!F2</f>
        <v>MAGYARORSZÁG</v>
      </c>
      <c r="AF37" s="327">
        <f>AG37+AH37+AI37</f>
        <v>0</v>
      </c>
      <c r="AG37" s="327">
        <f>COUNTIF(win.g,$AE37)</f>
        <v>0</v>
      </c>
      <c r="AH37" s="327">
        <f>COUNTIF(draw.g,$AE37)</f>
        <v>0</v>
      </c>
      <c r="AI37" s="327">
        <f>COUNTIF(loss.g,$AE37)</f>
        <v>0</v>
      </c>
      <c r="AJ37" s="327">
        <f>SUMIF(home.g,$AE37,hf.g)+SUMIF(away.g,$AE37,af.g)</f>
        <v>0</v>
      </c>
      <c r="AK37" s="327">
        <f>SUMIF(home.g,$AE37,ha.g)+SUMIF(away.g,$AE37,aa.g)</f>
        <v>0</v>
      </c>
      <c r="AL37" s="327">
        <f>AJ37-AK37</f>
        <v>0</v>
      </c>
      <c r="AM37" s="327">
        <f>AG37*3+AH37</f>
        <v>0</v>
      </c>
      <c r="AN37" s="337">
        <f>IF(AF37=3,IF(ISNUMBER(CA37),CA37,0),0)</f>
        <v>0</v>
      </c>
      <c r="AO37" s="337">
        <f>IF(COUNTIF(tie.3rdmw,AE37)&gt;0,1,0)</f>
        <v>0</v>
      </c>
      <c r="AP37" s="397">
        <f>IF(COUNTIF(tie.sp,AE37)&gt;0,0.04-MATCH(AE37,tie.sp,0)/100,0)</f>
        <v>0</v>
      </c>
      <c r="AQ37" s="336">
        <f>AQ34-0.00001</f>
        <v>1.1999999999999985E-4</v>
      </c>
      <c r="AU37" s="326" t="str">
        <f>BJ37&amp;AE36</f>
        <v>1F</v>
      </c>
      <c r="AV37" s="326" t="str">
        <f>IF(AB36,AA37,AE36&amp;" csoport "&amp;BJ37&amp;". hely")</f>
        <v>F csoport 1. hely</v>
      </c>
      <c r="AW37" s="327">
        <f>IF(ISNA(VLOOKUP(AV37,ekiscore,2,FALSE)),-10,VLOOKUP(AV37,ekiscore,2,FALSE))</f>
        <v>0</v>
      </c>
      <c r="BA37" s="440" t="str">
        <f>IF(BB37="","",IF(BB36,BB37,""))</f>
        <v/>
      </c>
      <c r="BB37" s="440" t="str">
        <f>IF(BP39="",BN37&amp;BN38&amp;BN39&amp;BN40,"")</f>
        <v/>
      </c>
      <c r="BC37" s="440">
        <f>IF(BN37="","",VLOOKUP(BN37,grouptable,6,FALSE))</f>
        <v>0</v>
      </c>
      <c r="BD37" s="440">
        <f>IF(BN37="","",VLOOKUP(BN37,grouptable,7,FALSE))</f>
        <v>0</v>
      </c>
      <c r="BE37" s="441" t="str">
        <f>IF(BQ37="","",VLOOKUP(BQ37,grouptable,6,FALSE))</f>
        <v/>
      </c>
      <c r="BF37" s="441" t="str">
        <f>IF(BQ37="","",VLOOKUP(BQ37,grouptable,7,FALSE))</f>
        <v/>
      </c>
      <c r="BJ37" s="325">
        <v>1</v>
      </c>
      <c r="BK37" s="338">
        <f>COUNTIF(AM37:AM40,BL37)+BJ37/10</f>
        <v>4.0999999999999996</v>
      </c>
      <c r="BL37" s="311">
        <f>LARGE(AM37:AM40,BJ37)</f>
        <v>0</v>
      </c>
      <c r="BM37" s="311">
        <f>IF(LARGE(BK37:BK40,BJ37)&lt;2,0,LARGE(BK37:BK40,BJ37))</f>
        <v>4.0999999999999996</v>
      </c>
      <c r="BN37" s="310" t="str">
        <f>IF(AM37=BN36,AE37,"")</f>
        <v>MAGYARORSZÁG</v>
      </c>
      <c r="BO37" s="311">
        <f>IF(BN37="","",BJ37)</f>
        <v>1</v>
      </c>
      <c r="BP37" s="311">
        <f>IF(ISERR(LARGE(BO37:BO40,BJ37)),"",LARGE(BO37:BO40,BJ37))</f>
        <v>4</v>
      </c>
      <c r="BQ37" s="310" t="str">
        <f>IF(AM37=BQ36,AE37,"")</f>
        <v/>
      </c>
      <c r="BR37" s="311" t="str">
        <f>IF(BQ37="","",BJ37)</f>
        <v/>
      </c>
      <c r="BS37" s="311" t="str">
        <f>IF(ISERR(LARGE(BR37:BR40,BJ37)),"",LARGE(BR37:BR40,BJ37))</f>
        <v/>
      </c>
      <c r="BU37" s="309" t="str">
        <f>AE37</f>
        <v>MAGYARORSZÁG</v>
      </c>
      <c r="BV37" s="311">
        <f>COUNTIF($CG$7:$CG$124,BU37)*3+COUNTIF($CH$7:$CI$124,BU37)</f>
        <v>0</v>
      </c>
      <c r="BW37" s="311">
        <f>BX37-SUMIF($CE$7:$CE$124,BU37,$CK$7:$CK$124)-SUMIF($CL$7:$CL$124,BU37,$CJ$7:$CJ$124)</f>
        <v>0</v>
      </c>
      <c r="BX37" s="311">
        <f>SUMIF($CE$7:$CE$124,BU37,$CJ$7:$CJ$124)+SUMIF($CL$7:$CL$124,BU37,$CK$7:$CK$124)</f>
        <v>0</v>
      </c>
      <c r="BY37" s="311">
        <f>BV37*1000000+BW37*1000+BX37</f>
        <v>0</v>
      </c>
      <c r="BZ37" s="311">
        <f>RANK(BY37,BY37:BY40,1)</f>
        <v>1</v>
      </c>
      <c r="CA37" s="311">
        <f>BZ37*100000</f>
        <v>100000</v>
      </c>
      <c r="CE37" s="309" t="str">
        <f>CE33</f>
        <v>Finnország</v>
      </c>
      <c r="CF37" s="310" t="str">
        <f>IF(OR(CE37="",CL37="",CE37=CL37),"",IF(COUNTIF(groupm,CONCATENATE(CE37,CL37))=0,"",CONCATENATE(CE37,CL37)))</f>
        <v/>
      </c>
      <c r="CG37" s="310" t="str">
        <f>IF(CF37="","",VLOOKUP(CF37,groupm,3,FALSE))</f>
        <v/>
      </c>
      <c r="CH37" s="339" t="str">
        <f>IF(CF37="","",VLOOKUP(CF37,groupm,4,FALSE))</f>
        <v/>
      </c>
      <c r="CI37" s="339" t="str">
        <f>IF(CF37="","",VLOOKUP(CF37,groupm,5,FALSE))</f>
        <v/>
      </c>
      <c r="CJ37" s="311" t="str">
        <f>IF(CF37="","",VLOOKUP(CF37,groupm,8,FALSE))</f>
        <v/>
      </c>
      <c r="CK37" s="311" t="str">
        <f>IF(CF37="","",VLOOKUP(CF37,groupm,9,FALSE))</f>
        <v/>
      </c>
      <c r="CL37" s="309" t="str">
        <f>CL36</f>
        <v>Finnország</v>
      </c>
    </row>
    <row r="38" spans="27:90" ht="18.75" customHeight="1" x14ac:dyDescent="0.3">
      <c r="AA38" s="323" t="str">
        <f>VLOOKUP(AB38,groupph,2,FALSE)</f>
        <v>Portugália</v>
      </c>
      <c r="AB38" s="334">
        <f>LARGE(AD37:AD40,BJ38)</f>
        <v>1.0999999999999985E-4</v>
      </c>
      <c r="AC38" s="337">
        <f>IF(ABS(AB37-AB38)&lt;0.0005,AC37,BJ38)</f>
        <v>1</v>
      </c>
      <c r="AD38" s="334">
        <f>AM38*1000000+AL38*1000+AJ38*10+AN38+AO38+AG38/10+AP38+AQ38</f>
        <v>1.0999999999999985E-4</v>
      </c>
      <c r="AE38" s="331" t="str">
        <f>Adatok!F3</f>
        <v>Portugália</v>
      </c>
      <c r="AF38" s="327">
        <f>AG38+AH38+AI38</f>
        <v>0</v>
      </c>
      <c r="AG38" s="327">
        <f>COUNTIF(win.g,$AE38)</f>
        <v>0</v>
      </c>
      <c r="AH38" s="327">
        <f>COUNTIF(draw.g,$AE38)</f>
        <v>0</v>
      </c>
      <c r="AI38" s="327">
        <f>COUNTIF(loss.g,$AE38)</f>
        <v>0</v>
      </c>
      <c r="AJ38" s="327">
        <f>SUMIF(home.g,$AE38,hf.g)+SUMIF(away.g,$AE38,af.g)</f>
        <v>0</v>
      </c>
      <c r="AK38" s="327">
        <f>SUMIF(home.g,$AE38,ha.g)+SUMIF(away.g,$AE38,aa.g)</f>
        <v>0</v>
      </c>
      <c r="AL38" s="327">
        <f>AJ38-AK38</f>
        <v>0</v>
      </c>
      <c r="AM38" s="327">
        <f>AG38*3+AH38</f>
        <v>0</v>
      </c>
      <c r="AN38" s="337">
        <f>IF(AF38=3,IF(ISNUMBER(CA38),CA38,0),0)</f>
        <v>0</v>
      </c>
      <c r="AO38" s="337">
        <f>IF(COUNTIF(tie.3rdmw,AE38)&gt;0,1,0)</f>
        <v>0</v>
      </c>
      <c r="AP38" s="397">
        <f>IF(COUNTIF(tie.sp,AE38)&gt;0,0.04-MATCH(AE38,tie.sp,0)/100,0)</f>
        <v>0</v>
      </c>
      <c r="AQ38" s="336">
        <f>AQ37-0.00001</f>
        <v>1.0999999999999985E-4</v>
      </c>
      <c r="AU38" s="326" t="str">
        <f>BJ38&amp;AE36</f>
        <v>2F</v>
      </c>
      <c r="AV38" s="326" t="str">
        <f>IF(AB36,AA38,AE36&amp;" csoport "&amp;BJ38&amp;". hely")</f>
        <v>F csoport 2. hely</v>
      </c>
      <c r="AW38" s="327">
        <f>IF(ISNA(VLOOKUP(AV38,ekiscore,2,FALSE)),-10,VLOOKUP(AV38,ekiscore,2,FALSE))</f>
        <v>0</v>
      </c>
      <c r="BA38" s="440" t="str">
        <f>IF(BB38="","",IF(BB36,BB38,""))</f>
        <v/>
      </c>
      <c r="BB38" s="440" t="str">
        <f>IF(BP39="",BN40&amp;BN39&amp;BN38&amp;BN37,"")</f>
        <v/>
      </c>
      <c r="BC38" s="440">
        <f>IF(BN38="","",VLOOKUP(BN38,grouptable,6,FALSE))</f>
        <v>0</v>
      </c>
      <c r="BD38" s="440">
        <f>IF(BN38="","",VLOOKUP(BN38,grouptable,7,FALSE))</f>
        <v>0</v>
      </c>
      <c r="BE38" s="441" t="str">
        <f>IF(BQ38="","",VLOOKUP(BQ38,grouptable,6,FALSE))</f>
        <v/>
      </c>
      <c r="BF38" s="441" t="str">
        <f>IF(BQ38="","",VLOOKUP(BQ38,grouptable,7,FALSE))</f>
        <v/>
      </c>
      <c r="BJ38" s="325">
        <v>2</v>
      </c>
      <c r="BK38" s="338">
        <f>IF(BL38=BL37,0,COUNTIF(AM37:AM40,BL38)+BJ38/10)</f>
        <v>0</v>
      </c>
      <c r="BL38" s="311">
        <f>LARGE(AM37:AM40,BJ38)</f>
        <v>0</v>
      </c>
      <c r="BM38" s="311">
        <f>IF(LARGE(BK37:BK40,BJ38)&lt;2,0,LARGE(BK37:BK40,BJ38))</f>
        <v>0</v>
      </c>
      <c r="BN38" s="310" t="str">
        <f>IF(AM38=BN36,AE38,"")</f>
        <v>Portugália</v>
      </c>
      <c r="BO38" s="311">
        <f>IF(BN38="","",BJ38)</f>
        <v>2</v>
      </c>
      <c r="BP38" s="311">
        <f>IF(ISERR(LARGE(BO37:BO40,BJ38)),"",LARGE(BO37:BO40,BJ38))</f>
        <v>3</v>
      </c>
      <c r="BQ38" s="310" t="str">
        <f>IF(AM38=BQ36,AE38,"")</f>
        <v/>
      </c>
      <c r="BR38" s="311" t="str">
        <f>IF(BQ38="","",BJ38)</f>
        <v/>
      </c>
      <c r="BS38" s="311" t="str">
        <f>IF(ISERR(LARGE(BR37:BR40,BJ38)),"",LARGE(BR37:BR40,BJ38))</f>
        <v/>
      </c>
      <c r="BU38" s="309" t="str">
        <f>AE38</f>
        <v>Portugália</v>
      </c>
      <c r="BV38" s="311">
        <f>COUNTIF($CG$7:$CG$124,BU38)*3+COUNTIF($CH$7:$CI$124,BU38)</f>
        <v>0</v>
      </c>
      <c r="BW38" s="311">
        <f>BX38-SUMIF($CE$7:$CE$124,BU38,$CK$7:$CK$124)-SUMIF($CL$7:$CL$124,BU38,$CJ$7:$CJ$124)</f>
        <v>0</v>
      </c>
      <c r="BX38" s="311">
        <f>SUMIF($CE$7:$CE$124,BU38,$CJ$7:$CJ$124)+SUMIF($CL$7:$CL$124,BU38,$CK$7:$CK$124)</f>
        <v>0</v>
      </c>
      <c r="BY38" s="311">
        <f>BV38*1000000+BW38*1000+BX38</f>
        <v>0</v>
      </c>
      <c r="BZ38" s="311">
        <f>RANK(BY38,BY37:BY40,1)</f>
        <v>1</v>
      </c>
      <c r="CA38" s="311">
        <f>BZ38*100000</f>
        <v>100000</v>
      </c>
      <c r="CE38" s="303"/>
      <c r="CF38" s="355" t="s">
        <v>808</v>
      </c>
      <c r="CG38" s="356" t="s">
        <v>653</v>
      </c>
      <c r="CH38" s="356" t="s">
        <v>648</v>
      </c>
      <c r="CI38" s="357"/>
      <c r="CJ38" s="355" t="s">
        <v>656</v>
      </c>
      <c r="CK38" s="355" t="s">
        <v>645</v>
      </c>
      <c r="CL38" s="303"/>
    </row>
    <row r="39" spans="27:90" ht="18.75" customHeight="1" x14ac:dyDescent="0.3">
      <c r="AA39" s="323" t="str">
        <f>VLOOKUP(AB39,groupph,2,FALSE)</f>
        <v>Franciaország</v>
      </c>
      <c r="AB39" s="334">
        <f>LARGE(AD37:AD40,BJ39)</f>
        <v>9.9999999999999856E-5</v>
      </c>
      <c r="AC39" s="337">
        <f>IF(ABS(AB38-AB39)&lt;0.0005,AC38,BJ39)</f>
        <v>1</v>
      </c>
      <c r="AD39" s="334">
        <f>AM39*1000000+AL39*1000+AJ39*10+AN39+AO39+AG39/10+AP39+AQ39</f>
        <v>9.9999999999999856E-5</v>
      </c>
      <c r="AE39" s="331" t="str">
        <f>Adatok!F4</f>
        <v>Franciaország</v>
      </c>
      <c r="AF39" s="327">
        <f>AG39+AH39+AI39</f>
        <v>0</v>
      </c>
      <c r="AG39" s="327">
        <f>COUNTIF(win.g,$AE39)</f>
        <v>0</v>
      </c>
      <c r="AH39" s="327">
        <f>COUNTIF(draw.g,$AE39)</f>
        <v>0</v>
      </c>
      <c r="AI39" s="327">
        <f>COUNTIF(loss.g,$AE39)</f>
        <v>0</v>
      </c>
      <c r="AJ39" s="327">
        <f>SUMIF(home.g,$AE39,hf.g)+SUMIF(away.g,$AE39,af.g)</f>
        <v>0</v>
      </c>
      <c r="AK39" s="327">
        <f>SUMIF(home.g,$AE39,ha.g)+SUMIF(away.g,$AE39,aa.g)</f>
        <v>0</v>
      </c>
      <c r="AL39" s="327">
        <f>AJ39-AK39</f>
        <v>0</v>
      </c>
      <c r="AM39" s="327">
        <f>AG39*3+AH39</f>
        <v>0</v>
      </c>
      <c r="AN39" s="337">
        <f>IF(AF39=3,IF(ISNUMBER(CA39),CA39,0),0)</f>
        <v>0</v>
      </c>
      <c r="AO39" s="337">
        <f>IF(COUNTIF(tie.3rdmw,AE39)&gt;0,1,0)</f>
        <v>0</v>
      </c>
      <c r="AP39" s="397">
        <f>IF(COUNTIF(tie.sp,AE39)&gt;0,0.04-MATCH(AE39,tie.sp,0)/100,0)</f>
        <v>0</v>
      </c>
      <c r="AQ39" s="336">
        <f>AQ38-0.00001</f>
        <v>9.9999999999999856E-5</v>
      </c>
      <c r="AU39" s="326" t="str">
        <f>BJ39&amp;AE36</f>
        <v>3F</v>
      </c>
      <c r="AV39" s="326" t="str">
        <f>IF(AB36,AA39,AE36&amp;" csoport "&amp;BJ39&amp;". hely")</f>
        <v>F csoport 3. hely</v>
      </c>
      <c r="AW39" s="327">
        <f>IF(ISNA(VLOOKUP(AV39,ekiscore,2,FALSE)),-10,VLOOKUP(AV39,ekiscore,2,FALSE))</f>
        <v>-10</v>
      </c>
      <c r="BA39" s="441" t="str">
        <f>IF(BB39="","",IF(BB41,BB39,""))</f>
        <v/>
      </c>
      <c r="BB39" s="441" t="str">
        <f>BQ37&amp;BQ38&amp;BQ39&amp;BQ40</f>
        <v/>
      </c>
      <c r="BC39" s="440">
        <f>IF(BN39="","",VLOOKUP(BN39,grouptable,6,FALSE))</f>
        <v>0</v>
      </c>
      <c r="BD39" s="440">
        <f>IF(BN39="","",VLOOKUP(BN39,grouptable,7,FALSE))</f>
        <v>0</v>
      </c>
      <c r="BE39" s="441" t="str">
        <f>IF(BQ39="","",VLOOKUP(BQ39,grouptable,6,FALSE))</f>
        <v/>
      </c>
      <c r="BF39" s="441" t="str">
        <f>IF(BQ39="","",VLOOKUP(BQ39,grouptable,7,FALSE))</f>
        <v/>
      </c>
      <c r="BJ39" s="325">
        <v>3</v>
      </c>
      <c r="BK39" s="338">
        <f>IF(BL39=BL38,0,COUNTIF(AM37:AM40,BL39)+BJ39/10)</f>
        <v>0</v>
      </c>
      <c r="BL39" s="311">
        <f>LARGE(AM37:AM40,BJ39)</f>
        <v>0</v>
      </c>
      <c r="BM39" s="303"/>
      <c r="BN39" s="310" t="str">
        <f>IF(AM39=BN36,AE39,"")</f>
        <v>Franciaország</v>
      </c>
      <c r="BO39" s="311">
        <f>IF(BN39="","",BJ39)</f>
        <v>3</v>
      </c>
      <c r="BP39" s="311">
        <f>IF(ISERR(LARGE(BO37:BO40,BJ39)),"",LARGE(BO37:BO40,BJ39))</f>
        <v>2</v>
      </c>
      <c r="BQ39" s="310" t="str">
        <f>IF(AM39=BQ36,AE39,"")</f>
        <v/>
      </c>
      <c r="BR39" s="311" t="str">
        <f>IF(BQ39="","",BJ39)</f>
        <v/>
      </c>
      <c r="BS39" s="303"/>
      <c r="BU39" s="309" t="str">
        <f>AE39</f>
        <v>Franciaország</v>
      </c>
      <c r="BV39" s="311">
        <f>COUNTIF($CG$7:$CG$124,BU39)*3+COUNTIF($CH$7:$CI$124,BU39)</f>
        <v>0</v>
      </c>
      <c r="BW39" s="311">
        <f>BX39-SUMIF($CE$7:$CE$124,BU39,$CK$7:$CK$124)-SUMIF($CL$7:$CL$124,BU39,$CJ$7:$CJ$124)</f>
        <v>0</v>
      </c>
      <c r="BX39" s="311">
        <f>SUMIF($CE$7:$CE$124,BU39,$CJ$7:$CJ$124)+SUMIF($CL$7:$CL$124,BU39,$CK$7:$CK$124)</f>
        <v>0</v>
      </c>
      <c r="BY39" s="311">
        <f>BV39*1000000+BW39*1000+BX39</f>
        <v>0</v>
      </c>
      <c r="BZ39" s="311">
        <f>RANK(BY39,BY37:BY40,1)</f>
        <v>1</v>
      </c>
      <c r="CA39" s="311">
        <f>BZ39*100000</f>
        <v>100000</v>
      </c>
      <c r="CE39" s="309" t="str">
        <f>IF(BS13="","",VLOOKUP(BS13,BJ13:BS16,8,FALSE))</f>
        <v/>
      </c>
      <c r="CF39" s="310" t="str">
        <f>IF(OR(CE39="",CL39="",CE39=CL39),"",IF(COUNTIF(groupm,CONCATENATE(CE39,CL39))=0,"",CONCATENATE(CE39,CL39)))</f>
        <v/>
      </c>
      <c r="CG39" s="310" t="str">
        <f>IF(CF39="","",VLOOKUP(CF39,groupm,3,FALSE))</f>
        <v/>
      </c>
      <c r="CH39" s="339" t="str">
        <f>IF(CF39="","",VLOOKUP(CF39,groupm,4,FALSE))</f>
        <v/>
      </c>
      <c r="CI39" s="339" t="str">
        <f>IF(CF39="","",VLOOKUP(CF39,groupm,5,FALSE))</f>
        <v/>
      </c>
      <c r="CJ39" s="311" t="str">
        <f>IF(CF39="","",VLOOKUP(CF39,groupm,8,FALSE))</f>
        <v/>
      </c>
      <c r="CK39" s="311" t="str">
        <f>IF(CF39="","",VLOOKUP(CF39,groupm,9,FALSE))</f>
        <v/>
      </c>
      <c r="CL39" s="309" t="str">
        <f>CE39</f>
        <v/>
      </c>
    </row>
    <row r="40" spans="27:90" ht="18.75" customHeight="1" x14ac:dyDescent="0.3">
      <c r="AA40" s="323" t="str">
        <f>VLOOKUP(AB40,groupph,2,FALSE)</f>
        <v>Németország</v>
      </c>
      <c r="AB40" s="334">
        <f>LARGE(AD37:AD40,BJ40)</f>
        <v>8.9999999999999857E-5</v>
      </c>
      <c r="AC40" s="337">
        <f>IF(ABS(AB39-AB40)&lt;0.0005,AC39,BJ40)</f>
        <v>1</v>
      </c>
      <c r="AD40" s="334">
        <f>AM40*1000000+AL40*1000+AJ40*10+AN40+AO40+AG40/10+AP40+AQ40</f>
        <v>8.9999999999999857E-5</v>
      </c>
      <c r="AE40" s="331" t="str">
        <f>Adatok!F5</f>
        <v>Németország</v>
      </c>
      <c r="AF40" s="327">
        <f>AG40+AH40+AI40</f>
        <v>0</v>
      </c>
      <c r="AG40" s="327">
        <f>COUNTIF(win.g,$AE40)</f>
        <v>0</v>
      </c>
      <c r="AH40" s="327">
        <f>COUNTIF(draw.g,$AE40)</f>
        <v>0</v>
      </c>
      <c r="AI40" s="327">
        <f>COUNTIF(loss.g,$AE40)</f>
        <v>0</v>
      </c>
      <c r="AJ40" s="327">
        <f>SUMIF(home.g,$AE40,hf.g)+SUMIF(away.g,$AE40,af.g)</f>
        <v>0</v>
      </c>
      <c r="AK40" s="327">
        <f>SUMIF(home.g,$AE40,ha.g)+SUMIF(away.g,$AE40,aa.g)</f>
        <v>0</v>
      </c>
      <c r="AL40" s="327">
        <f>AJ40-AK40</f>
        <v>0</v>
      </c>
      <c r="AM40" s="327">
        <f>AG40*3+AH40</f>
        <v>0</v>
      </c>
      <c r="AN40" s="337">
        <f>IF(AF40=3,IF(ISNUMBER(CA40),CA40,0),0)</f>
        <v>0</v>
      </c>
      <c r="AO40" s="337">
        <f>IF(COUNTIF(tie.3rdmw,AE40)&gt;0,1,0)</f>
        <v>0</v>
      </c>
      <c r="AP40" s="397">
        <f>IF(COUNTIF(tie.sp,AE40)&gt;0,0.04-MATCH(AE40,tie.sp,0)/100,0)</f>
        <v>0</v>
      </c>
      <c r="AQ40" s="336">
        <f>AQ39-0.00001</f>
        <v>8.9999999999999857E-5</v>
      </c>
      <c r="AU40" s="326" t="str">
        <f>BJ40&amp;AE36</f>
        <v>4F</v>
      </c>
      <c r="AV40" s="326" t="str">
        <f>IF(AB36,AA40,AE36&amp;" csoport "&amp;BJ40&amp;". hely")</f>
        <v>F csoport 4. hely</v>
      </c>
      <c r="AW40" s="327">
        <f>IF(ISNA(VLOOKUP(AV40,ekiscore,2,FALSE)),-10,VLOOKUP(AV40,ekiscore,2,FALSE))</f>
        <v>-10</v>
      </c>
      <c r="BA40" s="441" t="str">
        <f>IF(BB40="","",IF(BB41,BB40,""))</f>
        <v/>
      </c>
      <c r="BB40" s="441" t="str">
        <f>BQ40&amp;BQ39&amp;BQ38&amp;BQ37</f>
        <v/>
      </c>
      <c r="BC40" s="440">
        <f>IF(BN40="","",VLOOKUP(BN40,grouptable,6,FALSE))</f>
        <v>0</v>
      </c>
      <c r="BD40" s="440">
        <f>IF(BN40="","",VLOOKUP(BN40,grouptable,7,FALSE))</f>
        <v>0</v>
      </c>
      <c r="BE40" s="441" t="str">
        <f>IF(BQ40="","",VLOOKUP(BQ40,grouptable,6,FALSE))</f>
        <v/>
      </c>
      <c r="BF40" s="441" t="str">
        <f>IF(BQ40="","",VLOOKUP(BQ40,grouptable,7,FALSE))</f>
        <v/>
      </c>
      <c r="BJ40" s="325">
        <v>4</v>
      </c>
      <c r="BK40" s="338">
        <f>IF(BL40=BL39,0,COUNTIF(AM37:AM40,BL40)+BJ40/10)</f>
        <v>0</v>
      </c>
      <c r="BL40" s="311">
        <f>LARGE(AM37:AM40,BJ40)</f>
        <v>0</v>
      </c>
      <c r="BM40" s="303"/>
      <c r="BN40" s="339" t="str">
        <f>IF(AM40=BN36,AE40,"")</f>
        <v>Németország</v>
      </c>
      <c r="BO40" s="340">
        <f>IF(BN40="","",BJ40)</f>
        <v>4</v>
      </c>
      <c r="BP40" s="303"/>
      <c r="BQ40" s="339" t="str">
        <f>IF(AM40=BQ36,AE40,"")</f>
        <v/>
      </c>
      <c r="BR40" s="340" t="str">
        <f>IF(BQ40="","",BJ40)</f>
        <v/>
      </c>
      <c r="BS40" s="303"/>
      <c r="BU40" s="309" t="str">
        <f>AE40</f>
        <v>Németország</v>
      </c>
      <c r="BV40" s="311">
        <f>COUNTIF($CG$7:$CG$124,BU40)*3+COUNTIF($CH$7:$CI$124,BU40)</f>
        <v>0</v>
      </c>
      <c r="BW40" s="311">
        <f>BX40-SUMIF($CE$7:$CE$124,BU40,$CK$7:$CK$124)-SUMIF($CL$7:$CL$124,BU40,$CJ$7:$CJ$124)</f>
        <v>0</v>
      </c>
      <c r="BX40" s="311">
        <f>SUMIF($CE$7:$CE$124,BU40,$CJ$7:$CJ$124)+SUMIF($CL$7:$CL$124,BU40,$CK$7:$CK$124)</f>
        <v>0</v>
      </c>
      <c r="BY40" s="311">
        <f>BV40*1000000+BW40*1000+BX40</f>
        <v>0</v>
      </c>
      <c r="BZ40" s="311">
        <f>RANK(BY40,BY37:BY40,1)</f>
        <v>1</v>
      </c>
      <c r="CA40" s="311">
        <f>BZ40*100000</f>
        <v>100000</v>
      </c>
      <c r="CE40" s="309" t="str">
        <f>IF(BS14="","",VLOOKUP(BS14,BJ13:BS16,8,FALSE))</f>
        <v/>
      </c>
      <c r="CF40" s="310" t="str">
        <f>IF(OR(CE40="",CL40="",CE40=CL40),"",IF(COUNTIF(groupm,CONCATENATE(CE40,CL40))=0,"",CONCATENATE(CE40,CL40)))</f>
        <v/>
      </c>
      <c r="CG40" s="310" t="str">
        <f>IF(CF40="","",VLOOKUP(CF40,groupm,3,FALSE))</f>
        <v/>
      </c>
      <c r="CH40" s="339" t="str">
        <f>IF(CF40="","",VLOOKUP(CF40,groupm,4,FALSE))</f>
        <v/>
      </c>
      <c r="CI40" s="339" t="str">
        <f>IF(CF40="","",VLOOKUP(CF40,groupm,5,FALSE))</f>
        <v/>
      </c>
      <c r="CJ40" s="311" t="str">
        <f>IF(CF40="","",VLOOKUP(CF40,groupm,8,FALSE))</f>
        <v/>
      </c>
      <c r="CK40" s="311" t="str">
        <f>IF(CF40="","",VLOOKUP(CF40,groupm,9,FALSE))</f>
        <v/>
      </c>
      <c r="CL40" s="309" t="str">
        <f>CL39</f>
        <v/>
      </c>
    </row>
    <row r="41" spans="27:90" ht="18.75" customHeight="1" x14ac:dyDescent="0.3">
      <c r="BA41" s="370"/>
      <c r="BB41" s="443" t="e">
        <f>AND(AVERAGE(BE37:BE40)=MAX(BE37:BE40),AVERAGE(BF37:BF40)=MAX(BF37:BF40))</f>
        <v>#DIV/0!</v>
      </c>
      <c r="BC41" s="370"/>
      <c r="BD41" s="370"/>
      <c r="BE41" s="370"/>
      <c r="BF41" s="370"/>
      <c r="BJ41" s="323"/>
      <c r="CE41" s="303"/>
      <c r="CF41" s="355" t="s">
        <v>808</v>
      </c>
      <c r="CG41" s="356" t="s">
        <v>653</v>
      </c>
      <c r="CH41" s="356" t="s">
        <v>648</v>
      </c>
      <c r="CI41" s="357"/>
      <c r="CJ41" s="355" t="s">
        <v>656</v>
      </c>
      <c r="CK41" s="355" t="s">
        <v>645</v>
      </c>
      <c r="CL41" s="303"/>
    </row>
    <row r="42" spans="27:90" ht="18.75" customHeight="1" x14ac:dyDescent="0.3">
      <c r="BJ42" s="323"/>
      <c r="CE42" s="309" t="str">
        <f>CE39</f>
        <v/>
      </c>
      <c r="CF42" s="310" t="str">
        <f>IF(OR(CE42="",CL42="",CE42=CL42),"",IF(COUNTIF(groupm,CONCATENATE(CE42,CL42))=0,"",CONCATENATE(CE42,CL42)))</f>
        <v/>
      </c>
      <c r="CG42" s="310" t="str">
        <f>IF(CF42="","",VLOOKUP(CF42,groupm,3,FALSE))</f>
        <v/>
      </c>
      <c r="CH42" s="339" t="str">
        <f>IF(CF42="","",VLOOKUP(CF42,groupm,4,FALSE))</f>
        <v/>
      </c>
      <c r="CI42" s="339" t="str">
        <f>IF(CF42="","",VLOOKUP(CF42,groupm,5,FALSE))</f>
        <v/>
      </c>
      <c r="CJ42" s="311" t="str">
        <f>IF(CF42="","",VLOOKUP(CF42,groupm,8,FALSE))</f>
        <v/>
      </c>
      <c r="CK42" s="311" t="str">
        <f>IF(CF42="","",VLOOKUP(CF42,groupm,9,FALSE))</f>
        <v/>
      </c>
      <c r="CL42" s="309" t="str">
        <f>CE40</f>
        <v/>
      </c>
    </row>
    <row r="43" spans="27:90" ht="18.75" customHeight="1" x14ac:dyDescent="0.3">
      <c r="AD43" s="386" t="s">
        <v>660</v>
      </c>
      <c r="AE43" s="387" t="s">
        <v>481</v>
      </c>
      <c r="AI43" s="386" t="s">
        <v>653</v>
      </c>
      <c r="AJ43" s="386" t="s">
        <v>656</v>
      </c>
      <c r="AL43" s="386" t="s">
        <v>657</v>
      </c>
      <c r="AM43" s="386" t="s">
        <v>658</v>
      </c>
      <c r="AN43" s="386" t="b">
        <f>AND(AN44:AN49)</f>
        <v>0</v>
      </c>
      <c r="AO43" s="386" t="s">
        <v>467</v>
      </c>
      <c r="AP43" s="386" t="s">
        <v>467</v>
      </c>
      <c r="AQ43" s="386" t="s">
        <v>659</v>
      </c>
      <c r="BJ43" s="323"/>
      <c r="CE43" s="309" t="str">
        <f>CE40</f>
        <v/>
      </c>
      <c r="CF43" s="310" t="str">
        <f>IF(OR(CE43="",CL43="",CE43=CL43),"",IF(COUNTIF(groupm,CONCATENATE(CE43,CL43))=0,"",CONCATENATE(CE43,CL43)))</f>
        <v/>
      </c>
      <c r="CG43" s="310" t="str">
        <f>IF(CF43="","",VLOOKUP(CF43,groupm,3,FALSE))</f>
        <v/>
      </c>
      <c r="CH43" s="339" t="str">
        <f>IF(CF43="","",VLOOKUP(CF43,groupm,4,FALSE))</f>
        <v/>
      </c>
      <c r="CI43" s="339" t="str">
        <f>IF(CF43="","",VLOOKUP(CF43,groupm,5,FALSE))</f>
        <v/>
      </c>
      <c r="CJ43" s="311" t="str">
        <f>IF(CF43="","",VLOOKUP(CF43,groupm,8,FALSE))</f>
        <v/>
      </c>
      <c r="CK43" s="311" t="str">
        <f>IF(CF43="","",VLOOKUP(CF43,groupm,9,FALSE))</f>
        <v/>
      </c>
      <c r="CL43" s="309" t="str">
        <f>CL42</f>
        <v/>
      </c>
    </row>
    <row r="44" spans="27:90" ht="18.75" customHeight="1" x14ac:dyDescent="0.3">
      <c r="AA44" s="404">
        <f t="shared" ref="AA44:AA49" si="0">VLOOKUP(AB44,$AD$44:$AQ$49,2,FALSE)</f>
        <v>0</v>
      </c>
      <c r="AB44" s="334">
        <f t="shared" ref="AB44:AB49" si="1">LARGE($AD$44:$AD$49,AG44)</f>
        <v>3.8000000000000002E-4</v>
      </c>
      <c r="AC44" s="337">
        <v>1</v>
      </c>
      <c r="AD44" s="334">
        <f t="shared" ref="AD44:AD49" si="2">AM44*1000000+AL44*1000+AI44*100+AJ44+AP44+AQ44</f>
        <v>3.8000000000000002E-4</v>
      </c>
      <c r="AE44" s="388">
        <f t="shared" ref="AE44:AE49" si="3">IF(NOT($AN44),0,VLOOKUP(AF44,grouprank,2,FALSE))</f>
        <v>0</v>
      </c>
      <c r="AF44" s="327" t="s">
        <v>425</v>
      </c>
      <c r="AG44" s="325">
        <v>1</v>
      </c>
      <c r="AH44" s="327" t="str">
        <f t="shared" ref="AH44:AH49" si="4">IF(COUNTIF($AA$44:$AA$47,AE44)&gt;0,RIGHT(AF44,1),"")</f>
        <v>A</v>
      </c>
      <c r="AI44" s="327">
        <f t="shared" ref="AI44:AI49" si="5">IF(NOT($AN44),0,VLOOKUP($AE44,grouptable,3,FALSE))</f>
        <v>0</v>
      </c>
      <c r="AJ44" s="327">
        <f t="shared" ref="AJ44:AJ49" si="6">IF(NOT($AN44),0,VLOOKUP($AE44,grouptable,6,FALSE))</f>
        <v>0</v>
      </c>
      <c r="AL44" s="327">
        <f t="shared" ref="AL44:AL49" si="7">IF(NOT($AN44),0,VLOOKUP($AE44,grouptable,8,FALSE))</f>
        <v>0</v>
      </c>
      <c r="AM44" s="327">
        <f t="shared" ref="AM44:AM49" si="8">IF(NOT($AN44),0,VLOOKUP($AE44,grouptable,9,FALSE))</f>
        <v>0</v>
      </c>
      <c r="AN44" s="327" t="b">
        <f>AB6</f>
        <v>0</v>
      </c>
      <c r="AO44" s="327" t="b">
        <f t="shared" ref="AO44:AO49" si="9">COUNTIF(tie.sp,AE44)&gt;0</f>
        <v>0</v>
      </c>
      <c r="AP44" s="335">
        <f t="shared" ref="AP44:AP49" si="10">IF(AND(AN44,AO44),0.4-MATCH(AE44,tie.sp,0)/10,0)</f>
        <v>0</v>
      </c>
      <c r="AQ44" s="336">
        <v>3.8000000000000002E-4</v>
      </c>
      <c r="AU44" s="326" t="s">
        <v>482</v>
      </c>
      <c r="AV44" s="326" t="str">
        <f>IF($AN$43,VLOOKUP(VLOOKUP($AE$50,thirdpl,AG44+1,FALSE),grouprank,2,FALSE),AW44&amp;" csoport 3. hely")</f>
        <v>A/D/E/F csoport 3. hely</v>
      </c>
      <c r="AW44" s="327" t="s">
        <v>1197</v>
      </c>
      <c r="BJ44" s="323"/>
    </row>
    <row r="45" spans="27:90" ht="18.75" customHeight="1" x14ac:dyDescent="0.3">
      <c r="AA45" s="405">
        <f t="shared" si="0"/>
        <v>0</v>
      </c>
      <c r="AB45" s="334">
        <f t="shared" si="1"/>
        <v>3.6999999999999999E-4</v>
      </c>
      <c r="AC45" s="337">
        <f>IF(ABS(AB44-AB45)&lt;0.0005,AC44,AG45)</f>
        <v>1</v>
      </c>
      <c r="AD45" s="334">
        <f t="shared" si="2"/>
        <v>3.6999999999999999E-4</v>
      </c>
      <c r="AE45" s="388">
        <f t="shared" si="3"/>
        <v>0</v>
      </c>
      <c r="AF45" s="327" t="s">
        <v>426</v>
      </c>
      <c r="AG45" s="325">
        <v>2</v>
      </c>
      <c r="AH45" s="327" t="str">
        <f t="shared" si="4"/>
        <v>B</v>
      </c>
      <c r="AI45" s="327">
        <f t="shared" si="5"/>
        <v>0</v>
      </c>
      <c r="AJ45" s="327">
        <f t="shared" si="6"/>
        <v>0</v>
      </c>
      <c r="AL45" s="327">
        <f t="shared" si="7"/>
        <v>0</v>
      </c>
      <c r="AM45" s="327">
        <f t="shared" si="8"/>
        <v>0</v>
      </c>
      <c r="AN45" s="327" t="b">
        <f>AB12</f>
        <v>0</v>
      </c>
      <c r="AO45" s="327" t="b">
        <f t="shared" si="9"/>
        <v>0</v>
      </c>
      <c r="AP45" s="335">
        <f t="shared" si="10"/>
        <v>0</v>
      </c>
      <c r="AQ45" s="336">
        <v>3.6999999999999999E-4</v>
      </c>
      <c r="AU45" s="326" t="s">
        <v>483</v>
      </c>
      <c r="AV45" s="326" t="str">
        <f>IF($AN$43,VLOOKUP(VLOOKUP($AE$50,thirdpl,AG45+1,FALSE),grouprank,2,FALSE),AW45&amp;" csoport 3. hely")</f>
        <v>D/E/F csoport 3. hely</v>
      </c>
      <c r="AW45" s="327" t="s">
        <v>1200</v>
      </c>
      <c r="BJ45" s="323"/>
    </row>
    <row r="46" spans="27:90" ht="18.75" customHeight="1" x14ac:dyDescent="0.3">
      <c r="AA46" s="405">
        <f t="shared" si="0"/>
        <v>0</v>
      </c>
      <c r="AB46" s="334">
        <f t="shared" si="1"/>
        <v>3.6000000000000002E-4</v>
      </c>
      <c r="AC46" s="337">
        <f>IF(ABS(AB45-AB46)&lt;0.0005,AC45,AG46)</f>
        <v>1</v>
      </c>
      <c r="AD46" s="334">
        <f t="shared" si="2"/>
        <v>3.6000000000000002E-4</v>
      </c>
      <c r="AE46" s="388">
        <f t="shared" si="3"/>
        <v>0</v>
      </c>
      <c r="AF46" s="327" t="s">
        <v>423</v>
      </c>
      <c r="AG46" s="325">
        <v>3</v>
      </c>
      <c r="AH46" s="327" t="str">
        <f t="shared" si="4"/>
        <v>C</v>
      </c>
      <c r="AI46" s="327">
        <f t="shared" si="5"/>
        <v>0</v>
      </c>
      <c r="AJ46" s="327">
        <f t="shared" si="6"/>
        <v>0</v>
      </c>
      <c r="AK46" s="389"/>
      <c r="AL46" s="327">
        <f t="shared" si="7"/>
        <v>0</v>
      </c>
      <c r="AM46" s="327">
        <f t="shared" si="8"/>
        <v>0</v>
      </c>
      <c r="AN46" s="327" t="b">
        <f>AB18</f>
        <v>0</v>
      </c>
      <c r="AO46" s="327" t="b">
        <f t="shared" si="9"/>
        <v>0</v>
      </c>
      <c r="AP46" s="335">
        <f t="shared" si="10"/>
        <v>0</v>
      </c>
      <c r="AQ46" s="336">
        <v>3.6000000000000002E-4</v>
      </c>
      <c r="AU46" s="326" t="s">
        <v>523</v>
      </c>
      <c r="AV46" s="326" t="str">
        <f>IF($AN$43,VLOOKUP(VLOOKUP($AE$50,thirdpl,AG46+1,FALSE),grouprank,2,FALSE),AW46&amp;" csoport 3. hely")</f>
        <v>A/B/C/D csoport 3. hely</v>
      </c>
      <c r="AW46" s="327" t="s">
        <v>1199</v>
      </c>
      <c r="BJ46" s="323"/>
      <c r="CE46" s="303"/>
      <c r="CF46" s="352" t="s">
        <v>808</v>
      </c>
      <c r="CG46" s="359" t="s">
        <v>653</v>
      </c>
      <c r="CH46" s="359" t="s">
        <v>648</v>
      </c>
      <c r="CI46" s="360"/>
      <c r="CJ46" s="352" t="s">
        <v>656</v>
      </c>
      <c r="CK46" s="352" t="s">
        <v>645</v>
      </c>
      <c r="CL46" s="303"/>
    </row>
    <row r="47" spans="27:90" ht="18.75" customHeight="1" x14ac:dyDescent="0.3">
      <c r="AA47" s="406">
        <f t="shared" si="0"/>
        <v>0</v>
      </c>
      <c r="AB47" s="334">
        <f t="shared" si="1"/>
        <v>3.5E-4</v>
      </c>
      <c r="AC47" s="337">
        <f>IF(ABS(AB46-AB47)&lt;0.0005,AC46,AG47)</f>
        <v>1</v>
      </c>
      <c r="AD47" s="334">
        <f t="shared" si="2"/>
        <v>3.5E-4</v>
      </c>
      <c r="AE47" s="388">
        <f t="shared" si="3"/>
        <v>0</v>
      </c>
      <c r="AF47" s="327" t="s">
        <v>424</v>
      </c>
      <c r="AG47" s="325">
        <v>4</v>
      </c>
      <c r="AH47" s="327" t="str">
        <f t="shared" si="4"/>
        <v>D</v>
      </c>
      <c r="AI47" s="327">
        <f t="shared" si="5"/>
        <v>0</v>
      </c>
      <c r="AJ47" s="327">
        <f t="shared" si="6"/>
        <v>0</v>
      </c>
      <c r="AK47" s="389"/>
      <c r="AL47" s="327">
        <f t="shared" si="7"/>
        <v>0</v>
      </c>
      <c r="AM47" s="327">
        <f t="shared" si="8"/>
        <v>0</v>
      </c>
      <c r="AN47" s="327" t="b">
        <f>AB24</f>
        <v>0</v>
      </c>
      <c r="AO47" s="327" t="b">
        <f t="shared" si="9"/>
        <v>0</v>
      </c>
      <c r="AP47" s="335">
        <f t="shared" si="10"/>
        <v>0</v>
      </c>
      <c r="AQ47" s="336">
        <v>3.5E-4</v>
      </c>
      <c r="AU47" s="326" t="s">
        <v>524</v>
      </c>
      <c r="AV47" s="326" t="str">
        <f>IF($AN$43,VLOOKUP(VLOOKUP($AE$50,thirdpl,AG47+1,FALSE),grouprank,2,FALSE),AW47&amp;" csoport 3. hely")</f>
        <v>A/B/C csoport 3. hely</v>
      </c>
      <c r="AW47" s="327" t="s">
        <v>1198</v>
      </c>
      <c r="BJ47" s="323"/>
      <c r="CE47" s="309" t="str">
        <f>IF(BP19="","",VLOOKUP(BP19,BJ19:BS22,5,FALSE))</f>
        <v>Észak-Macedónia</v>
      </c>
      <c r="CF47" s="310" t="str">
        <f>IF(OR(CE47="",CL47="",CE47=CL47),"",IF(COUNTIF(groupm,CONCATENATE(CE47,CL47))=0,"",CONCATENATE(CE47,CL47)))</f>
        <v/>
      </c>
      <c r="CG47" s="310" t="str">
        <f>IF(CF47="","",VLOOKUP(CF47,groupm,3,FALSE))</f>
        <v/>
      </c>
      <c r="CH47" s="339" t="str">
        <f>IF(CF47="","",VLOOKUP(CF47,groupm,4,FALSE))</f>
        <v/>
      </c>
      <c r="CI47" s="339" t="str">
        <f>IF(CF47="","",VLOOKUP(CF47,groupm,5,FALSE))</f>
        <v/>
      </c>
      <c r="CJ47" s="311" t="str">
        <f>IF(CF47="","",VLOOKUP(CF47,groupm,8,FALSE))</f>
        <v/>
      </c>
      <c r="CK47" s="311" t="str">
        <f>IF(CF47="","",VLOOKUP(CF47,groupm,9,FALSE))</f>
        <v/>
      </c>
      <c r="CL47" s="309" t="str">
        <f>CE47</f>
        <v>Észak-Macedónia</v>
      </c>
    </row>
    <row r="48" spans="27:90" ht="18.75" customHeight="1" x14ac:dyDescent="0.3">
      <c r="AA48" s="323">
        <f t="shared" si="0"/>
        <v>0</v>
      </c>
      <c r="AB48" s="334">
        <f t="shared" si="1"/>
        <v>3.4000000000000002E-4</v>
      </c>
      <c r="AC48" s="337">
        <f>IF(ABS(AB47-AB48)&lt;0.0005,AC47,AG48)</f>
        <v>1</v>
      </c>
      <c r="AD48" s="334">
        <f t="shared" si="2"/>
        <v>3.4000000000000002E-4</v>
      </c>
      <c r="AE48" s="388">
        <f t="shared" si="3"/>
        <v>0</v>
      </c>
      <c r="AF48" s="327" t="s">
        <v>428</v>
      </c>
      <c r="AG48" s="325">
        <v>5</v>
      </c>
      <c r="AH48" s="327" t="str">
        <f t="shared" si="4"/>
        <v>E</v>
      </c>
      <c r="AI48" s="327">
        <f t="shared" si="5"/>
        <v>0</v>
      </c>
      <c r="AJ48" s="327">
        <f t="shared" si="6"/>
        <v>0</v>
      </c>
      <c r="AK48" s="389"/>
      <c r="AL48" s="327">
        <f t="shared" si="7"/>
        <v>0</v>
      </c>
      <c r="AM48" s="327">
        <f t="shared" si="8"/>
        <v>0</v>
      </c>
      <c r="AN48" s="327" t="b">
        <f>AB30</f>
        <v>0</v>
      </c>
      <c r="AO48" s="327" t="b">
        <f t="shared" si="9"/>
        <v>0</v>
      </c>
      <c r="AP48" s="335">
        <f t="shared" si="10"/>
        <v>0</v>
      </c>
      <c r="AQ48" s="336">
        <v>3.4000000000000002E-4</v>
      </c>
      <c r="BJ48" s="323"/>
      <c r="CE48" s="309" t="str">
        <f>IF(BP20="","",VLOOKUP(BP20,BJ19:BS22,5,FALSE))</f>
        <v>Ausztria</v>
      </c>
      <c r="CF48" s="310" t="str">
        <f>IF(OR(CE48="",CL48="",CE48=CL48),"",IF(COUNTIF(groupm,CONCATENATE(CE48,CL48))=0,"",CONCATENATE(CE48,CL48)))</f>
        <v>AusztriaÉszak-Macedónia</v>
      </c>
      <c r="CG48" s="310" t="str">
        <f>IF(CF48="","",VLOOKUP(CF48,groupm,3,FALSE))</f>
        <v/>
      </c>
      <c r="CH48" s="339" t="str">
        <f>IF(CF48="","",VLOOKUP(CF48,groupm,4,FALSE))</f>
        <v/>
      </c>
      <c r="CI48" s="339" t="str">
        <f>IF(CF48="","",VLOOKUP(CF48,groupm,5,FALSE))</f>
        <v/>
      </c>
      <c r="CJ48" s="311" t="str">
        <f>IF(CF48="","",VLOOKUP(CF48,groupm,8,FALSE))</f>
        <v/>
      </c>
      <c r="CK48" s="311" t="str">
        <f>IF(CF48="","",VLOOKUP(CF48,groupm,9,FALSE))</f>
        <v/>
      </c>
      <c r="CL48" s="309" t="str">
        <f>CL47</f>
        <v>Észak-Macedónia</v>
      </c>
    </row>
    <row r="49" spans="27:90" ht="18.75" customHeight="1" x14ac:dyDescent="0.3">
      <c r="AA49" s="323">
        <f t="shared" si="0"/>
        <v>0</v>
      </c>
      <c r="AB49" s="334">
        <f t="shared" si="1"/>
        <v>3.3E-4</v>
      </c>
      <c r="AC49" s="337">
        <f>IF(ABS(AB48-AB49)&lt;0.0005,AC48,AG49)</f>
        <v>1</v>
      </c>
      <c r="AD49" s="334">
        <f t="shared" si="2"/>
        <v>3.3E-4</v>
      </c>
      <c r="AE49" s="388">
        <f t="shared" si="3"/>
        <v>0</v>
      </c>
      <c r="AF49" s="327" t="s">
        <v>430</v>
      </c>
      <c r="AG49" s="325">
        <v>6</v>
      </c>
      <c r="AH49" s="327" t="str">
        <f t="shared" si="4"/>
        <v>F</v>
      </c>
      <c r="AI49" s="327">
        <f t="shared" si="5"/>
        <v>0</v>
      </c>
      <c r="AJ49" s="327">
        <f t="shared" si="6"/>
        <v>0</v>
      </c>
      <c r="AK49" s="323"/>
      <c r="AL49" s="327">
        <f t="shared" si="7"/>
        <v>0</v>
      </c>
      <c r="AM49" s="327">
        <f t="shared" si="8"/>
        <v>0</v>
      </c>
      <c r="AN49" s="327" t="b">
        <f>AB36</f>
        <v>0</v>
      </c>
      <c r="AO49" s="327" t="b">
        <f t="shared" si="9"/>
        <v>0</v>
      </c>
      <c r="AP49" s="335">
        <f t="shared" si="10"/>
        <v>0</v>
      </c>
      <c r="AQ49" s="336">
        <v>3.3E-4</v>
      </c>
      <c r="BJ49" s="323"/>
      <c r="CE49" s="309" t="str">
        <f>IF(BP21="","",VLOOKUP(BP21,BJ19:BS22,5,FALSE))</f>
        <v>Ukrajna</v>
      </c>
      <c r="CF49" s="310" t="str">
        <f>IF(OR(CE49="",CL49="",CE49=CL49),"",IF(COUNTIF(groupm,CONCATENATE(CE49,CL49))=0,"",CONCATENATE(CE49,CL49)))</f>
        <v>UkrajnaÉszak-Macedónia</v>
      </c>
      <c r="CG49" s="310" t="str">
        <f>IF(CF49="","",VLOOKUP(CF49,groupm,3,FALSE))</f>
        <v/>
      </c>
      <c r="CH49" s="339" t="str">
        <f>IF(CF49="","",VLOOKUP(CF49,groupm,4,FALSE))</f>
        <v/>
      </c>
      <c r="CI49" s="339" t="str">
        <f>IF(CF49="","",VLOOKUP(CF49,groupm,5,FALSE))</f>
        <v/>
      </c>
      <c r="CJ49" s="311" t="str">
        <f>IF(CF49="","",VLOOKUP(CF49,groupm,8,FALSE))</f>
        <v/>
      </c>
      <c r="CK49" s="311" t="str">
        <f>IF(CF49="","",VLOOKUP(CF49,groupm,9,FALSE))</f>
        <v/>
      </c>
      <c r="CL49" s="309" t="str">
        <f>CL48</f>
        <v>Észak-Macedónia</v>
      </c>
    </row>
    <row r="50" spans="27:90" ht="18.75" customHeight="1" x14ac:dyDescent="0.3">
      <c r="AD50" s="323"/>
      <c r="AE50" s="387" t="str">
        <f>AH44&amp;AH45&amp;AH46&amp;AH47&amp;AH48&amp;AH49</f>
        <v>ABCDEF</v>
      </c>
      <c r="AJ50" s="323"/>
      <c r="AK50" s="323"/>
      <c r="AL50" s="323"/>
      <c r="AM50" s="323"/>
      <c r="AN50" s="323"/>
      <c r="AO50" s="323"/>
      <c r="AP50" s="323"/>
      <c r="AQ50" s="323"/>
      <c r="BJ50" s="323"/>
      <c r="CE50" s="303"/>
      <c r="CF50" s="352" t="s">
        <v>808</v>
      </c>
      <c r="CG50" s="359" t="s">
        <v>653</v>
      </c>
      <c r="CH50" s="359" t="s">
        <v>648</v>
      </c>
      <c r="CI50" s="360"/>
      <c r="CJ50" s="352" t="s">
        <v>656</v>
      </c>
      <c r="CK50" s="352" t="s">
        <v>645</v>
      </c>
      <c r="CL50" s="303"/>
    </row>
    <row r="51" spans="27:90" ht="13.5" customHeight="1" x14ac:dyDescent="0.3">
      <c r="AD51" s="323"/>
      <c r="AE51" s="323"/>
      <c r="AJ51" s="323"/>
      <c r="AK51" s="323"/>
      <c r="AL51" s="323"/>
      <c r="AM51" s="323"/>
      <c r="AN51" s="323"/>
      <c r="AO51" s="323"/>
      <c r="AP51" s="323"/>
      <c r="AQ51" s="323"/>
      <c r="BJ51" s="323"/>
      <c r="CE51" s="309" t="str">
        <f>CE47</f>
        <v>Észak-Macedónia</v>
      </c>
      <c r="CF51" s="310" t="str">
        <f>IF(OR(CE51="",CL51="",CE51=CL51),"",IF(COUNTIF(groupm,CONCATENATE(CE51,CL51))=0,"",CONCATENATE(CE51,CL51)))</f>
        <v/>
      </c>
      <c r="CG51" s="310" t="str">
        <f>IF(CF51="","",VLOOKUP(CF51,groupm,3,FALSE))</f>
        <v/>
      </c>
      <c r="CH51" s="339" t="str">
        <f>IF(CF51="","",VLOOKUP(CF51,groupm,4,FALSE))</f>
        <v/>
      </c>
      <c r="CI51" s="339" t="str">
        <f>IF(CF51="","",VLOOKUP(CF51,groupm,5,FALSE))</f>
        <v/>
      </c>
      <c r="CJ51" s="311" t="str">
        <f>IF(CF51="","",VLOOKUP(CF51,groupm,8,FALSE))</f>
        <v/>
      </c>
      <c r="CK51" s="311" t="str">
        <f>IF(CF51="","",VLOOKUP(CF51,groupm,9,FALSE))</f>
        <v/>
      </c>
      <c r="CL51" s="309" t="str">
        <f>CE48</f>
        <v>Ausztria</v>
      </c>
    </row>
    <row r="52" spans="27:90" ht="13.5" customHeight="1" x14ac:dyDescent="0.3">
      <c r="AD52" s="323"/>
      <c r="AE52" s="323"/>
      <c r="AF52" s="323"/>
      <c r="AG52" s="323"/>
      <c r="AH52" s="323"/>
      <c r="AI52" s="323"/>
      <c r="AJ52" s="323"/>
      <c r="AK52" s="323"/>
      <c r="AL52" s="323"/>
      <c r="AM52" s="323"/>
      <c r="AN52" s="323"/>
      <c r="AO52" s="323"/>
      <c r="AP52" s="323"/>
      <c r="AQ52" s="323"/>
      <c r="BJ52" s="323"/>
      <c r="CE52" s="309" t="str">
        <f>CE48</f>
        <v>Ausztria</v>
      </c>
      <c r="CF52" s="310" t="str">
        <f>IF(OR(CE52="",CL52="",CE52=CL52),"",IF(COUNTIF(groupm,CONCATENATE(CE52,CL52))=0,"",CONCATENATE(CE52,CL52)))</f>
        <v/>
      </c>
      <c r="CG52" s="310" t="str">
        <f>IF(CF52="","",VLOOKUP(CF52,groupm,3,FALSE))</f>
        <v/>
      </c>
      <c r="CH52" s="339" t="str">
        <f>IF(CF52="","",VLOOKUP(CF52,groupm,4,FALSE))</f>
        <v/>
      </c>
      <c r="CI52" s="339" t="str">
        <f>IF(CF52="","",VLOOKUP(CF52,groupm,5,FALSE))</f>
        <v/>
      </c>
      <c r="CJ52" s="311" t="str">
        <f>IF(CF52="","",VLOOKUP(CF52,groupm,8,FALSE))</f>
        <v/>
      </c>
      <c r="CK52" s="311" t="str">
        <f>IF(CF52="","",VLOOKUP(CF52,groupm,9,FALSE))</f>
        <v/>
      </c>
      <c r="CL52" s="309" t="str">
        <f>CL51</f>
        <v>Ausztria</v>
      </c>
    </row>
    <row r="53" spans="27:90" ht="13.5" customHeight="1" x14ac:dyDescent="0.3">
      <c r="AD53" s="323"/>
      <c r="AE53" s="386" t="b">
        <f>(E9+E15+E21+O9+O15+O21)&lt;6</f>
        <v>1</v>
      </c>
      <c r="AI53" s="386" t="s">
        <v>653</v>
      </c>
      <c r="AJ53" s="386" t="s">
        <v>656</v>
      </c>
      <c r="AL53" s="386" t="s">
        <v>657</v>
      </c>
      <c r="AM53" s="386" t="s">
        <v>658</v>
      </c>
      <c r="AQ53" s="323"/>
      <c r="BJ53" s="323"/>
      <c r="CE53" s="309" t="str">
        <f>CE49</f>
        <v>Ukrajna</v>
      </c>
      <c r="CF53" s="310" t="str">
        <f>IF(OR(CE53="",CL53="",CE53=CL53),"",IF(COUNTIF(groupm,CONCATENATE(CE53,CL53))=0,"",CONCATENATE(CE53,CL53)))</f>
        <v>UkrajnaAusztria</v>
      </c>
      <c r="CG53" s="310" t="str">
        <f>IF(CF53="","",VLOOKUP(CF53,groupm,3,FALSE))</f>
        <v/>
      </c>
      <c r="CH53" s="339" t="str">
        <f>IF(CF53="","",VLOOKUP(CF53,groupm,4,FALSE))</f>
        <v/>
      </c>
      <c r="CI53" s="339" t="str">
        <f>IF(CF53="","",VLOOKUP(CF53,groupm,5,FALSE))</f>
        <v/>
      </c>
      <c r="CJ53" s="311" t="str">
        <f>IF(CF53="","",VLOOKUP(CF53,groupm,8,FALSE))</f>
        <v/>
      </c>
      <c r="CK53" s="311" t="str">
        <f>IF(CF53="","",VLOOKUP(CF53,groupm,9,FALSE))</f>
        <v/>
      </c>
      <c r="CL53" s="309" t="str">
        <f>CL52</f>
        <v>Ausztria</v>
      </c>
    </row>
    <row r="54" spans="27:90" ht="13.5" customHeight="1" x14ac:dyDescent="0.3">
      <c r="AA54" s="334">
        <f t="shared" ref="AA54:AA59" si="11">AM54*1000000+AL54*1000+AI54*100+AJ54+AC54/1000</f>
        <v>1E-3</v>
      </c>
      <c r="AB54" s="323" t="str">
        <f>AA9</f>
        <v>Wales</v>
      </c>
      <c r="AC54" s="323">
        <v>1</v>
      </c>
      <c r="AD54" s="323">
        <f t="shared" ref="AD54:AD59" si="12">LARGE($AA$54:$AA$59,AC54)</f>
        <v>6.0000000000000001E-3</v>
      </c>
      <c r="AE54" s="550" t="str">
        <f t="shared" ref="AE54:AE59" si="13">VLOOKUP(AD54,$AA$54:$AB$59,2,FALSE)</f>
        <v>Franciaország</v>
      </c>
      <c r="AF54" s="325">
        <v>1</v>
      </c>
      <c r="AI54" s="327">
        <f t="shared" ref="AI54:AI59" si="14">VLOOKUP($AB54,grouptable,3,FALSE)</f>
        <v>0</v>
      </c>
      <c r="AJ54" s="327">
        <f t="shared" ref="AJ54:AJ59" si="15">VLOOKUP($AB54,grouptable,6,FALSE)</f>
        <v>0</v>
      </c>
      <c r="AL54" s="327">
        <f t="shared" ref="AL54:AL59" si="16">VLOOKUP($AB54,grouptable,8,FALSE)</f>
        <v>0</v>
      </c>
      <c r="AM54" s="327">
        <f t="shared" ref="AM54:AM59" si="17">VLOOKUP($AB54,grouptable,9,FALSE)</f>
        <v>0</v>
      </c>
      <c r="AQ54" s="323"/>
      <c r="BJ54" s="323"/>
      <c r="CE54" s="303"/>
      <c r="CF54" s="352" t="s">
        <v>808</v>
      </c>
      <c r="CG54" s="359" t="s">
        <v>653</v>
      </c>
      <c r="CH54" s="359" t="s">
        <v>648</v>
      </c>
      <c r="CI54" s="360"/>
      <c r="CJ54" s="352" t="s">
        <v>656</v>
      </c>
      <c r="CK54" s="352" t="s">
        <v>645</v>
      </c>
      <c r="CL54" s="303"/>
    </row>
    <row r="55" spans="27:90" ht="13.5" customHeight="1" x14ac:dyDescent="0.3">
      <c r="AA55" s="334">
        <f t="shared" si="11"/>
        <v>2E-3</v>
      </c>
      <c r="AB55" s="323" t="str">
        <f>AA15</f>
        <v>Belgium</v>
      </c>
      <c r="AC55" s="323">
        <v>2</v>
      </c>
      <c r="AD55" s="323">
        <f t="shared" si="12"/>
        <v>5.0000000000000001E-3</v>
      </c>
      <c r="AE55" s="551" t="str">
        <f t="shared" si="13"/>
        <v>Lengyelország</v>
      </c>
      <c r="AF55" s="325">
        <f>IF(ABS(AD54-AD55)&lt;0.5,AF54,AC55)</f>
        <v>1</v>
      </c>
      <c r="AI55" s="327">
        <f t="shared" si="14"/>
        <v>0</v>
      </c>
      <c r="AJ55" s="327">
        <f t="shared" si="15"/>
        <v>0</v>
      </c>
      <c r="AL55" s="327">
        <f t="shared" si="16"/>
        <v>0</v>
      </c>
      <c r="AM55" s="327">
        <f t="shared" si="17"/>
        <v>0</v>
      </c>
      <c r="AQ55" s="323"/>
      <c r="BJ55" s="323"/>
      <c r="CE55" s="309" t="str">
        <f>CE51</f>
        <v>Észak-Macedónia</v>
      </c>
      <c r="CF55" s="310" t="str">
        <f>IF(OR(CE55="",CL55="",CE55=CL55),"",IF(COUNTIF(groupm,CONCATENATE(CE55,CL55))=0,"",CONCATENATE(CE55,CL55)))</f>
        <v/>
      </c>
      <c r="CG55" s="310" t="str">
        <f>IF(CF55="","",VLOOKUP(CF55,groupm,3,FALSE))</f>
        <v/>
      </c>
      <c r="CH55" s="339" t="str">
        <f>IF(CF55="","",VLOOKUP(CF55,groupm,4,FALSE))</f>
        <v/>
      </c>
      <c r="CI55" s="339" t="str">
        <f>IF(CF55="","",VLOOKUP(CF55,groupm,5,FALSE))</f>
        <v/>
      </c>
      <c r="CJ55" s="311" t="str">
        <f>IF(CF55="","",VLOOKUP(CF55,groupm,8,FALSE))</f>
        <v/>
      </c>
      <c r="CK55" s="311" t="str">
        <f>IF(CF55="","",VLOOKUP(CF55,groupm,9,FALSE))</f>
        <v/>
      </c>
      <c r="CL55" s="309" t="str">
        <f>CE49</f>
        <v>Ukrajna</v>
      </c>
    </row>
    <row r="56" spans="27:90" ht="13.5" customHeight="1" x14ac:dyDescent="0.3">
      <c r="AA56" s="334">
        <f t="shared" si="11"/>
        <v>3.0000000000000001E-3</v>
      </c>
      <c r="AB56" s="323" t="str">
        <f>AA21</f>
        <v>Ausztria</v>
      </c>
      <c r="AC56" s="323">
        <v>3</v>
      </c>
      <c r="AD56" s="323">
        <f t="shared" si="12"/>
        <v>4.0000000000000001E-3</v>
      </c>
      <c r="AE56" s="551" t="str">
        <f t="shared" si="13"/>
        <v>Skócia</v>
      </c>
      <c r="AF56" s="325">
        <f>IF(ABS(AD55-AD56)&lt;0.5,AF55,AC56)</f>
        <v>1</v>
      </c>
      <c r="AI56" s="327">
        <f t="shared" si="14"/>
        <v>0</v>
      </c>
      <c r="AJ56" s="327">
        <f t="shared" si="15"/>
        <v>0</v>
      </c>
      <c r="AL56" s="327">
        <f t="shared" si="16"/>
        <v>0</v>
      </c>
      <c r="AM56" s="327">
        <f t="shared" si="17"/>
        <v>0</v>
      </c>
      <c r="AQ56" s="323"/>
      <c r="BJ56" s="323"/>
      <c r="CE56" s="309" t="str">
        <f>CE52</f>
        <v>Ausztria</v>
      </c>
      <c r="CF56" s="310" t="str">
        <f>IF(OR(CE56="",CL56="",CE56=CL56),"",IF(COUNTIF(groupm,CONCATENATE(CE56,CL56))=0,"",CONCATENATE(CE56,CL56)))</f>
        <v/>
      </c>
      <c r="CG56" s="310" t="str">
        <f>IF(CF56="","",VLOOKUP(CF56,groupm,3,FALSE))</f>
        <v/>
      </c>
      <c r="CH56" s="339" t="str">
        <f>IF(CF56="","",VLOOKUP(CF56,groupm,4,FALSE))</f>
        <v/>
      </c>
      <c r="CI56" s="339" t="str">
        <f>IF(CF56="","",VLOOKUP(CF56,groupm,5,FALSE))</f>
        <v/>
      </c>
      <c r="CJ56" s="311" t="str">
        <f>IF(CF56="","",VLOOKUP(CF56,groupm,8,FALSE))</f>
        <v/>
      </c>
      <c r="CK56" s="311" t="str">
        <f>IF(CF56="","",VLOOKUP(CF56,groupm,9,FALSE))</f>
        <v/>
      </c>
      <c r="CL56" s="309" t="str">
        <f>CL55</f>
        <v>Ukrajna</v>
      </c>
    </row>
    <row r="57" spans="27:90" ht="13.5" customHeight="1" x14ac:dyDescent="0.3">
      <c r="AA57" s="334">
        <f t="shared" si="11"/>
        <v>4.0000000000000001E-3</v>
      </c>
      <c r="AB57" s="323" t="str">
        <f>AA27</f>
        <v>Skócia</v>
      </c>
      <c r="AC57" s="323">
        <v>4</v>
      </c>
      <c r="AD57" s="323">
        <f t="shared" si="12"/>
        <v>3.0000000000000001E-3</v>
      </c>
      <c r="AE57" s="551" t="str">
        <f t="shared" si="13"/>
        <v>Ausztria</v>
      </c>
      <c r="AF57" s="325">
        <f>IF(ABS(AD56-AD57)&lt;0.5,AF56,AC57)</f>
        <v>1</v>
      </c>
      <c r="AI57" s="327">
        <f t="shared" si="14"/>
        <v>0</v>
      </c>
      <c r="AJ57" s="327">
        <f t="shared" si="15"/>
        <v>0</v>
      </c>
      <c r="AL57" s="327">
        <f t="shared" si="16"/>
        <v>0</v>
      </c>
      <c r="AM57" s="327">
        <f t="shared" si="17"/>
        <v>0</v>
      </c>
      <c r="AQ57" s="323"/>
      <c r="BJ57" s="323"/>
      <c r="CE57" s="309" t="str">
        <f>CE53</f>
        <v>Ukrajna</v>
      </c>
      <c r="CF57" s="310" t="str">
        <f>IF(OR(CE57="",CL57="",CE57=CL57),"",IF(COUNTIF(groupm,CONCATENATE(CE57,CL57))=0,"",CONCATENATE(CE57,CL57)))</f>
        <v/>
      </c>
      <c r="CG57" s="310" t="str">
        <f>IF(CF57="","",VLOOKUP(CF57,groupm,3,FALSE))</f>
        <v/>
      </c>
      <c r="CH57" s="339" t="str">
        <f>IF(CF57="","",VLOOKUP(CF57,groupm,4,FALSE))</f>
        <v/>
      </c>
      <c r="CI57" s="339" t="str">
        <f>IF(CF57="","",VLOOKUP(CF57,groupm,5,FALSE))</f>
        <v/>
      </c>
      <c r="CJ57" s="311" t="str">
        <f>IF(CF57="","",VLOOKUP(CF57,groupm,8,FALSE))</f>
        <v/>
      </c>
      <c r="CK57" s="311" t="str">
        <f>IF(CF57="","",VLOOKUP(CF57,groupm,9,FALSE))</f>
        <v/>
      </c>
      <c r="CL57" s="309" t="str">
        <f>CL56</f>
        <v>Ukrajna</v>
      </c>
    </row>
    <row r="58" spans="27:90" ht="13.5" customHeight="1" x14ac:dyDescent="0.3">
      <c r="AA58" s="334">
        <f t="shared" si="11"/>
        <v>5.0000000000000001E-3</v>
      </c>
      <c r="AB58" s="323" t="str">
        <f>AA33</f>
        <v>Lengyelország</v>
      </c>
      <c r="AC58" s="323">
        <v>5</v>
      </c>
      <c r="AD58" s="323">
        <f t="shared" si="12"/>
        <v>2E-3</v>
      </c>
      <c r="AE58" s="551" t="str">
        <f t="shared" si="13"/>
        <v>Belgium</v>
      </c>
      <c r="AF58" s="325">
        <f>IF(ABS(AD57-AD58)&lt;0.5,AF57,AC58)</f>
        <v>1</v>
      </c>
      <c r="AI58" s="327">
        <f t="shared" si="14"/>
        <v>0</v>
      </c>
      <c r="AJ58" s="327">
        <f t="shared" si="15"/>
        <v>0</v>
      </c>
      <c r="AL58" s="327">
        <f t="shared" si="16"/>
        <v>0</v>
      </c>
      <c r="AM58" s="327">
        <f t="shared" si="17"/>
        <v>0</v>
      </c>
      <c r="AQ58" s="323"/>
      <c r="BJ58" s="323"/>
      <c r="CE58" s="303"/>
      <c r="CF58" s="352" t="s">
        <v>808</v>
      </c>
      <c r="CG58" s="359" t="s">
        <v>653</v>
      </c>
      <c r="CH58" s="359" t="s">
        <v>648</v>
      </c>
      <c r="CI58" s="360"/>
      <c r="CJ58" s="352" t="s">
        <v>656</v>
      </c>
      <c r="CK58" s="352" t="s">
        <v>645</v>
      </c>
      <c r="CL58" s="303"/>
    </row>
    <row r="59" spans="27:90" ht="13.5" customHeight="1" x14ac:dyDescent="0.3">
      <c r="AA59" s="334">
        <f t="shared" si="11"/>
        <v>6.0000000000000001E-3</v>
      </c>
      <c r="AB59" s="323" t="str">
        <f>AA39</f>
        <v>Franciaország</v>
      </c>
      <c r="AC59" s="323">
        <v>6</v>
      </c>
      <c r="AD59" s="323">
        <f t="shared" si="12"/>
        <v>1E-3</v>
      </c>
      <c r="AE59" s="552" t="str">
        <f t="shared" si="13"/>
        <v>Wales</v>
      </c>
      <c r="AF59" s="325">
        <f>IF(ABS(AD58-AD59)&lt;0.5,AF58,AC59)</f>
        <v>1</v>
      </c>
      <c r="AI59" s="327">
        <f t="shared" si="14"/>
        <v>0</v>
      </c>
      <c r="AJ59" s="327">
        <f t="shared" si="15"/>
        <v>0</v>
      </c>
      <c r="AL59" s="327">
        <f t="shared" si="16"/>
        <v>0</v>
      </c>
      <c r="AM59" s="327">
        <f t="shared" si="17"/>
        <v>0</v>
      </c>
      <c r="AQ59" s="323"/>
      <c r="BJ59" s="323"/>
      <c r="CE59" s="309" t="str">
        <f>IF(BS19="","",VLOOKUP(BS19,BJ19:BS22,8,FALSE))</f>
        <v/>
      </c>
      <c r="CF59" s="310" t="str">
        <f>IF(OR(CE59="",CL59="",CE59=CL59),"",IF(COUNTIF(groupm,CONCATENATE(CE59,CL59))=0,"",CONCATENATE(CE59,CL59)))</f>
        <v/>
      </c>
      <c r="CG59" s="310" t="str">
        <f>IF(CF59="","",VLOOKUP(CF59,groupm,3,FALSE))</f>
        <v/>
      </c>
      <c r="CH59" s="339" t="str">
        <f>IF(CF59="","",VLOOKUP(CF59,groupm,4,FALSE))</f>
        <v/>
      </c>
      <c r="CI59" s="339" t="str">
        <f>IF(CF59="","",VLOOKUP(CF59,groupm,5,FALSE))</f>
        <v/>
      </c>
      <c r="CJ59" s="311" t="str">
        <f>IF(CF59="","",VLOOKUP(CF59,groupm,8,FALSE))</f>
        <v/>
      </c>
      <c r="CK59" s="311" t="str">
        <f>IF(CF59="","",VLOOKUP(CF59,groupm,9,FALSE))</f>
        <v/>
      </c>
      <c r="CL59" s="309" t="str">
        <f>CE59</f>
        <v/>
      </c>
    </row>
    <row r="60" spans="27:90" ht="13.5" customHeight="1" x14ac:dyDescent="0.3">
      <c r="AD60" s="323"/>
      <c r="AQ60" s="323"/>
      <c r="BJ60" s="323"/>
      <c r="CE60" s="309" t="str">
        <f>IF(BS20="","",VLOOKUP(BS20,BJ19:BS22,8,FALSE))</f>
        <v/>
      </c>
      <c r="CF60" s="310" t="str">
        <f>IF(OR(CE60="",CL60="",CE60=CL60),"",IF(COUNTIF(groupm,CONCATENATE(CE60,CL60))=0,"",CONCATENATE(CE60,CL60)))</f>
        <v/>
      </c>
      <c r="CG60" s="310" t="str">
        <f>IF(CF60="","",VLOOKUP(CF60,groupm,3,FALSE))</f>
        <v/>
      </c>
      <c r="CH60" s="339" t="str">
        <f>IF(CF60="","",VLOOKUP(CF60,groupm,4,FALSE))</f>
        <v/>
      </c>
      <c r="CI60" s="339" t="str">
        <f>IF(CF60="","",VLOOKUP(CF60,groupm,5,FALSE))</f>
        <v/>
      </c>
      <c r="CJ60" s="311" t="str">
        <f>IF(CF60="","",VLOOKUP(CF60,groupm,8,FALSE))</f>
        <v/>
      </c>
      <c r="CK60" s="311" t="str">
        <f>IF(CF60="","",VLOOKUP(CF60,groupm,9,FALSE))</f>
        <v/>
      </c>
      <c r="CL60" s="309" t="str">
        <f>CL59</f>
        <v/>
      </c>
    </row>
    <row r="61" spans="27:90" ht="13.5" customHeight="1" x14ac:dyDescent="0.3">
      <c r="AD61" s="323"/>
      <c r="AQ61" s="323"/>
      <c r="BJ61" s="323"/>
      <c r="CE61" s="303"/>
      <c r="CF61" s="352" t="s">
        <v>808</v>
      </c>
      <c r="CG61" s="359" t="s">
        <v>653</v>
      </c>
      <c r="CH61" s="359" t="s">
        <v>648</v>
      </c>
      <c r="CI61" s="360"/>
      <c r="CJ61" s="352" t="s">
        <v>656</v>
      </c>
      <c r="CK61" s="352" t="s">
        <v>645</v>
      </c>
      <c r="CL61" s="303"/>
    </row>
    <row r="62" spans="27:90" ht="13.5" customHeight="1" x14ac:dyDescent="0.3">
      <c r="AD62" s="323"/>
      <c r="AQ62" s="323"/>
      <c r="BJ62" s="323"/>
      <c r="CE62" s="309" t="str">
        <f>CE59</f>
        <v/>
      </c>
      <c r="CF62" s="310" t="str">
        <f>IF(OR(CE62="",CL62="",CE62=CL62),"",IF(COUNTIF(groupm,CONCATENATE(CE62,CL62))=0,"",CONCATENATE(CE62,CL62)))</f>
        <v/>
      </c>
      <c r="CG62" s="310" t="str">
        <f>IF(CF62="","",VLOOKUP(CF62,groupm,3,FALSE))</f>
        <v/>
      </c>
      <c r="CH62" s="339" t="str">
        <f>IF(CF62="","",VLOOKUP(CF62,groupm,4,FALSE))</f>
        <v/>
      </c>
      <c r="CI62" s="339" t="str">
        <f>IF(CF62="","",VLOOKUP(CF62,groupm,5,FALSE))</f>
        <v/>
      </c>
      <c r="CJ62" s="311" t="str">
        <f>IF(CF62="","",VLOOKUP(CF62,groupm,8,FALSE))</f>
        <v/>
      </c>
      <c r="CK62" s="311" t="str">
        <f>IF(CF62="","",VLOOKUP(CF62,groupm,9,FALSE))</f>
        <v/>
      </c>
      <c r="CL62" s="309" t="str">
        <f>CE60</f>
        <v/>
      </c>
    </row>
    <row r="63" spans="27:90" ht="13.5" customHeight="1" x14ac:dyDescent="0.3">
      <c r="AD63" s="323"/>
      <c r="AQ63" s="323"/>
      <c r="BJ63" s="323"/>
      <c r="CE63" s="309" t="str">
        <f>CE60</f>
        <v/>
      </c>
      <c r="CF63" s="310" t="str">
        <f>IF(OR(CE63="",CL63="",CE63=CL63),"",IF(COUNTIF(groupm,CONCATENATE(CE63,CL63))=0,"",CONCATENATE(CE63,CL63)))</f>
        <v/>
      </c>
      <c r="CG63" s="310" t="str">
        <f>IF(CF63="","",VLOOKUP(CF63,groupm,3,FALSE))</f>
        <v/>
      </c>
      <c r="CH63" s="339" t="str">
        <f>IF(CF63="","",VLOOKUP(CF63,groupm,4,FALSE))</f>
        <v/>
      </c>
      <c r="CI63" s="339" t="str">
        <f>IF(CF63="","",VLOOKUP(CF63,groupm,5,FALSE))</f>
        <v/>
      </c>
      <c r="CJ63" s="311" t="str">
        <f>IF(CF63="","",VLOOKUP(CF63,groupm,8,FALSE))</f>
        <v/>
      </c>
      <c r="CK63" s="311" t="str">
        <f>IF(CF63="","",VLOOKUP(CF63,groupm,9,FALSE))</f>
        <v/>
      </c>
      <c r="CL63" s="309" t="str">
        <f>CL62</f>
        <v/>
      </c>
    </row>
    <row r="64" spans="27:90" ht="13.5" customHeight="1" x14ac:dyDescent="0.3">
      <c r="AD64" s="323"/>
      <c r="AQ64" s="323"/>
      <c r="BJ64" s="323"/>
    </row>
    <row r="65" spans="30:90" ht="13.5" customHeight="1" x14ac:dyDescent="0.3">
      <c r="AD65" s="323"/>
      <c r="AQ65" s="323"/>
      <c r="BJ65" s="323"/>
    </row>
    <row r="66" spans="30:90" ht="12.75" customHeight="1" x14ac:dyDescent="0.3">
      <c r="AD66" s="323"/>
      <c r="AQ66" s="323"/>
      <c r="BJ66" s="323"/>
      <c r="CE66" s="303"/>
      <c r="CF66" s="349" t="s">
        <v>808</v>
      </c>
      <c r="CG66" s="362" t="s">
        <v>653</v>
      </c>
      <c r="CH66" s="362" t="s">
        <v>648</v>
      </c>
      <c r="CI66" s="363"/>
      <c r="CJ66" s="349" t="s">
        <v>656</v>
      </c>
      <c r="CK66" s="349" t="s">
        <v>645</v>
      </c>
      <c r="CL66" s="303"/>
    </row>
    <row r="67" spans="30:90" ht="12.75" customHeight="1" x14ac:dyDescent="0.3">
      <c r="AD67" s="323"/>
      <c r="AQ67" s="323"/>
      <c r="BJ67" s="323"/>
      <c r="CE67" s="309" t="str">
        <f>IF(BP25="","",VLOOKUP(BP25,BJ25:BS28,5,FALSE))</f>
        <v>Csehország</v>
      </c>
      <c r="CF67" s="310" t="str">
        <f>IF(OR(CE67="",CL67="",CE67=CL67),"",IF(COUNTIF(groupm,CONCATENATE(CE67,CL67))=0,"",CONCATENATE(CE67,CL67)))</f>
        <v/>
      </c>
      <c r="CG67" s="310" t="str">
        <f>IF(CF67="","",VLOOKUP(CF67,groupm,3,FALSE))</f>
        <v/>
      </c>
      <c r="CH67" s="339" t="str">
        <f>IF(CF67="","",VLOOKUP(CF67,groupm,4,FALSE))</f>
        <v/>
      </c>
      <c r="CI67" s="339" t="str">
        <f>IF(CF67="","",VLOOKUP(CF67,groupm,5,FALSE))</f>
        <v/>
      </c>
      <c r="CJ67" s="311" t="str">
        <f>IF(CF67="","",VLOOKUP(CF67,groupm,8,FALSE))</f>
        <v/>
      </c>
      <c r="CK67" s="311" t="str">
        <f>IF(CF67="","",VLOOKUP(CF67,groupm,9,FALSE))</f>
        <v/>
      </c>
      <c r="CL67" s="309" t="str">
        <f>CE67</f>
        <v>Csehország</v>
      </c>
    </row>
    <row r="68" spans="30:90" ht="12.75" customHeight="1" x14ac:dyDescent="0.3">
      <c r="AD68" s="323"/>
      <c r="AQ68" s="323"/>
      <c r="BJ68" s="323"/>
      <c r="CE68" s="309" t="str">
        <f>IF(BP26="","",VLOOKUP(BP26,BJ25:BS28,5,FALSE))</f>
        <v>Skócia</v>
      </c>
      <c r="CF68" s="310" t="str">
        <f>IF(OR(CE68="",CL68="",CE68=CL68),"",IF(COUNTIF(groupm,CONCATENATE(CE68,CL68))=0,"",CONCATENATE(CE68,CL68)))</f>
        <v>SkóciaCsehország</v>
      </c>
      <c r="CG68" s="310" t="str">
        <f>IF(CF68="","",VLOOKUP(CF68,groupm,3,FALSE))</f>
        <v/>
      </c>
      <c r="CH68" s="339" t="str">
        <f>IF(CF68="","",VLOOKUP(CF68,groupm,4,FALSE))</f>
        <v/>
      </c>
      <c r="CI68" s="339" t="str">
        <f>IF(CF68="","",VLOOKUP(CF68,groupm,5,FALSE))</f>
        <v/>
      </c>
      <c r="CJ68" s="311" t="str">
        <f>IF(CF68="","",VLOOKUP(CF68,groupm,8,FALSE))</f>
        <v/>
      </c>
      <c r="CK68" s="311" t="str">
        <f>IF(CF68="","",VLOOKUP(CF68,groupm,9,FALSE))</f>
        <v/>
      </c>
      <c r="CL68" s="309" t="str">
        <f>CL67</f>
        <v>Csehország</v>
      </c>
    </row>
    <row r="69" spans="30:90" ht="12.75" customHeight="1" x14ac:dyDescent="0.3">
      <c r="AD69" s="323"/>
      <c r="AQ69" s="323"/>
      <c r="BJ69" s="323"/>
      <c r="CE69" s="309" t="str">
        <f>IF(BP27="","",VLOOKUP(BP27,BJ25:BS28,5,FALSE))</f>
        <v>Horvátország</v>
      </c>
      <c r="CF69" s="310" t="str">
        <f>IF(OR(CE69="",CL69="",CE69=CL69),"",IF(COUNTIF(groupm,CONCATENATE(CE69,CL69))=0,"",CONCATENATE(CE69,CL69)))</f>
        <v>HorvátországCsehország</v>
      </c>
      <c r="CG69" s="310" t="str">
        <f>IF(CF69="","",VLOOKUP(CF69,groupm,3,FALSE))</f>
        <v/>
      </c>
      <c r="CH69" s="339" t="str">
        <f>IF(CF69="","",VLOOKUP(CF69,groupm,4,FALSE))</f>
        <v/>
      </c>
      <c r="CI69" s="339" t="str">
        <f>IF(CF69="","",VLOOKUP(CF69,groupm,5,FALSE))</f>
        <v/>
      </c>
      <c r="CJ69" s="311" t="str">
        <f>IF(CF69="","",VLOOKUP(CF69,groupm,8,FALSE))</f>
        <v/>
      </c>
      <c r="CK69" s="311" t="str">
        <f>IF(CF69="","",VLOOKUP(CF69,groupm,9,FALSE))</f>
        <v/>
      </c>
      <c r="CL69" s="309" t="str">
        <f>CL68</f>
        <v>Csehország</v>
      </c>
    </row>
    <row r="70" spans="30:90" ht="12.75" customHeight="1" x14ac:dyDescent="0.3">
      <c r="AD70" s="323"/>
      <c r="AQ70" s="323"/>
      <c r="BJ70" s="323"/>
      <c r="CE70" s="303"/>
      <c r="CF70" s="349" t="s">
        <v>808</v>
      </c>
      <c r="CG70" s="362" t="s">
        <v>653</v>
      </c>
      <c r="CH70" s="362" t="s">
        <v>648</v>
      </c>
      <c r="CI70" s="363"/>
      <c r="CJ70" s="349" t="s">
        <v>656</v>
      </c>
      <c r="CK70" s="349" t="s">
        <v>645</v>
      </c>
      <c r="CL70" s="303"/>
    </row>
    <row r="71" spans="30:90" ht="12.75" customHeight="1" x14ac:dyDescent="0.3">
      <c r="AD71" s="323"/>
      <c r="AQ71" s="323"/>
      <c r="BJ71" s="323"/>
      <c r="CE71" s="309" t="str">
        <f>CE67</f>
        <v>Csehország</v>
      </c>
      <c r="CF71" s="310" t="str">
        <f>IF(OR(CE71="",CL71="",CE71=CL71),"",IF(COUNTIF(groupm,CONCATENATE(CE71,CL71))=0,"",CONCATENATE(CE71,CL71)))</f>
        <v/>
      </c>
      <c r="CG71" s="310" t="str">
        <f>IF(CF71="","",VLOOKUP(CF71,groupm,3,FALSE))</f>
        <v/>
      </c>
      <c r="CH71" s="339" t="str">
        <f>IF(CF71="","",VLOOKUP(CF71,groupm,4,FALSE))</f>
        <v/>
      </c>
      <c r="CI71" s="339" t="str">
        <f>IF(CF71="","",VLOOKUP(CF71,groupm,5,FALSE))</f>
        <v/>
      </c>
      <c r="CJ71" s="311" t="str">
        <f>IF(CF71="","",VLOOKUP(CF71,groupm,8,FALSE))</f>
        <v/>
      </c>
      <c r="CK71" s="311" t="str">
        <f>IF(CF71="","",VLOOKUP(CF71,groupm,9,FALSE))</f>
        <v/>
      </c>
      <c r="CL71" s="309" t="str">
        <f>CE68</f>
        <v>Skócia</v>
      </c>
    </row>
    <row r="72" spans="30:90" ht="12.75" customHeight="1" x14ac:dyDescent="0.3">
      <c r="AD72" s="323"/>
      <c r="AQ72" s="323"/>
      <c r="BJ72" s="323"/>
      <c r="CE72" s="309" t="str">
        <f>CE68</f>
        <v>Skócia</v>
      </c>
      <c r="CF72" s="310" t="str">
        <f>IF(OR(CE72="",CL72="",CE72=CL72),"",IF(COUNTIF(groupm,CONCATENATE(CE72,CL72))=0,"",CONCATENATE(CE72,CL72)))</f>
        <v/>
      </c>
      <c r="CG72" s="310" t="str">
        <f>IF(CF72="","",VLOOKUP(CF72,groupm,3,FALSE))</f>
        <v/>
      </c>
      <c r="CH72" s="339" t="str">
        <f>IF(CF72="","",VLOOKUP(CF72,groupm,4,FALSE))</f>
        <v/>
      </c>
      <c r="CI72" s="339" t="str">
        <f>IF(CF72="","",VLOOKUP(CF72,groupm,5,FALSE))</f>
        <v/>
      </c>
      <c r="CJ72" s="311" t="str">
        <f>IF(CF72="","",VLOOKUP(CF72,groupm,8,FALSE))</f>
        <v/>
      </c>
      <c r="CK72" s="311" t="str">
        <f>IF(CF72="","",VLOOKUP(CF72,groupm,9,FALSE))</f>
        <v/>
      </c>
      <c r="CL72" s="309" t="str">
        <f>CL71</f>
        <v>Skócia</v>
      </c>
    </row>
    <row r="73" spans="30:90" ht="12.75" customHeight="1" x14ac:dyDescent="0.3">
      <c r="AD73" s="323"/>
      <c r="AQ73" s="323"/>
      <c r="BJ73" s="323"/>
      <c r="CE73" s="309" t="str">
        <f>CE69</f>
        <v>Horvátország</v>
      </c>
      <c r="CF73" s="310" t="str">
        <f>IF(OR(CE73="",CL73="",CE73=CL73),"",IF(COUNTIF(groupm,CONCATENATE(CE73,CL73))=0,"",CONCATENATE(CE73,CL73)))</f>
        <v>HorvátországSkócia</v>
      </c>
      <c r="CG73" s="310" t="str">
        <f>IF(CF73="","",VLOOKUP(CF73,groupm,3,FALSE))</f>
        <v/>
      </c>
      <c r="CH73" s="339" t="str">
        <f>IF(CF73="","",VLOOKUP(CF73,groupm,4,FALSE))</f>
        <v/>
      </c>
      <c r="CI73" s="339" t="str">
        <f>IF(CF73="","",VLOOKUP(CF73,groupm,5,FALSE))</f>
        <v/>
      </c>
      <c r="CJ73" s="311" t="str">
        <f>IF(CF73="","",VLOOKUP(CF73,groupm,8,FALSE))</f>
        <v/>
      </c>
      <c r="CK73" s="311" t="str">
        <f>IF(CF73="","",VLOOKUP(CF73,groupm,9,FALSE))</f>
        <v/>
      </c>
      <c r="CL73" s="309" t="str">
        <f>CL72</f>
        <v>Skócia</v>
      </c>
    </row>
    <row r="74" spans="30:90" ht="12.75" customHeight="1" x14ac:dyDescent="0.3">
      <c r="AD74" s="323"/>
      <c r="AQ74" s="323"/>
      <c r="BJ74" s="323"/>
      <c r="CE74" s="303"/>
      <c r="CF74" s="349" t="s">
        <v>808</v>
      </c>
      <c r="CG74" s="362" t="s">
        <v>653</v>
      </c>
      <c r="CH74" s="362" t="s">
        <v>648</v>
      </c>
      <c r="CI74" s="363"/>
      <c r="CJ74" s="349" t="s">
        <v>656</v>
      </c>
      <c r="CK74" s="349" t="s">
        <v>645</v>
      </c>
      <c r="CL74" s="303"/>
    </row>
    <row r="75" spans="30:90" ht="12.75" customHeight="1" x14ac:dyDescent="0.3">
      <c r="AD75" s="323"/>
      <c r="AQ75" s="323"/>
      <c r="CE75" s="309" t="str">
        <f>CE71</f>
        <v>Csehország</v>
      </c>
      <c r="CF75" s="310" t="str">
        <f>IF(OR(CE75="",CL75="",CE75=CL75),"",IF(COUNTIF(groupm,CONCATENATE(CE75,CL75))=0,"",CONCATENATE(CE75,CL75)))</f>
        <v/>
      </c>
      <c r="CG75" s="310" t="str">
        <f>IF(CF75="","",VLOOKUP(CF75,groupm,3,FALSE))</f>
        <v/>
      </c>
      <c r="CH75" s="339" t="str">
        <f>IF(CF75="","",VLOOKUP(CF75,groupm,4,FALSE))</f>
        <v/>
      </c>
      <c r="CI75" s="339" t="str">
        <f>IF(CF75="","",VLOOKUP(CF75,groupm,5,FALSE))</f>
        <v/>
      </c>
      <c r="CJ75" s="311" t="str">
        <f>IF(CF75="","",VLOOKUP(CF75,groupm,8,FALSE))</f>
        <v/>
      </c>
      <c r="CK75" s="311" t="str">
        <f>IF(CF75="","",VLOOKUP(CF75,groupm,9,FALSE))</f>
        <v/>
      </c>
      <c r="CL75" s="309" t="str">
        <f>CE69</f>
        <v>Horvátország</v>
      </c>
    </row>
    <row r="76" spans="30:90" ht="12.75" customHeight="1" x14ac:dyDescent="0.3">
      <c r="AD76" s="323"/>
      <c r="AQ76" s="323"/>
      <c r="CE76" s="309" t="str">
        <f>CE72</f>
        <v>Skócia</v>
      </c>
      <c r="CF76" s="310" t="str">
        <f>IF(OR(CE76="",CL76="",CE76=CL76),"",IF(COUNTIF(groupm,CONCATENATE(CE76,CL76))=0,"",CONCATENATE(CE76,CL76)))</f>
        <v/>
      </c>
      <c r="CG76" s="310" t="str">
        <f>IF(CF76="","",VLOOKUP(CF76,groupm,3,FALSE))</f>
        <v/>
      </c>
      <c r="CH76" s="339" t="str">
        <f>IF(CF76="","",VLOOKUP(CF76,groupm,4,FALSE))</f>
        <v/>
      </c>
      <c r="CI76" s="339" t="str">
        <f>IF(CF76="","",VLOOKUP(CF76,groupm,5,FALSE))</f>
        <v/>
      </c>
      <c r="CJ76" s="311" t="str">
        <f>IF(CF76="","",VLOOKUP(CF76,groupm,8,FALSE))</f>
        <v/>
      </c>
      <c r="CK76" s="311" t="str">
        <f>IF(CF76="","",VLOOKUP(CF76,groupm,9,FALSE))</f>
        <v/>
      </c>
      <c r="CL76" s="309" t="str">
        <f>CL75</f>
        <v>Horvátország</v>
      </c>
    </row>
    <row r="77" spans="30:90" ht="12.75" customHeight="1" x14ac:dyDescent="0.3">
      <c r="AD77" s="323"/>
      <c r="AQ77" s="323"/>
      <c r="CE77" s="309" t="str">
        <f>CE73</f>
        <v>Horvátország</v>
      </c>
      <c r="CF77" s="310" t="str">
        <f>IF(OR(CE77="",CL77="",CE77=CL77),"",IF(COUNTIF(groupm,CONCATENATE(CE77,CL77))=0,"",CONCATENATE(CE77,CL77)))</f>
        <v/>
      </c>
      <c r="CG77" s="310" t="str">
        <f>IF(CF77="","",VLOOKUP(CF77,groupm,3,FALSE))</f>
        <v/>
      </c>
      <c r="CH77" s="339" t="str">
        <f>IF(CF77="","",VLOOKUP(CF77,groupm,4,FALSE))</f>
        <v/>
      </c>
      <c r="CI77" s="339" t="str">
        <f>IF(CF77="","",VLOOKUP(CF77,groupm,5,FALSE))</f>
        <v/>
      </c>
      <c r="CJ77" s="311" t="str">
        <f>IF(CF77="","",VLOOKUP(CF77,groupm,8,FALSE))</f>
        <v/>
      </c>
      <c r="CK77" s="311" t="str">
        <f>IF(CF77="","",VLOOKUP(CF77,groupm,9,FALSE))</f>
        <v/>
      </c>
      <c r="CL77" s="309" t="str">
        <f>CL76</f>
        <v>Horvátország</v>
      </c>
    </row>
    <row r="78" spans="30:90" ht="12.75" customHeight="1" x14ac:dyDescent="0.3">
      <c r="CE78" s="303"/>
      <c r="CF78" s="349" t="s">
        <v>808</v>
      </c>
      <c r="CG78" s="362" t="s">
        <v>653</v>
      </c>
      <c r="CH78" s="362" t="s">
        <v>648</v>
      </c>
      <c r="CI78" s="363"/>
      <c r="CJ78" s="349" t="s">
        <v>656</v>
      </c>
      <c r="CK78" s="349" t="s">
        <v>645</v>
      </c>
      <c r="CL78" s="303"/>
    </row>
    <row r="79" spans="30:90" ht="12.75" customHeight="1" x14ac:dyDescent="0.3">
      <c r="CE79" s="309" t="str">
        <f>IF(BS25="","",VLOOKUP(BS25,BJ25:BS28,8,FALSE))</f>
        <v/>
      </c>
      <c r="CF79" s="310" t="str">
        <f>IF(OR(CE79="",CL79="",CE79=CL79),"",IF(COUNTIF(groupm,CONCATENATE(CE79,CL79))=0,"",CONCATENATE(CE79,CL79)))</f>
        <v/>
      </c>
      <c r="CG79" s="310" t="str">
        <f>IF(CF79="","",VLOOKUP(CF79,groupm,3,FALSE))</f>
        <v/>
      </c>
      <c r="CH79" s="339" t="str">
        <f>IF(CF79="","",VLOOKUP(CF79,groupm,4,FALSE))</f>
        <v/>
      </c>
      <c r="CI79" s="339" t="str">
        <f>IF(CF79="","",VLOOKUP(CF79,groupm,5,FALSE))</f>
        <v/>
      </c>
      <c r="CJ79" s="311" t="str">
        <f>IF(CF79="","",VLOOKUP(CF79,groupm,8,FALSE))</f>
        <v/>
      </c>
      <c r="CK79" s="311" t="str">
        <f>IF(CF79="","",VLOOKUP(CF79,groupm,9,FALSE))</f>
        <v/>
      </c>
      <c r="CL79" s="309" t="str">
        <f>CE79</f>
        <v/>
      </c>
    </row>
    <row r="80" spans="30:90" ht="12.75" customHeight="1" x14ac:dyDescent="0.3">
      <c r="CE80" s="309" t="str">
        <f>IF(BS26="","",VLOOKUP(BS26,BJ25:BS28,8,FALSE))</f>
        <v/>
      </c>
      <c r="CF80" s="310" t="str">
        <f>IF(OR(CE80="",CL80="",CE80=CL80),"",IF(COUNTIF(groupm,CONCATENATE(CE80,CL80))=0,"",CONCATENATE(CE80,CL80)))</f>
        <v/>
      </c>
      <c r="CG80" s="310" t="str">
        <f>IF(CF80="","",VLOOKUP(CF80,groupm,3,FALSE))</f>
        <v/>
      </c>
      <c r="CH80" s="339" t="str">
        <f>IF(CF80="","",VLOOKUP(CF80,groupm,4,FALSE))</f>
        <v/>
      </c>
      <c r="CI80" s="339" t="str">
        <f>IF(CF80="","",VLOOKUP(CF80,groupm,5,FALSE))</f>
        <v/>
      </c>
      <c r="CJ80" s="311" t="str">
        <f>IF(CF80="","",VLOOKUP(CF80,groupm,8,FALSE))</f>
        <v/>
      </c>
      <c r="CK80" s="311" t="str">
        <f>IF(CF80="","",VLOOKUP(CF80,groupm,9,FALSE))</f>
        <v/>
      </c>
      <c r="CL80" s="309" t="str">
        <f>CL79</f>
        <v/>
      </c>
    </row>
    <row r="81" spans="83:90" ht="12.75" customHeight="1" x14ac:dyDescent="0.3">
      <c r="CE81" s="303"/>
      <c r="CF81" s="349" t="s">
        <v>808</v>
      </c>
      <c r="CG81" s="362" t="s">
        <v>653</v>
      </c>
      <c r="CH81" s="362" t="s">
        <v>648</v>
      </c>
      <c r="CI81" s="363"/>
      <c r="CJ81" s="349" t="s">
        <v>656</v>
      </c>
      <c r="CK81" s="349" t="s">
        <v>645</v>
      </c>
      <c r="CL81" s="303"/>
    </row>
    <row r="82" spans="83:90" ht="12.75" customHeight="1" x14ac:dyDescent="0.3">
      <c r="CE82" s="309" t="str">
        <f>CE79</f>
        <v/>
      </c>
      <c r="CF82" s="310" t="str">
        <f>IF(OR(CE82="",CL82="",CE82=CL82),"",IF(COUNTIF(groupm,CONCATENATE(CE82,CL82))=0,"",CONCATENATE(CE82,CL82)))</f>
        <v/>
      </c>
      <c r="CG82" s="310" t="str">
        <f>IF(CF82="","",VLOOKUP(CF82,groupm,3,FALSE))</f>
        <v/>
      </c>
      <c r="CH82" s="339" t="str">
        <f>IF(CF82="","",VLOOKUP(CF82,groupm,4,FALSE))</f>
        <v/>
      </c>
      <c r="CI82" s="339" t="str">
        <f>IF(CF82="","",VLOOKUP(CF82,groupm,5,FALSE))</f>
        <v/>
      </c>
      <c r="CJ82" s="311" t="str">
        <f>IF(CF82="","",VLOOKUP(CF82,groupm,8,FALSE))</f>
        <v/>
      </c>
      <c r="CK82" s="311" t="str">
        <f>IF(CF82="","",VLOOKUP(CF82,groupm,9,FALSE))</f>
        <v/>
      </c>
      <c r="CL82" s="309" t="str">
        <f>CE80</f>
        <v/>
      </c>
    </row>
    <row r="83" spans="83:90" ht="12.75" customHeight="1" x14ac:dyDescent="0.3">
      <c r="CE83" s="309" t="str">
        <f>CE80</f>
        <v/>
      </c>
      <c r="CF83" s="310" t="str">
        <f>IF(OR(CE83="",CL83="",CE83=CL83),"",IF(COUNTIF(groupm,CONCATENATE(CE83,CL83))=0,"",CONCATENATE(CE83,CL83)))</f>
        <v/>
      </c>
      <c r="CG83" s="310" t="str">
        <f>IF(CF83="","",VLOOKUP(CF83,groupm,3,FALSE))</f>
        <v/>
      </c>
      <c r="CH83" s="339" t="str">
        <f>IF(CF83="","",VLOOKUP(CF83,groupm,4,FALSE))</f>
        <v/>
      </c>
      <c r="CI83" s="339" t="str">
        <f>IF(CF83="","",VLOOKUP(CF83,groupm,5,FALSE))</f>
        <v/>
      </c>
      <c r="CJ83" s="311" t="str">
        <f>IF(CF83="","",VLOOKUP(CF83,groupm,8,FALSE))</f>
        <v/>
      </c>
      <c r="CK83" s="311" t="str">
        <f>IF(CF83="","",VLOOKUP(CF83,groupm,9,FALSE))</f>
        <v/>
      </c>
      <c r="CL83" s="309" t="str">
        <f>CL82</f>
        <v/>
      </c>
    </row>
    <row r="86" spans="83:90" ht="12.75" customHeight="1" x14ac:dyDescent="0.3">
      <c r="CE86" s="303"/>
      <c r="CF86" s="343" t="s">
        <v>808</v>
      </c>
      <c r="CG86" s="367" t="s">
        <v>653</v>
      </c>
      <c r="CH86" s="367" t="s">
        <v>648</v>
      </c>
      <c r="CI86" s="368"/>
      <c r="CJ86" s="343" t="s">
        <v>656</v>
      </c>
      <c r="CK86" s="343" t="s">
        <v>645</v>
      </c>
      <c r="CL86" s="303"/>
    </row>
    <row r="87" spans="83:90" ht="12.75" customHeight="1" x14ac:dyDescent="0.3">
      <c r="CE87" s="309" t="str">
        <f>IF(BP31="","",VLOOKUP(BP31,BJ31:BS34,5,FALSE))</f>
        <v>Szlovákia</v>
      </c>
      <c r="CF87" s="310" t="str">
        <f>IF(OR(CE87="",CL87="",CE87=CL87),"",IF(COUNTIF(groupm,CONCATENATE(CE87,CL87))=0,"",CONCATENATE(CE87,CL87)))</f>
        <v/>
      </c>
      <c r="CG87" s="310" t="str">
        <f>IF(CF87="","",VLOOKUP(CF87,groupm,3,FALSE))</f>
        <v/>
      </c>
      <c r="CH87" s="339" t="str">
        <f>IF(CF87="","",VLOOKUP(CF87,groupm,4,FALSE))</f>
        <v/>
      </c>
      <c r="CI87" s="339" t="str">
        <f>IF(CF87="","",VLOOKUP(CF87,groupm,5,FALSE))</f>
        <v/>
      </c>
      <c r="CJ87" s="311" t="str">
        <f>IF(CF87="","",VLOOKUP(CF87,groupm,8,FALSE))</f>
        <v/>
      </c>
      <c r="CK87" s="311" t="str">
        <f>IF(CF87="","",VLOOKUP(CF87,groupm,9,FALSE))</f>
        <v/>
      </c>
      <c r="CL87" s="309" t="str">
        <f>CE87</f>
        <v>Szlovákia</v>
      </c>
    </row>
    <row r="88" spans="83:90" ht="12.75" customHeight="1" x14ac:dyDescent="0.3">
      <c r="CE88" s="309" t="str">
        <f>IF(BP32="","",VLOOKUP(BP32,BJ31:BS34,5,FALSE))</f>
        <v>Lengyelország</v>
      </c>
      <c r="CF88" s="310" t="str">
        <f>IF(OR(CE88="",CL88="",CE88=CL88),"",IF(COUNTIF(groupm,CONCATENATE(CE88,CL88))=0,"",CONCATENATE(CE88,CL88)))</f>
        <v>LengyelországSzlovákia</v>
      </c>
      <c r="CG88" s="310" t="str">
        <f>IF(CF88="","",VLOOKUP(CF88,groupm,3,FALSE))</f>
        <v/>
      </c>
      <c r="CH88" s="339" t="str">
        <f>IF(CF88="","",VLOOKUP(CF88,groupm,4,FALSE))</f>
        <v/>
      </c>
      <c r="CI88" s="339" t="str">
        <f>IF(CF88="","",VLOOKUP(CF88,groupm,5,FALSE))</f>
        <v/>
      </c>
      <c r="CJ88" s="311" t="str">
        <f>IF(CF88="","",VLOOKUP(CF88,groupm,8,FALSE))</f>
        <v/>
      </c>
      <c r="CK88" s="311" t="str">
        <f>IF(CF88="","",VLOOKUP(CF88,groupm,9,FALSE))</f>
        <v/>
      </c>
      <c r="CL88" s="309" t="str">
        <f>CL87</f>
        <v>Szlovákia</v>
      </c>
    </row>
    <row r="89" spans="83:90" ht="12.75" customHeight="1" x14ac:dyDescent="0.3">
      <c r="CE89" s="309" t="str">
        <f>IF(BP33="","",VLOOKUP(BP33,BJ31:BS34,5,FALSE))</f>
        <v>Svédország</v>
      </c>
      <c r="CF89" s="310" t="str">
        <f>IF(OR(CE89="",CL89="",CE89=CL89),"",IF(COUNTIF(groupm,CONCATENATE(CE89,CL89))=0,"",CONCATENATE(CE89,CL89)))</f>
        <v>SvédországSzlovákia</v>
      </c>
      <c r="CG89" s="310" t="str">
        <f>IF(CF89="","",VLOOKUP(CF89,groupm,3,FALSE))</f>
        <v/>
      </c>
      <c r="CH89" s="339" t="str">
        <f>IF(CF89="","",VLOOKUP(CF89,groupm,4,FALSE))</f>
        <v/>
      </c>
      <c r="CI89" s="339" t="str">
        <f>IF(CF89="","",VLOOKUP(CF89,groupm,5,FALSE))</f>
        <v/>
      </c>
      <c r="CJ89" s="311" t="str">
        <f>IF(CF89="","",VLOOKUP(CF89,groupm,8,FALSE))</f>
        <v/>
      </c>
      <c r="CK89" s="311" t="str">
        <f>IF(CF89="","",VLOOKUP(CF89,groupm,9,FALSE))</f>
        <v/>
      </c>
      <c r="CL89" s="309" t="str">
        <f>CL88</f>
        <v>Szlovákia</v>
      </c>
    </row>
    <row r="90" spans="83:90" ht="12.75" customHeight="1" x14ac:dyDescent="0.3">
      <c r="CE90" s="303"/>
      <c r="CF90" s="343" t="s">
        <v>808</v>
      </c>
      <c r="CG90" s="367" t="s">
        <v>653</v>
      </c>
      <c r="CH90" s="367" t="s">
        <v>648</v>
      </c>
      <c r="CI90" s="368"/>
      <c r="CJ90" s="343" t="s">
        <v>656</v>
      </c>
      <c r="CK90" s="343" t="s">
        <v>645</v>
      </c>
      <c r="CL90" s="303"/>
    </row>
    <row r="91" spans="83:90" ht="12.75" customHeight="1" x14ac:dyDescent="0.3">
      <c r="CE91" s="309" t="str">
        <f>CE87</f>
        <v>Szlovákia</v>
      </c>
      <c r="CF91" s="310" t="str">
        <f>IF(OR(CE91="",CL91="",CE91=CL91),"",IF(COUNTIF(groupm,CONCATENATE(CE91,CL91))=0,"",CONCATENATE(CE91,CL91)))</f>
        <v/>
      </c>
      <c r="CG91" s="310" t="str">
        <f>IF(CF91="","",VLOOKUP(CF91,groupm,3,FALSE))</f>
        <v/>
      </c>
      <c r="CH91" s="339" t="str">
        <f>IF(CF91="","",VLOOKUP(CF91,groupm,4,FALSE))</f>
        <v/>
      </c>
      <c r="CI91" s="339" t="str">
        <f>IF(CF91="","",VLOOKUP(CF91,groupm,5,FALSE))</f>
        <v/>
      </c>
      <c r="CJ91" s="311" t="str">
        <f>IF(CF91="","",VLOOKUP(CF91,groupm,8,FALSE))</f>
        <v/>
      </c>
      <c r="CK91" s="311" t="str">
        <f>IF(CF91="","",VLOOKUP(CF91,groupm,9,FALSE))</f>
        <v/>
      </c>
      <c r="CL91" s="309" t="str">
        <f>CE88</f>
        <v>Lengyelország</v>
      </c>
    </row>
    <row r="92" spans="83:90" ht="12.75" customHeight="1" x14ac:dyDescent="0.3">
      <c r="CE92" s="309" t="str">
        <f>CE88</f>
        <v>Lengyelország</v>
      </c>
      <c r="CF92" s="310" t="str">
        <f>IF(OR(CE92="",CL92="",CE92=CL92),"",IF(COUNTIF(groupm,CONCATENATE(CE92,CL92))=0,"",CONCATENATE(CE92,CL92)))</f>
        <v/>
      </c>
      <c r="CG92" s="310" t="str">
        <f>IF(CF92="","",VLOOKUP(CF92,groupm,3,FALSE))</f>
        <v/>
      </c>
      <c r="CH92" s="339" t="str">
        <f>IF(CF92="","",VLOOKUP(CF92,groupm,4,FALSE))</f>
        <v/>
      </c>
      <c r="CI92" s="339" t="str">
        <f>IF(CF92="","",VLOOKUP(CF92,groupm,5,FALSE))</f>
        <v/>
      </c>
      <c r="CJ92" s="311" t="str">
        <f>IF(CF92="","",VLOOKUP(CF92,groupm,8,FALSE))</f>
        <v/>
      </c>
      <c r="CK92" s="311" t="str">
        <f>IF(CF92="","",VLOOKUP(CF92,groupm,9,FALSE))</f>
        <v/>
      </c>
      <c r="CL92" s="309" t="str">
        <f>CL91</f>
        <v>Lengyelország</v>
      </c>
    </row>
    <row r="93" spans="83:90" ht="12.75" customHeight="1" x14ac:dyDescent="0.3">
      <c r="CE93" s="309" t="str">
        <f>CE89</f>
        <v>Svédország</v>
      </c>
      <c r="CF93" s="310" t="str">
        <f>IF(OR(CE93="",CL93="",CE93=CL93),"",IF(COUNTIF(groupm,CONCATENATE(CE93,CL93))=0,"",CONCATENATE(CE93,CL93)))</f>
        <v>SvédországLengyelország</v>
      </c>
      <c r="CG93" s="310" t="str">
        <f>IF(CF93="","",VLOOKUP(CF93,groupm,3,FALSE))</f>
        <v/>
      </c>
      <c r="CH93" s="339" t="str">
        <f>IF(CF93="","",VLOOKUP(CF93,groupm,4,FALSE))</f>
        <v/>
      </c>
      <c r="CI93" s="339" t="str">
        <f>IF(CF93="","",VLOOKUP(CF93,groupm,5,FALSE))</f>
        <v/>
      </c>
      <c r="CJ93" s="311" t="str">
        <f>IF(CF93="","",VLOOKUP(CF93,groupm,8,FALSE))</f>
        <v/>
      </c>
      <c r="CK93" s="311" t="str">
        <f>IF(CF93="","",VLOOKUP(CF93,groupm,9,FALSE))</f>
        <v/>
      </c>
      <c r="CL93" s="309" t="str">
        <f>CL92</f>
        <v>Lengyelország</v>
      </c>
    </row>
    <row r="94" spans="83:90" ht="12.75" customHeight="1" x14ac:dyDescent="0.3">
      <c r="CE94" s="303"/>
      <c r="CF94" s="343" t="s">
        <v>808</v>
      </c>
      <c r="CG94" s="367" t="s">
        <v>653</v>
      </c>
      <c r="CH94" s="367" t="s">
        <v>648</v>
      </c>
      <c r="CI94" s="368"/>
      <c r="CJ94" s="343" t="s">
        <v>656</v>
      </c>
      <c r="CK94" s="343" t="s">
        <v>645</v>
      </c>
      <c r="CL94" s="303"/>
    </row>
    <row r="95" spans="83:90" ht="12.75" customHeight="1" x14ac:dyDescent="0.3">
      <c r="CE95" s="309" t="str">
        <f>CE91</f>
        <v>Szlovákia</v>
      </c>
      <c r="CF95" s="310" t="str">
        <f>IF(OR(CE95="",CL95="",CE95=CL95),"",IF(COUNTIF(groupm,CONCATENATE(CE95,CL95))=0,"",CONCATENATE(CE95,CL95)))</f>
        <v/>
      </c>
      <c r="CG95" s="310" t="str">
        <f>IF(CF95="","",VLOOKUP(CF95,groupm,3,FALSE))</f>
        <v/>
      </c>
      <c r="CH95" s="339" t="str">
        <f>IF(CF95="","",VLOOKUP(CF95,groupm,4,FALSE))</f>
        <v/>
      </c>
      <c r="CI95" s="339" t="str">
        <f>IF(CF95="","",VLOOKUP(CF95,groupm,5,FALSE))</f>
        <v/>
      </c>
      <c r="CJ95" s="311" t="str">
        <f>IF(CF95="","",VLOOKUP(CF95,groupm,8,FALSE))</f>
        <v/>
      </c>
      <c r="CK95" s="311" t="str">
        <f>IF(CF95="","",VLOOKUP(CF95,groupm,9,FALSE))</f>
        <v/>
      </c>
      <c r="CL95" s="309" t="str">
        <f>CE89</f>
        <v>Svédország</v>
      </c>
    </row>
    <row r="96" spans="83:90" ht="12.75" customHeight="1" x14ac:dyDescent="0.3">
      <c r="CE96" s="309" t="str">
        <f>CE92</f>
        <v>Lengyelország</v>
      </c>
      <c r="CF96" s="310" t="str">
        <f>IF(OR(CE96="",CL96="",CE96=CL96),"",IF(COUNTIF(groupm,CONCATENATE(CE96,CL96))=0,"",CONCATENATE(CE96,CL96)))</f>
        <v/>
      </c>
      <c r="CG96" s="310" t="str">
        <f>IF(CF96="","",VLOOKUP(CF96,groupm,3,FALSE))</f>
        <v/>
      </c>
      <c r="CH96" s="339" t="str">
        <f>IF(CF96="","",VLOOKUP(CF96,groupm,4,FALSE))</f>
        <v/>
      </c>
      <c r="CI96" s="339" t="str">
        <f>IF(CF96="","",VLOOKUP(CF96,groupm,5,FALSE))</f>
        <v/>
      </c>
      <c r="CJ96" s="311" t="str">
        <f>IF(CF96="","",VLOOKUP(CF96,groupm,8,FALSE))</f>
        <v/>
      </c>
      <c r="CK96" s="311" t="str">
        <f>IF(CF96="","",VLOOKUP(CF96,groupm,9,FALSE))</f>
        <v/>
      </c>
      <c r="CL96" s="309" t="str">
        <f>CL95</f>
        <v>Svédország</v>
      </c>
    </row>
    <row r="97" spans="83:90" ht="12.75" customHeight="1" x14ac:dyDescent="0.3">
      <c r="CE97" s="309" t="str">
        <f>CE93</f>
        <v>Svédország</v>
      </c>
      <c r="CF97" s="310" t="str">
        <f>IF(OR(CE97="",CL97="",CE97=CL97),"",IF(COUNTIF(groupm,CONCATENATE(CE97,CL97))=0,"",CONCATENATE(CE97,CL97)))</f>
        <v/>
      </c>
      <c r="CG97" s="310" t="str">
        <f>IF(CF97="","",VLOOKUP(CF97,groupm,3,FALSE))</f>
        <v/>
      </c>
      <c r="CH97" s="339" t="str">
        <f>IF(CF97="","",VLOOKUP(CF97,groupm,4,FALSE))</f>
        <v/>
      </c>
      <c r="CI97" s="339" t="str">
        <f>IF(CF97="","",VLOOKUP(CF97,groupm,5,FALSE))</f>
        <v/>
      </c>
      <c r="CJ97" s="311" t="str">
        <f>IF(CF97="","",VLOOKUP(CF97,groupm,8,FALSE))</f>
        <v/>
      </c>
      <c r="CK97" s="311" t="str">
        <f>IF(CF97="","",VLOOKUP(CF97,groupm,9,FALSE))</f>
        <v/>
      </c>
      <c r="CL97" s="309" t="str">
        <f>CL96</f>
        <v>Svédország</v>
      </c>
    </row>
    <row r="98" spans="83:90" ht="12.75" customHeight="1" x14ac:dyDescent="0.3">
      <c r="CE98" s="303"/>
      <c r="CF98" s="343" t="s">
        <v>808</v>
      </c>
      <c r="CG98" s="367" t="s">
        <v>653</v>
      </c>
      <c r="CH98" s="367" t="s">
        <v>648</v>
      </c>
      <c r="CI98" s="368"/>
      <c r="CJ98" s="343" t="s">
        <v>656</v>
      </c>
      <c r="CK98" s="343" t="s">
        <v>645</v>
      </c>
      <c r="CL98" s="303"/>
    </row>
    <row r="99" spans="83:90" ht="12.75" customHeight="1" x14ac:dyDescent="0.3">
      <c r="CE99" s="309" t="str">
        <f>IF(BS31="","",VLOOKUP(BS31,BJ31:BS34,8,FALSE))</f>
        <v/>
      </c>
      <c r="CF99" s="310" t="str">
        <f>IF(OR(CE99="",CL99="",CE99=CL99),"",IF(COUNTIF(groupm,CONCATENATE(CE99,CL99))=0,"",CONCATENATE(CE99,CL99)))</f>
        <v/>
      </c>
      <c r="CG99" s="310" t="str">
        <f>IF(CF99="","",VLOOKUP(CF99,groupm,3,FALSE))</f>
        <v/>
      </c>
      <c r="CH99" s="339" t="str">
        <f>IF(CF99="","",VLOOKUP(CF99,groupm,4,FALSE))</f>
        <v/>
      </c>
      <c r="CI99" s="339" t="str">
        <f>IF(CF99="","",VLOOKUP(CF99,groupm,5,FALSE))</f>
        <v/>
      </c>
      <c r="CJ99" s="311" t="str">
        <f>IF(CF99="","",VLOOKUP(CF99,groupm,8,FALSE))</f>
        <v/>
      </c>
      <c r="CK99" s="311" t="str">
        <f>IF(CF99="","",VLOOKUP(CF99,groupm,9,FALSE))</f>
        <v/>
      </c>
      <c r="CL99" s="309" t="str">
        <f>CE99</f>
        <v/>
      </c>
    </row>
    <row r="100" spans="83:90" ht="12.75" customHeight="1" x14ac:dyDescent="0.3">
      <c r="CE100" s="309" t="str">
        <f>IF(BS32="","",VLOOKUP(BS32,BJ31:BS34,8,FALSE))</f>
        <v/>
      </c>
      <c r="CF100" s="310" t="str">
        <f>IF(OR(CE100="",CL100="",CE100=CL100),"",IF(COUNTIF(groupm,CONCATENATE(CE100,CL100))=0,"",CONCATENATE(CE100,CL100)))</f>
        <v/>
      </c>
      <c r="CG100" s="310" t="str">
        <f>IF(CF100="","",VLOOKUP(CF100,groupm,3,FALSE))</f>
        <v/>
      </c>
      <c r="CH100" s="339" t="str">
        <f>IF(CF100="","",VLOOKUP(CF100,groupm,4,FALSE))</f>
        <v/>
      </c>
      <c r="CI100" s="339" t="str">
        <f>IF(CF100="","",VLOOKUP(CF100,groupm,5,FALSE))</f>
        <v/>
      </c>
      <c r="CJ100" s="311" t="str">
        <f>IF(CF100="","",VLOOKUP(CF100,groupm,8,FALSE))</f>
        <v/>
      </c>
      <c r="CK100" s="311" t="str">
        <f>IF(CF100="","",VLOOKUP(CF100,groupm,9,FALSE))</f>
        <v/>
      </c>
      <c r="CL100" s="309" t="str">
        <f>CL99</f>
        <v/>
      </c>
    </row>
    <row r="101" spans="83:90" ht="12.75" customHeight="1" x14ac:dyDescent="0.3">
      <c r="CE101" s="303"/>
      <c r="CF101" s="343" t="s">
        <v>808</v>
      </c>
      <c r="CG101" s="367" t="s">
        <v>653</v>
      </c>
      <c r="CH101" s="367" t="s">
        <v>648</v>
      </c>
      <c r="CI101" s="368"/>
      <c r="CJ101" s="343" t="s">
        <v>656</v>
      </c>
      <c r="CK101" s="343" t="s">
        <v>645</v>
      </c>
      <c r="CL101" s="303"/>
    </row>
    <row r="102" spans="83:90" ht="12.75" customHeight="1" x14ac:dyDescent="0.3">
      <c r="CE102" s="309" t="str">
        <f>CE99</f>
        <v/>
      </c>
      <c r="CF102" s="310" t="str">
        <f>IF(OR(CE102="",CL102="",CE102=CL102),"",IF(COUNTIF(groupm,CONCATENATE(CE102,CL102))=0,"",CONCATENATE(CE102,CL102)))</f>
        <v/>
      </c>
      <c r="CG102" s="310" t="str">
        <f>IF(CF102="","",VLOOKUP(CF102,groupm,3,FALSE))</f>
        <v/>
      </c>
      <c r="CH102" s="339" t="str">
        <f>IF(CF102="","",VLOOKUP(CF102,groupm,4,FALSE))</f>
        <v/>
      </c>
      <c r="CI102" s="339" t="str">
        <f>IF(CF102="","",VLOOKUP(CF102,groupm,5,FALSE))</f>
        <v/>
      </c>
      <c r="CJ102" s="311" t="str">
        <f>IF(CF102="","",VLOOKUP(CF102,groupm,8,FALSE))</f>
        <v/>
      </c>
      <c r="CK102" s="311" t="str">
        <f>IF(CF102="","",VLOOKUP(CF102,groupm,9,FALSE))</f>
        <v/>
      </c>
      <c r="CL102" s="309" t="str">
        <f>CE100</f>
        <v/>
      </c>
    </row>
    <row r="103" spans="83:90" ht="12.75" customHeight="1" x14ac:dyDescent="0.3">
      <c r="CE103" s="309" t="str">
        <f>CE100</f>
        <v/>
      </c>
      <c r="CF103" s="310" t="str">
        <f>IF(OR(CE103="",CL103="",CE103=CL103),"",IF(COUNTIF(groupm,CONCATENATE(CE103,CL103))=0,"",CONCATENATE(CE103,CL103)))</f>
        <v/>
      </c>
      <c r="CG103" s="310" t="str">
        <f>IF(CF103="","",VLOOKUP(CF103,groupm,3,FALSE))</f>
        <v/>
      </c>
      <c r="CH103" s="339" t="str">
        <f>IF(CF103="","",VLOOKUP(CF103,groupm,4,FALSE))</f>
        <v/>
      </c>
      <c r="CI103" s="339" t="str">
        <f>IF(CF103="","",VLOOKUP(CF103,groupm,5,FALSE))</f>
        <v/>
      </c>
      <c r="CJ103" s="311" t="str">
        <f>IF(CF103="","",VLOOKUP(CF103,groupm,8,FALSE))</f>
        <v/>
      </c>
      <c r="CK103" s="311" t="str">
        <f>IF(CF103="","",VLOOKUP(CF103,groupm,9,FALSE))</f>
        <v/>
      </c>
      <c r="CL103" s="309" t="str">
        <f>CL102</f>
        <v/>
      </c>
    </row>
    <row r="106" spans="83:90" ht="12.75" customHeight="1" x14ac:dyDescent="0.3">
      <c r="CE106" s="303"/>
      <c r="CF106" s="615" t="s">
        <v>808</v>
      </c>
      <c r="CG106" s="617" t="s">
        <v>653</v>
      </c>
      <c r="CH106" s="617" t="s">
        <v>648</v>
      </c>
      <c r="CI106" s="618"/>
      <c r="CJ106" s="615" t="s">
        <v>656</v>
      </c>
      <c r="CK106" s="615" t="s">
        <v>645</v>
      </c>
      <c r="CL106" s="303"/>
    </row>
    <row r="107" spans="83:90" ht="12.75" customHeight="1" x14ac:dyDescent="0.3">
      <c r="CE107" s="309" t="str">
        <f>IF(BP37="","",VLOOKUP(BP37,BJ37:BS40,5,FALSE))</f>
        <v>Németország</v>
      </c>
      <c r="CF107" s="310" t="str">
        <f>IF(OR(CE107="",CL107="",CE107=CL107),"",IF(COUNTIF(groupm,CONCATENATE(CE107,CL107))=0,"",CONCATENATE(CE107,CL107)))</f>
        <v/>
      </c>
      <c r="CG107" s="310" t="str">
        <f>IF(CF107="","",VLOOKUP(CF107,groupm,3,FALSE))</f>
        <v/>
      </c>
      <c r="CH107" s="339" t="str">
        <f>IF(CF107="","",VLOOKUP(CF107,groupm,4,FALSE))</f>
        <v/>
      </c>
      <c r="CI107" s="339" t="str">
        <f>IF(CF107="","",VLOOKUP(CF107,groupm,5,FALSE))</f>
        <v/>
      </c>
      <c r="CJ107" s="311" t="str">
        <f>IF(CF107="","",VLOOKUP(CF107,groupm,8,FALSE))</f>
        <v/>
      </c>
      <c r="CK107" s="311" t="str">
        <f>IF(CF107="","",VLOOKUP(CF107,groupm,9,FALSE))</f>
        <v/>
      </c>
      <c r="CL107" s="309" t="str">
        <f>CE107</f>
        <v>Németország</v>
      </c>
    </row>
    <row r="108" spans="83:90" ht="12.75" customHeight="1" x14ac:dyDescent="0.3">
      <c r="CE108" s="309" t="str">
        <f>IF(BP38="","",VLOOKUP(BP38,BJ37:BS40,5,FALSE))</f>
        <v>Franciaország</v>
      </c>
      <c r="CF108" s="310" t="str">
        <f>IF(OR(CE108="",CL108="",CE108=CL108),"",IF(COUNTIF(groupm,CONCATENATE(CE108,CL108))=0,"",CONCATENATE(CE108,CL108)))</f>
        <v>FranciaországNémetország</v>
      </c>
      <c r="CG108" s="310" t="str">
        <f>IF(CF108="","",VLOOKUP(CF108,groupm,3,FALSE))</f>
        <v/>
      </c>
      <c r="CH108" s="339" t="str">
        <f>IF(CF108="","",VLOOKUP(CF108,groupm,4,FALSE))</f>
        <v/>
      </c>
      <c r="CI108" s="339" t="str">
        <f>IF(CF108="","",VLOOKUP(CF108,groupm,5,FALSE))</f>
        <v/>
      </c>
      <c r="CJ108" s="311" t="str">
        <f>IF(CF108="","",VLOOKUP(CF108,groupm,8,FALSE))</f>
        <v/>
      </c>
      <c r="CK108" s="311" t="str">
        <f>IF(CF108="","",VLOOKUP(CF108,groupm,9,FALSE))</f>
        <v/>
      </c>
      <c r="CL108" s="309" t="str">
        <f>CL107</f>
        <v>Németország</v>
      </c>
    </row>
    <row r="109" spans="83:90" ht="12.75" customHeight="1" x14ac:dyDescent="0.3">
      <c r="CE109" s="309" t="str">
        <f>IF(BP39="","",VLOOKUP(BP39,BJ37:BS40,5,FALSE))</f>
        <v>Portugália</v>
      </c>
      <c r="CF109" s="310" t="str">
        <f>IF(OR(CE109="",CL109="",CE109=CL109),"",IF(COUNTIF(groupm,CONCATENATE(CE109,CL109))=0,"",CONCATENATE(CE109,CL109)))</f>
        <v>PortugáliaNémetország</v>
      </c>
      <c r="CG109" s="310" t="str">
        <f>IF(CF109="","",VLOOKUP(CF109,groupm,3,FALSE))</f>
        <v/>
      </c>
      <c r="CH109" s="339" t="str">
        <f>IF(CF109="","",VLOOKUP(CF109,groupm,4,FALSE))</f>
        <v/>
      </c>
      <c r="CI109" s="339" t="str">
        <f>IF(CF109="","",VLOOKUP(CF109,groupm,5,FALSE))</f>
        <v/>
      </c>
      <c r="CJ109" s="311" t="str">
        <f>IF(CF109="","",VLOOKUP(CF109,groupm,8,FALSE))</f>
        <v/>
      </c>
      <c r="CK109" s="311" t="str">
        <f>IF(CF109="","",VLOOKUP(CF109,groupm,9,FALSE))</f>
        <v/>
      </c>
      <c r="CL109" s="309" t="str">
        <f>CL108</f>
        <v>Németország</v>
      </c>
    </row>
    <row r="110" spans="83:90" ht="12.75" customHeight="1" x14ac:dyDescent="0.3">
      <c r="CE110" s="303"/>
      <c r="CF110" s="615" t="s">
        <v>808</v>
      </c>
      <c r="CG110" s="617" t="s">
        <v>653</v>
      </c>
      <c r="CH110" s="617" t="s">
        <v>648</v>
      </c>
      <c r="CI110" s="618"/>
      <c r="CJ110" s="615" t="s">
        <v>656</v>
      </c>
      <c r="CK110" s="615" t="s">
        <v>645</v>
      </c>
      <c r="CL110" s="303"/>
    </row>
    <row r="111" spans="83:90" ht="12.75" customHeight="1" x14ac:dyDescent="0.3">
      <c r="CE111" s="309" t="str">
        <f>CE107</f>
        <v>Németország</v>
      </c>
      <c r="CF111" s="310" t="str">
        <f>IF(OR(CE111="",CL111="",CE111=CL111),"",IF(COUNTIF(groupm,CONCATENATE(CE111,CL111))=0,"",CONCATENATE(CE111,CL111)))</f>
        <v/>
      </c>
      <c r="CG111" s="310" t="str">
        <f>IF(CF111="","",VLOOKUP(CF111,groupm,3,FALSE))</f>
        <v/>
      </c>
      <c r="CH111" s="339" t="str">
        <f>IF(CF111="","",VLOOKUP(CF111,groupm,4,FALSE))</f>
        <v/>
      </c>
      <c r="CI111" s="339" t="str">
        <f>IF(CF111="","",VLOOKUP(CF111,groupm,5,FALSE))</f>
        <v/>
      </c>
      <c r="CJ111" s="311" t="str">
        <f>IF(CF111="","",VLOOKUP(CF111,groupm,8,FALSE))</f>
        <v/>
      </c>
      <c r="CK111" s="311" t="str">
        <f>IF(CF111="","",VLOOKUP(CF111,groupm,9,FALSE))</f>
        <v/>
      </c>
      <c r="CL111" s="309" t="str">
        <f>CE108</f>
        <v>Franciaország</v>
      </c>
    </row>
    <row r="112" spans="83:90" ht="12.75" customHeight="1" x14ac:dyDescent="0.3">
      <c r="CE112" s="309" t="str">
        <f>CE108</f>
        <v>Franciaország</v>
      </c>
      <c r="CF112" s="310" t="str">
        <f>IF(OR(CE112="",CL112="",CE112=CL112),"",IF(COUNTIF(groupm,CONCATENATE(CE112,CL112))=0,"",CONCATENATE(CE112,CL112)))</f>
        <v/>
      </c>
      <c r="CG112" s="310" t="str">
        <f>IF(CF112="","",VLOOKUP(CF112,groupm,3,FALSE))</f>
        <v/>
      </c>
      <c r="CH112" s="339" t="str">
        <f>IF(CF112="","",VLOOKUP(CF112,groupm,4,FALSE))</f>
        <v/>
      </c>
      <c r="CI112" s="339" t="str">
        <f>IF(CF112="","",VLOOKUP(CF112,groupm,5,FALSE))</f>
        <v/>
      </c>
      <c r="CJ112" s="311" t="str">
        <f>IF(CF112="","",VLOOKUP(CF112,groupm,8,FALSE))</f>
        <v/>
      </c>
      <c r="CK112" s="311" t="str">
        <f>IF(CF112="","",VLOOKUP(CF112,groupm,9,FALSE))</f>
        <v/>
      </c>
      <c r="CL112" s="309" t="str">
        <f>CL111</f>
        <v>Franciaország</v>
      </c>
    </row>
    <row r="113" spans="1:90" ht="12.75" customHeight="1" x14ac:dyDescent="0.3">
      <c r="CE113" s="309" t="str">
        <f>CE109</f>
        <v>Portugália</v>
      </c>
      <c r="CF113" s="310" t="str">
        <f>IF(OR(CE113="",CL113="",CE113=CL113),"",IF(COUNTIF(groupm,CONCATENATE(CE113,CL113))=0,"",CONCATENATE(CE113,CL113)))</f>
        <v>PortugáliaFranciaország</v>
      </c>
      <c r="CG113" s="310" t="str">
        <f>IF(CF113="","",VLOOKUP(CF113,groupm,3,FALSE))</f>
        <v/>
      </c>
      <c r="CH113" s="339" t="str">
        <f>IF(CF113="","",VLOOKUP(CF113,groupm,4,FALSE))</f>
        <v/>
      </c>
      <c r="CI113" s="339" t="str">
        <f>IF(CF113="","",VLOOKUP(CF113,groupm,5,FALSE))</f>
        <v/>
      </c>
      <c r="CJ113" s="311" t="str">
        <f>IF(CF113="","",VLOOKUP(CF113,groupm,8,FALSE))</f>
        <v/>
      </c>
      <c r="CK113" s="311" t="str">
        <f>IF(CF113="","",VLOOKUP(CF113,groupm,9,FALSE))</f>
        <v/>
      </c>
      <c r="CL113" s="309" t="str">
        <f>CL112</f>
        <v>Franciaország</v>
      </c>
    </row>
    <row r="114" spans="1:90" ht="12.75" customHeight="1" x14ac:dyDescent="0.3">
      <c r="CE114" s="303"/>
      <c r="CF114" s="615" t="s">
        <v>808</v>
      </c>
      <c r="CG114" s="617" t="s">
        <v>653</v>
      </c>
      <c r="CH114" s="617" t="s">
        <v>648</v>
      </c>
      <c r="CI114" s="618"/>
      <c r="CJ114" s="615" t="s">
        <v>656</v>
      </c>
      <c r="CK114" s="615" t="s">
        <v>645</v>
      </c>
      <c r="CL114" s="303"/>
    </row>
    <row r="115" spans="1:90" ht="12.75" customHeight="1" x14ac:dyDescent="0.3">
      <c r="A115" s="2"/>
      <c r="CE115" s="309" t="str">
        <f>CE111</f>
        <v>Németország</v>
      </c>
      <c r="CF115" s="310" t="str">
        <f>IF(OR(CE115="",CL115="",CE115=CL115),"",IF(COUNTIF(groupm,CONCATENATE(CE115,CL115))=0,"",CONCATENATE(CE115,CL115)))</f>
        <v/>
      </c>
      <c r="CG115" s="310" t="str">
        <f>IF(CF115="","",VLOOKUP(CF115,groupm,3,FALSE))</f>
        <v/>
      </c>
      <c r="CH115" s="339" t="str">
        <f>IF(CF115="","",VLOOKUP(CF115,groupm,4,FALSE))</f>
        <v/>
      </c>
      <c r="CI115" s="339" t="str">
        <f>IF(CF115="","",VLOOKUP(CF115,groupm,5,FALSE))</f>
        <v/>
      </c>
      <c r="CJ115" s="311" t="str">
        <f>IF(CF115="","",VLOOKUP(CF115,groupm,8,FALSE))</f>
        <v/>
      </c>
      <c r="CK115" s="311" t="str">
        <f>IF(CF115="","",VLOOKUP(CF115,groupm,9,FALSE))</f>
        <v/>
      </c>
      <c r="CL115" s="309" t="str">
        <f>CE109</f>
        <v>Portugália</v>
      </c>
    </row>
    <row r="116" spans="1:90" ht="12.75" customHeight="1" x14ac:dyDescent="0.3">
      <c r="A116" s="2"/>
      <c r="CE116" s="309" t="str">
        <f>CE112</f>
        <v>Franciaország</v>
      </c>
      <c r="CF116" s="310" t="str">
        <f>IF(OR(CE116="",CL116="",CE116=CL116),"",IF(COUNTIF(groupm,CONCATENATE(CE116,CL116))=0,"",CONCATENATE(CE116,CL116)))</f>
        <v/>
      </c>
      <c r="CG116" s="310" t="str">
        <f>IF(CF116="","",VLOOKUP(CF116,groupm,3,FALSE))</f>
        <v/>
      </c>
      <c r="CH116" s="339" t="str">
        <f>IF(CF116="","",VLOOKUP(CF116,groupm,4,FALSE))</f>
        <v/>
      </c>
      <c r="CI116" s="339" t="str">
        <f>IF(CF116="","",VLOOKUP(CF116,groupm,5,FALSE))</f>
        <v/>
      </c>
      <c r="CJ116" s="311" t="str">
        <f>IF(CF116="","",VLOOKUP(CF116,groupm,8,FALSE))</f>
        <v/>
      </c>
      <c r="CK116" s="311" t="str">
        <f>IF(CF116="","",VLOOKUP(CF116,groupm,9,FALSE))</f>
        <v/>
      </c>
      <c r="CL116" s="309" t="str">
        <f>CL115</f>
        <v>Portugália</v>
      </c>
    </row>
    <row r="117" spans="1:90" ht="12.75" customHeight="1" x14ac:dyDescent="0.3">
      <c r="CE117" s="309" t="str">
        <f>CE113</f>
        <v>Portugália</v>
      </c>
      <c r="CF117" s="310" t="str">
        <f>IF(OR(CE117="",CL117="",CE117=CL117),"",IF(COUNTIF(groupm,CONCATENATE(CE117,CL117))=0,"",CONCATENATE(CE117,CL117)))</f>
        <v/>
      </c>
      <c r="CG117" s="310" t="str">
        <f>IF(CF117="","",VLOOKUP(CF117,groupm,3,FALSE))</f>
        <v/>
      </c>
      <c r="CH117" s="339" t="str">
        <f>IF(CF117="","",VLOOKUP(CF117,groupm,4,FALSE))</f>
        <v/>
      </c>
      <c r="CI117" s="339" t="str">
        <f>IF(CF117="","",VLOOKUP(CF117,groupm,5,FALSE))</f>
        <v/>
      </c>
      <c r="CJ117" s="311" t="str">
        <f>IF(CF117="","",VLOOKUP(CF117,groupm,8,FALSE))</f>
        <v/>
      </c>
      <c r="CK117" s="311" t="str">
        <f>IF(CF117="","",VLOOKUP(CF117,groupm,9,FALSE))</f>
        <v/>
      </c>
      <c r="CL117" s="309" t="str">
        <f>CL116</f>
        <v>Portugália</v>
      </c>
    </row>
    <row r="118" spans="1:90" ht="12.75" customHeight="1" x14ac:dyDescent="0.3">
      <c r="CE118" s="303"/>
      <c r="CF118" s="615" t="s">
        <v>808</v>
      </c>
      <c r="CG118" s="617" t="s">
        <v>653</v>
      </c>
      <c r="CH118" s="617" t="s">
        <v>648</v>
      </c>
      <c r="CI118" s="618"/>
      <c r="CJ118" s="615" t="s">
        <v>656</v>
      </c>
      <c r="CK118" s="615" t="s">
        <v>645</v>
      </c>
      <c r="CL118" s="303"/>
    </row>
    <row r="119" spans="1:90" ht="12.75" customHeight="1" x14ac:dyDescent="0.3">
      <c r="CE119" s="309" t="str">
        <f>IF(BS37="","",VLOOKUP(BS37,BJ37:BS40,8,FALSE))</f>
        <v/>
      </c>
      <c r="CF119" s="310" t="str">
        <f>IF(OR(CE119="",CL119="",CE119=CL119),"",IF(COUNTIF(groupm,CONCATENATE(CE119,CL119))=0,"",CONCATENATE(CE119,CL119)))</f>
        <v/>
      </c>
      <c r="CG119" s="310" t="str">
        <f>IF(CF119="","",VLOOKUP(CF119,groupm,3,FALSE))</f>
        <v/>
      </c>
      <c r="CH119" s="339" t="str">
        <f>IF(CF119="","",VLOOKUP(CF119,groupm,4,FALSE))</f>
        <v/>
      </c>
      <c r="CI119" s="339" t="str">
        <f>IF(CF119="","",VLOOKUP(CF119,groupm,5,FALSE))</f>
        <v/>
      </c>
      <c r="CJ119" s="311" t="str">
        <f>IF(CF119="","",VLOOKUP(CF119,groupm,8,FALSE))</f>
        <v/>
      </c>
      <c r="CK119" s="311" t="str">
        <f>IF(CF119="","",VLOOKUP(CF119,groupm,9,FALSE))</f>
        <v/>
      </c>
      <c r="CL119" s="309" t="str">
        <f>CE119</f>
        <v/>
      </c>
    </row>
    <row r="120" spans="1:90" ht="12.75" customHeight="1" x14ac:dyDescent="0.3">
      <c r="CE120" s="309" t="str">
        <f>IF(BS38="","",VLOOKUP(BS38,BJ37:BS40,8,FALSE))</f>
        <v/>
      </c>
      <c r="CF120" s="310" t="str">
        <f>IF(OR(CE120="",CL120="",CE120=CL120),"",IF(COUNTIF(groupm,CONCATENATE(CE120,CL120))=0,"",CONCATENATE(CE120,CL120)))</f>
        <v/>
      </c>
      <c r="CG120" s="310" t="str">
        <f>IF(CF120="","",VLOOKUP(CF120,groupm,3,FALSE))</f>
        <v/>
      </c>
      <c r="CH120" s="339" t="str">
        <f>IF(CF120="","",VLOOKUP(CF120,groupm,4,FALSE))</f>
        <v/>
      </c>
      <c r="CI120" s="339" t="str">
        <f>IF(CF120="","",VLOOKUP(CF120,groupm,5,FALSE))</f>
        <v/>
      </c>
      <c r="CJ120" s="311" t="str">
        <f>IF(CF120="","",VLOOKUP(CF120,groupm,8,FALSE))</f>
        <v/>
      </c>
      <c r="CK120" s="311" t="str">
        <f>IF(CF120="","",VLOOKUP(CF120,groupm,9,FALSE))</f>
        <v/>
      </c>
      <c r="CL120" s="309" t="str">
        <f>CL119</f>
        <v/>
      </c>
    </row>
    <row r="121" spans="1:90" ht="12.75" customHeight="1" x14ac:dyDescent="0.3">
      <c r="CE121" s="303"/>
      <c r="CF121" s="615" t="s">
        <v>808</v>
      </c>
      <c r="CG121" s="617" t="s">
        <v>653</v>
      </c>
      <c r="CH121" s="617" t="s">
        <v>648</v>
      </c>
      <c r="CI121" s="618"/>
      <c r="CJ121" s="615" t="s">
        <v>656</v>
      </c>
      <c r="CK121" s="615" t="s">
        <v>645</v>
      </c>
      <c r="CL121" s="303"/>
    </row>
    <row r="122" spans="1:90" ht="12.75" customHeight="1" x14ac:dyDescent="0.3">
      <c r="CE122" s="309" t="str">
        <f>CE119</f>
        <v/>
      </c>
      <c r="CF122" s="310" t="str">
        <f>IF(OR(CE122="",CL122="",CE122=CL122),"",IF(COUNTIF(groupm,CONCATENATE(CE122,CL122))=0,"",CONCATENATE(CE122,CL122)))</f>
        <v/>
      </c>
      <c r="CG122" s="310" t="str">
        <f>IF(CF122="","",VLOOKUP(CF122,groupm,3,FALSE))</f>
        <v/>
      </c>
      <c r="CH122" s="339" t="str">
        <f>IF(CF122="","",VLOOKUP(CF122,groupm,4,FALSE))</f>
        <v/>
      </c>
      <c r="CI122" s="339" t="str">
        <f>IF(CF122="","",VLOOKUP(CF122,groupm,5,FALSE))</f>
        <v/>
      </c>
      <c r="CJ122" s="311" t="str">
        <f>IF(CF122="","",VLOOKUP(CF122,groupm,8,FALSE))</f>
        <v/>
      </c>
      <c r="CK122" s="311" t="str">
        <f>IF(CF122="","",VLOOKUP(CF122,groupm,9,FALSE))</f>
        <v/>
      </c>
      <c r="CL122" s="309" t="str">
        <f>CE120</f>
        <v/>
      </c>
    </row>
    <row r="123" spans="1:90" ht="12.75" customHeight="1" x14ac:dyDescent="0.3">
      <c r="CE123" s="309" t="str">
        <f>CE120</f>
        <v/>
      </c>
      <c r="CF123" s="310" t="str">
        <f>IF(OR(CE123="",CL123="",CE123=CL123),"",IF(COUNTIF(groupm,CONCATENATE(CE123,CL123))=0,"",CONCATENATE(CE123,CL123)))</f>
        <v/>
      </c>
      <c r="CG123" s="310" t="str">
        <f>IF(CF123="","",VLOOKUP(CF123,groupm,3,FALSE))</f>
        <v/>
      </c>
      <c r="CH123" s="339" t="str">
        <f>IF(CF123="","",VLOOKUP(CF123,groupm,4,FALSE))</f>
        <v/>
      </c>
      <c r="CI123" s="339" t="str">
        <f>IF(CF123="","",VLOOKUP(CF123,groupm,5,FALSE))</f>
        <v/>
      </c>
      <c r="CJ123" s="311" t="str">
        <f>IF(CF123="","",VLOOKUP(CF123,groupm,8,FALSE))</f>
        <v/>
      </c>
      <c r="CK123" s="311" t="str">
        <f>IF(CF123="","",VLOOKUP(CF123,groupm,9,FALSE))</f>
        <v/>
      </c>
      <c r="CL123" s="309" t="str">
        <f>CL122</f>
        <v/>
      </c>
    </row>
    <row r="140" spans="1:1" ht="12.75" customHeight="1" x14ac:dyDescent="0.3">
      <c r="A140" s="765"/>
    </row>
    <row r="141" spans="1:1" ht="12.75" customHeight="1" x14ac:dyDescent="0.3">
      <c r="A141" s="765"/>
    </row>
    <row r="142" spans="1:1" ht="12.75" customHeight="1" x14ac:dyDescent="0.3">
      <c r="A142" s="765"/>
    </row>
    <row r="143" spans="1:1" ht="12.75" customHeight="1" x14ac:dyDescent="0.3">
      <c r="A143" s="765"/>
    </row>
    <row r="144" spans="1:1" ht="12.75" customHeight="1" x14ac:dyDescent="0.3">
      <c r="A144" s="765"/>
    </row>
    <row r="145" spans="1:1" ht="12.75" customHeight="1" x14ac:dyDescent="0.3">
      <c r="A145" s="765"/>
    </row>
    <row r="146" spans="1:1" ht="12.75" customHeight="1" x14ac:dyDescent="0.3">
      <c r="A146" s="765"/>
    </row>
    <row r="147" spans="1:1" ht="12.75" customHeight="1" x14ac:dyDescent="0.3">
      <c r="A147" s="765"/>
    </row>
    <row r="148" spans="1:1" ht="12.75" customHeight="1" x14ac:dyDescent="0.3">
      <c r="A148" s="765"/>
    </row>
    <row r="149" spans="1:1" ht="12.75" customHeight="1" x14ac:dyDescent="0.3">
      <c r="A149" s="765"/>
    </row>
    <row r="150" spans="1:1" ht="12.75" customHeight="1" x14ac:dyDescent="0.3">
      <c r="A150" s="765"/>
    </row>
    <row r="151" spans="1:1" ht="12.75" customHeight="1" x14ac:dyDescent="0.3">
      <c r="A151" s="765"/>
    </row>
    <row r="152" spans="1:1" ht="12.75" customHeight="1" x14ac:dyDescent="0.3">
      <c r="A152" s="765"/>
    </row>
    <row r="153" spans="1:1" ht="12.75" customHeight="1" x14ac:dyDescent="0.3">
      <c r="A153" s="765"/>
    </row>
    <row r="154" spans="1:1" ht="12.75" customHeight="1" x14ac:dyDescent="0.3">
      <c r="A154" s="765"/>
    </row>
    <row r="155" spans="1:1" ht="12.75" customHeight="1" x14ac:dyDescent="0.3">
      <c r="A155" s="765"/>
    </row>
    <row r="156" spans="1:1" ht="12.75" customHeight="1" x14ac:dyDescent="0.3">
      <c r="A156" s="765"/>
    </row>
    <row r="157" spans="1:1" ht="12.75" customHeight="1" x14ac:dyDescent="0.3">
      <c r="A157" s="765"/>
    </row>
    <row r="158" spans="1:1" ht="12.75" customHeight="1" x14ac:dyDescent="0.3">
      <c r="A158" s="765"/>
    </row>
    <row r="159" spans="1:1" ht="12.75" customHeight="1" x14ac:dyDescent="0.3">
      <c r="A159" s="765"/>
    </row>
    <row r="160" spans="1:1" ht="12.75" customHeight="1" x14ac:dyDescent="0.3">
      <c r="A160" s="765"/>
    </row>
    <row r="161" spans="1:1" ht="12.75" customHeight="1" x14ac:dyDescent="0.3">
      <c r="A161" s="765"/>
    </row>
    <row r="162" spans="1:1" ht="12.75" customHeight="1" x14ac:dyDescent="0.3">
      <c r="A162" s="765"/>
    </row>
  </sheetData>
  <sheetProtection sheet="1" objects="1" scenarios="1"/>
  <mergeCells count="1">
    <mergeCell ref="A140:A162"/>
  </mergeCells>
  <phoneticPr fontId="0" type="noConversion"/>
  <conditionalFormatting sqref="D7:K8">
    <cfRule type="expression" dxfId="117" priority="1" stopIfTrue="1">
      <formula>$AB$6</formula>
    </cfRule>
  </conditionalFormatting>
  <conditionalFormatting sqref="D13:K14">
    <cfRule type="expression" dxfId="116" priority="2" stopIfTrue="1">
      <formula>$AB$12</formula>
    </cfRule>
  </conditionalFormatting>
  <conditionalFormatting sqref="D19:K20">
    <cfRule type="expression" dxfId="115" priority="3" stopIfTrue="1">
      <formula>$AB$18</formula>
    </cfRule>
  </conditionalFormatting>
  <conditionalFormatting sqref="N7:U8">
    <cfRule type="expression" dxfId="114" priority="4" stopIfTrue="1">
      <formula>$AB$24</formula>
    </cfRule>
  </conditionalFormatting>
  <conditionalFormatting sqref="N13:U14">
    <cfRule type="expression" dxfId="113" priority="5" stopIfTrue="1">
      <formula>$AB$30</formula>
    </cfRule>
  </conditionalFormatting>
  <conditionalFormatting sqref="N19:U20">
    <cfRule type="expression" dxfId="112" priority="6" stopIfTrue="1">
      <formula>$AB$36</formula>
    </cfRule>
  </conditionalFormatting>
  <conditionalFormatting sqref="N21:U21">
    <cfRule type="expression" dxfId="111" priority="7" stopIfTrue="1">
      <formula>AND($AN$43,COUNTIF($AA$44:$AA$47,$AA$39)&gt;0)</formula>
    </cfRule>
  </conditionalFormatting>
  <conditionalFormatting sqref="N15:U15">
    <cfRule type="expression" dxfId="110" priority="8" stopIfTrue="1">
      <formula>AND($AN$43,COUNTIF($AA$44:$AA$47,$AA$33)&gt;0)</formula>
    </cfRule>
  </conditionalFormatting>
  <conditionalFormatting sqref="N9:U9">
    <cfRule type="expression" dxfId="109" priority="9" stopIfTrue="1">
      <formula>AND($AN$43,COUNTIF($AA$44:$AA$47,$AA$27)&gt;0)</formula>
    </cfRule>
  </conditionalFormatting>
  <conditionalFormatting sqref="D21:K21">
    <cfRule type="expression" dxfId="108" priority="10" stopIfTrue="1">
      <formula>AND($AN$43,COUNTIF($AA$44:$AA$47,$AA$21)&gt;0)</formula>
    </cfRule>
  </conditionalFormatting>
  <conditionalFormatting sqref="D15:K15">
    <cfRule type="expression" dxfId="107" priority="11" stopIfTrue="1">
      <formula>AND($AN$43,COUNTIF($AA$44:$AA$47,$AA$15)&gt;0)</formula>
    </cfRule>
  </conditionalFormatting>
  <conditionalFormatting sqref="D9:K9">
    <cfRule type="expression" dxfId="106" priority="12" stopIfTrue="1">
      <formula>AND($AN$43,COUNTIF($AA$44:$AA$47,$AA$9)&gt;0)</formula>
    </cfRule>
  </conditionalFormatting>
  <conditionalFormatting sqref="C9 C15 C21 M9 M15 M21">
    <cfRule type="expression" dxfId="105" priority="13" stopIfTrue="1">
      <formula>$AE$53</formula>
    </cfRule>
  </conditionalFormatting>
  <pageMargins left="0.31496062992125984" right="0.31496062992125984" top="0.51181102362204722" bottom="0.51181102362204722" header="0.51181102362204722" footer="0.51181102362204722"/>
  <pageSetup paperSize="9" scale="80" orientation="landscape" horizontalDpi="300" verticalDpi="300" r:id="rId1"/>
  <headerFooter alignWithMargins="0"/>
  <drawing r:id="rId2"/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5">
    <pageSetUpPr autoPageBreaks="0"/>
  </sheetPr>
  <dimension ref="A1:CG162"/>
  <sheetViews>
    <sheetView showGridLines="0" showRowColHeaders="0" zoomScaleNormal="100" workbookViewId="0">
      <pane ySplit="4" topLeftCell="A5" activePane="bottomLeft" state="frozen"/>
      <selection pane="bottomLeft"/>
    </sheetView>
  </sheetViews>
  <sheetFormatPr defaultRowHeight="13.5" x14ac:dyDescent="0.25"/>
  <cols>
    <col min="1" max="1" width="1.42578125" style="564" customWidth="1"/>
    <col min="2" max="2" width="5" style="152" customWidth="1"/>
    <col min="3" max="3" width="7" style="144" customWidth="1"/>
    <col min="4" max="4" width="3" style="152" customWidth="1"/>
    <col min="5" max="5" width="28.5703125" style="152" customWidth="1"/>
    <col min="6" max="7" width="3.5703125" style="144" customWidth="1"/>
    <col min="8" max="8" width="2.85546875" style="154" customWidth="1"/>
    <col min="9" max="9" width="2.85546875" style="408" hidden="1" customWidth="1"/>
    <col min="10" max="12" width="2.85546875" style="315" hidden="1" customWidth="1"/>
    <col min="13" max="13" width="4.42578125" style="315" hidden="1" customWidth="1"/>
    <col min="14" max="17" width="2.85546875" style="315" hidden="1" customWidth="1"/>
    <col min="18" max="18" width="10.7109375" style="315" hidden="1" customWidth="1"/>
    <col min="19" max="19" width="3" style="315" hidden="1" customWidth="1"/>
    <col min="20" max="20" width="2.85546875" style="315" hidden="1" customWidth="1"/>
    <col min="21" max="21" width="2.85546875" style="408" hidden="1" customWidth="1"/>
    <col min="22" max="22" width="1.42578125" style="154" customWidth="1"/>
    <col min="23" max="23" width="28.5703125" style="152" customWidth="1"/>
    <col min="24" max="24" width="3.5703125" style="153" customWidth="1"/>
    <col min="25" max="25" width="3.5703125" style="154" customWidth="1"/>
    <col min="26" max="26" width="2.85546875" style="154" customWidth="1"/>
    <col min="27" max="27" width="2.85546875" style="408" hidden="1" customWidth="1"/>
    <col min="28" max="28" width="2.85546875" style="315" hidden="1" customWidth="1"/>
    <col min="29" max="29" width="5.140625" style="315" hidden="1" customWidth="1"/>
    <col min="30" max="30" width="2.85546875" style="315" hidden="1" customWidth="1"/>
    <col min="31" max="31" width="4.28515625" style="315" hidden="1" customWidth="1"/>
    <col min="32" max="35" width="2.85546875" style="315" hidden="1" customWidth="1"/>
    <col min="36" max="36" width="10.7109375" style="315" hidden="1" customWidth="1"/>
    <col min="37" max="38" width="2.85546875" style="315" hidden="1" customWidth="1"/>
    <col min="39" max="39" width="2.85546875" style="408" hidden="1" customWidth="1"/>
    <col min="40" max="40" width="1.42578125" style="154" customWidth="1"/>
    <col min="41" max="41" width="28.5703125" style="152" customWidth="1"/>
    <col min="42" max="42" width="3.5703125" style="153" customWidth="1"/>
    <col min="43" max="43" width="3.5703125" style="154" customWidth="1"/>
    <col min="44" max="44" width="2.85546875" style="154" customWidth="1"/>
    <col min="45" max="45" width="2.85546875" style="408" hidden="1" customWidth="1"/>
    <col min="46" max="46" width="2.85546875" style="315" hidden="1" customWidth="1"/>
    <col min="47" max="47" width="5.140625" style="315" hidden="1" customWidth="1"/>
    <col min="48" max="48" width="2.85546875" style="315" hidden="1" customWidth="1"/>
    <col min="49" max="49" width="4.28515625" style="315" hidden="1" customWidth="1"/>
    <col min="50" max="50" width="3.85546875" style="315" hidden="1" customWidth="1"/>
    <col min="51" max="53" width="2.85546875" style="315" hidden="1" customWidth="1"/>
    <col min="54" max="54" width="10.7109375" style="315" hidden="1" customWidth="1"/>
    <col min="55" max="55" width="3.140625" style="315" hidden="1" customWidth="1"/>
    <col min="56" max="56" width="2.85546875" style="315" hidden="1" customWidth="1"/>
    <col min="57" max="57" width="2.85546875" style="408" hidden="1" customWidth="1"/>
    <col min="58" max="58" width="1.42578125" style="154" customWidth="1"/>
    <col min="59" max="59" width="28.5703125" style="152" customWidth="1"/>
    <col min="60" max="61" width="3.5703125" style="152" customWidth="1"/>
    <col min="62" max="62" width="3.7109375" style="154" customWidth="1"/>
    <col min="63" max="63" width="2.85546875" style="408" hidden="1" customWidth="1"/>
    <col min="64" max="64" width="2.85546875" style="315" hidden="1" customWidth="1"/>
    <col min="65" max="65" width="5.140625" style="315" hidden="1" customWidth="1"/>
    <col min="66" max="66" width="2.85546875" style="315" hidden="1" customWidth="1"/>
    <col min="67" max="67" width="4.28515625" style="315" hidden="1" customWidth="1"/>
    <col min="68" max="71" width="2.85546875" style="315" hidden="1" customWidth="1"/>
    <col min="72" max="72" width="10.7109375" style="315" hidden="1" customWidth="1"/>
    <col min="73" max="73" width="3.42578125" style="315" hidden="1" customWidth="1"/>
    <col min="74" max="74" width="2.85546875" style="315" hidden="1" customWidth="1"/>
    <col min="75" max="75" width="2.85546875" style="408" hidden="1" customWidth="1"/>
    <col min="76" max="76" width="2.85546875" style="315" hidden="1" customWidth="1"/>
    <col min="77" max="77" width="11.28515625" style="315" hidden="1" customWidth="1"/>
    <col min="78" max="78" width="4.28515625" style="315" hidden="1" customWidth="1"/>
    <col min="79" max="79" width="2.85546875" style="315" hidden="1" customWidth="1"/>
    <col min="80" max="80" width="2.85546875" style="408" hidden="1" customWidth="1"/>
    <col min="81" max="81" width="2.85546875" style="315" hidden="1" customWidth="1"/>
    <col min="82" max="82" width="4.28515625" style="390" hidden="1" customWidth="1"/>
    <col min="83" max="83" width="5.28515625" style="315" hidden="1" customWidth="1"/>
    <col min="84" max="84" width="2.85546875" style="315" hidden="1" customWidth="1"/>
    <col min="85" max="85" width="2.85546875" style="408" hidden="1" customWidth="1"/>
    <col min="86" max="86" width="4" style="152" customWidth="1"/>
    <col min="87" max="16384" width="9.140625" style="152"/>
  </cols>
  <sheetData>
    <row r="1" spans="1:85" s="561" customFormat="1" ht="9.75" customHeight="1" x14ac:dyDescent="0.2">
      <c r="G1" s="562"/>
    </row>
    <row r="2" spans="1:85" s="561" customFormat="1" ht="9.75" customHeight="1" x14ac:dyDescent="0.2">
      <c r="G2" s="562"/>
    </row>
    <row r="3" spans="1:85" s="561" customFormat="1" ht="9" customHeight="1" thickBot="1" x14ac:dyDescent="0.25">
      <c r="A3" s="563"/>
      <c r="B3" s="563"/>
      <c r="C3" s="563"/>
      <c r="D3" s="563"/>
      <c r="E3" s="563"/>
      <c r="F3" s="563"/>
      <c r="G3" s="562"/>
    </row>
    <row r="4" spans="1:85" s="565" customFormat="1" ht="12" customHeight="1" thickTop="1" x14ac:dyDescent="0.2">
      <c r="B4" s="567" t="s">
        <v>960</v>
      </c>
      <c r="G4" s="566"/>
    </row>
    <row r="5" spans="1:85" s="143" customFormat="1" ht="10.5" customHeight="1" x14ac:dyDescent="0.25">
      <c r="A5" s="564"/>
      <c r="B5" s="142"/>
      <c r="C5" s="432"/>
      <c r="D5" s="142"/>
      <c r="I5" s="407"/>
      <c r="J5" s="409"/>
      <c r="K5" s="409"/>
      <c r="L5" s="409"/>
      <c r="M5" s="409"/>
      <c r="N5" s="409"/>
      <c r="O5" s="409"/>
      <c r="P5" s="409"/>
      <c r="Q5" s="409"/>
      <c r="R5" s="409"/>
      <c r="S5" s="409"/>
      <c r="T5" s="409"/>
      <c r="U5" s="407"/>
      <c r="W5" s="142"/>
      <c r="X5" s="142"/>
      <c r="Y5" s="144"/>
      <c r="AA5" s="407"/>
      <c r="AB5" s="409"/>
      <c r="AC5" s="409"/>
      <c r="AD5" s="409"/>
      <c r="AE5" s="409"/>
      <c r="AF5" s="409"/>
      <c r="AG5" s="409"/>
      <c r="AH5" s="409"/>
      <c r="AI5" s="409"/>
      <c r="AJ5" s="409"/>
      <c r="AK5" s="409"/>
      <c r="AL5" s="409"/>
      <c r="AM5" s="407"/>
      <c r="AO5" s="145"/>
      <c r="AP5" s="146"/>
      <c r="AQ5" s="146"/>
      <c r="AS5" s="407"/>
      <c r="AT5" s="409"/>
      <c r="AU5" s="409"/>
      <c r="AV5" s="409"/>
      <c r="AW5" s="409"/>
      <c r="AX5" s="409"/>
      <c r="AY5" s="409"/>
      <c r="AZ5" s="409"/>
      <c r="BA5" s="409"/>
      <c r="BB5" s="409"/>
      <c r="BC5" s="409"/>
      <c r="BD5" s="409"/>
      <c r="BE5" s="407"/>
      <c r="BG5" s="147"/>
      <c r="BH5" s="147"/>
      <c r="BI5" s="147"/>
      <c r="BK5" s="407"/>
      <c r="BL5" s="409"/>
      <c r="BM5" s="409"/>
      <c r="BN5" s="409"/>
      <c r="BO5" s="409"/>
      <c r="BP5" s="409"/>
      <c r="BQ5" s="409"/>
      <c r="BR5" s="409"/>
      <c r="BS5" s="409"/>
      <c r="BT5" s="409"/>
      <c r="BU5" s="409"/>
      <c r="BV5" s="409"/>
      <c r="BW5" s="407"/>
      <c r="BX5" s="409"/>
      <c r="BY5" s="409"/>
      <c r="BZ5" s="409"/>
      <c r="CA5" s="409"/>
      <c r="CB5" s="407"/>
      <c r="CC5" s="409"/>
      <c r="CD5" s="429"/>
      <c r="CE5" s="409"/>
      <c r="CF5" s="409"/>
      <c r="CG5" s="407"/>
    </row>
    <row r="6" spans="1:85" s="712" customFormat="1" ht="14.25" customHeight="1" x14ac:dyDescent="0.2">
      <c r="A6" s="700"/>
      <c r="B6" s="701"/>
      <c r="C6" s="702"/>
      <c r="D6" s="703"/>
      <c r="E6" s="704" t="s">
        <v>1189</v>
      </c>
      <c r="F6" s="705"/>
      <c r="G6" s="705"/>
      <c r="H6" s="705"/>
      <c r="I6" s="706"/>
      <c r="J6" s="707"/>
      <c r="K6" s="707"/>
      <c r="L6" s="707"/>
      <c r="M6" s="707"/>
      <c r="N6" s="707"/>
      <c r="O6" s="707"/>
      <c r="P6" s="707"/>
      <c r="Q6" s="707"/>
      <c r="R6" s="707"/>
      <c r="S6" s="707"/>
      <c r="T6" s="707"/>
      <c r="U6" s="706"/>
      <c r="V6" s="705"/>
      <c r="W6" s="704" t="s">
        <v>1190</v>
      </c>
      <c r="X6" s="708"/>
      <c r="Y6" s="709"/>
      <c r="Z6" s="705"/>
      <c r="AA6" s="706"/>
      <c r="AB6" s="707"/>
      <c r="AC6" s="707"/>
      <c r="AD6" s="707"/>
      <c r="AE6" s="707"/>
      <c r="AF6" s="707"/>
      <c r="AG6" s="707"/>
      <c r="AH6" s="707"/>
      <c r="AI6" s="707"/>
      <c r="AJ6" s="707"/>
      <c r="AK6" s="707"/>
      <c r="AL6" s="707"/>
      <c r="AM6" s="706"/>
      <c r="AN6" s="705"/>
      <c r="AO6" s="704" t="s">
        <v>1192</v>
      </c>
      <c r="AP6" s="710"/>
      <c r="AQ6" s="710"/>
      <c r="AR6" s="705"/>
      <c r="AS6" s="706"/>
      <c r="AT6" s="707"/>
      <c r="AU6" s="707"/>
      <c r="AV6" s="707"/>
      <c r="AW6" s="707"/>
      <c r="AX6" s="707"/>
      <c r="AY6" s="707"/>
      <c r="AZ6" s="707"/>
      <c r="BA6" s="707"/>
      <c r="BB6" s="707"/>
      <c r="BC6" s="707"/>
      <c r="BD6" s="707"/>
      <c r="BE6" s="706"/>
      <c r="BF6" s="705"/>
      <c r="BG6" s="704" t="s">
        <v>698</v>
      </c>
      <c r="BH6" s="711"/>
      <c r="BI6" s="711"/>
      <c r="BK6" s="706"/>
      <c r="BL6" s="707"/>
      <c r="BM6" s="707"/>
      <c r="BN6" s="707"/>
      <c r="BO6" s="707"/>
      <c r="BP6" s="707"/>
      <c r="BQ6" s="707"/>
      <c r="BR6" s="707"/>
      <c r="BS6" s="707"/>
      <c r="BT6" s="707"/>
      <c r="BU6" s="707"/>
      <c r="BV6" s="707"/>
      <c r="BW6" s="706"/>
      <c r="BX6" s="707"/>
      <c r="BY6" s="707"/>
      <c r="BZ6" s="707"/>
      <c r="CA6" s="707"/>
      <c r="CB6" s="706"/>
      <c r="CC6" s="707"/>
      <c r="CD6" s="707"/>
      <c r="CE6" s="713">
        <v>16</v>
      </c>
      <c r="CF6" s="707"/>
      <c r="CG6" s="706"/>
    </row>
    <row r="7" spans="1:85" s="143" customFormat="1" ht="4.5" hidden="1" customHeight="1" x14ac:dyDescent="0.25">
      <c r="A7" s="564"/>
      <c r="B7" s="142"/>
      <c r="C7" s="433"/>
      <c r="D7" s="142"/>
      <c r="I7" s="407"/>
      <c r="J7" s="409"/>
      <c r="K7" s="409"/>
      <c r="L7" s="409"/>
      <c r="M7" s="409"/>
      <c r="N7" s="409"/>
      <c r="O7" s="409"/>
      <c r="P7" s="409"/>
      <c r="Q7" s="409"/>
      <c r="R7" s="410"/>
      <c r="S7" s="410"/>
      <c r="T7" s="409"/>
      <c r="U7" s="407"/>
      <c r="W7" s="142"/>
      <c r="X7" s="142"/>
      <c r="Y7" s="144"/>
      <c r="AA7" s="407"/>
      <c r="AB7" s="409"/>
      <c r="AC7" s="409"/>
      <c r="AD7" s="409"/>
      <c r="AE7" s="409"/>
      <c r="AF7" s="409"/>
      <c r="AG7" s="409"/>
      <c r="AH7" s="409"/>
      <c r="AI7" s="409"/>
      <c r="AJ7" s="410"/>
      <c r="AK7" s="410"/>
      <c r="AL7" s="409"/>
      <c r="AM7" s="407"/>
      <c r="AO7" s="145"/>
      <c r="AP7" s="146"/>
      <c r="AQ7" s="146"/>
      <c r="AS7" s="407"/>
      <c r="AT7" s="409"/>
      <c r="AU7" s="409"/>
      <c r="AV7" s="409"/>
      <c r="AW7" s="409"/>
      <c r="AX7" s="409"/>
      <c r="AY7" s="409"/>
      <c r="AZ7" s="409"/>
      <c r="BA7" s="409"/>
      <c r="BB7" s="410"/>
      <c r="BC7" s="410"/>
      <c r="BD7" s="409"/>
      <c r="BE7" s="407"/>
      <c r="BG7" s="147"/>
      <c r="BH7" s="147"/>
      <c r="BI7" s="147"/>
      <c r="BK7" s="407"/>
      <c r="BL7" s="409"/>
      <c r="BM7" s="409"/>
      <c r="BN7" s="409"/>
      <c r="BO7" s="409"/>
      <c r="BP7" s="409"/>
      <c r="BQ7" s="409"/>
      <c r="BR7" s="409"/>
      <c r="BS7" s="409"/>
      <c r="BT7" s="410"/>
      <c r="BU7" s="410"/>
      <c r="BV7" s="409"/>
      <c r="BW7" s="407"/>
      <c r="BX7" s="409"/>
      <c r="BY7" s="409"/>
      <c r="BZ7" s="409"/>
      <c r="CA7" s="409"/>
      <c r="CB7" s="407"/>
      <c r="CC7" s="409"/>
      <c r="CD7" s="429"/>
      <c r="CE7" s="409"/>
      <c r="CF7" s="409"/>
      <c r="CG7" s="407"/>
    </row>
    <row r="8" spans="1:85" ht="18" customHeight="1" thickBot="1" x14ac:dyDescent="0.3">
      <c r="B8" s="144"/>
      <c r="C8" s="591"/>
      <c r="D8" s="148"/>
      <c r="E8" s="149" t="str">
        <f>INDEX(n.er,M9,N8)</f>
        <v>B csoport 1. hely</v>
      </c>
      <c r="F8" s="150" t="str">
        <f>INDEX(n.er,M9,O8)</f>
        <v/>
      </c>
      <c r="G8" s="766" t="str">
        <f>IF(NOT(R9),"","("&amp;INDEX(n.er,M9,P9)&amp;"–"&amp;INDEX(n.er,M9,P8)&amp;")")</f>
        <v/>
      </c>
      <c r="H8" s="151"/>
      <c r="K8" s="330" t="str">
        <f>VLOOKUP(M8,schedule,L8,FALSE)</f>
        <v>B1.</v>
      </c>
      <c r="L8" s="327">
        <v>6</v>
      </c>
      <c r="M8" s="242">
        <v>39</v>
      </c>
      <c r="N8" s="327">
        <v>8</v>
      </c>
      <c r="O8" s="327">
        <v>9</v>
      </c>
      <c r="P8" s="327">
        <v>17</v>
      </c>
      <c r="Q8" s="327">
        <v>19</v>
      </c>
      <c r="R8" s="411" t="str">
        <f>INDEX(n.er,M9,Q8)</f>
        <v/>
      </c>
      <c r="S8" s="412">
        <v>10</v>
      </c>
      <c r="V8" s="151"/>
      <c r="AN8" s="151"/>
      <c r="AO8" s="145"/>
      <c r="AP8" s="146"/>
      <c r="AQ8" s="155"/>
      <c r="BF8" s="151"/>
      <c r="BG8" s="147"/>
      <c r="BH8" s="147"/>
      <c r="BI8" s="156"/>
      <c r="BY8" s="427" t="str">
        <f>E8</f>
        <v>B csoport 1. hely</v>
      </c>
      <c r="BZ8" s="428">
        <f t="shared" ref="BZ8:BZ23" si="0">SUMIF($R$8:$R$23,BY8,$S$8:$S$23)+SUMIF($AJ$9:$AJ$22,BY8,$AK$9:$AK$22)+SUMIF($BB$11:$BB$20,BY8,$BC$11:$BC$20)+SUMIF($BT$15:$BT$23,BY8,$BU$15:$BU$23)</f>
        <v>0</v>
      </c>
      <c r="CD8" s="430">
        <v>1</v>
      </c>
      <c r="CE8" s="428" t="b">
        <f>INDEX(n.er,BO16,CE$6)</f>
        <v>0</v>
      </c>
    </row>
    <row r="9" spans="1:85" ht="18" customHeight="1" thickTop="1" x14ac:dyDescent="0.25">
      <c r="B9" s="144"/>
      <c r="C9" s="698" t="str">
        <f>"  "&amp;K9</f>
        <v xml:space="preserve">  A/D/E/F3.</v>
      </c>
      <c r="D9" s="157"/>
      <c r="E9" s="158" t="str">
        <f>INDEX(n.er,M9,N9)</f>
        <v>A/D/E/F csoport 3. hely</v>
      </c>
      <c r="F9" s="159" t="str">
        <f>INDEX(n.er,M9,O9)</f>
        <v/>
      </c>
      <c r="G9" s="766"/>
      <c r="H9" s="151"/>
      <c r="K9" s="413" t="str">
        <f>VLOOKUP(M8,schedule,L9,FALSE)</f>
        <v>A/D/E/F3.</v>
      </c>
      <c r="L9" s="414">
        <v>7</v>
      </c>
      <c r="M9" s="414">
        <f>MATCH(M8,n.er.index,0)</f>
        <v>98</v>
      </c>
      <c r="N9" s="414">
        <v>11</v>
      </c>
      <c r="O9" s="414">
        <v>10</v>
      </c>
      <c r="P9" s="414">
        <v>18</v>
      </c>
      <c r="Q9" s="414">
        <v>15</v>
      </c>
      <c r="R9" s="415" t="b">
        <f>INDEX(n.er,M9,Q9)</f>
        <v>0</v>
      </c>
      <c r="S9" s="416"/>
      <c r="V9" s="151"/>
      <c r="W9" s="149" t="str">
        <f>IF(AC9,"",INDEX(n.er,AE10,AF9))</f>
        <v/>
      </c>
      <c r="X9" s="150" t="str">
        <f>IF(AC9,"",INDEX(n.er,AE10,AG9))</f>
        <v/>
      </c>
      <c r="Y9" s="766" t="str">
        <f>IF(NOT(AJ10),"","("&amp;INDEX(n.er,AE10,AH10)&amp;"–"&amp;INDEX(n.er,AE10,AH9)&amp;")")</f>
        <v/>
      </c>
      <c r="Z9" s="151"/>
      <c r="AC9" s="463" t="b">
        <f>INDEX(n.er,AE10,AD9)</f>
        <v>1</v>
      </c>
      <c r="AD9" s="327">
        <v>27</v>
      </c>
      <c r="AE9" s="242">
        <v>46</v>
      </c>
      <c r="AF9" s="327">
        <v>8</v>
      </c>
      <c r="AG9" s="327">
        <v>9</v>
      </c>
      <c r="AH9" s="327">
        <v>17</v>
      </c>
      <c r="AI9" s="327">
        <v>19</v>
      </c>
      <c r="AJ9" s="411" t="str">
        <f>INDEX(n.er,AE10,AI9)</f>
        <v/>
      </c>
      <c r="AK9" s="412">
        <v>10</v>
      </c>
      <c r="AN9" s="151"/>
      <c r="AO9" s="145"/>
      <c r="AP9" s="146"/>
      <c r="AQ9" s="439"/>
      <c r="AR9" s="151"/>
      <c r="BF9" s="151"/>
      <c r="BG9" s="147"/>
      <c r="BH9" s="147"/>
      <c r="BI9" s="156"/>
      <c r="BJ9" s="151"/>
      <c r="BY9" s="427" t="str">
        <f t="shared" ref="BY9:BY23" si="1">E9</f>
        <v>A/D/E/F csoport 3. hely</v>
      </c>
      <c r="BZ9" s="428">
        <f t="shared" si="0"/>
        <v>0</v>
      </c>
      <c r="CD9" s="430">
        <v>3</v>
      </c>
      <c r="CE9" s="428" t="b">
        <f>AND(INDEX(n.er,AW12,CE$6),INDEX(n.er,AW20,CE$6))</f>
        <v>0</v>
      </c>
    </row>
    <row r="10" spans="1:85" ht="18" customHeight="1" x14ac:dyDescent="0.25">
      <c r="B10" s="144"/>
      <c r="C10" s="434"/>
      <c r="D10" s="148"/>
      <c r="E10" s="149" t="str">
        <f>INDEX(n.er,M11,N10)</f>
        <v>A csoport 1. hely</v>
      </c>
      <c r="F10" s="150" t="str">
        <f>INDEX(n.er,M11,O10)</f>
        <v/>
      </c>
      <c r="G10" s="766" t="str">
        <f>IF(NOT(R11),"","("&amp;INDEX(n.er,M11,P11)&amp;"–"&amp;INDEX(n.er,M11,P10)&amp;")")</f>
        <v/>
      </c>
      <c r="H10" s="151"/>
      <c r="K10" s="330" t="str">
        <f>VLOOKUP(M10,schedule,L10,FALSE)</f>
        <v>A1.</v>
      </c>
      <c r="L10" s="327">
        <v>6</v>
      </c>
      <c r="M10" s="242">
        <v>37</v>
      </c>
      <c r="N10" s="327">
        <v>8</v>
      </c>
      <c r="O10" s="327">
        <v>9</v>
      </c>
      <c r="P10" s="327">
        <v>17</v>
      </c>
      <c r="Q10" s="327">
        <v>19</v>
      </c>
      <c r="R10" s="411" t="str">
        <f>INDEX(n.er,M11,Q10)</f>
        <v/>
      </c>
      <c r="S10" s="412">
        <v>10</v>
      </c>
      <c r="V10" s="151"/>
      <c r="W10" s="158" t="str">
        <f>IF(AC10,"",INDEX(n.er,AE10,AF10))</f>
        <v/>
      </c>
      <c r="X10" s="159" t="str">
        <f>IF(AC10,"",INDEX(n.er,AE10,AG10))</f>
        <v/>
      </c>
      <c r="Y10" s="766"/>
      <c r="Z10" s="151"/>
      <c r="AC10" s="464" t="b">
        <f>INDEX(n.er,AE10,AD10)</f>
        <v>1</v>
      </c>
      <c r="AD10" s="414">
        <v>28</v>
      </c>
      <c r="AE10" s="414">
        <f>MATCH(AE9,n.er.index,0)</f>
        <v>118</v>
      </c>
      <c r="AF10" s="414">
        <v>11</v>
      </c>
      <c r="AG10" s="414">
        <v>10</v>
      </c>
      <c r="AH10" s="414">
        <v>18</v>
      </c>
      <c r="AI10" s="414">
        <v>15</v>
      </c>
      <c r="AJ10" s="415" t="b">
        <f>INDEX(n.er,AE10,AI10)</f>
        <v>0</v>
      </c>
      <c r="AK10" s="416"/>
      <c r="AN10" s="151"/>
      <c r="AO10" s="145"/>
      <c r="AP10" s="146"/>
      <c r="AQ10" s="439"/>
      <c r="AR10" s="151"/>
      <c r="BF10" s="151"/>
      <c r="BG10" s="147"/>
      <c r="BH10" s="147"/>
      <c r="BI10" s="156"/>
      <c r="BJ10" s="151"/>
      <c r="BY10" s="427" t="str">
        <f t="shared" si="1"/>
        <v>A csoport 1. hely</v>
      </c>
      <c r="BZ10" s="428">
        <f t="shared" si="0"/>
        <v>0</v>
      </c>
      <c r="CD10" s="430">
        <v>5</v>
      </c>
      <c r="CE10" s="428" t="b">
        <f>AND(INDEX(n.er,AE10,CE$6),INDEX(n.er,AE14,CE$6),INDEX(n.er,AE18,CE$6),INDEX(n.er,AE22,CE$6))</f>
        <v>0</v>
      </c>
    </row>
    <row r="11" spans="1:85" ht="18" customHeight="1" x14ac:dyDescent="0.25">
      <c r="B11" s="144"/>
      <c r="C11" s="435"/>
      <c r="D11" s="157"/>
      <c r="E11" s="158" t="str">
        <f>INDEX(n.er,M11,N11)</f>
        <v>C csoport 2. hely</v>
      </c>
      <c r="F11" s="159" t="str">
        <f>INDEX(n.er,M11,O11)</f>
        <v/>
      </c>
      <c r="G11" s="766"/>
      <c r="H11" s="151"/>
      <c r="K11" s="413" t="str">
        <f>VLOOKUP(M10,schedule,L11,FALSE)</f>
        <v>C2.</v>
      </c>
      <c r="L11" s="414">
        <v>7</v>
      </c>
      <c r="M11" s="414">
        <f>MATCH(M10,n.er.index,0)</f>
        <v>92</v>
      </c>
      <c r="N11" s="414">
        <v>11</v>
      </c>
      <c r="O11" s="414">
        <v>10</v>
      </c>
      <c r="P11" s="414">
        <v>18</v>
      </c>
      <c r="Q11" s="414">
        <v>15</v>
      </c>
      <c r="R11" s="415" t="b">
        <f>INDEX(n.er,M11,Q11)</f>
        <v>0</v>
      </c>
      <c r="S11" s="416"/>
      <c r="V11" s="151"/>
      <c r="W11" s="142"/>
      <c r="X11" s="142"/>
      <c r="Y11" s="438"/>
      <c r="Z11" s="151"/>
      <c r="AN11" s="151"/>
      <c r="AO11" s="149" t="str">
        <f>IF(AU11,"",INDEX(n.er,AW12,AX11))</f>
        <v/>
      </c>
      <c r="AP11" s="150" t="str">
        <f>IF(AU11,"",INDEX(n.er,AW12,AY11))</f>
        <v/>
      </c>
      <c r="AQ11" s="766" t="str">
        <f>IF(NOT(BB12),"","("&amp;INDEX(n.er,AW12,AZ12)&amp;"–"&amp;INDEX(n.er,AW12,AZ11)&amp;")")</f>
        <v/>
      </c>
      <c r="AR11" s="151"/>
      <c r="AU11" s="463" t="b">
        <f>INDEX(n.er,AW12,AV11)</f>
        <v>1</v>
      </c>
      <c r="AV11" s="327">
        <v>27</v>
      </c>
      <c r="AW11" s="242">
        <v>49</v>
      </c>
      <c r="AX11" s="327">
        <v>8</v>
      </c>
      <c r="AY11" s="327">
        <v>9</v>
      </c>
      <c r="AZ11" s="327">
        <v>17</v>
      </c>
      <c r="BA11" s="327">
        <v>19</v>
      </c>
      <c r="BB11" s="411" t="str">
        <f>INDEX(n.er,AW12,BA11)</f>
        <v/>
      </c>
      <c r="BC11" s="412">
        <v>20</v>
      </c>
      <c r="BF11" s="151"/>
      <c r="BG11" s="147"/>
      <c r="BH11" s="147"/>
      <c r="BI11" s="156"/>
      <c r="BJ11" s="151"/>
      <c r="BY11" s="427" t="str">
        <f t="shared" si="1"/>
        <v>C csoport 2. hely</v>
      </c>
      <c r="BZ11" s="428">
        <f t="shared" si="0"/>
        <v>0</v>
      </c>
      <c r="CD11" s="430">
        <v>9</v>
      </c>
      <c r="CE11" s="428" t="b">
        <f>AND(INDEX(n.er,M9,CE$6),INDEX(n.er,M11,CE$6),INDEX(n.er,M13,CE$6),INDEX(n.er,M15,CE$6),INDEX(n.er,M17,CE$6),INDEX(n.er,M19,CE$6),INDEX(n.er,M21,CE$6),INDEX(n.er,M23,CE$6))</f>
        <v>0</v>
      </c>
    </row>
    <row r="12" spans="1:85" ht="18" customHeight="1" thickBot="1" x14ac:dyDescent="0.3">
      <c r="B12" s="144"/>
      <c r="C12" s="591"/>
      <c r="D12" s="148"/>
      <c r="E12" s="149" t="str">
        <f>INDEX(n.er,M13,N12)</f>
        <v>F csoport 1. hely</v>
      </c>
      <c r="F12" s="150" t="str">
        <f>INDEX(n.er,M13,O12)</f>
        <v/>
      </c>
      <c r="G12" s="766" t="str">
        <f>IF(NOT(R13),"","("&amp;INDEX(n.er,M13,P13)&amp;"–"&amp;INDEX(n.er,M13,P12)&amp;")")</f>
        <v/>
      </c>
      <c r="H12" s="151"/>
      <c r="K12" s="330" t="str">
        <f>VLOOKUP(M12,schedule,L12,FALSE)</f>
        <v>F1.</v>
      </c>
      <c r="L12" s="327">
        <v>6</v>
      </c>
      <c r="M12" s="242">
        <v>41</v>
      </c>
      <c r="N12" s="327">
        <v>8</v>
      </c>
      <c r="O12" s="327">
        <v>9</v>
      </c>
      <c r="P12" s="327">
        <v>17</v>
      </c>
      <c r="Q12" s="327">
        <v>19</v>
      </c>
      <c r="R12" s="411" t="str">
        <f>INDEX(n.er,M13,Q12)</f>
        <v/>
      </c>
      <c r="S12" s="412">
        <v>10</v>
      </c>
      <c r="V12" s="151"/>
      <c r="W12" s="142"/>
      <c r="X12" s="142"/>
      <c r="Y12" s="438"/>
      <c r="Z12" s="151"/>
      <c r="AN12" s="151"/>
      <c r="AO12" s="158" t="str">
        <f>IF(AU12,"",INDEX(n.er,AW12,AX12))</f>
        <v/>
      </c>
      <c r="AP12" s="159" t="str">
        <f>IF(AU12,"",INDEX(n.er,AW12,AY12))</f>
        <v/>
      </c>
      <c r="AQ12" s="766"/>
      <c r="AR12" s="151"/>
      <c r="AU12" s="464" t="b">
        <f>INDEX(n.er,AW12,AV12)</f>
        <v>1</v>
      </c>
      <c r="AV12" s="414">
        <v>28</v>
      </c>
      <c r="AW12" s="414">
        <f>MATCH(AW11,n.er.index,0)</f>
        <v>132</v>
      </c>
      <c r="AX12" s="414">
        <v>11</v>
      </c>
      <c r="AY12" s="414">
        <v>10</v>
      </c>
      <c r="AZ12" s="414">
        <v>18</v>
      </c>
      <c r="BA12" s="414">
        <v>15</v>
      </c>
      <c r="BB12" s="415" t="b">
        <f>INDEX(n.er,AW12,BA12)</f>
        <v>0</v>
      </c>
      <c r="BC12" s="416"/>
      <c r="BF12" s="151"/>
      <c r="BG12" s="147"/>
      <c r="BH12" s="147"/>
      <c r="BI12" s="156"/>
      <c r="BJ12" s="151"/>
      <c r="BY12" s="427" t="str">
        <f t="shared" si="1"/>
        <v>F csoport 1. hely</v>
      </c>
      <c r="BZ12" s="428">
        <f t="shared" si="0"/>
        <v>0</v>
      </c>
      <c r="CD12" s="430">
        <v>17</v>
      </c>
      <c r="CE12" s="428" t="b">
        <f>AND(Tabellák!AB6,Tabellák!AB12,Tabellák!AB18,Tabellák!AB24,Tabellák!AB30,Tabellák!AB36)</f>
        <v>0</v>
      </c>
    </row>
    <row r="13" spans="1:85" ht="18" customHeight="1" thickTop="1" x14ac:dyDescent="0.25">
      <c r="B13" s="144"/>
      <c r="C13" s="698" t="str">
        <f>"  "&amp;K13</f>
        <v xml:space="preserve">  A/B/C3.</v>
      </c>
      <c r="D13" s="157"/>
      <c r="E13" s="158" t="str">
        <f>INDEX(n.er,M13,N13)</f>
        <v>A/B/C csoport 3. hely</v>
      </c>
      <c r="F13" s="159" t="str">
        <f>INDEX(n.er,M13,O13)</f>
        <v/>
      </c>
      <c r="G13" s="766"/>
      <c r="H13" s="151"/>
      <c r="K13" s="413" t="str">
        <f>VLOOKUP(M12,schedule,L13,FALSE)</f>
        <v>A/B/C3.</v>
      </c>
      <c r="L13" s="414">
        <v>7</v>
      </c>
      <c r="M13" s="414">
        <f>MATCH(M12,n.er.index,0)</f>
        <v>104</v>
      </c>
      <c r="N13" s="414">
        <v>11</v>
      </c>
      <c r="O13" s="414">
        <v>10</v>
      </c>
      <c r="P13" s="414">
        <v>18</v>
      </c>
      <c r="Q13" s="414">
        <v>15</v>
      </c>
      <c r="R13" s="415" t="b">
        <f>INDEX(n.er,M13,Q13)</f>
        <v>0</v>
      </c>
      <c r="S13" s="416"/>
      <c r="V13" s="151"/>
      <c r="W13" s="149" t="str">
        <f>IF(AC13,"",INDEX(n.er,AE14,AF13))</f>
        <v/>
      </c>
      <c r="X13" s="150" t="str">
        <f>IF(AC13,"",INDEX(n.er,AE14,AG13))</f>
        <v/>
      </c>
      <c r="Y13" s="766" t="str">
        <f>IF(NOT(AJ14),"","("&amp;INDEX(n.er,AE14,AH14)&amp;"–"&amp;INDEX(n.er,AE14,AH13)&amp;")")</f>
        <v/>
      </c>
      <c r="Z13" s="151"/>
      <c r="AC13" s="463" t="b">
        <f>INDEX(n.er,AE14,AD13)</f>
        <v>1</v>
      </c>
      <c r="AD13" s="327">
        <v>27</v>
      </c>
      <c r="AE13" s="242">
        <v>45</v>
      </c>
      <c r="AF13" s="327">
        <v>8</v>
      </c>
      <c r="AG13" s="327">
        <v>9</v>
      </c>
      <c r="AH13" s="327">
        <v>17</v>
      </c>
      <c r="AI13" s="327">
        <v>19</v>
      </c>
      <c r="AJ13" s="411" t="str">
        <f>INDEX(n.er,AE14,AI13)</f>
        <v/>
      </c>
      <c r="AK13" s="412">
        <v>10</v>
      </c>
      <c r="AN13" s="151"/>
      <c r="AO13" s="145"/>
      <c r="AP13" s="146"/>
      <c r="AQ13" s="439"/>
      <c r="AR13" s="151"/>
      <c r="BF13" s="151"/>
      <c r="BG13" s="147"/>
      <c r="BH13" s="147"/>
      <c r="BI13" s="156"/>
      <c r="BJ13" s="151"/>
      <c r="BY13" s="427" t="str">
        <f t="shared" si="1"/>
        <v>A/B/C csoport 3. hely</v>
      </c>
      <c r="BZ13" s="428">
        <f t="shared" si="0"/>
        <v>0</v>
      </c>
    </row>
    <row r="14" spans="1:85" ht="18" customHeight="1" x14ac:dyDescent="0.25">
      <c r="B14" s="144"/>
      <c r="C14" s="434"/>
      <c r="D14" s="148"/>
      <c r="E14" s="149" t="str">
        <f>INDEX(n.er,M15,N14)</f>
        <v>D csoport 2. hely</v>
      </c>
      <c r="F14" s="150" t="str">
        <f>INDEX(n.er,M15,O14)</f>
        <v/>
      </c>
      <c r="G14" s="766" t="str">
        <f>IF(NOT(R15),"","("&amp;INDEX(n.er,M15,P15)&amp;"–"&amp;INDEX(n.er,M15,P14)&amp;")")</f>
        <v/>
      </c>
      <c r="H14" s="151"/>
      <c r="K14" s="330" t="str">
        <f>VLOOKUP(M14,schedule,L14,FALSE)</f>
        <v>D2.</v>
      </c>
      <c r="L14" s="327">
        <v>6</v>
      </c>
      <c r="M14" s="242">
        <v>42</v>
      </c>
      <c r="N14" s="327">
        <v>8</v>
      </c>
      <c r="O14" s="327">
        <v>9</v>
      </c>
      <c r="P14" s="327">
        <v>17</v>
      </c>
      <c r="Q14" s="327">
        <v>19</v>
      </c>
      <c r="R14" s="411" t="str">
        <f>INDEX(n.er,M15,Q14)</f>
        <v/>
      </c>
      <c r="S14" s="412">
        <v>10</v>
      </c>
      <c r="V14" s="151"/>
      <c r="W14" s="158" t="str">
        <f>IF(AC14,"",INDEX(n.er,AE14,AF14))</f>
        <v/>
      </c>
      <c r="X14" s="159" t="str">
        <f>IF(AC14,"",INDEX(n.er,AE14,AG14))</f>
        <v/>
      </c>
      <c r="Y14" s="766"/>
      <c r="Z14" s="151"/>
      <c r="AC14" s="464" t="b">
        <f>INDEX(n.er,AE14,AD14)</f>
        <v>1</v>
      </c>
      <c r="AD14" s="414">
        <v>28</v>
      </c>
      <c r="AE14" s="414">
        <f>MATCH(AE13,n.er.index,0)</f>
        <v>117</v>
      </c>
      <c r="AF14" s="414">
        <v>11</v>
      </c>
      <c r="AG14" s="414">
        <v>10</v>
      </c>
      <c r="AH14" s="414">
        <v>18</v>
      </c>
      <c r="AI14" s="414">
        <v>15</v>
      </c>
      <c r="AJ14" s="415" t="b">
        <f>INDEX(n.er,AE14,AI14)</f>
        <v>0</v>
      </c>
      <c r="AK14" s="416"/>
      <c r="AN14" s="151"/>
      <c r="AO14" s="145"/>
      <c r="AP14" s="146"/>
      <c r="AQ14" s="439"/>
      <c r="AR14" s="151"/>
      <c r="BF14" s="151"/>
      <c r="BG14" s="147"/>
      <c r="BH14" s="147"/>
      <c r="BI14" s="156"/>
      <c r="BJ14" s="151"/>
      <c r="BY14" s="427" t="str">
        <f t="shared" si="1"/>
        <v>D csoport 2. hely</v>
      </c>
      <c r="BZ14" s="428">
        <f t="shared" si="0"/>
        <v>0</v>
      </c>
    </row>
    <row r="15" spans="1:85" ht="18" customHeight="1" x14ac:dyDescent="0.25">
      <c r="B15" s="144"/>
      <c r="C15" s="435"/>
      <c r="D15" s="157"/>
      <c r="E15" s="158" t="str">
        <f>INDEX(n.er,M15,N15)</f>
        <v>E csoport 2. hely</v>
      </c>
      <c r="F15" s="159" t="str">
        <f>INDEX(n.er,M15,O15)</f>
        <v/>
      </c>
      <c r="G15" s="766"/>
      <c r="H15" s="151"/>
      <c r="K15" s="413" t="str">
        <f>VLOOKUP(M14,schedule,L15,FALSE)</f>
        <v>E2.</v>
      </c>
      <c r="L15" s="414">
        <v>7</v>
      </c>
      <c r="M15" s="414">
        <f>MATCH(M14,n.er.index,0)</f>
        <v>103</v>
      </c>
      <c r="N15" s="414">
        <v>11</v>
      </c>
      <c r="O15" s="414">
        <v>10</v>
      </c>
      <c r="P15" s="414">
        <v>18</v>
      </c>
      <c r="Q15" s="414">
        <v>15</v>
      </c>
      <c r="R15" s="415" t="b">
        <f>INDEX(n.er,M15,Q15)</f>
        <v>0</v>
      </c>
      <c r="S15" s="416"/>
      <c r="V15" s="151"/>
      <c r="W15" s="142"/>
      <c r="X15" s="142"/>
      <c r="Y15" s="438"/>
      <c r="Z15" s="151"/>
      <c r="AJ15" s="431"/>
      <c r="AN15" s="151"/>
      <c r="AO15" s="145"/>
      <c r="AP15" s="146"/>
      <c r="AQ15" s="439"/>
      <c r="AR15" s="151"/>
      <c r="BF15" s="151"/>
      <c r="BG15" s="149" t="str">
        <f>IF(BM15,"",INDEX(n.er,BO16,BP15))</f>
        <v/>
      </c>
      <c r="BH15" s="150" t="str">
        <f>IF(BM15,"",INDEX(n.er,BO16,BQ15))</f>
        <v/>
      </c>
      <c r="BI15" s="766" t="str">
        <f>IF(NOT(BT16),"","("&amp;INDEX(n.er,BO16,BR16)&amp;"–"&amp;INDEX(n.er,BO16,BR15)&amp;")")</f>
        <v/>
      </c>
      <c r="BJ15" s="151"/>
      <c r="BM15" s="463" t="b">
        <f>INDEX(n.er,BO16,BN15)</f>
        <v>1</v>
      </c>
      <c r="BN15" s="327">
        <v>27</v>
      </c>
      <c r="BO15" s="242">
        <v>51</v>
      </c>
      <c r="BP15" s="327">
        <v>8</v>
      </c>
      <c r="BQ15" s="327">
        <v>9</v>
      </c>
      <c r="BR15" s="327">
        <v>17</v>
      </c>
      <c r="BS15" s="327">
        <v>19</v>
      </c>
      <c r="BT15" s="411" t="str">
        <f>INDEX(n.er,BO16,BS15)</f>
        <v/>
      </c>
      <c r="BU15" s="412">
        <v>10</v>
      </c>
      <c r="BY15" s="427" t="str">
        <f t="shared" si="1"/>
        <v>E csoport 2. hely</v>
      </c>
      <c r="BZ15" s="428">
        <f t="shared" si="0"/>
        <v>0</v>
      </c>
    </row>
    <row r="16" spans="1:85" ht="18" customHeight="1" thickBot="1" x14ac:dyDescent="0.3">
      <c r="B16" s="144"/>
      <c r="C16" s="591"/>
      <c r="D16" s="148"/>
      <c r="E16" s="149" t="str">
        <f>INDEX(n.er,M17,N16)</f>
        <v>E csoport 1. hely</v>
      </c>
      <c r="F16" s="150" t="str">
        <f>INDEX(n.er,M17,O16)</f>
        <v/>
      </c>
      <c r="G16" s="766" t="str">
        <f>IF(NOT(R17),"","("&amp;INDEX(n.er,M17,P17)&amp;"–"&amp;INDEX(n.er,M17,P16)&amp;")")</f>
        <v/>
      </c>
      <c r="H16" s="151"/>
      <c r="K16" s="330" t="str">
        <f>VLOOKUP(M16,schedule,L16,FALSE)</f>
        <v>E1.</v>
      </c>
      <c r="L16" s="327">
        <v>6</v>
      </c>
      <c r="M16" s="242">
        <v>43</v>
      </c>
      <c r="N16" s="327">
        <v>8</v>
      </c>
      <c r="O16" s="327">
        <v>9</v>
      </c>
      <c r="P16" s="327">
        <v>17</v>
      </c>
      <c r="Q16" s="327">
        <v>19</v>
      </c>
      <c r="R16" s="411" t="str">
        <f>INDEX(n.er,M17,Q16)</f>
        <v/>
      </c>
      <c r="S16" s="412">
        <v>10</v>
      </c>
      <c r="V16" s="151"/>
      <c r="W16" s="142"/>
      <c r="X16" s="142"/>
      <c r="Y16" s="438"/>
      <c r="Z16" s="151"/>
      <c r="AN16" s="151"/>
      <c r="AO16" s="145"/>
      <c r="AP16" s="146"/>
      <c r="AQ16" s="439"/>
      <c r="AR16" s="151"/>
      <c r="BF16" s="151"/>
      <c r="BG16" s="158" t="str">
        <f>IF(BM16,"",INDEX(n.er,BO16,BP16))</f>
        <v/>
      </c>
      <c r="BH16" s="159" t="str">
        <f>IF(BM16,"",INDEX(n.er,BO16,BQ16))</f>
        <v/>
      </c>
      <c r="BI16" s="766"/>
      <c r="BJ16" s="151"/>
      <c r="BM16" s="464" t="b">
        <f>INDEX(n.er,BO16,BN16)</f>
        <v>1</v>
      </c>
      <c r="BN16" s="414">
        <v>28</v>
      </c>
      <c r="BO16" s="414">
        <f>MATCH(BO15,n.er.index,0)</f>
        <v>145</v>
      </c>
      <c r="BP16" s="414">
        <v>11</v>
      </c>
      <c r="BQ16" s="414">
        <v>10</v>
      </c>
      <c r="BR16" s="414">
        <v>18</v>
      </c>
      <c r="BS16" s="414">
        <v>15</v>
      </c>
      <c r="BT16" s="415" t="b">
        <f>INDEX(n.er,BO16,BS16)</f>
        <v>0</v>
      </c>
      <c r="BU16" s="416"/>
      <c r="BY16" s="427" t="str">
        <f t="shared" si="1"/>
        <v>E csoport 1. hely</v>
      </c>
      <c r="BZ16" s="428">
        <f t="shared" si="0"/>
        <v>0</v>
      </c>
    </row>
    <row r="17" spans="2:78" ht="18" customHeight="1" thickTop="1" x14ac:dyDescent="0.25">
      <c r="B17" s="144"/>
      <c r="C17" s="698" t="str">
        <f>"  "&amp;K17</f>
        <v xml:space="preserve">  A/B/C/D3.</v>
      </c>
      <c r="D17" s="157"/>
      <c r="E17" s="158" t="str">
        <f>INDEX(n.er,M17,N17)</f>
        <v>A/B/C/D csoport 3. hely</v>
      </c>
      <c r="F17" s="159" t="str">
        <f>INDEX(n.er,M17,O17)</f>
        <v/>
      </c>
      <c r="G17" s="766"/>
      <c r="H17" s="151"/>
      <c r="K17" s="413" t="str">
        <f>VLOOKUP(M16,schedule,L17,FALSE)</f>
        <v>A/B/C/D3.</v>
      </c>
      <c r="L17" s="414">
        <v>7</v>
      </c>
      <c r="M17" s="414">
        <f>MATCH(M16,n.er.index,0)</f>
        <v>110</v>
      </c>
      <c r="N17" s="414">
        <v>11</v>
      </c>
      <c r="O17" s="414">
        <v>10</v>
      </c>
      <c r="P17" s="414">
        <v>18</v>
      </c>
      <c r="Q17" s="414">
        <v>15</v>
      </c>
      <c r="R17" s="415" t="b">
        <f>INDEX(n.er,M17,Q17)</f>
        <v>0</v>
      </c>
      <c r="S17" s="416"/>
      <c r="V17" s="151"/>
      <c r="W17" s="149" t="str">
        <f>IF(AC17,"",INDEX(n.er,AE18,AF17))</f>
        <v/>
      </c>
      <c r="X17" s="150" t="str">
        <f>IF(AC17,"",INDEX(n.er,AE18,AG17))</f>
        <v/>
      </c>
      <c r="Y17" s="766" t="str">
        <f>IF(NOT(AJ18),"","("&amp;INDEX(n.er,AE18,AH18)&amp;"–"&amp;INDEX(n.er,AE18,AH17)&amp;")")</f>
        <v/>
      </c>
      <c r="Z17" s="151"/>
      <c r="AC17" s="463" t="b">
        <f>INDEX(n.er,AE18,AD17)</f>
        <v>1</v>
      </c>
      <c r="AD17" s="327">
        <v>27</v>
      </c>
      <c r="AE17" s="242">
        <v>48</v>
      </c>
      <c r="AF17" s="327">
        <v>8</v>
      </c>
      <c r="AG17" s="327">
        <v>9</v>
      </c>
      <c r="AH17" s="327">
        <v>17</v>
      </c>
      <c r="AI17" s="327">
        <v>19</v>
      </c>
      <c r="AJ17" s="411" t="str">
        <f>INDEX(n.er,AE18,AI17)</f>
        <v/>
      </c>
      <c r="AK17" s="412">
        <v>10</v>
      </c>
      <c r="AN17" s="151"/>
      <c r="AO17" s="145"/>
      <c r="AP17" s="146"/>
      <c r="AQ17" s="439"/>
      <c r="AR17" s="151"/>
      <c r="BF17" s="151"/>
      <c r="BG17" s="147"/>
      <c r="BH17" s="147"/>
      <c r="BI17" s="156"/>
      <c r="BJ17" s="151"/>
      <c r="BY17" s="427" t="str">
        <f t="shared" si="1"/>
        <v>A/B/C/D csoport 3. hely</v>
      </c>
      <c r="BZ17" s="428">
        <f t="shared" si="0"/>
        <v>0</v>
      </c>
    </row>
    <row r="18" spans="2:78" ht="18" customHeight="1" x14ac:dyDescent="0.25">
      <c r="B18" s="144"/>
      <c r="C18" s="434"/>
      <c r="D18" s="148"/>
      <c r="E18" s="149" t="str">
        <f>INDEX(n.er,M19,N18)</f>
        <v>D csoport 1. hely</v>
      </c>
      <c r="F18" s="150" t="str">
        <f>INDEX(n.er,M19,O18)</f>
        <v/>
      </c>
      <c r="G18" s="766" t="str">
        <f>IF(NOT(R19),"","("&amp;INDEX(n.er,M19,P19)&amp;"–"&amp;INDEX(n.er,M19,P18)&amp;")")</f>
        <v/>
      </c>
      <c r="H18" s="151"/>
      <c r="K18" s="330" t="str">
        <f>VLOOKUP(M18,schedule,L18,FALSE)</f>
        <v>D1.</v>
      </c>
      <c r="L18" s="327">
        <v>6</v>
      </c>
      <c r="M18" s="242">
        <v>44</v>
      </c>
      <c r="N18" s="327">
        <v>8</v>
      </c>
      <c r="O18" s="327">
        <v>9</v>
      </c>
      <c r="P18" s="327">
        <v>17</v>
      </c>
      <c r="Q18" s="327">
        <v>19</v>
      </c>
      <c r="R18" s="411" t="str">
        <f>INDEX(n.er,M19,Q18)</f>
        <v/>
      </c>
      <c r="S18" s="412">
        <v>10</v>
      </c>
      <c r="V18" s="151"/>
      <c r="W18" s="158" t="str">
        <f>IF(AC18,"",INDEX(n.er,AE18,AF18))</f>
        <v/>
      </c>
      <c r="X18" s="159" t="str">
        <f>IF(AC18,"",INDEX(n.er,AE18,AG18))</f>
        <v/>
      </c>
      <c r="Y18" s="766"/>
      <c r="Z18" s="151"/>
      <c r="AC18" s="464" t="b">
        <f>INDEX(n.er,AE18,AD18)</f>
        <v>1</v>
      </c>
      <c r="AD18" s="414">
        <v>28</v>
      </c>
      <c r="AE18" s="414">
        <f>MATCH(AE17,n.er.index,0)</f>
        <v>124</v>
      </c>
      <c r="AF18" s="414">
        <v>11</v>
      </c>
      <c r="AG18" s="414">
        <v>10</v>
      </c>
      <c r="AH18" s="414">
        <v>18</v>
      </c>
      <c r="AI18" s="414">
        <v>15</v>
      </c>
      <c r="AJ18" s="415" t="b">
        <f>INDEX(n.er,AE18,AI18)</f>
        <v>0</v>
      </c>
      <c r="AK18" s="416"/>
      <c r="AN18" s="151"/>
      <c r="AO18" s="145"/>
      <c r="AP18" s="146"/>
      <c r="AQ18" s="439"/>
      <c r="AR18" s="151"/>
      <c r="BF18" s="151"/>
      <c r="BG18" s="147"/>
      <c r="BH18" s="147"/>
      <c r="BI18" s="156"/>
      <c r="BJ18" s="151"/>
      <c r="BY18" s="427" t="str">
        <f t="shared" si="1"/>
        <v>D csoport 1. hely</v>
      </c>
      <c r="BZ18" s="428">
        <f t="shared" si="0"/>
        <v>0</v>
      </c>
    </row>
    <row r="19" spans="2:78" ht="18" customHeight="1" x14ac:dyDescent="0.25">
      <c r="B19" s="144"/>
      <c r="C19" s="435"/>
      <c r="D19" s="157"/>
      <c r="E19" s="158" t="str">
        <f>INDEX(n.er,M19,N19)</f>
        <v>F csoport 2. hely</v>
      </c>
      <c r="F19" s="159" t="str">
        <f>INDEX(n.er,M19,O19)</f>
        <v/>
      </c>
      <c r="G19" s="766"/>
      <c r="H19" s="151"/>
      <c r="K19" s="413" t="str">
        <f>VLOOKUP(M18,schedule,L19,FALSE)</f>
        <v>F2.</v>
      </c>
      <c r="L19" s="414">
        <v>7</v>
      </c>
      <c r="M19" s="414">
        <f>MATCH(M18,n.er.index,0)</f>
        <v>109</v>
      </c>
      <c r="N19" s="414">
        <v>11</v>
      </c>
      <c r="O19" s="414">
        <v>10</v>
      </c>
      <c r="P19" s="414">
        <v>18</v>
      </c>
      <c r="Q19" s="414">
        <v>15</v>
      </c>
      <c r="R19" s="415" t="b">
        <f>INDEX(n.er,M19,Q19)</f>
        <v>0</v>
      </c>
      <c r="S19" s="416"/>
      <c r="V19" s="151"/>
      <c r="W19" s="142"/>
      <c r="X19" s="142"/>
      <c r="Y19" s="438"/>
      <c r="Z19" s="151"/>
      <c r="AN19" s="151"/>
      <c r="AO19" s="149" t="str">
        <f>IF(AU19,"",INDEX(n.er,AW20,AX19))</f>
        <v/>
      </c>
      <c r="AP19" s="150" t="str">
        <f>IF(AU19,"",INDEX(n.er,AW20,AY19))</f>
        <v/>
      </c>
      <c r="AQ19" s="766" t="str">
        <f>IF(NOT(BB20),"","("&amp;INDEX(n.er,AW20,AZ20)&amp;"–"&amp;INDEX(n.er,AW20,AZ19)&amp;")")</f>
        <v/>
      </c>
      <c r="AR19" s="151"/>
      <c r="AU19" s="463" t="b">
        <f>INDEX(n.er,AW20,AV19)</f>
        <v>1</v>
      </c>
      <c r="AV19" s="327">
        <v>27</v>
      </c>
      <c r="AW19" s="242">
        <v>50</v>
      </c>
      <c r="AX19" s="327">
        <v>8</v>
      </c>
      <c r="AY19" s="327">
        <v>9</v>
      </c>
      <c r="AZ19" s="327">
        <v>17</v>
      </c>
      <c r="BA19" s="327">
        <v>19</v>
      </c>
      <c r="BB19" s="411" t="str">
        <f>INDEX(n.er,AW20,BA19)</f>
        <v/>
      </c>
      <c r="BC19" s="412">
        <v>20</v>
      </c>
      <c r="BF19" s="151"/>
      <c r="BG19" s="147"/>
      <c r="BH19" s="147"/>
      <c r="BI19" s="156"/>
      <c r="BJ19" s="151"/>
      <c r="BY19" s="427" t="str">
        <f t="shared" si="1"/>
        <v>F csoport 2. hely</v>
      </c>
      <c r="BZ19" s="428">
        <f t="shared" si="0"/>
        <v>0</v>
      </c>
    </row>
    <row r="20" spans="2:78" ht="18" customHeight="1" thickBot="1" x14ac:dyDescent="0.3">
      <c r="B20" s="144"/>
      <c r="C20" s="591"/>
      <c r="D20" s="148"/>
      <c r="E20" s="149" t="str">
        <f>INDEX(n.er,M21,N20)</f>
        <v>C csoport 1. hely</v>
      </c>
      <c r="F20" s="150" t="str">
        <f>INDEX(n.er,M21,O20)</f>
        <v/>
      </c>
      <c r="G20" s="766" t="str">
        <f>IF(NOT(R21),"","("&amp;INDEX(n.er,M21,P21)&amp;"–"&amp;INDEX(n.er,M21,P20)&amp;")")</f>
        <v/>
      </c>
      <c r="H20" s="151"/>
      <c r="K20" s="330" t="str">
        <f>VLOOKUP(M20,schedule,L20,FALSE)</f>
        <v>C1.</v>
      </c>
      <c r="L20" s="327">
        <v>6</v>
      </c>
      <c r="M20" s="242">
        <v>40</v>
      </c>
      <c r="N20" s="327">
        <v>8</v>
      </c>
      <c r="O20" s="327">
        <v>9</v>
      </c>
      <c r="P20" s="327">
        <v>17</v>
      </c>
      <c r="Q20" s="327">
        <v>19</v>
      </c>
      <c r="R20" s="411" t="str">
        <f>INDEX(n.er,M21,Q20)</f>
        <v/>
      </c>
      <c r="S20" s="412">
        <v>10</v>
      </c>
      <c r="V20" s="151"/>
      <c r="W20" s="142"/>
      <c r="X20" s="142"/>
      <c r="Y20" s="438"/>
      <c r="Z20" s="151"/>
      <c r="AN20" s="151"/>
      <c r="AO20" s="158" t="str">
        <f>IF(AU20,"",INDEX(n.er,AW20,AX20))</f>
        <v/>
      </c>
      <c r="AP20" s="159" t="str">
        <f>IF(AU20,"",INDEX(n.er,AW20,AY20))</f>
        <v/>
      </c>
      <c r="AQ20" s="766"/>
      <c r="AR20" s="151"/>
      <c r="AU20" s="464" t="b">
        <f>INDEX(n.er,AW20,AV20)</f>
        <v>1</v>
      </c>
      <c r="AV20" s="414">
        <v>28</v>
      </c>
      <c r="AW20" s="414">
        <f>MATCH(AW19,n.er.index,0)</f>
        <v>137</v>
      </c>
      <c r="AX20" s="414">
        <v>11</v>
      </c>
      <c r="AY20" s="414">
        <v>10</v>
      </c>
      <c r="AZ20" s="414">
        <v>18</v>
      </c>
      <c r="BA20" s="414">
        <v>15</v>
      </c>
      <c r="BB20" s="415" t="b">
        <f>INDEX(n.er,AW20,BA20)</f>
        <v>0</v>
      </c>
      <c r="BC20" s="416"/>
      <c r="BF20" s="151"/>
      <c r="BG20" s="147"/>
      <c r="BH20" s="147"/>
      <c r="BI20" s="156"/>
      <c r="BJ20" s="151"/>
      <c r="BY20" s="427" t="str">
        <f t="shared" si="1"/>
        <v>C csoport 1. hely</v>
      </c>
      <c r="BZ20" s="428">
        <f t="shared" si="0"/>
        <v>0</v>
      </c>
    </row>
    <row r="21" spans="2:78" ht="18" customHeight="1" thickTop="1" x14ac:dyDescent="0.25">
      <c r="B21" s="144"/>
      <c r="C21" s="698" t="str">
        <f>"  "&amp;K21</f>
        <v xml:space="preserve">  D/E/F3.</v>
      </c>
      <c r="D21" s="157"/>
      <c r="E21" s="158" t="str">
        <f>INDEX(n.er,M21,N21)</f>
        <v>D/E/F csoport 3. hely</v>
      </c>
      <c r="F21" s="159" t="str">
        <f>INDEX(n.er,M21,O21)</f>
        <v/>
      </c>
      <c r="G21" s="766"/>
      <c r="H21" s="151"/>
      <c r="K21" s="413" t="str">
        <f>VLOOKUP(M20,schedule,L21,FALSE)</f>
        <v>D/E/F3.</v>
      </c>
      <c r="L21" s="414">
        <v>7</v>
      </c>
      <c r="M21" s="414">
        <f>MATCH(M20,n.er.index,0)</f>
        <v>97</v>
      </c>
      <c r="N21" s="414">
        <v>11</v>
      </c>
      <c r="O21" s="414">
        <v>10</v>
      </c>
      <c r="P21" s="414">
        <v>18</v>
      </c>
      <c r="Q21" s="414">
        <v>15</v>
      </c>
      <c r="R21" s="415" t="b">
        <f>INDEX(n.er,M21,Q21)</f>
        <v>0</v>
      </c>
      <c r="S21" s="416"/>
      <c r="V21" s="151"/>
      <c r="W21" s="149" t="str">
        <f>IF(AC21,"",INDEX(n.er,AE22,AF21))</f>
        <v/>
      </c>
      <c r="X21" s="150" t="str">
        <f>IF(AC21,"",INDEX(n.er,AE22,AG21))</f>
        <v/>
      </c>
      <c r="Y21" s="766" t="str">
        <f>IF(NOT(AJ22),"","("&amp;INDEX(n.er,AE22,AH22)&amp;"–"&amp;INDEX(n.er,AE22,AH21)&amp;")")</f>
        <v/>
      </c>
      <c r="Z21" s="151"/>
      <c r="AC21" s="463" t="b">
        <f>INDEX(n.er,AE22,AD21)</f>
        <v>1</v>
      </c>
      <c r="AD21" s="327">
        <v>27</v>
      </c>
      <c r="AE21" s="242">
        <v>47</v>
      </c>
      <c r="AF21" s="327">
        <v>8</v>
      </c>
      <c r="AG21" s="327">
        <v>9</v>
      </c>
      <c r="AH21" s="327">
        <v>17</v>
      </c>
      <c r="AI21" s="327">
        <v>19</v>
      </c>
      <c r="AJ21" s="411" t="str">
        <f>INDEX(n.er,AE22,AI21)</f>
        <v/>
      </c>
      <c r="AK21" s="412">
        <v>10</v>
      </c>
      <c r="AN21" s="151"/>
      <c r="AO21" s="145"/>
      <c r="AP21" s="146"/>
      <c r="AQ21" s="439"/>
      <c r="AR21" s="151"/>
      <c r="BF21" s="151"/>
      <c r="BG21" s="147"/>
      <c r="BH21" s="147"/>
      <c r="BI21" s="156"/>
      <c r="BJ21" s="151"/>
      <c r="BY21" s="427" t="str">
        <f t="shared" si="1"/>
        <v>D/E/F csoport 3. hely</v>
      </c>
      <c r="BZ21" s="428">
        <f t="shared" si="0"/>
        <v>0</v>
      </c>
    </row>
    <row r="22" spans="2:78" ht="18" customHeight="1" x14ac:dyDescent="0.25">
      <c r="B22" s="144"/>
      <c r="C22" s="434"/>
      <c r="D22" s="148"/>
      <c r="E22" s="149" t="str">
        <f>INDEX(n.er,M23,N22)</f>
        <v>A csoport 2. hely</v>
      </c>
      <c r="F22" s="150" t="str">
        <f>INDEX(n.er,M23,O22)</f>
        <v/>
      </c>
      <c r="G22" s="766" t="str">
        <f>IF(NOT(R23),"","("&amp;INDEX(n.er,M23,P23)&amp;"–"&amp;INDEX(n.er,M23,P22)&amp;")")</f>
        <v/>
      </c>
      <c r="H22" s="151"/>
      <c r="K22" s="330" t="str">
        <f>VLOOKUP(M22,schedule,L22,FALSE)</f>
        <v>A2.</v>
      </c>
      <c r="L22" s="327">
        <v>6</v>
      </c>
      <c r="M22" s="242">
        <v>38</v>
      </c>
      <c r="N22" s="327">
        <v>8</v>
      </c>
      <c r="O22" s="327">
        <v>9</v>
      </c>
      <c r="P22" s="327">
        <v>17</v>
      </c>
      <c r="Q22" s="327">
        <v>19</v>
      </c>
      <c r="R22" s="411" t="str">
        <f>INDEX(n.er,M23,Q22)</f>
        <v/>
      </c>
      <c r="S22" s="412">
        <v>10</v>
      </c>
      <c r="V22" s="151"/>
      <c r="W22" s="158" t="str">
        <f>IF(AC22,"",INDEX(n.er,AE22,AF22))</f>
        <v/>
      </c>
      <c r="X22" s="159" t="str">
        <f>IF(AC22,"",INDEX(n.er,AE22,AG22))</f>
        <v/>
      </c>
      <c r="Y22" s="766"/>
      <c r="Z22" s="151"/>
      <c r="AC22" s="464" t="b">
        <f>INDEX(n.er,AE22,AD22)</f>
        <v>1</v>
      </c>
      <c r="AD22" s="414">
        <v>28</v>
      </c>
      <c r="AE22" s="414">
        <f>MATCH(AE21,n.er.index,0)</f>
        <v>123</v>
      </c>
      <c r="AF22" s="414">
        <v>11</v>
      </c>
      <c r="AG22" s="414">
        <v>10</v>
      </c>
      <c r="AH22" s="414">
        <v>18</v>
      </c>
      <c r="AI22" s="414">
        <v>15</v>
      </c>
      <c r="AJ22" s="415" t="b">
        <f>INDEX(n.er,AE22,AI22)</f>
        <v>0</v>
      </c>
      <c r="AK22" s="416"/>
      <c r="AN22" s="151"/>
      <c r="AO22" s="145"/>
      <c r="AP22" s="146"/>
      <c r="AQ22" s="439"/>
      <c r="AR22" s="151"/>
      <c r="BF22" s="151"/>
      <c r="BG22" s="147"/>
      <c r="BH22" s="147"/>
      <c r="BI22" s="156"/>
      <c r="BJ22" s="151"/>
      <c r="BY22" s="427" t="str">
        <f t="shared" si="1"/>
        <v>A csoport 2. hely</v>
      </c>
      <c r="BZ22" s="428">
        <f t="shared" si="0"/>
        <v>0</v>
      </c>
    </row>
    <row r="23" spans="2:78" ht="18" customHeight="1" x14ac:dyDescent="0.25">
      <c r="B23" s="144"/>
      <c r="C23" s="435"/>
      <c r="D23" s="157"/>
      <c r="E23" s="158" t="str">
        <f>INDEX(n.er,M23,N23)</f>
        <v>B csoport 2. hely</v>
      </c>
      <c r="F23" s="159" t="str">
        <f>INDEX(n.er,M23,O23)</f>
        <v/>
      </c>
      <c r="G23" s="766"/>
      <c r="H23" s="151"/>
      <c r="K23" s="413" t="str">
        <f>VLOOKUP(M22,schedule,L23,FALSE)</f>
        <v>B2.</v>
      </c>
      <c r="L23" s="414">
        <v>7</v>
      </c>
      <c r="M23" s="414">
        <f>MATCH(M22,n.er.index,0)</f>
        <v>91</v>
      </c>
      <c r="N23" s="414">
        <v>11</v>
      </c>
      <c r="O23" s="414">
        <v>10</v>
      </c>
      <c r="P23" s="414">
        <v>18</v>
      </c>
      <c r="Q23" s="414">
        <v>15</v>
      </c>
      <c r="R23" s="415" t="b">
        <f>INDEX(n.er,M23,Q23)</f>
        <v>0</v>
      </c>
      <c r="S23" s="416"/>
      <c r="V23" s="151"/>
      <c r="W23" s="142"/>
      <c r="X23" s="142"/>
      <c r="Z23" s="151"/>
      <c r="AN23" s="151"/>
      <c r="AO23" s="145"/>
      <c r="AP23" s="146"/>
      <c r="AQ23" s="155"/>
      <c r="AR23" s="151"/>
      <c r="BF23" s="151"/>
      <c r="BG23" s="147"/>
      <c r="BH23" s="147"/>
      <c r="BI23" s="156"/>
      <c r="BJ23" s="151"/>
      <c r="BY23" s="427" t="str">
        <f t="shared" si="1"/>
        <v>B csoport 2. hely</v>
      </c>
      <c r="BZ23" s="428">
        <f t="shared" si="0"/>
        <v>0</v>
      </c>
    </row>
    <row r="24" spans="2:78" ht="15.75" customHeight="1" x14ac:dyDescent="0.25">
      <c r="C24" s="436"/>
      <c r="D24" s="157"/>
      <c r="E24" s="160"/>
      <c r="F24" s="143"/>
      <c r="G24" s="143"/>
      <c r="H24" s="151"/>
      <c r="V24" s="151"/>
      <c r="W24" s="142"/>
      <c r="X24" s="142"/>
      <c r="Y24" s="144"/>
      <c r="Z24" s="151"/>
      <c r="AN24" s="151"/>
      <c r="AO24" s="145"/>
      <c r="AP24" s="146"/>
      <c r="AQ24" s="146"/>
      <c r="AR24" s="151"/>
      <c r="BF24" s="151"/>
      <c r="BG24" s="147"/>
      <c r="BH24" s="147"/>
      <c r="BI24" s="156"/>
      <c r="BJ24" s="151"/>
    </row>
    <row r="115" spans="1:1" x14ac:dyDescent="0.25">
      <c r="A115" s="2"/>
    </row>
    <row r="116" spans="1:1" x14ac:dyDescent="0.25">
      <c r="A116" s="2"/>
    </row>
    <row r="140" spans="1:1" x14ac:dyDescent="0.25">
      <c r="A140" s="765"/>
    </row>
    <row r="141" spans="1:1" x14ac:dyDescent="0.25">
      <c r="A141" s="765"/>
    </row>
    <row r="142" spans="1:1" x14ac:dyDescent="0.25">
      <c r="A142" s="765"/>
    </row>
    <row r="143" spans="1:1" x14ac:dyDescent="0.25">
      <c r="A143" s="765"/>
    </row>
    <row r="144" spans="1:1" x14ac:dyDescent="0.25">
      <c r="A144" s="765"/>
    </row>
    <row r="145" spans="1:1" x14ac:dyDescent="0.25">
      <c r="A145" s="765"/>
    </row>
    <row r="146" spans="1:1" x14ac:dyDescent="0.25">
      <c r="A146" s="765"/>
    </row>
    <row r="147" spans="1:1" x14ac:dyDescent="0.25">
      <c r="A147" s="765"/>
    </row>
    <row r="148" spans="1:1" x14ac:dyDescent="0.25">
      <c r="A148" s="765"/>
    </row>
    <row r="149" spans="1:1" x14ac:dyDescent="0.25">
      <c r="A149" s="765"/>
    </row>
    <row r="150" spans="1:1" x14ac:dyDescent="0.25">
      <c r="A150" s="765"/>
    </row>
    <row r="151" spans="1:1" x14ac:dyDescent="0.25">
      <c r="A151" s="765"/>
    </row>
    <row r="152" spans="1:1" x14ac:dyDescent="0.25">
      <c r="A152" s="765"/>
    </row>
    <row r="153" spans="1:1" x14ac:dyDescent="0.25">
      <c r="A153" s="765"/>
    </row>
    <row r="154" spans="1:1" x14ac:dyDescent="0.25">
      <c r="A154" s="765"/>
    </row>
    <row r="155" spans="1:1" x14ac:dyDescent="0.25">
      <c r="A155" s="765"/>
    </row>
    <row r="156" spans="1:1" x14ac:dyDescent="0.25">
      <c r="A156" s="765"/>
    </row>
    <row r="157" spans="1:1" x14ac:dyDescent="0.25">
      <c r="A157" s="765"/>
    </row>
    <row r="158" spans="1:1" x14ac:dyDescent="0.25">
      <c r="A158" s="765"/>
    </row>
    <row r="159" spans="1:1" x14ac:dyDescent="0.25">
      <c r="A159" s="765"/>
    </row>
    <row r="160" spans="1:1" x14ac:dyDescent="0.25">
      <c r="A160" s="765"/>
    </row>
    <row r="161" spans="1:1" x14ac:dyDescent="0.25">
      <c r="A161" s="765"/>
    </row>
    <row r="162" spans="1:1" x14ac:dyDescent="0.25">
      <c r="A162" s="765"/>
    </row>
  </sheetData>
  <sheetProtection sheet="1" objects="1" scenarios="1"/>
  <mergeCells count="16">
    <mergeCell ref="BI15:BI16"/>
    <mergeCell ref="G18:G19"/>
    <mergeCell ref="Y21:Y22"/>
    <mergeCell ref="AQ11:AQ12"/>
    <mergeCell ref="AQ19:AQ20"/>
    <mergeCell ref="G20:G21"/>
    <mergeCell ref="G22:G23"/>
    <mergeCell ref="A140:A162"/>
    <mergeCell ref="Y9:Y10"/>
    <mergeCell ref="Y13:Y14"/>
    <mergeCell ref="Y17:Y18"/>
    <mergeCell ref="G8:G9"/>
    <mergeCell ref="G10:G11"/>
    <mergeCell ref="G12:G13"/>
    <mergeCell ref="G14:G15"/>
    <mergeCell ref="G16:G17"/>
  </mergeCells>
  <phoneticPr fontId="2" type="noConversion"/>
  <conditionalFormatting sqref="E6 W6 AO6 BG6">
    <cfRule type="expression" dxfId="104" priority="1" stopIfTrue="1">
      <formula>$BE6</formula>
    </cfRule>
    <cfRule type="expression" dxfId="103" priority="2" stopIfTrue="1">
      <formula>$BF6</formula>
    </cfRule>
  </conditionalFormatting>
  <conditionalFormatting sqref="AO19 E8 E10 E12 E14 E16 E18 E20 E22 W9 AO11 W17 W13 W21 BG15">
    <cfRule type="cellIs" dxfId="102" priority="3" stopIfTrue="1" operator="equal">
      <formula>R8</formula>
    </cfRule>
  </conditionalFormatting>
  <conditionalFormatting sqref="AO20 E9 E11 E13 E15 E17 E19 E21 E23 W10 AO12 W18 W14 W22 BG16">
    <cfRule type="cellIs" dxfId="101" priority="4" stopIfTrue="1" operator="equal">
      <formula>R8</formula>
    </cfRule>
  </conditionalFormatting>
  <conditionalFormatting sqref="C9 C21">
    <cfRule type="cellIs" dxfId="100" priority="5" stopIfTrue="1" operator="equal">
      <formula>"  D3."</formula>
    </cfRule>
    <cfRule type="cellIs" dxfId="99" priority="6" stopIfTrue="1" operator="equal">
      <formula>"  E3."</formula>
    </cfRule>
    <cfRule type="cellIs" dxfId="98" priority="7" stopIfTrue="1" operator="equal">
      <formula>"  F3."</formula>
    </cfRule>
  </conditionalFormatting>
  <conditionalFormatting sqref="C17">
    <cfRule type="cellIs" dxfId="97" priority="8" stopIfTrue="1" operator="equal">
      <formula>"  D3."</formula>
    </cfRule>
    <cfRule type="cellIs" dxfId="96" priority="9" stopIfTrue="1" operator="equal">
      <formula>"  C3."</formula>
    </cfRule>
    <cfRule type="cellIs" dxfId="95" priority="10" stopIfTrue="1" operator="equal">
      <formula>"  B3."</formula>
    </cfRule>
  </conditionalFormatting>
  <conditionalFormatting sqref="C13">
    <cfRule type="cellIs" dxfId="94" priority="11" stopIfTrue="1" operator="equal">
      <formula>"  C3."</formula>
    </cfRule>
    <cfRule type="cellIs" dxfId="93" priority="12" stopIfTrue="1" operator="equal">
      <formula>"  B3."</formula>
    </cfRule>
  </conditionalFormatting>
  <pageMargins left="0.31496062992125984" right="0.31496062992125984" top="0.51181102362204722" bottom="0.51181102362204722" header="0.51181102362204722" footer="0.51181102362204722"/>
  <pageSetup paperSize="9" scale="80" orientation="landscape" horizontalDpi="300" verticalDpi="300" r:id="rId1"/>
  <headerFooter alignWithMargins="0"/>
  <ignoredErrors>
    <ignoredError sqref="E9:F23" formula="1"/>
  </ignoredErrors>
  <drawing r:id="rId2"/>
  <picture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6">
    <pageSetUpPr autoPageBreaks="0"/>
  </sheetPr>
  <dimension ref="A1:AK162"/>
  <sheetViews>
    <sheetView showGridLines="0" showRowColHeaders="0" zoomScaleNormal="100" workbookViewId="0">
      <pane ySplit="4" topLeftCell="A5" activePane="bottomLeft" state="frozen"/>
      <selection pane="bottomLeft"/>
    </sheetView>
  </sheetViews>
  <sheetFormatPr defaultRowHeight="15" x14ac:dyDescent="0.3"/>
  <cols>
    <col min="1" max="1" width="1.42578125" style="564" customWidth="1"/>
    <col min="2" max="2" width="4.28515625" style="37" customWidth="1"/>
    <col min="3" max="3" width="28.5703125" style="97" customWidth="1"/>
    <col min="4" max="5" width="6.42578125" style="98" customWidth="1"/>
    <col min="6" max="8" width="4.28515625" style="102" customWidth="1"/>
    <col min="9" max="9" width="8.5703125" style="99" customWidth="1"/>
    <col min="10" max="10" width="5.7109375" style="100" customWidth="1"/>
    <col min="11" max="11" width="7.140625" style="101" customWidth="1"/>
    <col min="12" max="12" width="2.42578125" style="37" customWidth="1"/>
    <col min="13" max="13" width="2.140625" style="37" customWidth="1"/>
    <col min="14" max="14" width="89.7109375" style="37" customWidth="1"/>
    <col min="15" max="15" width="4.42578125" style="37" customWidth="1"/>
    <col min="16" max="16" width="2.7109375" style="287" hidden="1" customWidth="1"/>
    <col min="17" max="18" width="5.7109375" style="392" hidden="1" customWidth="1"/>
    <col min="19" max="19" width="2.140625" style="392" hidden="1" customWidth="1"/>
    <col min="20" max="20" width="5.7109375" style="392" hidden="1" customWidth="1"/>
    <col min="21" max="21" width="10.85546875" style="400" hidden="1" customWidth="1"/>
    <col min="22" max="22" width="5.7109375" style="392" hidden="1" customWidth="1"/>
    <col min="23" max="23" width="10.85546875" style="400" hidden="1" customWidth="1"/>
    <col min="24" max="24" width="13.28515625" style="400" hidden="1" customWidth="1"/>
    <col min="25" max="32" width="3.140625" style="401" hidden="1" customWidth="1"/>
    <col min="33" max="33" width="5.140625" style="401" hidden="1" customWidth="1"/>
    <col min="34" max="34" width="6.85546875" style="401" hidden="1" customWidth="1"/>
    <col min="35" max="35" width="3.140625" style="401" hidden="1" customWidth="1"/>
    <col min="36" max="36" width="4.42578125" style="400" hidden="1" customWidth="1"/>
    <col min="37" max="37" width="2.7109375" style="287" hidden="1" customWidth="1"/>
    <col min="38" max="16384" width="9.140625" style="37"/>
  </cols>
  <sheetData>
    <row r="1" spans="1:37" s="561" customFormat="1" ht="9.75" customHeight="1" x14ac:dyDescent="0.2">
      <c r="F1" s="562"/>
      <c r="G1" s="562"/>
      <c r="H1" s="562"/>
    </row>
    <row r="2" spans="1:37" s="561" customFormat="1" ht="9.75" customHeight="1" x14ac:dyDescent="0.2">
      <c r="F2" s="562"/>
      <c r="G2" s="562"/>
      <c r="H2" s="562"/>
    </row>
    <row r="3" spans="1:37" s="561" customFormat="1" ht="9" customHeight="1" thickBot="1" x14ac:dyDescent="0.25">
      <c r="A3" s="563"/>
      <c r="B3" s="563"/>
      <c r="C3" s="563"/>
      <c r="D3" s="563"/>
      <c r="E3" s="563"/>
      <c r="F3" s="612"/>
      <c r="G3" s="562"/>
      <c r="H3" s="562"/>
    </row>
    <row r="4" spans="1:37" s="565" customFormat="1" ht="12" customHeight="1" thickTop="1" x14ac:dyDescent="0.2">
      <c r="B4" s="567" t="s">
        <v>959</v>
      </c>
      <c r="F4" s="566"/>
      <c r="G4" s="566"/>
      <c r="H4" s="566"/>
    </row>
    <row r="5" spans="1:37" ht="6" customHeight="1" x14ac:dyDescent="0.3">
      <c r="B5" s="82"/>
      <c r="C5" s="83"/>
      <c r="D5" s="83"/>
      <c r="E5" s="83"/>
      <c r="F5" s="187"/>
      <c r="G5" s="187"/>
      <c r="H5" s="187"/>
      <c r="I5" s="84"/>
      <c r="J5" s="85"/>
      <c r="K5" s="86"/>
      <c r="L5" s="87"/>
      <c r="Q5" s="391"/>
      <c r="R5" s="391"/>
      <c r="S5" s="391"/>
      <c r="T5" s="391"/>
      <c r="U5" s="392"/>
      <c r="V5" s="391"/>
      <c r="W5" s="392"/>
      <c r="X5" s="323"/>
      <c r="Y5" s="392"/>
      <c r="Z5" s="392"/>
      <c r="AA5" s="392"/>
      <c r="AB5" s="392"/>
      <c r="AC5" s="392"/>
      <c r="AD5" s="392"/>
      <c r="AE5" s="393"/>
      <c r="AF5" s="392"/>
      <c r="AG5" s="392"/>
      <c r="AH5" s="392"/>
      <c r="AI5" s="392"/>
      <c r="AJ5" s="392"/>
    </row>
    <row r="6" spans="1:37" s="93" customFormat="1" ht="11.25" customHeight="1" x14ac:dyDescent="0.3">
      <c r="A6" s="564"/>
      <c r="B6" s="90"/>
      <c r="C6" s="480" t="s">
        <v>1242</v>
      </c>
      <c r="D6" s="437" t="s">
        <v>1243</v>
      </c>
      <c r="E6" s="437" t="s">
        <v>1244</v>
      </c>
      <c r="F6" s="437" t="s">
        <v>662</v>
      </c>
      <c r="G6" s="437" t="s">
        <v>652</v>
      </c>
      <c r="H6" s="437" t="s">
        <v>661</v>
      </c>
      <c r="I6" s="437" t="s">
        <v>1245</v>
      </c>
      <c r="J6" s="481" t="s">
        <v>666</v>
      </c>
      <c r="K6" s="481" t="s">
        <v>1246</v>
      </c>
      <c r="L6" s="92"/>
      <c r="M6" s="482"/>
      <c r="N6" s="200" t="s">
        <v>1247</v>
      </c>
      <c r="P6" s="287"/>
      <c r="Q6" s="391"/>
      <c r="R6" s="391"/>
      <c r="S6" s="391"/>
      <c r="T6" s="391"/>
      <c r="U6" s="392"/>
      <c r="V6" s="391"/>
      <c r="W6" s="242" t="s">
        <v>660</v>
      </c>
      <c r="X6" s="403"/>
      <c r="Y6" s="242" t="s">
        <v>655</v>
      </c>
      <c r="Z6" s="242" t="s">
        <v>653</v>
      </c>
      <c r="AA6" s="242" t="s">
        <v>648</v>
      </c>
      <c r="AB6" s="242" t="s">
        <v>654</v>
      </c>
      <c r="AC6" s="242" t="s">
        <v>656</v>
      </c>
      <c r="AD6" s="242" t="s">
        <v>645</v>
      </c>
      <c r="AE6" s="242" t="s">
        <v>657</v>
      </c>
      <c r="AF6" s="242" t="s">
        <v>658</v>
      </c>
      <c r="AG6" s="242" t="s">
        <v>1240</v>
      </c>
      <c r="AH6" s="242" t="s">
        <v>659</v>
      </c>
      <c r="AI6" s="242" t="s">
        <v>1241</v>
      </c>
      <c r="AJ6" s="392"/>
      <c r="AK6" s="287"/>
    </row>
    <row r="7" spans="1:37" ht="12.75" customHeight="1" x14ac:dyDescent="0.3">
      <c r="B7" s="31"/>
      <c r="C7" s="576" t="str">
        <f t="shared" ref="C7:C30" si="0">IF(NOT($R7),"",CONCATENATE("  ",T7,". ",UPPER(VLOOKUP($U7,overall,2,FALSE))))</f>
        <v/>
      </c>
      <c r="D7" s="306" t="str">
        <f t="shared" ref="D7:D30" si="1">IF(NOT($R7),"",VLOOKUP($U7,overall,13,FALSE))</f>
        <v/>
      </c>
      <c r="E7" s="577" t="str">
        <f t="shared" ref="E7:E30" si="2">IF(NOT($R7),"",VLOOKUP($U7,overall,3,FALSE))</f>
        <v/>
      </c>
      <c r="F7" s="577" t="str">
        <f t="shared" ref="F7:F30" si="3">IF(NOT($R7),"",IF(VLOOKUP($U7,overall,4,FALSE)=0,"–",VLOOKUP($U7,overall,4,FALSE)))</f>
        <v/>
      </c>
      <c r="G7" s="577" t="str">
        <f t="shared" ref="G7:G30" si="4">IF(NOT($R7),"",IF(VLOOKUP($U7,overall,5,FALSE)=0,"–",VLOOKUP($U7,overall,5,FALSE)))</f>
        <v/>
      </c>
      <c r="H7" s="577" t="str">
        <f t="shared" ref="H7:H30" si="5">IF(NOT($R7),"",IF(VLOOKUP($U7,overall,6,FALSE)=0,"–",VLOOKUP($U7,overall,6,FALSE)))</f>
        <v/>
      </c>
      <c r="I7" s="577" t="str">
        <f t="shared" ref="I7:I30" si="6">IF(NOT($R7),"",CONCATENATE(VLOOKUP($U7,overall,7,FALSE),"–",VLOOKUP($U7,overall,8,FALSE)))</f>
        <v/>
      </c>
      <c r="J7" s="578" t="str">
        <f t="shared" ref="J7:J30" si="7">IF(NOT($R7),"",IF(VLOOKUP($U7,overall,9,FALSE)&gt;0,CONCATENATE("+",VLOOKUP($U7,overall,9,FALSE)," "),IF(VLOOKUP($U7,overall,9,FALSE)&lt;0,CONCATENATE("–",VLOOKUP($U7,overall,9,FALSE)*-1," "),0)))</f>
        <v/>
      </c>
      <c r="K7" s="579" t="str">
        <f t="shared" ref="K7:K30" si="8">IF(NOT($R7),"",VLOOKUP($U7,overall,10,FALSE))</f>
        <v/>
      </c>
      <c r="L7" s="94"/>
      <c r="N7" s="216"/>
      <c r="O7" s="95"/>
      <c r="R7" s="402" t="b">
        <f>VLOOKUP(V7,ekiha,2,FALSE)</f>
        <v>0</v>
      </c>
      <c r="S7" s="395"/>
      <c r="T7" s="337">
        <v>1</v>
      </c>
      <c r="U7" s="396">
        <f>LARGE($W$7:$W$38,V7)</f>
        <v>0.24</v>
      </c>
      <c r="V7" s="337">
        <v>1</v>
      </c>
      <c r="W7" s="396">
        <f t="shared" ref="W7:W30" si="9">(AF7+AG7)*1000000+AE7*1000+AC7+AH7</f>
        <v>0.01</v>
      </c>
      <c r="X7" s="331" t="str">
        <f>Tabellák!AE7</f>
        <v>Törökország</v>
      </c>
      <c r="Y7" s="327">
        <f>SUM(Z7:AB7)</f>
        <v>0</v>
      </c>
      <c r="Z7" s="327">
        <f t="shared" ref="Z7:Z30" si="10">COUNTIF(win.o,$X7)</f>
        <v>0</v>
      </c>
      <c r="AA7" s="327">
        <f t="shared" ref="AA7:AA30" si="11">COUNTIF(draw.o,$X7)</f>
        <v>0</v>
      </c>
      <c r="AB7" s="327">
        <f t="shared" ref="AB7:AB30" si="12">COUNTIF(loss.o,$X7)</f>
        <v>0</v>
      </c>
      <c r="AC7" s="327">
        <f t="shared" ref="AC7:AC30" si="13">SUMIF(home.o,$X7,hf.o)+SUMIF(away.o,$X7,af.o)</f>
        <v>0</v>
      </c>
      <c r="AD7" s="327">
        <f t="shared" ref="AD7:AD30" si="14">SUMIF(home.o,$X7,ha.o)+SUMIF(away.o,$X7,aa.o)</f>
        <v>0</v>
      </c>
      <c r="AE7" s="327">
        <f>AC7-AD7</f>
        <v>0</v>
      </c>
      <c r="AF7" s="327">
        <f>Z7*3+AA7</f>
        <v>0</v>
      </c>
      <c r="AG7" s="337">
        <f>SUMIF(Tabellák!$AV$7:$AV$52,X7,Tabellák!$AW$7:$AW$52)</f>
        <v>0</v>
      </c>
      <c r="AH7" s="397">
        <f>V7/100</f>
        <v>0.01</v>
      </c>
      <c r="AI7" s="327" t="s">
        <v>649</v>
      </c>
      <c r="AJ7" s="392"/>
    </row>
    <row r="8" spans="1:37" ht="12.75" customHeight="1" x14ac:dyDescent="0.3">
      <c r="B8" s="31"/>
      <c r="C8" s="592" t="str">
        <f t="shared" si="0"/>
        <v/>
      </c>
      <c r="D8" s="593" t="str">
        <f t="shared" si="1"/>
        <v/>
      </c>
      <c r="E8" s="594" t="str">
        <f t="shared" si="2"/>
        <v/>
      </c>
      <c r="F8" s="594" t="str">
        <f t="shared" si="3"/>
        <v/>
      </c>
      <c r="G8" s="594" t="str">
        <f t="shared" si="4"/>
        <v/>
      </c>
      <c r="H8" s="594" t="str">
        <f t="shared" si="5"/>
        <v/>
      </c>
      <c r="I8" s="594" t="str">
        <f t="shared" si="6"/>
        <v/>
      </c>
      <c r="J8" s="595" t="str">
        <f t="shared" si="7"/>
        <v/>
      </c>
      <c r="K8" s="596" t="str">
        <f t="shared" si="8"/>
        <v/>
      </c>
      <c r="L8" s="94"/>
      <c r="N8" s="217"/>
      <c r="O8" s="95"/>
      <c r="R8" s="394" t="b">
        <f>R7</f>
        <v>0</v>
      </c>
      <c r="S8" s="398"/>
      <c r="T8" s="337">
        <f>IF(ABS(U8-U7)&lt;0.5,T7,V8)</f>
        <v>1</v>
      </c>
      <c r="U8" s="396">
        <f t="shared" ref="U8:U30" si="15">LARGE($W$7:$W$38,V8)</f>
        <v>0.23</v>
      </c>
      <c r="V8" s="337">
        <f>+V7+1</f>
        <v>2</v>
      </c>
      <c r="W8" s="396">
        <f t="shared" si="9"/>
        <v>0.02</v>
      </c>
      <c r="X8" s="331" t="str">
        <f>Tabellák!AE8</f>
        <v>Olaszország</v>
      </c>
      <c r="Y8" s="327">
        <f t="shared" ref="Y8:Y30" si="16">SUM(Z8:AB8)</f>
        <v>0</v>
      </c>
      <c r="Z8" s="327">
        <f t="shared" si="10"/>
        <v>0</v>
      </c>
      <c r="AA8" s="327">
        <f t="shared" si="11"/>
        <v>0</v>
      </c>
      <c r="AB8" s="327">
        <f t="shared" si="12"/>
        <v>0</v>
      </c>
      <c r="AC8" s="327">
        <f t="shared" si="13"/>
        <v>0</v>
      </c>
      <c r="AD8" s="327">
        <f t="shared" si="14"/>
        <v>0</v>
      </c>
      <c r="AE8" s="327">
        <f t="shared" ref="AE8:AE30" si="17">AC8-AD8</f>
        <v>0</v>
      </c>
      <c r="AF8" s="327">
        <f t="shared" ref="AF8:AF30" si="18">Z8*3+AA8</f>
        <v>0</v>
      </c>
      <c r="AG8" s="337">
        <f>SUMIF(Tabellák!$AV$7:$AV$52,X8,Tabellák!$AW$7:$AW$52)</f>
        <v>0</v>
      </c>
      <c r="AH8" s="397">
        <f t="shared" ref="AH8:AH30" si="19">V8/100</f>
        <v>0.02</v>
      </c>
      <c r="AI8" s="327" t="s">
        <v>649</v>
      </c>
      <c r="AJ8" s="392"/>
    </row>
    <row r="9" spans="1:37" ht="12.75" customHeight="1" x14ac:dyDescent="0.3">
      <c r="B9" s="31"/>
      <c r="C9" s="585" t="str">
        <f t="shared" si="0"/>
        <v/>
      </c>
      <c r="D9" s="586" t="str">
        <f t="shared" si="1"/>
        <v/>
      </c>
      <c r="E9" s="587" t="str">
        <f t="shared" si="2"/>
        <v/>
      </c>
      <c r="F9" s="587" t="str">
        <f t="shared" si="3"/>
        <v/>
      </c>
      <c r="G9" s="587" t="str">
        <f t="shared" si="4"/>
        <v/>
      </c>
      <c r="H9" s="587" t="str">
        <f t="shared" si="5"/>
        <v/>
      </c>
      <c r="I9" s="587" t="str">
        <f t="shared" si="6"/>
        <v/>
      </c>
      <c r="J9" s="588" t="str">
        <f t="shared" si="7"/>
        <v/>
      </c>
      <c r="K9" s="589" t="str">
        <f t="shared" si="8"/>
        <v/>
      </c>
      <c r="L9" s="94"/>
      <c r="N9" s="217"/>
      <c r="O9" s="96"/>
      <c r="R9" s="402" t="b">
        <f>VLOOKUP(V9,ekiha,2,FALSE)</f>
        <v>0</v>
      </c>
      <c r="S9" s="398"/>
      <c r="T9" s="337">
        <f t="shared" ref="T9:T30" si="20">IF(ABS(U9-U8)&lt;0.5,T8,V9)</f>
        <v>1</v>
      </c>
      <c r="U9" s="396">
        <f t="shared" si="15"/>
        <v>0.22</v>
      </c>
      <c r="V9" s="337">
        <f t="shared" ref="V9:V30" si="21">+V8+1</f>
        <v>3</v>
      </c>
      <c r="W9" s="396">
        <f t="shared" si="9"/>
        <v>0.03</v>
      </c>
      <c r="X9" s="331" t="str">
        <f>Tabellák!AE9</f>
        <v>Wales</v>
      </c>
      <c r="Y9" s="327">
        <f t="shared" si="16"/>
        <v>0</v>
      </c>
      <c r="Z9" s="327">
        <f t="shared" si="10"/>
        <v>0</v>
      </c>
      <c r="AA9" s="327">
        <f t="shared" si="11"/>
        <v>0</v>
      </c>
      <c r="AB9" s="327">
        <f t="shared" si="12"/>
        <v>0</v>
      </c>
      <c r="AC9" s="327">
        <f t="shared" si="13"/>
        <v>0</v>
      </c>
      <c r="AD9" s="327">
        <f t="shared" si="14"/>
        <v>0</v>
      </c>
      <c r="AE9" s="327">
        <f t="shared" si="17"/>
        <v>0</v>
      </c>
      <c r="AF9" s="327">
        <f t="shared" si="18"/>
        <v>0</v>
      </c>
      <c r="AG9" s="337">
        <f>SUMIF(Tabellák!$AV$7:$AV$52,X9,Tabellák!$AW$7:$AW$52)</f>
        <v>0</v>
      </c>
      <c r="AH9" s="397">
        <f t="shared" si="19"/>
        <v>0.03</v>
      </c>
      <c r="AI9" s="327" t="s">
        <v>649</v>
      </c>
      <c r="AJ9" s="392"/>
    </row>
    <row r="10" spans="1:37" ht="12.75" customHeight="1" x14ac:dyDescent="0.3">
      <c r="B10" s="31"/>
      <c r="C10" s="580" t="str">
        <f t="shared" si="0"/>
        <v/>
      </c>
      <c r="D10" s="581" t="str">
        <f t="shared" si="1"/>
        <v/>
      </c>
      <c r="E10" s="582" t="str">
        <f t="shared" si="2"/>
        <v/>
      </c>
      <c r="F10" s="582" t="str">
        <f t="shared" si="3"/>
        <v/>
      </c>
      <c r="G10" s="582" t="str">
        <f t="shared" si="4"/>
        <v/>
      </c>
      <c r="H10" s="582" t="str">
        <f t="shared" si="5"/>
        <v/>
      </c>
      <c r="I10" s="582" t="str">
        <f t="shared" si="6"/>
        <v/>
      </c>
      <c r="J10" s="583" t="str">
        <f t="shared" si="7"/>
        <v/>
      </c>
      <c r="K10" s="584" t="str">
        <f t="shared" si="8"/>
        <v/>
      </c>
      <c r="L10" s="94"/>
      <c r="N10" s="217"/>
      <c r="O10" s="96"/>
      <c r="R10" s="394" t="b">
        <f>R9</f>
        <v>0</v>
      </c>
      <c r="S10" s="398"/>
      <c r="T10" s="337">
        <f t="shared" si="20"/>
        <v>1</v>
      </c>
      <c r="U10" s="396">
        <f t="shared" si="15"/>
        <v>0.21</v>
      </c>
      <c r="V10" s="337">
        <f t="shared" si="21"/>
        <v>4</v>
      </c>
      <c r="W10" s="396">
        <f t="shared" si="9"/>
        <v>0.04</v>
      </c>
      <c r="X10" s="331" t="str">
        <f>Tabellák!AE10</f>
        <v>Svájc</v>
      </c>
      <c r="Y10" s="327">
        <f t="shared" si="16"/>
        <v>0</v>
      </c>
      <c r="Z10" s="327">
        <f t="shared" si="10"/>
        <v>0</v>
      </c>
      <c r="AA10" s="327">
        <f t="shared" si="11"/>
        <v>0</v>
      </c>
      <c r="AB10" s="327">
        <f t="shared" si="12"/>
        <v>0</v>
      </c>
      <c r="AC10" s="327">
        <f t="shared" si="13"/>
        <v>0</v>
      </c>
      <c r="AD10" s="327">
        <f t="shared" si="14"/>
        <v>0</v>
      </c>
      <c r="AE10" s="327">
        <f t="shared" si="17"/>
        <v>0</v>
      </c>
      <c r="AF10" s="327">
        <f t="shared" si="18"/>
        <v>0</v>
      </c>
      <c r="AG10" s="337">
        <f>SUMIF(Tabellák!$AV$7:$AV$52,X10,Tabellák!$AW$7:$AW$52)</f>
        <v>0</v>
      </c>
      <c r="AH10" s="397">
        <f t="shared" si="19"/>
        <v>0.04</v>
      </c>
      <c r="AI10" s="327" t="s">
        <v>649</v>
      </c>
      <c r="AJ10" s="392"/>
    </row>
    <row r="11" spans="1:37" ht="12.75" customHeight="1" x14ac:dyDescent="0.3">
      <c r="B11" s="31"/>
      <c r="C11" s="597" t="str">
        <f t="shared" si="0"/>
        <v/>
      </c>
      <c r="D11" s="598" t="str">
        <f t="shared" si="1"/>
        <v/>
      </c>
      <c r="E11" s="599" t="str">
        <f t="shared" si="2"/>
        <v/>
      </c>
      <c r="F11" s="599" t="str">
        <f t="shared" si="3"/>
        <v/>
      </c>
      <c r="G11" s="599" t="str">
        <f t="shared" si="4"/>
        <v/>
      </c>
      <c r="H11" s="599" t="str">
        <f t="shared" si="5"/>
        <v/>
      </c>
      <c r="I11" s="599" t="str">
        <f t="shared" si="6"/>
        <v/>
      </c>
      <c r="J11" s="600" t="str">
        <f t="shared" si="7"/>
        <v/>
      </c>
      <c r="K11" s="601" t="str">
        <f t="shared" si="8"/>
        <v/>
      </c>
      <c r="L11" s="94"/>
      <c r="N11" s="217"/>
      <c r="R11" s="402" t="b">
        <f>VLOOKUP(V11,ekiha,2,FALSE)</f>
        <v>0</v>
      </c>
      <c r="S11" s="398"/>
      <c r="T11" s="337">
        <f t="shared" si="20"/>
        <v>1</v>
      </c>
      <c r="U11" s="396">
        <f t="shared" si="15"/>
        <v>0.2</v>
      </c>
      <c r="V11" s="337">
        <f t="shared" si="21"/>
        <v>5</v>
      </c>
      <c r="W11" s="396">
        <f t="shared" si="9"/>
        <v>0.05</v>
      </c>
      <c r="X11" s="331" t="str">
        <f>Tabellák!AE13</f>
        <v>Dánia</v>
      </c>
      <c r="Y11" s="327">
        <f t="shared" si="16"/>
        <v>0</v>
      </c>
      <c r="Z11" s="327">
        <f t="shared" si="10"/>
        <v>0</v>
      </c>
      <c r="AA11" s="327">
        <f t="shared" si="11"/>
        <v>0</v>
      </c>
      <c r="AB11" s="327">
        <f t="shared" si="12"/>
        <v>0</v>
      </c>
      <c r="AC11" s="327">
        <f t="shared" si="13"/>
        <v>0</v>
      </c>
      <c r="AD11" s="327">
        <f t="shared" si="14"/>
        <v>0</v>
      </c>
      <c r="AE11" s="327">
        <f t="shared" si="17"/>
        <v>0</v>
      </c>
      <c r="AF11" s="327">
        <f t="shared" si="18"/>
        <v>0</v>
      </c>
      <c r="AG11" s="337">
        <f>SUMIF(Tabellák!$AV$7:$AV$52,X11,Tabellák!$AW$7:$AW$52)</f>
        <v>0</v>
      </c>
      <c r="AH11" s="397">
        <f t="shared" si="19"/>
        <v>0.05</v>
      </c>
      <c r="AI11" s="327" t="s">
        <v>650</v>
      </c>
      <c r="AJ11" s="392"/>
    </row>
    <row r="12" spans="1:37" ht="12.75" customHeight="1" x14ac:dyDescent="0.3">
      <c r="B12" s="31"/>
      <c r="C12" s="607" t="str">
        <f t="shared" si="0"/>
        <v/>
      </c>
      <c r="D12" s="608" t="str">
        <f t="shared" si="1"/>
        <v/>
      </c>
      <c r="E12" s="609" t="str">
        <f t="shared" si="2"/>
        <v/>
      </c>
      <c r="F12" s="609" t="str">
        <f t="shared" si="3"/>
        <v/>
      </c>
      <c r="G12" s="609" t="str">
        <f t="shared" si="4"/>
        <v/>
      </c>
      <c r="H12" s="609" t="str">
        <f t="shared" si="5"/>
        <v/>
      </c>
      <c r="I12" s="609" t="str">
        <f t="shared" si="6"/>
        <v/>
      </c>
      <c r="J12" s="610" t="str">
        <f t="shared" si="7"/>
        <v/>
      </c>
      <c r="K12" s="611" t="str">
        <f t="shared" si="8"/>
        <v/>
      </c>
      <c r="L12" s="94"/>
      <c r="N12" s="217"/>
      <c r="R12" s="394" t="b">
        <f t="shared" ref="R12:R30" si="22">R11</f>
        <v>0</v>
      </c>
      <c r="S12" s="398"/>
      <c r="T12" s="337">
        <f t="shared" si="20"/>
        <v>1</v>
      </c>
      <c r="U12" s="396">
        <f t="shared" si="15"/>
        <v>0.19</v>
      </c>
      <c r="V12" s="337">
        <f t="shared" si="21"/>
        <v>6</v>
      </c>
      <c r="W12" s="396">
        <f t="shared" si="9"/>
        <v>0.06</v>
      </c>
      <c r="X12" s="331" t="str">
        <f>Tabellák!AE14</f>
        <v>Finnország</v>
      </c>
      <c r="Y12" s="327">
        <f t="shared" si="16"/>
        <v>0</v>
      </c>
      <c r="Z12" s="327">
        <f t="shared" si="10"/>
        <v>0</v>
      </c>
      <c r="AA12" s="327">
        <f t="shared" si="11"/>
        <v>0</v>
      </c>
      <c r="AB12" s="327">
        <f t="shared" si="12"/>
        <v>0</v>
      </c>
      <c r="AC12" s="327">
        <f t="shared" si="13"/>
        <v>0</v>
      </c>
      <c r="AD12" s="327">
        <f t="shared" si="14"/>
        <v>0</v>
      </c>
      <c r="AE12" s="327">
        <f t="shared" si="17"/>
        <v>0</v>
      </c>
      <c r="AF12" s="327">
        <f t="shared" si="18"/>
        <v>0</v>
      </c>
      <c r="AG12" s="337">
        <f>SUMIF(Tabellák!$AV$7:$AV$52,X12,Tabellák!$AW$7:$AW$52)</f>
        <v>0</v>
      </c>
      <c r="AH12" s="397">
        <f t="shared" si="19"/>
        <v>0.06</v>
      </c>
      <c r="AI12" s="327" t="s">
        <v>650</v>
      </c>
      <c r="AJ12" s="392"/>
    </row>
    <row r="13" spans="1:37" ht="12.75" customHeight="1" x14ac:dyDescent="0.3">
      <c r="B13" s="31"/>
      <c r="C13" s="607" t="str">
        <f t="shared" si="0"/>
        <v/>
      </c>
      <c r="D13" s="608" t="str">
        <f t="shared" si="1"/>
        <v/>
      </c>
      <c r="E13" s="609" t="str">
        <f t="shared" si="2"/>
        <v/>
      </c>
      <c r="F13" s="609" t="str">
        <f t="shared" si="3"/>
        <v/>
      </c>
      <c r="G13" s="609" t="str">
        <f t="shared" si="4"/>
        <v/>
      </c>
      <c r="H13" s="609" t="str">
        <f t="shared" si="5"/>
        <v/>
      </c>
      <c r="I13" s="609" t="str">
        <f t="shared" si="6"/>
        <v/>
      </c>
      <c r="J13" s="610" t="str">
        <f t="shared" si="7"/>
        <v/>
      </c>
      <c r="K13" s="611" t="str">
        <f t="shared" si="8"/>
        <v/>
      </c>
      <c r="L13" s="94"/>
      <c r="N13" s="217"/>
      <c r="R13" s="394" t="b">
        <f t="shared" si="22"/>
        <v>0</v>
      </c>
      <c r="S13" s="398"/>
      <c r="T13" s="337">
        <f t="shared" si="20"/>
        <v>1</v>
      </c>
      <c r="U13" s="396">
        <f t="shared" si="15"/>
        <v>0.18</v>
      </c>
      <c r="V13" s="337">
        <f t="shared" si="21"/>
        <v>7</v>
      </c>
      <c r="W13" s="396">
        <f t="shared" si="9"/>
        <v>7.0000000000000007E-2</v>
      </c>
      <c r="X13" s="331" t="str">
        <f>Tabellák!AE15</f>
        <v>Belgium</v>
      </c>
      <c r="Y13" s="327">
        <f t="shared" si="16"/>
        <v>0</v>
      </c>
      <c r="Z13" s="327">
        <f t="shared" si="10"/>
        <v>0</v>
      </c>
      <c r="AA13" s="327">
        <f t="shared" si="11"/>
        <v>0</v>
      </c>
      <c r="AB13" s="327">
        <f t="shared" si="12"/>
        <v>0</v>
      </c>
      <c r="AC13" s="327">
        <f t="shared" si="13"/>
        <v>0</v>
      </c>
      <c r="AD13" s="327">
        <f t="shared" si="14"/>
        <v>0</v>
      </c>
      <c r="AE13" s="327">
        <f t="shared" si="17"/>
        <v>0</v>
      </c>
      <c r="AF13" s="327">
        <f t="shared" si="18"/>
        <v>0</v>
      </c>
      <c r="AG13" s="337">
        <f>SUMIF(Tabellák!$AV$7:$AV$52,X13,Tabellák!$AW$7:$AW$52)</f>
        <v>0</v>
      </c>
      <c r="AH13" s="397">
        <f t="shared" si="19"/>
        <v>7.0000000000000007E-2</v>
      </c>
      <c r="AI13" s="327" t="s">
        <v>650</v>
      </c>
      <c r="AJ13" s="392"/>
    </row>
    <row r="14" spans="1:37" ht="12.75" customHeight="1" x14ac:dyDescent="0.3">
      <c r="B14" s="31"/>
      <c r="C14" s="602" t="str">
        <f t="shared" si="0"/>
        <v/>
      </c>
      <c r="D14" s="603" t="str">
        <f t="shared" si="1"/>
        <v/>
      </c>
      <c r="E14" s="604" t="str">
        <f t="shared" si="2"/>
        <v/>
      </c>
      <c r="F14" s="604" t="str">
        <f t="shared" si="3"/>
        <v/>
      </c>
      <c r="G14" s="604" t="str">
        <f t="shared" si="4"/>
        <v/>
      </c>
      <c r="H14" s="604" t="str">
        <f t="shared" si="5"/>
        <v/>
      </c>
      <c r="I14" s="604" t="str">
        <f t="shared" si="6"/>
        <v/>
      </c>
      <c r="J14" s="605" t="str">
        <f t="shared" si="7"/>
        <v/>
      </c>
      <c r="K14" s="606" t="str">
        <f t="shared" si="8"/>
        <v/>
      </c>
      <c r="L14" s="94"/>
      <c r="N14" s="217"/>
      <c r="R14" s="394" t="b">
        <f t="shared" si="22"/>
        <v>0</v>
      </c>
      <c r="S14" s="398"/>
      <c r="T14" s="337">
        <f t="shared" si="20"/>
        <v>1</v>
      </c>
      <c r="U14" s="396">
        <f t="shared" si="15"/>
        <v>0.17</v>
      </c>
      <c r="V14" s="337">
        <f t="shared" si="21"/>
        <v>8</v>
      </c>
      <c r="W14" s="396">
        <f t="shared" si="9"/>
        <v>0.08</v>
      </c>
      <c r="X14" s="331" t="str">
        <f>Tabellák!AE16</f>
        <v>Oroszország</v>
      </c>
      <c r="Y14" s="327">
        <f t="shared" si="16"/>
        <v>0</v>
      </c>
      <c r="Z14" s="327">
        <f t="shared" si="10"/>
        <v>0</v>
      </c>
      <c r="AA14" s="327">
        <f t="shared" si="11"/>
        <v>0</v>
      </c>
      <c r="AB14" s="327">
        <f t="shared" si="12"/>
        <v>0</v>
      </c>
      <c r="AC14" s="327">
        <f t="shared" si="13"/>
        <v>0</v>
      </c>
      <c r="AD14" s="327">
        <f t="shared" si="14"/>
        <v>0</v>
      </c>
      <c r="AE14" s="327">
        <f t="shared" si="17"/>
        <v>0</v>
      </c>
      <c r="AF14" s="327">
        <f t="shared" si="18"/>
        <v>0</v>
      </c>
      <c r="AG14" s="337">
        <f>SUMIF(Tabellák!$AV$7:$AV$52,X14,Tabellák!$AW$7:$AW$52)</f>
        <v>0</v>
      </c>
      <c r="AH14" s="397">
        <f t="shared" si="19"/>
        <v>0.08</v>
      </c>
      <c r="AI14" s="327" t="s">
        <v>650</v>
      </c>
      <c r="AJ14" s="392"/>
    </row>
    <row r="15" spans="1:37" ht="12.75" customHeight="1" x14ac:dyDescent="0.3">
      <c r="B15" s="31"/>
      <c r="C15" s="466" t="str">
        <f t="shared" si="0"/>
        <v/>
      </c>
      <c r="D15" s="213" t="str">
        <f t="shared" si="1"/>
        <v/>
      </c>
      <c r="E15" s="469" t="str">
        <f t="shared" si="2"/>
        <v/>
      </c>
      <c r="F15" s="469" t="str">
        <f t="shared" si="3"/>
        <v/>
      </c>
      <c r="G15" s="469" t="str">
        <f t="shared" si="4"/>
        <v/>
      </c>
      <c r="H15" s="469" t="str">
        <f t="shared" si="5"/>
        <v/>
      </c>
      <c r="I15" s="469" t="str">
        <f t="shared" si="6"/>
        <v/>
      </c>
      <c r="J15" s="470" t="str">
        <f t="shared" si="7"/>
        <v/>
      </c>
      <c r="K15" s="471" t="str">
        <f t="shared" si="8"/>
        <v/>
      </c>
      <c r="L15" s="36"/>
      <c r="N15" s="217"/>
      <c r="R15" s="402" t="b">
        <f>VLOOKUP(V15,ekiha,2,FALSE)</f>
        <v>0</v>
      </c>
      <c r="S15" s="398"/>
      <c r="T15" s="337">
        <f t="shared" si="20"/>
        <v>1</v>
      </c>
      <c r="U15" s="396">
        <f t="shared" si="15"/>
        <v>0.16</v>
      </c>
      <c r="V15" s="337">
        <f t="shared" si="21"/>
        <v>9</v>
      </c>
      <c r="W15" s="396">
        <f t="shared" si="9"/>
        <v>0.09</v>
      </c>
      <c r="X15" s="331" t="str">
        <f>Tabellák!AE19</f>
        <v>Hollandia</v>
      </c>
      <c r="Y15" s="327">
        <f t="shared" si="16"/>
        <v>0</v>
      </c>
      <c r="Z15" s="327">
        <f t="shared" si="10"/>
        <v>0</v>
      </c>
      <c r="AA15" s="327">
        <f t="shared" si="11"/>
        <v>0</v>
      </c>
      <c r="AB15" s="327">
        <f t="shared" si="12"/>
        <v>0</v>
      </c>
      <c r="AC15" s="327">
        <f t="shared" si="13"/>
        <v>0</v>
      </c>
      <c r="AD15" s="327">
        <f t="shared" si="14"/>
        <v>0</v>
      </c>
      <c r="AE15" s="327">
        <f t="shared" si="17"/>
        <v>0</v>
      </c>
      <c r="AF15" s="327">
        <f t="shared" si="18"/>
        <v>0</v>
      </c>
      <c r="AG15" s="337">
        <f>SUMIF(Tabellák!$AV$7:$AV$52,X15,Tabellák!$AW$7:$AW$52)</f>
        <v>0</v>
      </c>
      <c r="AH15" s="397">
        <f t="shared" si="19"/>
        <v>0.09</v>
      </c>
      <c r="AI15" s="327" t="s">
        <v>651</v>
      </c>
      <c r="AJ15" s="392"/>
    </row>
    <row r="16" spans="1:37" ht="12.75" customHeight="1" x14ac:dyDescent="0.3">
      <c r="B16" s="31"/>
      <c r="C16" s="466" t="str">
        <f t="shared" si="0"/>
        <v/>
      </c>
      <c r="D16" s="214" t="str">
        <f t="shared" si="1"/>
        <v/>
      </c>
      <c r="E16" s="472" t="str">
        <f t="shared" si="2"/>
        <v/>
      </c>
      <c r="F16" s="472" t="str">
        <f t="shared" si="3"/>
        <v/>
      </c>
      <c r="G16" s="472" t="str">
        <f t="shared" si="4"/>
        <v/>
      </c>
      <c r="H16" s="472" t="str">
        <f t="shared" si="5"/>
        <v/>
      </c>
      <c r="I16" s="472" t="str">
        <f t="shared" si="6"/>
        <v/>
      </c>
      <c r="J16" s="473" t="str">
        <f t="shared" si="7"/>
        <v/>
      </c>
      <c r="K16" s="474" t="str">
        <f t="shared" si="8"/>
        <v/>
      </c>
      <c r="L16" s="36"/>
      <c r="N16" s="217"/>
      <c r="R16" s="394" t="b">
        <f t="shared" si="22"/>
        <v>0</v>
      </c>
      <c r="S16" s="398"/>
      <c r="T16" s="337">
        <f t="shared" si="20"/>
        <v>1</v>
      </c>
      <c r="U16" s="396">
        <f t="shared" si="15"/>
        <v>0.15</v>
      </c>
      <c r="V16" s="337">
        <f t="shared" si="21"/>
        <v>10</v>
      </c>
      <c r="W16" s="396">
        <f t="shared" si="9"/>
        <v>0.1</v>
      </c>
      <c r="X16" s="331" t="str">
        <f>Tabellák!AE20</f>
        <v>Ukrajna</v>
      </c>
      <c r="Y16" s="327">
        <f t="shared" si="16"/>
        <v>0</v>
      </c>
      <c r="Z16" s="327">
        <f t="shared" si="10"/>
        <v>0</v>
      </c>
      <c r="AA16" s="327">
        <f t="shared" si="11"/>
        <v>0</v>
      </c>
      <c r="AB16" s="327">
        <f t="shared" si="12"/>
        <v>0</v>
      </c>
      <c r="AC16" s="327">
        <f t="shared" si="13"/>
        <v>0</v>
      </c>
      <c r="AD16" s="327">
        <f t="shared" si="14"/>
        <v>0</v>
      </c>
      <c r="AE16" s="327">
        <f t="shared" si="17"/>
        <v>0</v>
      </c>
      <c r="AF16" s="327">
        <f t="shared" si="18"/>
        <v>0</v>
      </c>
      <c r="AG16" s="337">
        <f>SUMIF(Tabellák!$AV$7:$AV$52,X16,Tabellák!$AW$7:$AW$52)</f>
        <v>0</v>
      </c>
      <c r="AH16" s="397">
        <f t="shared" si="19"/>
        <v>0.1</v>
      </c>
      <c r="AI16" s="327" t="s">
        <v>651</v>
      </c>
      <c r="AJ16" s="392"/>
    </row>
    <row r="17" spans="2:36" ht="12.75" customHeight="1" x14ac:dyDescent="0.3">
      <c r="B17" s="31"/>
      <c r="C17" s="466" t="str">
        <f t="shared" si="0"/>
        <v/>
      </c>
      <c r="D17" s="214" t="str">
        <f t="shared" si="1"/>
        <v/>
      </c>
      <c r="E17" s="472" t="str">
        <f t="shared" si="2"/>
        <v/>
      </c>
      <c r="F17" s="472" t="str">
        <f t="shared" si="3"/>
        <v/>
      </c>
      <c r="G17" s="472" t="str">
        <f t="shared" si="4"/>
        <v/>
      </c>
      <c r="H17" s="472" t="str">
        <f t="shared" si="5"/>
        <v/>
      </c>
      <c r="I17" s="472" t="str">
        <f t="shared" si="6"/>
        <v/>
      </c>
      <c r="J17" s="473" t="str">
        <f t="shared" si="7"/>
        <v/>
      </c>
      <c r="K17" s="474" t="str">
        <f t="shared" si="8"/>
        <v/>
      </c>
      <c r="L17" s="36"/>
      <c r="N17" s="217"/>
      <c r="R17" s="394" t="b">
        <f t="shared" si="22"/>
        <v>0</v>
      </c>
      <c r="S17" s="398"/>
      <c r="T17" s="337">
        <f t="shared" si="20"/>
        <v>1</v>
      </c>
      <c r="U17" s="396">
        <f t="shared" si="15"/>
        <v>0.14000000000000001</v>
      </c>
      <c r="V17" s="337">
        <f t="shared" si="21"/>
        <v>11</v>
      </c>
      <c r="W17" s="396">
        <f t="shared" si="9"/>
        <v>0.11</v>
      </c>
      <c r="X17" s="331" t="str">
        <f>Tabellák!AE21</f>
        <v>Ausztria</v>
      </c>
      <c r="Y17" s="327">
        <f t="shared" si="16"/>
        <v>0</v>
      </c>
      <c r="Z17" s="327">
        <f t="shared" si="10"/>
        <v>0</v>
      </c>
      <c r="AA17" s="327">
        <f t="shared" si="11"/>
        <v>0</v>
      </c>
      <c r="AB17" s="327">
        <f t="shared" si="12"/>
        <v>0</v>
      </c>
      <c r="AC17" s="327">
        <f t="shared" si="13"/>
        <v>0</v>
      </c>
      <c r="AD17" s="327">
        <f t="shared" si="14"/>
        <v>0</v>
      </c>
      <c r="AE17" s="327">
        <f t="shared" si="17"/>
        <v>0</v>
      </c>
      <c r="AF17" s="327">
        <f t="shared" si="18"/>
        <v>0</v>
      </c>
      <c r="AG17" s="337">
        <f>SUMIF(Tabellák!$AV$7:$AV$52,X17,Tabellák!$AW$7:$AW$52)</f>
        <v>0</v>
      </c>
      <c r="AH17" s="397">
        <f t="shared" si="19"/>
        <v>0.11</v>
      </c>
      <c r="AI17" s="327" t="s">
        <v>651</v>
      </c>
      <c r="AJ17" s="392"/>
    </row>
    <row r="18" spans="2:36" ht="12.75" customHeight="1" x14ac:dyDescent="0.3">
      <c r="B18" s="31"/>
      <c r="C18" s="466" t="str">
        <f t="shared" si="0"/>
        <v/>
      </c>
      <c r="D18" s="214" t="str">
        <f t="shared" si="1"/>
        <v/>
      </c>
      <c r="E18" s="472" t="str">
        <f t="shared" si="2"/>
        <v/>
      </c>
      <c r="F18" s="472" t="str">
        <f t="shared" si="3"/>
        <v/>
      </c>
      <c r="G18" s="472" t="str">
        <f t="shared" si="4"/>
        <v/>
      </c>
      <c r="H18" s="472" t="str">
        <f t="shared" si="5"/>
        <v/>
      </c>
      <c r="I18" s="472" t="str">
        <f t="shared" si="6"/>
        <v/>
      </c>
      <c r="J18" s="473" t="str">
        <f t="shared" si="7"/>
        <v/>
      </c>
      <c r="K18" s="474" t="str">
        <f t="shared" si="8"/>
        <v/>
      </c>
      <c r="L18" s="36"/>
      <c r="N18" s="217"/>
      <c r="R18" s="394" t="b">
        <f t="shared" si="22"/>
        <v>0</v>
      </c>
      <c r="S18" s="398"/>
      <c r="T18" s="337">
        <f t="shared" si="20"/>
        <v>1</v>
      </c>
      <c r="U18" s="396">
        <f t="shared" si="15"/>
        <v>0.13</v>
      </c>
      <c r="V18" s="337">
        <f t="shared" si="21"/>
        <v>12</v>
      </c>
      <c r="W18" s="396">
        <f t="shared" si="9"/>
        <v>0.12</v>
      </c>
      <c r="X18" s="331" t="str">
        <f>Tabellák!AE22</f>
        <v>Észak-Macedónia</v>
      </c>
      <c r="Y18" s="327">
        <f t="shared" si="16"/>
        <v>0</v>
      </c>
      <c r="Z18" s="327">
        <f t="shared" si="10"/>
        <v>0</v>
      </c>
      <c r="AA18" s="327">
        <f t="shared" si="11"/>
        <v>0</v>
      </c>
      <c r="AB18" s="327">
        <f t="shared" si="12"/>
        <v>0</v>
      </c>
      <c r="AC18" s="327">
        <f t="shared" si="13"/>
        <v>0</v>
      </c>
      <c r="AD18" s="327">
        <f t="shared" si="14"/>
        <v>0</v>
      </c>
      <c r="AE18" s="327">
        <f t="shared" si="17"/>
        <v>0</v>
      </c>
      <c r="AF18" s="327">
        <f t="shared" si="18"/>
        <v>0</v>
      </c>
      <c r="AG18" s="337">
        <f>SUMIF(Tabellák!$AV$7:$AV$52,X18,Tabellák!$AW$7:$AW$52)</f>
        <v>0</v>
      </c>
      <c r="AH18" s="397">
        <f t="shared" si="19"/>
        <v>0.12</v>
      </c>
      <c r="AI18" s="327" t="s">
        <v>651</v>
      </c>
      <c r="AJ18" s="392"/>
    </row>
    <row r="19" spans="2:36" ht="12.75" customHeight="1" x14ac:dyDescent="0.3">
      <c r="B19" s="31"/>
      <c r="C19" s="466" t="str">
        <f t="shared" si="0"/>
        <v/>
      </c>
      <c r="D19" s="214" t="str">
        <f t="shared" si="1"/>
        <v/>
      </c>
      <c r="E19" s="472" t="str">
        <f t="shared" si="2"/>
        <v/>
      </c>
      <c r="F19" s="472" t="str">
        <f t="shared" si="3"/>
        <v/>
      </c>
      <c r="G19" s="472" t="str">
        <f t="shared" si="4"/>
        <v/>
      </c>
      <c r="H19" s="472" t="str">
        <f t="shared" si="5"/>
        <v/>
      </c>
      <c r="I19" s="472" t="str">
        <f t="shared" si="6"/>
        <v/>
      </c>
      <c r="J19" s="473" t="str">
        <f t="shared" si="7"/>
        <v/>
      </c>
      <c r="K19" s="474" t="str">
        <f t="shared" si="8"/>
        <v/>
      </c>
      <c r="L19" s="36"/>
      <c r="N19" s="217"/>
      <c r="R19" s="394" t="b">
        <f t="shared" si="22"/>
        <v>0</v>
      </c>
      <c r="S19" s="398"/>
      <c r="T19" s="337">
        <f t="shared" si="20"/>
        <v>1</v>
      </c>
      <c r="U19" s="396">
        <f t="shared" si="15"/>
        <v>0.12</v>
      </c>
      <c r="V19" s="337">
        <f t="shared" si="21"/>
        <v>13</v>
      </c>
      <c r="W19" s="396">
        <f t="shared" si="9"/>
        <v>0.13</v>
      </c>
      <c r="X19" s="331" t="str">
        <f>Tabellák!AE25</f>
        <v>Anglia</v>
      </c>
      <c r="Y19" s="327">
        <f t="shared" si="16"/>
        <v>0</v>
      </c>
      <c r="Z19" s="327">
        <f t="shared" si="10"/>
        <v>0</v>
      </c>
      <c r="AA19" s="327">
        <f t="shared" si="11"/>
        <v>0</v>
      </c>
      <c r="AB19" s="327">
        <f t="shared" si="12"/>
        <v>0</v>
      </c>
      <c r="AC19" s="327">
        <f t="shared" si="13"/>
        <v>0</v>
      </c>
      <c r="AD19" s="327">
        <f t="shared" si="14"/>
        <v>0</v>
      </c>
      <c r="AE19" s="327">
        <f t="shared" si="17"/>
        <v>0</v>
      </c>
      <c r="AF19" s="327">
        <f t="shared" si="18"/>
        <v>0</v>
      </c>
      <c r="AG19" s="337">
        <f>SUMIF(Tabellák!$AV$7:$AV$52,X19,Tabellák!$AW$7:$AW$52)</f>
        <v>0</v>
      </c>
      <c r="AH19" s="397">
        <f t="shared" si="19"/>
        <v>0.13</v>
      </c>
      <c r="AI19" s="327" t="s">
        <v>652</v>
      </c>
      <c r="AJ19" s="392"/>
    </row>
    <row r="20" spans="2:36" ht="12.75" customHeight="1" x14ac:dyDescent="0.3">
      <c r="B20" s="31"/>
      <c r="C20" s="466" t="str">
        <f t="shared" si="0"/>
        <v/>
      </c>
      <c r="D20" s="214" t="str">
        <f t="shared" si="1"/>
        <v/>
      </c>
      <c r="E20" s="472" t="str">
        <f t="shared" si="2"/>
        <v/>
      </c>
      <c r="F20" s="472" t="str">
        <f t="shared" si="3"/>
        <v/>
      </c>
      <c r="G20" s="472" t="str">
        <f t="shared" si="4"/>
        <v/>
      </c>
      <c r="H20" s="472" t="str">
        <f t="shared" si="5"/>
        <v/>
      </c>
      <c r="I20" s="472" t="str">
        <f t="shared" si="6"/>
        <v/>
      </c>
      <c r="J20" s="473" t="str">
        <f t="shared" si="7"/>
        <v/>
      </c>
      <c r="K20" s="474" t="str">
        <f t="shared" si="8"/>
        <v/>
      </c>
      <c r="L20" s="36"/>
      <c r="N20" s="217"/>
      <c r="R20" s="394" t="b">
        <f t="shared" si="22"/>
        <v>0</v>
      </c>
      <c r="S20" s="398"/>
      <c r="T20" s="337">
        <f t="shared" si="20"/>
        <v>1</v>
      </c>
      <c r="U20" s="396">
        <f t="shared" si="15"/>
        <v>0.11</v>
      </c>
      <c r="V20" s="337">
        <f t="shared" si="21"/>
        <v>14</v>
      </c>
      <c r="W20" s="396">
        <f t="shared" si="9"/>
        <v>0.14000000000000001</v>
      </c>
      <c r="X20" s="331" t="str">
        <f>Tabellák!AE26</f>
        <v>Horvátország</v>
      </c>
      <c r="Y20" s="327">
        <f t="shared" si="16"/>
        <v>0</v>
      </c>
      <c r="Z20" s="327">
        <f t="shared" si="10"/>
        <v>0</v>
      </c>
      <c r="AA20" s="327">
        <f t="shared" si="11"/>
        <v>0</v>
      </c>
      <c r="AB20" s="327">
        <f t="shared" si="12"/>
        <v>0</v>
      </c>
      <c r="AC20" s="327">
        <f t="shared" si="13"/>
        <v>0</v>
      </c>
      <c r="AD20" s="327">
        <f t="shared" si="14"/>
        <v>0</v>
      </c>
      <c r="AE20" s="327">
        <f t="shared" si="17"/>
        <v>0</v>
      </c>
      <c r="AF20" s="327">
        <f t="shared" si="18"/>
        <v>0</v>
      </c>
      <c r="AG20" s="337">
        <f>SUMIF(Tabellák!$AV$7:$AV$52,X20,Tabellák!$AW$7:$AW$52)</f>
        <v>0</v>
      </c>
      <c r="AH20" s="397">
        <f t="shared" si="19"/>
        <v>0.14000000000000001</v>
      </c>
      <c r="AI20" s="327" t="s">
        <v>652</v>
      </c>
      <c r="AJ20" s="392"/>
    </row>
    <row r="21" spans="2:36" ht="12.75" customHeight="1" x14ac:dyDescent="0.3">
      <c r="B21" s="31"/>
      <c r="C21" s="466" t="str">
        <f t="shared" si="0"/>
        <v/>
      </c>
      <c r="D21" s="214" t="str">
        <f t="shared" si="1"/>
        <v/>
      </c>
      <c r="E21" s="472" t="str">
        <f t="shared" si="2"/>
        <v/>
      </c>
      <c r="F21" s="472" t="str">
        <f t="shared" si="3"/>
        <v/>
      </c>
      <c r="G21" s="472" t="str">
        <f t="shared" si="4"/>
        <v/>
      </c>
      <c r="H21" s="472" t="str">
        <f t="shared" si="5"/>
        <v/>
      </c>
      <c r="I21" s="472" t="str">
        <f t="shared" si="6"/>
        <v/>
      </c>
      <c r="J21" s="473" t="str">
        <f t="shared" si="7"/>
        <v/>
      </c>
      <c r="K21" s="474" t="str">
        <f t="shared" si="8"/>
        <v/>
      </c>
      <c r="L21" s="36"/>
      <c r="N21" s="217"/>
      <c r="R21" s="394" t="b">
        <f t="shared" si="22"/>
        <v>0</v>
      </c>
      <c r="S21" s="398"/>
      <c r="T21" s="337">
        <f t="shared" si="20"/>
        <v>1</v>
      </c>
      <c r="U21" s="396">
        <f t="shared" si="15"/>
        <v>0.1</v>
      </c>
      <c r="V21" s="337">
        <f t="shared" si="21"/>
        <v>15</v>
      </c>
      <c r="W21" s="396">
        <f t="shared" si="9"/>
        <v>0.15</v>
      </c>
      <c r="X21" s="331" t="str">
        <f>Tabellák!AE27</f>
        <v>Skócia</v>
      </c>
      <c r="Y21" s="327">
        <f t="shared" si="16"/>
        <v>0</v>
      </c>
      <c r="Z21" s="327">
        <f t="shared" si="10"/>
        <v>0</v>
      </c>
      <c r="AA21" s="327">
        <f t="shared" si="11"/>
        <v>0</v>
      </c>
      <c r="AB21" s="327">
        <f t="shared" si="12"/>
        <v>0</v>
      </c>
      <c r="AC21" s="327">
        <f t="shared" si="13"/>
        <v>0</v>
      </c>
      <c r="AD21" s="327">
        <f t="shared" si="14"/>
        <v>0</v>
      </c>
      <c r="AE21" s="327">
        <f t="shared" si="17"/>
        <v>0</v>
      </c>
      <c r="AF21" s="327">
        <f t="shared" si="18"/>
        <v>0</v>
      </c>
      <c r="AG21" s="337">
        <f>SUMIF(Tabellák!$AV$7:$AV$52,X21,Tabellák!$AW$7:$AW$52)</f>
        <v>0</v>
      </c>
      <c r="AH21" s="397">
        <f t="shared" si="19"/>
        <v>0.15</v>
      </c>
      <c r="AI21" s="327" t="s">
        <v>652</v>
      </c>
      <c r="AJ21" s="392"/>
    </row>
    <row r="22" spans="2:36" ht="12.75" customHeight="1" x14ac:dyDescent="0.3">
      <c r="B22" s="31"/>
      <c r="C22" s="467" t="str">
        <f t="shared" si="0"/>
        <v/>
      </c>
      <c r="D22" s="215" t="str">
        <f t="shared" si="1"/>
        <v/>
      </c>
      <c r="E22" s="475" t="str">
        <f t="shared" si="2"/>
        <v/>
      </c>
      <c r="F22" s="475" t="str">
        <f t="shared" si="3"/>
        <v/>
      </c>
      <c r="G22" s="475" t="str">
        <f t="shared" si="4"/>
        <v/>
      </c>
      <c r="H22" s="475" t="str">
        <f t="shared" si="5"/>
        <v/>
      </c>
      <c r="I22" s="475" t="str">
        <f t="shared" si="6"/>
        <v/>
      </c>
      <c r="J22" s="476" t="str">
        <f t="shared" si="7"/>
        <v/>
      </c>
      <c r="K22" s="477" t="str">
        <f t="shared" si="8"/>
        <v/>
      </c>
      <c r="L22" s="36"/>
      <c r="N22" s="217"/>
      <c r="R22" s="394" t="b">
        <f t="shared" si="22"/>
        <v>0</v>
      </c>
      <c r="S22" s="398"/>
      <c r="T22" s="337">
        <f t="shared" si="20"/>
        <v>1</v>
      </c>
      <c r="U22" s="396">
        <f t="shared" si="15"/>
        <v>0.09</v>
      </c>
      <c r="V22" s="337">
        <f t="shared" si="21"/>
        <v>16</v>
      </c>
      <c r="W22" s="396">
        <f t="shared" si="9"/>
        <v>0.16</v>
      </c>
      <c r="X22" s="331" t="str">
        <f>Tabellák!AE28</f>
        <v>Csehország</v>
      </c>
      <c r="Y22" s="327">
        <f t="shared" si="16"/>
        <v>0</v>
      </c>
      <c r="Z22" s="327">
        <f t="shared" si="10"/>
        <v>0</v>
      </c>
      <c r="AA22" s="327">
        <f t="shared" si="11"/>
        <v>0</v>
      </c>
      <c r="AB22" s="327">
        <f t="shared" si="12"/>
        <v>0</v>
      </c>
      <c r="AC22" s="327">
        <f t="shared" si="13"/>
        <v>0</v>
      </c>
      <c r="AD22" s="327">
        <f t="shared" si="14"/>
        <v>0</v>
      </c>
      <c r="AE22" s="327">
        <f t="shared" si="17"/>
        <v>0</v>
      </c>
      <c r="AF22" s="327">
        <f t="shared" si="18"/>
        <v>0</v>
      </c>
      <c r="AG22" s="337">
        <f>SUMIF(Tabellák!$AV$7:$AV$52,X22,Tabellák!$AW$7:$AW$52)</f>
        <v>0</v>
      </c>
      <c r="AH22" s="397">
        <f t="shared" si="19"/>
        <v>0.16</v>
      </c>
      <c r="AI22" s="327" t="s">
        <v>652</v>
      </c>
      <c r="AJ22" s="392"/>
    </row>
    <row r="23" spans="2:36" ht="12.75" customHeight="1" x14ac:dyDescent="0.3">
      <c r="C23" s="36" t="str">
        <f t="shared" si="0"/>
        <v/>
      </c>
      <c r="D23" s="91" t="str">
        <f t="shared" si="1"/>
        <v/>
      </c>
      <c r="E23" s="35" t="str">
        <f t="shared" si="2"/>
        <v/>
      </c>
      <c r="F23" s="35" t="str">
        <f t="shared" si="3"/>
        <v/>
      </c>
      <c r="G23" s="35" t="str">
        <f t="shared" si="4"/>
        <v/>
      </c>
      <c r="H23" s="35" t="str">
        <f t="shared" si="5"/>
        <v/>
      </c>
      <c r="I23" s="35" t="str">
        <f t="shared" si="6"/>
        <v/>
      </c>
      <c r="J23" s="478" t="str">
        <f t="shared" si="7"/>
        <v/>
      </c>
      <c r="K23" s="479" t="str">
        <f t="shared" si="8"/>
        <v/>
      </c>
      <c r="N23" s="217"/>
      <c r="R23" s="402" t="b">
        <f>VLOOKUP(V23,ekiha,2,FALSE)</f>
        <v>0</v>
      </c>
      <c r="S23" s="398"/>
      <c r="T23" s="337">
        <f t="shared" si="20"/>
        <v>1</v>
      </c>
      <c r="U23" s="396">
        <f t="shared" si="15"/>
        <v>0.08</v>
      </c>
      <c r="V23" s="337">
        <f t="shared" si="21"/>
        <v>17</v>
      </c>
      <c r="W23" s="396">
        <f t="shared" si="9"/>
        <v>0.17</v>
      </c>
      <c r="X23" s="331" t="str">
        <f>Tabellák!AE31</f>
        <v>Spanyolország</v>
      </c>
      <c r="Y23" s="327">
        <f t="shared" si="16"/>
        <v>0</v>
      </c>
      <c r="Z23" s="327">
        <f t="shared" si="10"/>
        <v>0</v>
      </c>
      <c r="AA23" s="327">
        <f t="shared" si="11"/>
        <v>0</v>
      </c>
      <c r="AB23" s="327">
        <f t="shared" si="12"/>
        <v>0</v>
      </c>
      <c r="AC23" s="327">
        <f t="shared" si="13"/>
        <v>0</v>
      </c>
      <c r="AD23" s="327">
        <f t="shared" si="14"/>
        <v>0</v>
      </c>
      <c r="AE23" s="327">
        <f t="shared" si="17"/>
        <v>0</v>
      </c>
      <c r="AF23" s="327">
        <f t="shared" si="18"/>
        <v>0</v>
      </c>
      <c r="AG23" s="337">
        <f>SUMIF(Tabellák!$AV$7:$AV$52,X23,Tabellák!$AW$7:$AW$52)</f>
        <v>0</v>
      </c>
      <c r="AH23" s="397">
        <f t="shared" si="19"/>
        <v>0.17</v>
      </c>
      <c r="AI23" s="327" t="s">
        <v>809</v>
      </c>
      <c r="AJ23" s="392"/>
    </row>
    <row r="24" spans="2:36" ht="12.75" customHeight="1" x14ac:dyDescent="0.3">
      <c r="C24" s="468" t="str">
        <f t="shared" si="0"/>
        <v/>
      </c>
      <c r="D24" s="465" t="str">
        <f t="shared" si="1"/>
        <v/>
      </c>
      <c r="E24" s="173" t="str">
        <f t="shared" si="2"/>
        <v/>
      </c>
      <c r="F24" s="173" t="str">
        <f t="shared" si="3"/>
        <v/>
      </c>
      <c r="G24" s="173" t="str">
        <f t="shared" si="4"/>
        <v/>
      </c>
      <c r="H24" s="173" t="str">
        <f t="shared" si="5"/>
        <v/>
      </c>
      <c r="I24" s="173" t="str">
        <f t="shared" si="6"/>
        <v/>
      </c>
      <c r="J24" s="174" t="str">
        <f t="shared" si="7"/>
        <v/>
      </c>
      <c r="K24" s="175" t="str">
        <f t="shared" si="8"/>
        <v/>
      </c>
      <c r="N24" s="217"/>
      <c r="R24" s="394" t="b">
        <f t="shared" si="22"/>
        <v>0</v>
      </c>
      <c r="S24" s="398"/>
      <c r="T24" s="337">
        <f t="shared" si="20"/>
        <v>1</v>
      </c>
      <c r="U24" s="396">
        <f t="shared" si="15"/>
        <v>7.0000000000000007E-2</v>
      </c>
      <c r="V24" s="337">
        <f t="shared" si="21"/>
        <v>18</v>
      </c>
      <c r="W24" s="396">
        <f t="shared" si="9"/>
        <v>0.18</v>
      </c>
      <c r="X24" s="331" t="str">
        <f>Tabellák!AE32</f>
        <v>Svédország</v>
      </c>
      <c r="Y24" s="327">
        <f t="shared" si="16"/>
        <v>0</v>
      </c>
      <c r="Z24" s="327">
        <f t="shared" si="10"/>
        <v>0</v>
      </c>
      <c r="AA24" s="327">
        <f t="shared" si="11"/>
        <v>0</v>
      </c>
      <c r="AB24" s="327">
        <f t="shared" si="12"/>
        <v>0</v>
      </c>
      <c r="AC24" s="327">
        <f t="shared" si="13"/>
        <v>0</v>
      </c>
      <c r="AD24" s="327">
        <f t="shared" si="14"/>
        <v>0</v>
      </c>
      <c r="AE24" s="327">
        <f t="shared" si="17"/>
        <v>0</v>
      </c>
      <c r="AF24" s="327">
        <f t="shared" si="18"/>
        <v>0</v>
      </c>
      <c r="AG24" s="337">
        <f>SUMIF(Tabellák!$AV$7:$AV$52,X24,Tabellák!$AW$7:$AW$52)</f>
        <v>0</v>
      </c>
      <c r="AH24" s="397">
        <f t="shared" si="19"/>
        <v>0.18</v>
      </c>
      <c r="AI24" s="327" t="s">
        <v>809</v>
      </c>
      <c r="AJ24" s="392"/>
    </row>
    <row r="25" spans="2:36" ht="12.75" customHeight="1" x14ac:dyDescent="0.3">
      <c r="C25" s="468" t="str">
        <f t="shared" si="0"/>
        <v/>
      </c>
      <c r="D25" s="465" t="str">
        <f t="shared" si="1"/>
        <v/>
      </c>
      <c r="E25" s="173" t="str">
        <f t="shared" si="2"/>
        <v/>
      </c>
      <c r="F25" s="173" t="str">
        <f t="shared" si="3"/>
        <v/>
      </c>
      <c r="G25" s="173" t="str">
        <f t="shared" si="4"/>
        <v/>
      </c>
      <c r="H25" s="173" t="str">
        <f t="shared" si="5"/>
        <v/>
      </c>
      <c r="I25" s="173" t="str">
        <f t="shared" si="6"/>
        <v/>
      </c>
      <c r="J25" s="174" t="str">
        <f t="shared" si="7"/>
        <v/>
      </c>
      <c r="K25" s="175" t="str">
        <f t="shared" si="8"/>
        <v/>
      </c>
      <c r="N25" s="217"/>
      <c r="R25" s="394" t="b">
        <f t="shared" si="22"/>
        <v>0</v>
      </c>
      <c r="S25" s="398"/>
      <c r="T25" s="337">
        <f t="shared" si="20"/>
        <v>1</v>
      </c>
      <c r="U25" s="396">
        <f t="shared" si="15"/>
        <v>0.06</v>
      </c>
      <c r="V25" s="337">
        <f t="shared" si="21"/>
        <v>19</v>
      </c>
      <c r="W25" s="396">
        <f t="shared" si="9"/>
        <v>0.19</v>
      </c>
      <c r="X25" s="331" t="str">
        <f>Tabellák!AE33</f>
        <v>Lengyelország</v>
      </c>
      <c r="Y25" s="327">
        <f t="shared" si="16"/>
        <v>0</v>
      </c>
      <c r="Z25" s="327">
        <f t="shared" si="10"/>
        <v>0</v>
      </c>
      <c r="AA25" s="327">
        <f t="shared" si="11"/>
        <v>0</v>
      </c>
      <c r="AB25" s="327">
        <f t="shared" si="12"/>
        <v>0</v>
      </c>
      <c r="AC25" s="327">
        <f t="shared" si="13"/>
        <v>0</v>
      </c>
      <c r="AD25" s="327">
        <f t="shared" si="14"/>
        <v>0</v>
      </c>
      <c r="AE25" s="327">
        <f t="shared" si="17"/>
        <v>0</v>
      </c>
      <c r="AF25" s="327">
        <f t="shared" si="18"/>
        <v>0</v>
      </c>
      <c r="AG25" s="337">
        <f>SUMIF(Tabellák!$AV$7:$AV$52,X25,Tabellák!$AW$7:$AW$52)</f>
        <v>0</v>
      </c>
      <c r="AH25" s="397">
        <f t="shared" si="19"/>
        <v>0.19</v>
      </c>
      <c r="AI25" s="327" t="s">
        <v>809</v>
      </c>
      <c r="AJ25" s="392"/>
    </row>
    <row r="26" spans="2:36" ht="12.75" customHeight="1" x14ac:dyDescent="0.3">
      <c r="C26" s="468" t="str">
        <f t="shared" si="0"/>
        <v/>
      </c>
      <c r="D26" s="465" t="str">
        <f t="shared" si="1"/>
        <v/>
      </c>
      <c r="E26" s="173" t="str">
        <f t="shared" si="2"/>
        <v/>
      </c>
      <c r="F26" s="173" t="str">
        <f t="shared" si="3"/>
        <v/>
      </c>
      <c r="G26" s="173" t="str">
        <f t="shared" si="4"/>
        <v/>
      </c>
      <c r="H26" s="173" t="str">
        <f t="shared" si="5"/>
        <v/>
      </c>
      <c r="I26" s="173" t="str">
        <f t="shared" si="6"/>
        <v/>
      </c>
      <c r="J26" s="174" t="str">
        <f t="shared" si="7"/>
        <v/>
      </c>
      <c r="K26" s="175" t="str">
        <f t="shared" si="8"/>
        <v/>
      </c>
      <c r="N26" s="217"/>
      <c r="R26" s="394" t="b">
        <f t="shared" si="22"/>
        <v>0</v>
      </c>
      <c r="S26" s="398"/>
      <c r="T26" s="337">
        <f t="shared" si="20"/>
        <v>1</v>
      </c>
      <c r="U26" s="396">
        <f t="shared" si="15"/>
        <v>0.05</v>
      </c>
      <c r="V26" s="337">
        <f t="shared" si="21"/>
        <v>20</v>
      </c>
      <c r="W26" s="396">
        <f t="shared" si="9"/>
        <v>0.2</v>
      </c>
      <c r="X26" s="331" t="str">
        <f>Tabellák!AE34</f>
        <v>Szlovákia</v>
      </c>
      <c r="Y26" s="327">
        <f t="shared" si="16"/>
        <v>0</v>
      </c>
      <c r="Z26" s="327">
        <f t="shared" si="10"/>
        <v>0</v>
      </c>
      <c r="AA26" s="327">
        <f t="shared" si="11"/>
        <v>0</v>
      </c>
      <c r="AB26" s="327">
        <f t="shared" si="12"/>
        <v>0</v>
      </c>
      <c r="AC26" s="327">
        <f t="shared" si="13"/>
        <v>0</v>
      </c>
      <c r="AD26" s="327">
        <f t="shared" si="14"/>
        <v>0</v>
      </c>
      <c r="AE26" s="327">
        <f t="shared" si="17"/>
        <v>0</v>
      </c>
      <c r="AF26" s="327">
        <f t="shared" si="18"/>
        <v>0</v>
      </c>
      <c r="AG26" s="337">
        <f>SUMIF(Tabellák!$AV$7:$AV$52,X26,Tabellák!$AW$7:$AW$52)</f>
        <v>0</v>
      </c>
      <c r="AH26" s="397">
        <f t="shared" si="19"/>
        <v>0.2</v>
      </c>
      <c r="AI26" s="327" t="s">
        <v>809</v>
      </c>
      <c r="AJ26" s="392"/>
    </row>
    <row r="27" spans="2:36" ht="12.75" customHeight="1" x14ac:dyDescent="0.3">
      <c r="C27" s="468" t="str">
        <f t="shared" si="0"/>
        <v/>
      </c>
      <c r="D27" s="465" t="str">
        <f t="shared" si="1"/>
        <v/>
      </c>
      <c r="E27" s="173" t="str">
        <f t="shared" si="2"/>
        <v/>
      </c>
      <c r="F27" s="173" t="str">
        <f t="shared" si="3"/>
        <v/>
      </c>
      <c r="G27" s="173" t="str">
        <f t="shared" si="4"/>
        <v/>
      </c>
      <c r="H27" s="173" t="str">
        <f t="shared" si="5"/>
        <v/>
      </c>
      <c r="I27" s="173" t="str">
        <f t="shared" si="6"/>
        <v/>
      </c>
      <c r="J27" s="174" t="str">
        <f t="shared" si="7"/>
        <v/>
      </c>
      <c r="K27" s="175" t="str">
        <f t="shared" si="8"/>
        <v/>
      </c>
      <c r="N27" s="217"/>
      <c r="R27" s="394" t="b">
        <f t="shared" si="22"/>
        <v>0</v>
      </c>
      <c r="S27" s="398"/>
      <c r="T27" s="337">
        <f t="shared" si="20"/>
        <v>1</v>
      </c>
      <c r="U27" s="396">
        <f t="shared" si="15"/>
        <v>0.04</v>
      </c>
      <c r="V27" s="337">
        <f t="shared" si="21"/>
        <v>21</v>
      </c>
      <c r="W27" s="396">
        <f t="shared" si="9"/>
        <v>0.21</v>
      </c>
      <c r="X27" s="331" t="str">
        <f>Tabellák!AE37</f>
        <v>MAGYARORSZÁG</v>
      </c>
      <c r="Y27" s="327">
        <f t="shared" si="16"/>
        <v>0</v>
      </c>
      <c r="Z27" s="327">
        <f t="shared" si="10"/>
        <v>0</v>
      </c>
      <c r="AA27" s="327">
        <f t="shared" si="11"/>
        <v>0</v>
      </c>
      <c r="AB27" s="327">
        <f t="shared" si="12"/>
        <v>0</v>
      </c>
      <c r="AC27" s="327">
        <f t="shared" si="13"/>
        <v>0</v>
      </c>
      <c r="AD27" s="327">
        <f t="shared" si="14"/>
        <v>0</v>
      </c>
      <c r="AE27" s="327">
        <f t="shared" si="17"/>
        <v>0</v>
      </c>
      <c r="AF27" s="327">
        <f t="shared" si="18"/>
        <v>0</v>
      </c>
      <c r="AG27" s="337">
        <f>SUMIF(Tabellák!$AV$7:$AV$52,X27,Tabellák!$AW$7:$AW$52)</f>
        <v>0</v>
      </c>
      <c r="AH27" s="397">
        <f t="shared" si="19"/>
        <v>0.21</v>
      </c>
      <c r="AI27" s="327" t="s">
        <v>810</v>
      </c>
      <c r="AJ27" s="392"/>
    </row>
    <row r="28" spans="2:36" ht="12.75" customHeight="1" x14ac:dyDescent="0.3">
      <c r="C28" s="468" t="str">
        <f t="shared" si="0"/>
        <v/>
      </c>
      <c r="D28" s="465" t="str">
        <f t="shared" si="1"/>
        <v/>
      </c>
      <c r="E28" s="173" t="str">
        <f t="shared" si="2"/>
        <v/>
      </c>
      <c r="F28" s="173" t="str">
        <f t="shared" si="3"/>
        <v/>
      </c>
      <c r="G28" s="173" t="str">
        <f t="shared" si="4"/>
        <v/>
      </c>
      <c r="H28" s="173" t="str">
        <f t="shared" si="5"/>
        <v/>
      </c>
      <c r="I28" s="173" t="str">
        <f t="shared" si="6"/>
        <v/>
      </c>
      <c r="J28" s="174" t="str">
        <f t="shared" si="7"/>
        <v/>
      </c>
      <c r="K28" s="175" t="str">
        <f t="shared" si="8"/>
        <v/>
      </c>
      <c r="N28" s="217"/>
      <c r="R28" s="394" t="b">
        <f t="shared" si="22"/>
        <v>0</v>
      </c>
      <c r="S28" s="398"/>
      <c r="T28" s="337">
        <f t="shared" si="20"/>
        <v>1</v>
      </c>
      <c r="U28" s="396">
        <f t="shared" si="15"/>
        <v>0.03</v>
      </c>
      <c r="V28" s="337">
        <f t="shared" si="21"/>
        <v>22</v>
      </c>
      <c r="W28" s="396">
        <f t="shared" si="9"/>
        <v>0.22</v>
      </c>
      <c r="X28" s="331" t="str">
        <f>Tabellák!AE38</f>
        <v>Portugália</v>
      </c>
      <c r="Y28" s="327">
        <f t="shared" si="16"/>
        <v>0</v>
      </c>
      <c r="Z28" s="327">
        <f t="shared" si="10"/>
        <v>0</v>
      </c>
      <c r="AA28" s="327">
        <f t="shared" si="11"/>
        <v>0</v>
      </c>
      <c r="AB28" s="327">
        <f t="shared" si="12"/>
        <v>0</v>
      </c>
      <c r="AC28" s="327">
        <f t="shared" si="13"/>
        <v>0</v>
      </c>
      <c r="AD28" s="327">
        <f t="shared" si="14"/>
        <v>0</v>
      </c>
      <c r="AE28" s="327">
        <f t="shared" si="17"/>
        <v>0</v>
      </c>
      <c r="AF28" s="327">
        <f t="shared" si="18"/>
        <v>0</v>
      </c>
      <c r="AG28" s="337">
        <f>SUMIF(Tabellák!$AV$7:$AV$52,X28,Tabellák!$AW$7:$AW$52)</f>
        <v>0</v>
      </c>
      <c r="AH28" s="397">
        <f t="shared" si="19"/>
        <v>0.22</v>
      </c>
      <c r="AI28" s="327" t="s">
        <v>810</v>
      </c>
      <c r="AJ28" s="392"/>
    </row>
    <row r="29" spans="2:36" ht="12.75" customHeight="1" x14ac:dyDescent="0.3">
      <c r="C29" s="468" t="str">
        <f t="shared" si="0"/>
        <v/>
      </c>
      <c r="D29" s="465" t="str">
        <f t="shared" si="1"/>
        <v/>
      </c>
      <c r="E29" s="173" t="str">
        <f t="shared" si="2"/>
        <v/>
      </c>
      <c r="F29" s="173" t="str">
        <f t="shared" si="3"/>
        <v/>
      </c>
      <c r="G29" s="173" t="str">
        <f t="shared" si="4"/>
        <v/>
      </c>
      <c r="H29" s="173" t="str">
        <f t="shared" si="5"/>
        <v/>
      </c>
      <c r="I29" s="173" t="str">
        <f t="shared" si="6"/>
        <v/>
      </c>
      <c r="J29" s="174" t="str">
        <f t="shared" si="7"/>
        <v/>
      </c>
      <c r="K29" s="175" t="str">
        <f t="shared" si="8"/>
        <v/>
      </c>
      <c r="N29" s="217"/>
      <c r="R29" s="394" t="b">
        <f t="shared" si="22"/>
        <v>0</v>
      </c>
      <c r="S29" s="398"/>
      <c r="T29" s="337">
        <f t="shared" si="20"/>
        <v>1</v>
      </c>
      <c r="U29" s="396">
        <f t="shared" si="15"/>
        <v>0.02</v>
      </c>
      <c r="V29" s="337">
        <f t="shared" si="21"/>
        <v>23</v>
      </c>
      <c r="W29" s="396">
        <f t="shared" si="9"/>
        <v>0.23</v>
      </c>
      <c r="X29" s="331" t="str">
        <f>Tabellák!AE39</f>
        <v>Franciaország</v>
      </c>
      <c r="Y29" s="327">
        <f t="shared" si="16"/>
        <v>0</v>
      </c>
      <c r="Z29" s="327">
        <f t="shared" si="10"/>
        <v>0</v>
      </c>
      <c r="AA29" s="327">
        <f t="shared" si="11"/>
        <v>0</v>
      </c>
      <c r="AB29" s="327">
        <f t="shared" si="12"/>
        <v>0</v>
      </c>
      <c r="AC29" s="327">
        <f t="shared" si="13"/>
        <v>0</v>
      </c>
      <c r="AD29" s="327">
        <f t="shared" si="14"/>
        <v>0</v>
      </c>
      <c r="AE29" s="327">
        <f t="shared" si="17"/>
        <v>0</v>
      </c>
      <c r="AF29" s="327">
        <f t="shared" si="18"/>
        <v>0</v>
      </c>
      <c r="AG29" s="337">
        <f>SUMIF(Tabellák!$AV$7:$AV$52,X29,Tabellák!$AW$7:$AW$52)</f>
        <v>0</v>
      </c>
      <c r="AH29" s="397">
        <f t="shared" si="19"/>
        <v>0.23</v>
      </c>
      <c r="AI29" s="327" t="s">
        <v>810</v>
      </c>
      <c r="AJ29" s="392"/>
    </row>
    <row r="30" spans="2:36" ht="12.75" customHeight="1" x14ac:dyDescent="0.3">
      <c r="C30" s="36" t="str">
        <f t="shared" si="0"/>
        <v/>
      </c>
      <c r="D30" s="91" t="str">
        <f t="shared" si="1"/>
        <v/>
      </c>
      <c r="E30" s="35" t="str">
        <f t="shared" si="2"/>
        <v/>
      </c>
      <c r="F30" s="35" t="str">
        <f t="shared" si="3"/>
        <v/>
      </c>
      <c r="G30" s="35" t="str">
        <f t="shared" si="4"/>
        <v/>
      </c>
      <c r="H30" s="35" t="str">
        <f t="shared" si="5"/>
        <v/>
      </c>
      <c r="I30" s="35" t="str">
        <f t="shared" si="6"/>
        <v/>
      </c>
      <c r="J30" s="478" t="str">
        <f t="shared" si="7"/>
        <v/>
      </c>
      <c r="K30" s="479" t="str">
        <f t="shared" si="8"/>
        <v/>
      </c>
      <c r="N30" s="217"/>
      <c r="R30" s="394" t="b">
        <f t="shared" si="22"/>
        <v>0</v>
      </c>
      <c r="S30" s="398"/>
      <c r="T30" s="337">
        <f t="shared" si="20"/>
        <v>1</v>
      </c>
      <c r="U30" s="396">
        <f t="shared" si="15"/>
        <v>0.01</v>
      </c>
      <c r="V30" s="337">
        <f t="shared" si="21"/>
        <v>24</v>
      </c>
      <c r="W30" s="396">
        <f t="shared" si="9"/>
        <v>0.24</v>
      </c>
      <c r="X30" s="331" t="str">
        <f>Tabellák!AE40</f>
        <v>Németország</v>
      </c>
      <c r="Y30" s="327">
        <f t="shared" si="16"/>
        <v>0</v>
      </c>
      <c r="Z30" s="327">
        <f t="shared" si="10"/>
        <v>0</v>
      </c>
      <c r="AA30" s="327">
        <f t="shared" si="11"/>
        <v>0</v>
      </c>
      <c r="AB30" s="327">
        <f t="shared" si="12"/>
        <v>0</v>
      </c>
      <c r="AC30" s="327">
        <f t="shared" si="13"/>
        <v>0</v>
      </c>
      <c r="AD30" s="327">
        <f t="shared" si="14"/>
        <v>0</v>
      </c>
      <c r="AE30" s="327">
        <f t="shared" si="17"/>
        <v>0</v>
      </c>
      <c r="AF30" s="327">
        <f t="shared" si="18"/>
        <v>0</v>
      </c>
      <c r="AG30" s="337">
        <f>SUMIF(Tabellák!$AV$7:$AV$52,X30,Tabellák!$AW$7:$AW$52)</f>
        <v>0</v>
      </c>
      <c r="AH30" s="397">
        <f t="shared" si="19"/>
        <v>0.24</v>
      </c>
      <c r="AI30" s="327" t="s">
        <v>810</v>
      </c>
      <c r="AJ30" s="392"/>
    </row>
    <row r="31" spans="2:36" ht="11.25" customHeight="1" x14ac:dyDescent="0.3">
      <c r="U31" s="399"/>
      <c r="W31" s="399"/>
      <c r="X31" s="324"/>
      <c r="Y31" s="325"/>
      <c r="Z31" s="325"/>
      <c r="AA31" s="325"/>
      <c r="AB31" s="325"/>
      <c r="AC31" s="325"/>
      <c r="AD31" s="325"/>
      <c r="AE31" s="325"/>
      <c r="AF31" s="325"/>
      <c r="AG31" s="325"/>
      <c r="AH31" s="325"/>
      <c r="AI31" s="325"/>
      <c r="AJ31" s="392"/>
    </row>
    <row r="32" spans="2:36" ht="11.25" customHeight="1" x14ac:dyDescent="0.3">
      <c r="U32" s="399"/>
      <c r="W32" s="399"/>
      <c r="X32" s="324"/>
      <c r="Y32" s="325"/>
      <c r="Z32" s="325"/>
      <c r="AA32" s="325"/>
      <c r="AB32" s="325"/>
      <c r="AC32" s="325"/>
      <c r="AD32" s="325"/>
      <c r="AE32" s="325"/>
      <c r="AF32" s="325"/>
      <c r="AG32" s="325"/>
      <c r="AH32" s="325"/>
      <c r="AI32" s="325"/>
      <c r="AJ32" s="392"/>
    </row>
    <row r="33" spans="9:36" ht="11.25" customHeight="1" x14ac:dyDescent="0.3">
      <c r="U33" s="399"/>
      <c r="W33" s="399"/>
      <c r="X33" s="324"/>
      <c r="Y33" s="325"/>
      <c r="Z33" s="325"/>
      <c r="AA33" s="325"/>
      <c r="AB33" s="325"/>
      <c r="AC33" s="325"/>
      <c r="AD33" s="325"/>
      <c r="AE33" s="325"/>
      <c r="AF33" s="325"/>
      <c r="AG33" s="325"/>
      <c r="AH33" s="325"/>
      <c r="AI33" s="325"/>
      <c r="AJ33" s="392"/>
    </row>
    <row r="34" spans="9:36" ht="11.25" customHeight="1" x14ac:dyDescent="0.3">
      <c r="U34" s="399"/>
      <c r="W34" s="399"/>
      <c r="X34" s="324"/>
      <c r="Y34" s="325"/>
      <c r="Z34" s="325"/>
      <c r="AA34" s="325"/>
      <c r="AB34" s="325"/>
      <c r="AC34" s="325"/>
      <c r="AD34" s="325"/>
      <c r="AE34" s="325"/>
      <c r="AF34" s="325"/>
      <c r="AG34" s="325"/>
      <c r="AH34" s="325"/>
      <c r="AI34" s="325"/>
      <c r="AJ34" s="392"/>
    </row>
    <row r="35" spans="9:36" ht="11.25" customHeight="1" x14ac:dyDescent="0.3">
      <c r="U35" s="399"/>
      <c r="W35" s="399"/>
      <c r="X35" s="324"/>
      <c r="Y35" s="325"/>
      <c r="Z35" s="325"/>
      <c r="AA35" s="325"/>
      <c r="AB35" s="325"/>
      <c r="AC35" s="325"/>
      <c r="AD35" s="325"/>
      <c r="AE35" s="325"/>
      <c r="AF35" s="325"/>
      <c r="AG35" s="325"/>
      <c r="AH35" s="325"/>
      <c r="AI35" s="325"/>
      <c r="AJ35" s="392"/>
    </row>
    <row r="36" spans="9:36" ht="11.25" customHeight="1" x14ac:dyDescent="0.3">
      <c r="U36" s="399"/>
      <c r="W36" s="399"/>
      <c r="X36" s="324"/>
      <c r="Y36" s="325"/>
      <c r="Z36" s="325"/>
      <c r="AA36" s="325"/>
      <c r="AB36" s="325"/>
      <c r="AC36" s="325"/>
      <c r="AD36" s="325"/>
      <c r="AE36" s="325"/>
      <c r="AF36" s="325"/>
      <c r="AG36" s="325"/>
      <c r="AH36" s="325"/>
      <c r="AI36" s="325"/>
      <c r="AJ36" s="392"/>
    </row>
    <row r="37" spans="9:36" ht="11.25" customHeight="1" x14ac:dyDescent="0.3">
      <c r="U37" s="399"/>
      <c r="W37" s="399"/>
      <c r="X37" s="324"/>
      <c r="Y37" s="325"/>
      <c r="Z37" s="325"/>
      <c r="AA37" s="325"/>
      <c r="AB37" s="325"/>
      <c r="AC37" s="325"/>
      <c r="AD37" s="325"/>
      <c r="AE37" s="325"/>
      <c r="AF37" s="325"/>
      <c r="AG37" s="325"/>
      <c r="AH37" s="325"/>
      <c r="AI37" s="325"/>
      <c r="AJ37" s="392"/>
    </row>
    <row r="38" spans="9:36" ht="11.25" customHeight="1" x14ac:dyDescent="0.3">
      <c r="U38" s="399"/>
      <c r="W38" s="399"/>
      <c r="X38" s="324"/>
      <c r="Y38" s="325"/>
      <c r="Z38" s="325"/>
      <c r="AA38" s="325"/>
      <c r="AB38" s="325"/>
      <c r="AC38" s="325"/>
      <c r="AD38" s="325"/>
      <c r="AE38" s="325"/>
      <c r="AF38" s="325"/>
      <c r="AG38" s="325"/>
      <c r="AH38" s="325"/>
      <c r="AI38" s="325"/>
      <c r="AJ38" s="392"/>
    </row>
    <row r="39" spans="9:36" x14ac:dyDescent="0.3">
      <c r="U39" s="399"/>
      <c r="W39" s="399"/>
      <c r="X39" s="324"/>
      <c r="Y39" s="325"/>
      <c r="Z39" s="325"/>
      <c r="AA39" s="325"/>
      <c r="AB39" s="325"/>
      <c r="AC39" s="325"/>
      <c r="AD39" s="325"/>
      <c r="AE39" s="325"/>
      <c r="AF39" s="325"/>
      <c r="AG39" s="325"/>
      <c r="AH39" s="325"/>
      <c r="AI39" s="325"/>
    </row>
    <row r="40" spans="9:36" x14ac:dyDescent="0.3">
      <c r="U40" s="399"/>
      <c r="W40" s="399"/>
      <c r="X40" s="324"/>
      <c r="Y40" s="325"/>
      <c r="Z40" s="325"/>
      <c r="AA40" s="325"/>
      <c r="AB40" s="325"/>
      <c r="AC40" s="325"/>
      <c r="AD40" s="325"/>
      <c r="AE40" s="325"/>
      <c r="AF40" s="325"/>
      <c r="AG40" s="325"/>
      <c r="AH40" s="325"/>
      <c r="AI40" s="325"/>
    </row>
    <row r="41" spans="9:36" x14ac:dyDescent="0.3">
      <c r="U41" s="399"/>
      <c r="W41" s="399"/>
      <c r="X41" s="324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</row>
    <row r="42" spans="9:36" x14ac:dyDescent="0.3">
      <c r="U42" s="399"/>
      <c r="W42" s="399"/>
      <c r="X42" s="324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</row>
    <row r="43" spans="9:36" x14ac:dyDescent="0.3">
      <c r="X43" s="324"/>
    </row>
    <row r="44" spans="9:36" x14ac:dyDescent="0.3">
      <c r="X44" s="324"/>
    </row>
    <row r="45" spans="9:36" x14ac:dyDescent="0.3">
      <c r="X45" s="324"/>
    </row>
    <row r="46" spans="9:36" x14ac:dyDescent="0.3">
      <c r="X46" s="324"/>
    </row>
    <row r="47" spans="9:36" x14ac:dyDescent="0.3">
      <c r="I47" s="102"/>
    </row>
    <row r="50" spans="21:34" x14ac:dyDescent="0.3">
      <c r="U50" s="392"/>
      <c r="W50" s="392"/>
      <c r="AH50" s="392"/>
    </row>
    <row r="51" spans="21:34" x14ac:dyDescent="0.3">
      <c r="U51" s="392"/>
      <c r="W51" s="392"/>
      <c r="AH51" s="392"/>
    </row>
    <row r="52" spans="21:34" x14ac:dyDescent="0.3">
      <c r="U52" s="392"/>
      <c r="W52" s="392"/>
      <c r="AH52" s="392"/>
    </row>
    <row r="53" spans="21:34" x14ac:dyDescent="0.3">
      <c r="U53" s="392"/>
      <c r="W53" s="392"/>
      <c r="AH53" s="392"/>
    </row>
    <row r="54" spans="21:34" x14ac:dyDescent="0.3">
      <c r="U54" s="392"/>
      <c r="W54" s="392"/>
      <c r="AH54" s="392"/>
    </row>
    <row r="55" spans="21:34" x14ac:dyDescent="0.3">
      <c r="U55" s="392"/>
      <c r="W55" s="392"/>
      <c r="AH55" s="392"/>
    </row>
    <row r="115" spans="1:1" x14ac:dyDescent="0.3">
      <c r="A115" s="2"/>
    </row>
    <row r="116" spans="1:1" x14ac:dyDescent="0.3">
      <c r="A116" s="2"/>
    </row>
    <row r="140" spans="1:1" x14ac:dyDescent="0.3">
      <c r="A140" s="765"/>
    </row>
    <row r="141" spans="1:1" x14ac:dyDescent="0.3">
      <c r="A141" s="765"/>
    </row>
    <row r="142" spans="1:1" x14ac:dyDescent="0.3">
      <c r="A142" s="765"/>
    </row>
    <row r="143" spans="1:1" x14ac:dyDescent="0.3">
      <c r="A143" s="765"/>
    </row>
    <row r="144" spans="1:1" x14ac:dyDescent="0.3">
      <c r="A144" s="765"/>
    </row>
    <row r="145" spans="1:1" x14ac:dyDescent="0.3">
      <c r="A145" s="765"/>
    </row>
    <row r="146" spans="1:1" x14ac:dyDescent="0.3">
      <c r="A146" s="765"/>
    </row>
    <row r="147" spans="1:1" x14ac:dyDescent="0.3">
      <c r="A147" s="765"/>
    </row>
    <row r="148" spans="1:1" x14ac:dyDescent="0.3">
      <c r="A148" s="765"/>
    </row>
    <row r="149" spans="1:1" x14ac:dyDescent="0.3">
      <c r="A149" s="765"/>
    </row>
    <row r="150" spans="1:1" x14ac:dyDescent="0.3">
      <c r="A150" s="765"/>
    </row>
    <row r="151" spans="1:1" x14ac:dyDescent="0.3">
      <c r="A151" s="765"/>
    </row>
    <row r="152" spans="1:1" x14ac:dyDescent="0.3">
      <c r="A152" s="765"/>
    </row>
    <row r="153" spans="1:1" x14ac:dyDescent="0.3">
      <c r="A153" s="765"/>
    </row>
    <row r="154" spans="1:1" x14ac:dyDescent="0.3">
      <c r="A154" s="765"/>
    </row>
    <row r="155" spans="1:1" x14ac:dyDescent="0.3">
      <c r="A155" s="765"/>
    </row>
    <row r="156" spans="1:1" x14ac:dyDescent="0.3">
      <c r="A156" s="765"/>
    </row>
    <row r="157" spans="1:1" x14ac:dyDescent="0.3">
      <c r="A157" s="765"/>
    </row>
    <row r="158" spans="1:1" x14ac:dyDescent="0.3">
      <c r="A158" s="765"/>
    </row>
    <row r="159" spans="1:1" x14ac:dyDescent="0.3">
      <c r="A159" s="765"/>
    </row>
    <row r="160" spans="1:1" x14ac:dyDescent="0.3">
      <c r="A160" s="765"/>
    </row>
    <row r="161" spans="1:1" x14ac:dyDescent="0.3">
      <c r="A161" s="765"/>
    </row>
    <row r="162" spans="1:1" x14ac:dyDescent="0.3">
      <c r="A162" s="765"/>
    </row>
  </sheetData>
  <sheetProtection sheet="1" objects="1" scenarios="1"/>
  <mergeCells count="1">
    <mergeCell ref="A140:A162"/>
  </mergeCells>
  <phoneticPr fontId="2" type="noConversion"/>
  <conditionalFormatting sqref="F7:K30">
    <cfRule type="expression" dxfId="92" priority="1" stopIfTrue="1">
      <formula>SUM($F$7:$F$10)&gt;=24</formula>
    </cfRule>
  </conditionalFormatting>
  <pageMargins left="0.31496062992125984" right="0.31496062992125984" top="0.51181102362204722" bottom="0.51181102362204722" header="0.51181102362204722" footer="0.51181102362204722"/>
  <pageSetup paperSize="9" scale="79" orientation="landscape" horizontalDpi="300" verticalDpi="300" r:id="rId1"/>
  <headerFooter alignWithMargins="0"/>
  <drawing r:id="rId2"/>
  <picture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7">
    <pageSetUpPr autoPageBreaks="0"/>
  </sheetPr>
  <dimension ref="A1:DK674"/>
  <sheetViews>
    <sheetView showGridLines="0" showRowColHeaders="0" zoomScaleNormal="100" workbookViewId="0">
      <pane ySplit="4" topLeftCell="A5" activePane="bottomLeft" state="frozen"/>
      <selection activeCell="A453" sqref="A453:A486"/>
      <selection pane="bottomLeft"/>
    </sheetView>
  </sheetViews>
  <sheetFormatPr defaultRowHeight="15" x14ac:dyDescent="0.3"/>
  <cols>
    <col min="1" max="1" width="1.42578125" style="564" customWidth="1"/>
    <col min="2" max="2" width="3.28515625" style="10" customWidth="1"/>
    <col min="3" max="3" width="17.140625" style="10" customWidth="1"/>
    <col min="4" max="4" width="20" style="10" customWidth="1"/>
    <col min="5" max="6" width="4.7109375" style="10" customWidth="1"/>
    <col min="7" max="7" width="20" style="10" customWidth="1"/>
    <col min="8" max="8" width="17.140625" style="10" customWidth="1"/>
    <col min="9" max="9" width="5" style="127" customWidth="1"/>
    <col min="10" max="10" width="17.140625" style="10" customWidth="1"/>
    <col min="11" max="11" width="20" style="10" customWidth="1"/>
    <col min="12" max="13" width="4.7109375" style="10" customWidth="1"/>
    <col min="14" max="14" width="20" style="10" customWidth="1"/>
    <col min="15" max="15" width="17.140625" style="10" customWidth="1"/>
    <col min="16" max="16" width="2.7109375" style="10" customWidth="1"/>
    <col min="17" max="19" width="9.140625" style="10"/>
    <col min="20" max="20" width="3" style="483" hidden="1" customWidth="1"/>
    <col min="21" max="21" width="4.5703125" style="485" hidden="1" customWidth="1"/>
    <col min="22" max="22" width="9" style="485" hidden="1" customWidth="1"/>
    <col min="23" max="26" width="4.42578125" style="485" hidden="1" customWidth="1"/>
    <col min="27" max="27" width="4.140625" style="485" hidden="1" customWidth="1"/>
    <col min="28" max="31" width="6.42578125" style="485" hidden="1" customWidth="1"/>
    <col min="32" max="32" width="4" style="485" hidden="1" customWidth="1"/>
    <col min="33" max="33" width="4.140625" style="485" hidden="1" customWidth="1"/>
    <col min="34" max="41" width="4.28515625" style="485" hidden="1" customWidth="1"/>
    <col min="42" max="42" width="4.140625" style="485" hidden="1" customWidth="1"/>
    <col min="43" max="46" width="9.140625" style="485" hidden="1" customWidth="1"/>
    <col min="47" max="47" width="5.5703125" style="485" hidden="1" customWidth="1"/>
    <col min="48" max="48" width="2.85546875" style="500" hidden="1" customWidth="1"/>
    <col min="49" max="50" width="5.42578125" style="323" hidden="1" customWidth="1"/>
    <col min="51" max="51" width="9.140625" style="485" hidden="1" customWidth="1"/>
    <col min="52" max="52" width="5.42578125" style="323" hidden="1" customWidth="1"/>
    <col min="53" max="53" width="9.140625" style="485" hidden="1" customWidth="1"/>
    <col min="54" max="54" width="5.42578125" style="323" hidden="1" customWidth="1"/>
    <col min="55" max="55" width="9.140625" style="485" hidden="1" customWidth="1"/>
    <col min="56" max="56" width="5.42578125" style="323" hidden="1" customWidth="1"/>
    <col min="57" max="57" width="9.140625" style="485" hidden="1" customWidth="1"/>
    <col min="58" max="58" width="5.42578125" style="323" hidden="1" customWidth="1"/>
    <col min="59" max="59" width="9.140625" style="485" hidden="1" customWidth="1"/>
    <col min="60" max="60" width="5.42578125" style="323" hidden="1" customWidth="1"/>
    <col min="61" max="61" width="9.140625" style="485" hidden="1" customWidth="1"/>
    <col min="62" max="62" width="5.42578125" style="323" hidden="1" customWidth="1"/>
    <col min="63" max="63" width="9.140625" style="485" hidden="1" customWidth="1"/>
    <col min="64" max="64" width="5.42578125" style="323" hidden="1" customWidth="1"/>
    <col min="65" max="65" width="9.140625" style="485" hidden="1" customWidth="1"/>
    <col min="66" max="66" width="5.42578125" style="323" hidden="1" customWidth="1"/>
    <col min="67" max="67" width="9.140625" style="485" hidden="1" customWidth="1"/>
    <col min="68" max="68" width="5.42578125" style="323" hidden="1" customWidth="1"/>
    <col min="69" max="69" width="9.140625" style="485" hidden="1" customWidth="1"/>
    <col min="70" max="70" width="5.42578125" style="323" hidden="1" customWidth="1"/>
    <col min="71" max="71" width="9.140625" style="485" hidden="1" customWidth="1"/>
    <col min="72" max="72" width="5.42578125" style="323" hidden="1" customWidth="1"/>
    <col min="73" max="73" width="9.140625" style="485" hidden="1" customWidth="1"/>
    <col min="74" max="74" width="5.42578125" style="323" hidden="1" customWidth="1"/>
    <col min="75" max="75" width="9.140625" style="485" hidden="1" customWidth="1"/>
    <col min="76" max="76" width="5.42578125" style="323" hidden="1" customWidth="1"/>
    <col min="77" max="77" width="9.140625" style="485" hidden="1" customWidth="1"/>
    <col min="78" max="78" width="5.42578125" style="323" hidden="1" customWidth="1"/>
    <col min="79" max="79" width="9.140625" style="485" hidden="1" customWidth="1"/>
    <col min="80" max="80" width="5.42578125" style="323" hidden="1" customWidth="1"/>
    <col min="81" max="81" width="9.140625" style="485" hidden="1" customWidth="1"/>
    <col min="82" max="82" width="5.42578125" style="323" hidden="1" customWidth="1"/>
    <col min="83" max="83" width="9.140625" style="485" hidden="1" customWidth="1"/>
    <col min="84" max="84" width="5.42578125" style="323" hidden="1" customWidth="1"/>
    <col min="85" max="85" width="9.140625" style="485" hidden="1" customWidth="1"/>
    <col min="86" max="86" width="5.42578125" style="323" hidden="1" customWidth="1"/>
    <col min="87" max="87" width="9.140625" style="485" hidden="1" customWidth="1"/>
    <col min="88" max="88" width="5.42578125" style="323" hidden="1" customWidth="1"/>
    <col min="89" max="89" width="9.140625" style="485" hidden="1" customWidth="1"/>
    <col min="90" max="90" width="5.42578125" style="323" hidden="1" customWidth="1"/>
    <col min="91" max="91" width="9.140625" style="485" hidden="1" customWidth="1"/>
    <col min="92" max="92" width="5.42578125" style="323" hidden="1" customWidth="1"/>
    <col min="93" max="93" width="9.140625" style="485" hidden="1" customWidth="1"/>
    <col min="94" max="94" width="5.42578125" style="323" hidden="1" customWidth="1"/>
    <col min="95" max="95" width="9.140625" style="485" hidden="1" customWidth="1"/>
    <col min="96" max="96" width="5.42578125" style="323" hidden="1" customWidth="1"/>
    <col min="97" max="97" width="9.140625" style="485" hidden="1" customWidth="1"/>
    <col min="98" max="98" width="5.42578125" style="323" hidden="1" customWidth="1"/>
    <col min="99" max="99" width="9.140625" style="485" hidden="1" customWidth="1"/>
    <col min="100" max="100" width="5.42578125" style="323" hidden="1" customWidth="1"/>
    <col min="101" max="101" width="9.140625" style="485" hidden="1" customWidth="1"/>
    <col min="102" max="102" width="5.42578125" style="323" hidden="1" customWidth="1"/>
    <col min="103" max="103" width="9.140625" style="485" hidden="1" customWidth="1"/>
    <col min="104" max="104" width="5.42578125" style="323" hidden="1" customWidth="1"/>
    <col min="105" max="105" width="9.140625" style="485" hidden="1" customWidth="1"/>
    <col min="106" max="106" width="5.42578125" style="323" hidden="1" customWidth="1"/>
    <col min="107" max="107" width="9.140625" style="485" hidden="1" customWidth="1"/>
    <col min="108" max="108" width="5.42578125" style="323" hidden="1" customWidth="1"/>
    <col min="109" max="109" width="9.140625" style="485" hidden="1" customWidth="1"/>
    <col min="110" max="110" width="5.42578125" style="323" hidden="1" customWidth="1"/>
    <col min="111" max="111" width="9.140625" style="485" hidden="1" customWidth="1"/>
    <col min="112" max="112" width="5.42578125" style="323" hidden="1" customWidth="1"/>
    <col min="113" max="113" width="9.140625" style="485" hidden="1" customWidth="1"/>
    <col min="114" max="114" width="5.42578125" style="323" hidden="1" customWidth="1"/>
    <col min="115" max="115" width="2.85546875" style="500" hidden="1" customWidth="1"/>
    <col min="116" max="16384" width="9.140625" style="10"/>
  </cols>
  <sheetData>
    <row r="1" spans="1:115" s="561" customFormat="1" ht="9.75" customHeight="1" x14ac:dyDescent="0.2">
      <c r="G1" s="562"/>
    </row>
    <row r="2" spans="1:115" s="561" customFormat="1" ht="9.75" customHeight="1" x14ac:dyDescent="0.2">
      <c r="G2" s="562"/>
    </row>
    <row r="3" spans="1:115" s="561" customFormat="1" ht="9" customHeight="1" thickBot="1" x14ac:dyDescent="0.25">
      <c r="A3" s="563"/>
      <c r="B3" s="563"/>
      <c r="C3" s="563"/>
      <c r="D3" s="563"/>
      <c r="E3" s="563"/>
      <c r="F3" s="563"/>
      <c r="G3" s="562"/>
    </row>
    <row r="4" spans="1:115" s="565" customFormat="1" ht="12" customHeight="1" thickTop="1" x14ac:dyDescent="0.2">
      <c r="B4" s="567" t="s">
        <v>682</v>
      </c>
      <c r="G4" s="566"/>
    </row>
    <row r="5" spans="1:115" ht="6" customHeight="1" x14ac:dyDescent="0.3">
      <c r="A5" s="765"/>
      <c r="AR5" s="486"/>
      <c r="AS5" s="486"/>
      <c r="AT5" s="486"/>
    </row>
    <row r="6" spans="1:115" s="138" customFormat="1" ht="12" customHeight="1" x14ac:dyDescent="0.2">
      <c r="A6" s="765"/>
      <c r="B6" s="137"/>
      <c r="C6" s="247" t="str">
        <f>W11</f>
        <v>JÚNIUS 11. – PÉNTEK 21:00</v>
      </c>
      <c r="D6" s="227"/>
      <c r="E6" s="228"/>
      <c r="F6" s="229"/>
      <c r="G6" s="230"/>
      <c r="H6" s="231" t="str">
        <f>W12</f>
        <v>1. CSOPORTMÉRKŐZÉS</v>
      </c>
      <c r="J6" s="246" t="str">
        <f>Y11</f>
        <v>JÚNIUS 12. – SZOMBAT 15:00</v>
      </c>
      <c r="K6" s="227"/>
      <c r="L6" s="228"/>
      <c r="M6" s="229"/>
      <c r="N6" s="230"/>
      <c r="O6" s="226" t="str">
        <f>Y12</f>
        <v>1. CSOPORTMÉRKŐZÉS</v>
      </c>
      <c r="P6" s="139"/>
      <c r="Q6" s="140"/>
      <c r="R6" s="141"/>
      <c r="S6" s="141"/>
      <c r="T6" s="484"/>
      <c r="U6" s="485"/>
      <c r="V6" s="485"/>
      <c r="W6" s="485"/>
      <c r="X6" s="485"/>
      <c r="Y6" s="485"/>
      <c r="Z6" s="485"/>
      <c r="AA6" s="485"/>
      <c r="AB6" s="485"/>
      <c r="AC6" s="485"/>
      <c r="AD6" s="485"/>
      <c r="AE6" s="485"/>
      <c r="AF6" s="485"/>
      <c r="AG6" s="485"/>
      <c r="AH6" s="485"/>
      <c r="AI6" s="485"/>
      <c r="AJ6" s="485"/>
      <c r="AK6" s="485"/>
      <c r="AL6" s="485"/>
      <c r="AM6" s="485"/>
      <c r="AN6" s="485"/>
      <c r="AO6" s="485"/>
      <c r="AP6" s="485"/>
      <c r="AQ6" s="323"/>
      <c r="AR6" s="323"/>
      <c r="AS6" s="323"/>
      <c r="AT6" s="323"/>
      <c r="AU6" s="485"/>
      <c r="AV6" s="501"/>
      <c r="AW6" s="323"/>
      <c r="AX6" s="323"/>
      <c r="AY6" s="497" t="str">
        <f>Adatok!A2</f>
        <v>Törökország</v>
      </c>
      <c r="AZ6" s="323"/>
      <c r="BA6" s="497" t="str">
        <f>Adatok!A3</f>
        <v>Olaszország</v>
      </c>
      <c r="BB6" s="323"/>
      <c r="BC6" s="497" t="str">
        <f>Adatok!A4</f>
        <v>Wales</v>
      </c>
      <c r="BD6" s="323"/>
      <c r="BE6" s="497" t="str">
        <f>Adatok!A5</f>
        <v>Svájc</v>
      </c>
      <c r="BF6" s="323"/>
      <c r="BG6" s="497" t="str">
        <f>Adatok!B2</f>
        <v>Dánia</v>
      </c>
      <c r="BH6" s="323"/>
      <c r="BI6" s="497" t="str">
        <f>Adatok!B3</f>
        <v>Finnország</v>
      </c>
      <c r="BJ6" s="323"/>
      <c r="BK6" s="497" t="str">
        <f>Adatok!B4</f>
        <v>Belgium</v>
      </c>
      <c r="BL6" s="323"/>
      <c r="BM6" s="497" t="str">
        <f>Adatok!B5</f>
        <v>Oroszország</v>
      </c>
      <c r="BN6" s="323"/>
      <c r="BO6" s="497" t="str">
        <f>Adatok!C2</f>
        <v>Hollandia</v>
      </c>
      <c r="BP6" s="323"/>
      <c r="BQ6" s="497" t="str">
        <f>Adatok!C3</f>
        <v>Ukrajna</v>
      </c>
      <c r="BR6" s="323"/>
      <c r="BS6" s="497" t="str">
        <f>Adatok!C4</f>
        <v>Ausztria</v>
      </c>
      <c r="BT6" s="323"/>
      <c r="BU6" s="497" t="str">
        <f>Adatok!C5</f>
        <v>Észak-Macedónia</v>
      </c>
      <c r="BV6" s="323"/>
      <c r="BW6" s="497" t="str">
        <f>Adatok!D2</f>
        <v>Anglia</v>
      </c>
      <c r="BX6" s="323"/>
      <c r="BY6" s="497" t="str">
        <f>Adatok!D3</f>
        <v>Horvátország</v>
      </c>
      <c r="BZ6" s="323"/>
      <c r="CA6" s="497" t="str">
        <f>Adatok!D4</f>
        <v>Skócia</v>
      </c>
      <c r="CB6" s="323"/>
      <c r="CC6" s="497" t="str">
        <f>Adatok!D5</f>
        <v>Csehország</v>
      </c>
      <c r="CD6" s="323"/>
      <c r="CE6" s="497" t="str">
        <f>Adatok!E2</f>
        <v>Spanyolország</v>
      </c>
      <c r="CF6" s="323"/>
      <c r="CG6" s="497" t="str">
        <f>Adatok!E3</f>
        <v>Svédország</v>
      </c>
      <c r="CH6" s="323"/>
      <c r="CI6" s="497" t="str">
        <f>Adatok!E4</f>
        <v>Lengyelország</v>
      </c>
      <c r="CJ6" s="323"/>
      <c r="CK6" s="497" t="str">
        <f>Adatok!E5</f>
        <v>Szlovákia</v>
      </c>
      <c r="CL6" s="323"/>
      <c r="CM6" s="497" t="str">
        <f>Adatok!F2</f>
        <v>MAGYARORSZÁG</v>
      </c>
      <c r="CN6" s="323"/>
      <c r="CO6" s="497" t="str">
        <f>Adatok!F3</f>
        <v>Portugália</v>
      </c>
      <c r="CP6" s="323"/>
      <c r="CQ6" s="497" t="str">
        <f>Adatok!F4</f>
        <v>Franciaország</v>
      </c>
      <c r="CR6" s="323"/>
      <c r="CS6" s="497" t="str">
        <f>Adatok!F5</f>
        <v>Németország</v>
      </c>
      <c r="CT6" s="323"/>
      <c r="CU6" s="497"/>
      <c r="CV6" s="323"/>
      <c r="CW6" s="497"/>
      <c r="CX6" s="323"/>
      <c r="CY6" s="497"/>
      <c r="CZ6" s="323"/>
      <c r="DA6" s="497"/>
      <c r="DB6" s="323"/>
      <c r="DC6" s="497"/>
      <c r="DD6" s="323"/>
      <c r="DE6" s="497"/>
      <c r="DF6" s="323"/>
      <c r="DG6" s="497"/>
      <c r="DH6" s="323"/>
      <c r="DI6" s="497"/>
      <c r="DJ6" s="323"/>
      <c r="DK6" s="501"/>
    </row>
    <row r="7" spans="1:115" ht="14.25" customHeight="1" x14ac:dyDescent="0.3">
      <c r="A7" s="765"/>
      <c r="C7" s="233" t="str">
        <f>IF(W14=0,"",IF(W14&gt;0,CONCATENATE("még ",W14," gól"),CONCATENATE("túl sok (",W14," gól)")))</f>
        <v/>
      </c>
      <c r="D7" s="714" t="str">
        <f>W15</f>
        <v>Törökország</v>
      </c>
      <c r="E7" s="716" t="str">
        <f>W16</f>
        <v/>
      </c>
      <c r="F7" s="717" t="str">
        <f>X16</f>
        <v/>
      </c>
      <c r="G7" s="715" t="str">
        <f>X15</f>
        <v>Olaszország</v>
      </c>
      <c r="H7" s="232" t="str">
        <f>IF(X14=0,"",IF(X14&gt;0,CONCATENATE("még ",X14," gól"),CONCATENATE("túl sok (",X14," gól)")))</f>
        <v/>
      </c>
      <c r="J7" s="233" t="str">
        <f>IF(Y14=0,"",IF(Y14&gt;0,CONCATENATE("még ",Y14," gól"),CONCATENATE("túl sok (",Y14," gól)")))</f>
        <v/>
      </c>
      <c r="K7" s="714" t="str">
        <f>Y15</f>
        <v>Wales</v>
      </c>
      <c r="L7" s="716" t="str">
        <f>Y16</f>
        <v/>
      </c>
      <c r="M7" s="717" t="str">
        <f>Z16</f>
        <v/>
      </c>
      <c r="N7" s="715" t="str">
        <f>Z15</f>
        <v>Svájc</v>
      </c>
      <c r="O7" s="232" t="str">
        <f>IF(Z14=0,"",IF(Z14&gt;0,CONCATENATE("még ",Z14," gól"),CONCATENATE("túl sok (",Z14," gól)")))</f>
        <v/>
      </c>
      <c r="AB7" s="242" t="str">
        <f>HLOOKUP(D7,nevek.li,2,FALSE)</f>
        <v>nevek.01</v>
      </c>
      <c r="AC7" s="242" t="str">
        <f>HLOOKUP(G7,nevek.li,2,FALSE)</f>
        <v>nevek.02</v>
      </c>
      <c r="AD7" s="242" t="str">
        <f>HLOOKUP(K7,nevek.li,2,FALSE)</f>
        <v>nevek.03</v>
      </c>
      <c r="AE7" s="242" t="str">
        <f>HLOOKUP(N7,nevek.li,2,FALSE)</f>
        <v>nevek.04</v>
      </c>
      <c r="AY7" s="498" t="s">
        <v>714</v>
      </c>
      <c r="BA7" s="498" t="s">
        <v>715</v>
      </c>
      <c r="BC7" s="498" t="s">
        <v>716</v>
      </c>
      <c r="BE7" s="498" t="s">
        <v>717</v>
      </c>
      <c r="BG7" s="498" t="s">
        <v>718</v>
      </c>
      <c r="BI7" s="498" t="s">
        <v>719</v>
      </c>
      <c r="BK7" s="498" t="s">
        <v>720</v>
      </c>
      <c r="BM7" s="498" t="s">
        <v>721</v>
      </c>
      <c r="BO7" s="498" t="s">
        <v>722</v>
      </c>
      <c r="BQ7" s="498" t="s">
        <v>723</v>
      </c>
      <c r="BS7" s="498" t="s">
        <v>724</v>
      </c>
      <c r="BU7" s="498" t="s">
        <v>725</v>
      </c>
      <c r="BW7" s="498" t="s">
        <v>726</v>
      </c>
      <c r="BY7" s="498" t="s">
        <v>727</v>
      </c>
      <c r="CA7" s="498" t="s">
        <v>728</v>
      </c>
      <c r="CC7" s="498" t="s">
        <v>729</v>
      </c>
      <c r="CE7" s="498" t="s">
        <v>730</v>
      </c>
      <c r="CG7" s="498" t="s">
        <v>731</v>
      </c>
      <c r="CI7" s="498" t="s">
        <v>732</v>
      </c>
      <c r="CK7" s="498" t="s">
        <v>733</v>
      </c>
      <c r="CM7" s="498" t="s">
        <v>734</v>
      </c>
      <c r="CO7" s="498" t="s">
        <v>735</v>
      </c>
      <c r="CQ7" s="498" t="s">
        <v>736</v>
      </c>
      <c r="CS7" s="498" t="s">
        <v>737</v>
      </c>
      <c r="CU7" s="498" t="s">
        <v>738</v>
      </c>
      <c r="CW7" s="498" t="s">
        <v>739</v>
      </c>
      <c r="CY7" s="498" t="s">
        <v>740</v>
      </c>
      <c r="DA7" s="498" t="s">
        <v>741</v>
      </c>
      <c r="DC7" s="498" t="s">
        <v>742</v>
      </c>
      <c r="DE7" s="498" t="s">
        <v>743</v>
      </c>
      <c r="DG7" s="498" t="s">
        <v>744</v>
      </c>
      <c r="DI7" s="498" t="s">
        <v>745</v>
      </c>
      <c r="DJ7" s="499"/>
    </row>
    <row r="8" spans="1:115" ht="12" customHeight="1" x14ac:dyDescent="0.3">
      <c r="A8" s="765"/>
      <c r="C8" s="218"/>
      <c r="D8" s="220"/>
      <c r="E8" s="221"/>
      <c r="F8" s="222"/>
      <c r="G8" s="223"/>
      <c r="H8" s="218"/>
      <c r="J8" s="218"/>
      <c r="K8" s="220"/>
      <c r="L8" s="221"/>
      <c r="M8" s="222"/>
      <c r="N8" s="223"/>
      <c r="O8" s="218"/>
      <c r="V8" s="487" t="s">
        <v>706</v>
      </c>
      <c r="W8" s="242">
        <v>1</v>
      </c>
      <c r="X8" s="485" t="str">
        <f>""</f>
        <v/>
      </c>
      <c r="Y8" s="242">
        <v>2</v>
      </c>
      <c r="AB8" s="327" t="str">
        <f>IF(C8="öngól",AC7,AB7)</f>
        <v>nevek.01</v>
      </c>
      <c r="AC8" s="327" t="str">
        <f>IF(H8="öngól",AB7,AC7)</f>
        <v>nevek.02</v>
      </c>
      <c r="AD8" s="327" t="str">
        <f>IF(J8="öngól",AE7,AD7)</f>
        <v>nevek.03</v>
      </c>
      <c r="AE8" s="327" t="str">
        <f>IF(O8="öngól",AD7,AE7)</f>
        <v>nevek.04</v>
      </c>
      <c r="AF8" s="325"/>
      <c r="AG8" s="485">
        <v>1</v>
      </c>
      <c r="AH8" s="488" t="b">
        <f ca="1">AND(W10,X11,D8="",AG8&lt;=W16)</f>
        <v>0</v>
      </c>
      <c r="AI8" s="488" t="b">
        <f ca="1">AND(W10,X11,E8="",AG8&lt;=W16)</f>
        <v>0</v>
      </c>
      <c r="AJ8" s="488" t="b">
        <f ca="1">AND(W10,X11,F8="",AG8&lt;=X16)</f>
        <v>0</v>
      </c>
      <c r="AK8" s="488" t="b">
        <f ca="1">AND(W10,X11,G8="",AG8&lt;=X16)</f>
        <v>0</v>
      </c>
      <c r="AL8" s="488" t="b">
        <f ca="1">AND(Y10,Z11,K8="",AG8&lt;=Y16)</f>
        <v>0</v>
      </c>
      <c r="AM8" s="488" t="b">
        <f ca="1">AND(Y10,Z11,L8="",AG8&lt;=Y16)</f>
        <v>0</v>
      </c>
      <c r="AN8" s="488" t="b">
        <f ca="1">AND(Y10,Z11,M8="",AG8&lt;=Z16)</f>
        <v>0</v>
      </c>
      <c r="AO8" s="488" t="b">
        <f ca="1">AND(Y10,Z11,N8="",AG8&lt;=Z16)</f>
        <v>0</v>
      </c>
      <c r="AQ8" s="326" t="str">
        <f>IF(OR(NOT(Góllista!$E$6),D8=""),"",IF(C8="öngól","ö"&amp;G7&amp;D8,D7&amp;D8))</f>
        <v/>
      </c>
      <c r="AR8" s="326" t="str">
        <f>IF(OR(NOT(Góllista!$E$6),G8=""),"",IF(H8="öngól","ö"&amp;D7&amp;G8,G7&amp;G8))</f>
        <v/>
      </c>
      <c r="AS8" s="326" t="str">
        <f>IF(OR(NOT(Góllista!$E$6),K8=""),"",IF(J8="öngól","ö"&amp;N7&amp;K8,K7&amp;K8))</f>
        <v/>
      </c>
      <c r="AT8" s="326" t="str">
        <f>IF(OR(NOT(Góllista!$E$6),N8=""),"",IF(O8="öngól","ö"&amp;K7&amp;N8,N7&amp;N8))</f>
        <v/>
      </c>
      <c r="AW8" s="485"/>
      <c r="AX8" s="485">
        <f>MATCH(AY6,Csapatok!$H$7:$H$980,0)</f>
        <v>1</v>
      </c>
      <c r="AY8" s="326" t="str">
        <f t="shared" ref="AY8:AY37" si="0">IF(INDEX(nevek,AX8,3)="","",INDEX(nevek,AX8,3))</f>
        <v>Aktürkoglu</v>
      </c>
      <c r="AZ8" s="485">
        <f>MATCH(BA6,Csapatok!$H$7:$H$980,0)</f>
        <v>41</v>
      </c>
      <c r="BA8" s="326" t="str">
        <f t="shared" ref="BA8:BA37" si="1">IF(INDEX(nevek,AZ8,3)="","",INDEX(nevek,AZ8,3))</f>
        <v>Acerbi</v>
      </c>
      <c r="BB8" s="485">
        <f>MATCH(BC6,Csapatok!$H$7:$H$980,0)</f>
        <v>81</v>
      </c>
      <c r="BC8" s="326" t="str">
        <f t="shared" ref="BC8:BC37" si="2">IF(INDEX(nevek,BB8,3)="","",INDEX(nevek,BB8,3))</f>
        <v>Allen</v>
      </c>
      <c r="BD8" s="485">
        <f>MATCH(BE6,Csapatok!$H$7:$H$980,0)</f>
        <v>121</v>
      </c>
      <c r="BE8" s="326" t="str">
        <f t="shared" ref="BE8:BE37" si="3">IF(INDEX(nevek,BD8,3)="","",INDEX(nevek,BD8,3))</f>
        <v>Akanji</v>
      </c>
      <c r="BF8" s="485">
        <f>MATCH(BG6,Csapatok!$H$7:$H$980,0)</f>
        <v>161</v>
      </c>
      <c r="BG8" s="326" t="str">
        <f t="shared" ref="BG8:BG37" si="4">IF(INDEX(nevek,BF8,3)="","",INDEX(nevek,BF8,3))</f>
        <v>Andersen</v>
      </c>
      <c r="BH8" s="485">
        <f>MATCH(BI6,Csapatok!$H$7:$H$980,0)</f>
        <v>201</v>
      </c>
      <c r="BI8" s="326" t="str">
        <f t="shared" ref="BI8:BI37" si="5">IF(INDEX(nevek,BH8,3)="","",INDEX(nevek,BH8,3))</f>
        <v>Arajuuri</v>
      </c>
      <c r="BJ8" s="485">
        <f>MATCH(BK6,Csapatok!$H$7:$H$980,0)</f>
        <v>241</v>
      </c>
      <c r="BK8" s="326" t="str">
        <f t="shared" ref="BK8:BK37" si="6">IF(INDEX(nevek,BJ8,3)="","",INDEX(nevek,BJ8,3))</f>
        <v>Alderweireld</v>
      </c>
      <c r="BL8" s="485">
        <f>MATCH(BM6,Csapatok!$H$7:$H$980,0)</f>
        <v>281</v>
      </c>
      <c r="BM8" s="326" t="str">
        <f t="shared" ref="BM8:BM37" si="7">IF(INDEX(nevek,BL8,3)="","",INDEX(nevek,BL8,3))</f>
        <v>Barinov</v>
      </c>
      <c r="BN8" s="485">
        <f>MATCH(BO6,Csapatok!$H$7:$H$980,0)</f>
        <v>321</v>
      </c>
      <c r="BO8" s="326" t="str">
        <f t="shared" ref="BO8:BO37" si="8">IF(INDEX(nevek,BN8,3)="","",INDEX(nevek,BN8,3))</f>
        <v>Aké</v>
      </c>
      <c r="BP8" s="485">
        <f>MATCH(BQ6,Csapatok!$H$7:$H$980,0)</f>
        <v>361</v>
      </c>
      <c r="BQ8" s="326" t="str">
        <f t="shared" ref="BQ8:BQ37" si="9">IF(INDEX(nevek,BP8,3)="","",INDEX(nevek,BP8,3))</f>
        <v>Beszedin</v>
      </c>
      <c r="BR8" s="485">
        <f>MATCH(BS6,Csapatok!$H$7:$H$980,0)</f>
        <v>401</v>
      </c>
      <c r="BS8" s="326" t="str">
        <f t="shared" ref="BS8:BS37" si="10">IF(INDEX(nevek,BR8,3)="","",INDEX(nevek,BR8,3))</f>
        <v>Alaba</v>
      </c>
      <c r="BT8" s="485">
        <f>MATCH(BU6,Csapatok!$H$7:$H$980,0)</f>
        <v>441</v>
      </c>
      <c r="BU8" s="326" t="str">
        <f t="shared" ref="BU8:BU37" si="11">IF(INDEX(nevek,BT8,3)="","",INDEX(nevek,BT8,3))</f>
        <v>Ademi</v>
      </c>
      <c r="BV8" s="485">
        <f>MATCH(BW6,Csapatok!$H$7:$H$980,0)</f>
        <v>481</v>
      </c>
      <c r="BW8" s="326" t="str">
        <f t="shared" ref="BW8:BW37" si="12">IF(INDEX(nevek,BV8,3)="","",INDEX(nevek,BV8,3))</f>
        <v>Alexander-Arnold</v>
      </c>
      <c r="BX8" s="485">
        <f>MATCH(BY6,Csapatok!$H$7:$H$980,0)</f>
        <v>521</v>
      </c>
      <c r="BY8" s="326" t="str">
        <f t="shared" ref="BY8:BY37" si="13">IF(INDEX(nevek,BX8,3)="","",INDEX(nevek,BX8,3))</f>
        <v>Badelj</v>
      </c>
      <c r="BZ8" s="485">
        <f>MATCH(CA6,Csapatok!$H$7:$H$980,0)</f>
        <v>561</v>
      </c>
      <c r="CA8" s="326" t="str">
        <f t="shared" ref="CA8:CA37" si="14">IF(INDEX(nevek,BZ8,3)="","",INDEX(nevek,BZ8,3))</f>
        <v>Adams</v>
      </c>
      <c r="CB8" s="485">
        <f>MATCH(CC6,Csapatok!$H$7:$H$980,0)</f>
        <v>601</v>
      </c>
      <c r="CC8" s="326" t="str">
        <f t="shared" ref="CC8:CC37" si="15">IF(INDEX(nevek,CB8,3)="","",INDEX(nevek,CB8,3))</f>
        <v>Barák</v>
      </c>
      <c r="CD8" s="485">
        <f>MATCH(CE6,Csapatok!$H$7:$H$980,0)</f>
        <v>641</v>
      </c>
      <c r="CE8" s="326" t="str">
        <f t="shared" ref="CE8:CE23" si="16">IF(INDEX(nevek,CD8,3)="","",INDEX(nevek,CD8,3))</f>
        <v>Alba</v>
      </c>
      <c r="CF8" s="485">
        <f>MATCH(CG6,Csapatok!$H$7:$H$980,0)</f>
        <v>681</v>
      </c>
      <c r="CG8" s="326" t="str">
        <f t="shared" ref="CG8:CG23" si="17">IF(INDEX(nevek,CF8,3)="","",INDEX(nevek,CF8,3))</f>
        <v>Augustinsson</v>
      </c>
      <c r="CH8" s="485">
        <f>MATCH(CI6,Csapatok!$H$7:$H$980,0)</f>
        <v>721</v>
      </c>
      <c r="CI8" s="326" t="str">
        <f t="shared" ref="CI8:CI23" si="18">IF(INDEX(nevek,CH8,3)="","",INDEX(nevek,CH8,3))</f>
        <v>Bednarek</v>
      </c>
      <c r="CJ8" s="485">
        <f>MATCH(CK6,Csapatok!$H$7:$H$980,0)</f>
        <v>761</v>
      </c>
      <c r="CK8" s="326" t="str">
        <f t="shared" ref="CK8:CK23" si="19">IF(INDEX(nevek,CJ8,3)="","",INDEX(nevek,CJ8,3))</f>
        <v>Bénes</v>
      </c>
      <c r="CL8" s="485">
        <f>MATCH(CM6,Csapatok!$H$7:$H$980,0)</f>
        <v>801</v>
      </c>
      <c r="CM8" s="326" t="str">
        <f t="shared" ref="CM8:CM23" si="20">IF(INDEX(nevek,CL8,3)="","",INDEX(nevek,CL8,3))</f>
        <v>Bogdán</v>
      </c>
      <c r="CN8" s="485">
        <f>MATCH(CO6,Csapatok!$H$7:$H$980,0)</f>
        <v>841</v>
      </c>
      <c r="CO8" s="326" t="str">
        <f t="shared" ref="CO8:CO23" si="21">IF(INDEX(nevek,CN8,3)="","",INDEX(nevek,CN8,3))</f>
        <v>Cancelo</v>
      </c>
      <c r="CP8" s="485">
        <f>MATCH(CQ6,Csapatok!$H$7:$H$980,0)</f>
        <v>881</v>
      </c>
      <c r="CQ8" s="326" t="str">
        <f t="shared" ref="CQ8:CQ23" si="22">IF(INDEX(nevek,CP8,3)="","",INDEX(nevek,CP8,3))</f>
        <v>Ben Yedder</v>
      </c>
      <c r="CR8" s="485">
        <f>MATCH(CS6,Csapatok!$H$7:$H$980,0)</f>
        <v>921</v>
      </c>
      <c r="CS8" s="326" t="str">
        <f t="shared" ref="CS8:CS23" si="23">IF(INDEX(nevek,CR8,3)="","",INDEX(nevek,CR8,3))</f>
        <v>Can</v>
      </c>
      <c r="CT8" s="485" t="e">
        <f>MATCH(CU6,Csapatok!$H$7:$H$980,0)</f>
        <v>#N/A</v>
      </c>
      <c r="CU8" s="326"/>
      <c r="CV8" s="485" t="e">
        <f>MATCH(CW6,Csapatok!$H$7:$H$980,0)</f>
        <v>#N/A</v>
      </c>
      <c r="CW8" s="326"/>
      <c r="CX8" s="485" t="e">
        <f>MATCH(CY6,Csapatok!$H$7:$H$980,0)</f>
        <v>#N/A</v>
      </c>
      <c r="CY8" s="326"/>
      <c r="CZ8" s="485" t="e">
        <f>MATCH(DA6,Csapatok!$H$7:$H$980,0)</f>
        <v>#N/A</v>
      </c>
      <c r="DA8" s="326"/>
      <c r="DB8" s="485" t="e">
        <f>MATCH(DC6,Csapatok!$H$7:$H$980,0)</f>
        <v>#N/A</v>
      </c>
      <c r="DC8" s="326"/>
      <c r="DD8" s="485" t="e">
        <f>MATCH(DE6,Csapatok!$H$7:$H$980,0)</f>
        <v>#N/A</v>
      </c>
      <c r="DE8" s="326"/>
      <c r="DF8" s="485" t="e">
        <f>MATCH(DG6,Csapatok!$H$7:$H$980,0)</f>
        <v>#N/A</v>
      </c>
      <c r="DG8" s="326"/>
      <c r="DH8" s="485" t="e">
        <f>MATCH(DI6,Csapatok!$H$7:$H$980,0)</f>
        <v>#N/A</v>
      </c>
      <c r="DI8" s="326"/>
      <c r="DJ8" s="499"/>
    </row>
    <row r="9" spans="1:115" ht="12" customHeight="1" x14ac:dyDescent="0.3">
      <c r="A9" s="765"/>
      <c r="C9" s="219"/>
      <c r="D9" s="220"/>
      <c r="E9" s="224"/>
      <c r="F9" s="222"/>
      <c r="G9" s="223"/>
      <c r="H9" s="219"/>
      <c r="J9" s="219"/>
      <c r="K9" s="220"/>
      <c r="L9" s="224"/>
      <c r="M9" s="222"/>
      <c r="N9" s="223"/>
      <c r="O9" s="219"/>
      <c r="V9" s="487" t="s">
        <v>711</v>
      </c>
      <c r="W9" s="327">
        <f>MATCH(W8,n.er.index,0)</f>
        <v>1</v>
      </c>
      <c r="X9" s="485" t="str">
        <f>""</f>
        <v/>
      </c>
      <c r="Y9" s="327">
        <f>MATCH(Y8,n.er.index,0)</f>
        <v>6</v>
      </c>
      <c r="AB9" s="327" t="str">
        <f>IF(C9="öngól",AC7,AB7)</f>
        <v>nevek.01</v>
      </c>
      <c r="AC9" s="327" t="str">
        <f>IF(H9="öngól",AB7,AC7)</f>
        <v>nevek.02</v>
      </c>
      <c r="AD9" s="327" t="str">
        <f>IF(J9="öngól",AE7,AD7)</f>
        <v>nevek.03</v>
      </c>
      <c r="AE9" s="327" t="str">
        <f>IF(O9="öngól",AD7,AE7)</f>
        <v>nevek.04</v>
      </c>
      <c r="AF9" s="325"/>
      <c r="AG9" s="485">
        <v>2</v>
      </c>
      <c r="AH9" s="488" t="b">
        <f ca="1">AND(W10,X11,D9="",AG9&lt;=W16)</f>
        <v>0</v>
      </c>
      <c r="AI9" s="488" t="b">
        <f ca="1">AND(W10,X11,E9="",AG9&lt;=W16)</f>
        <v>0</v>
      </c>
      <c r="AJ9" s="488" t="b">
        <f ca="1">AND(W10,X11,F9="",AG9&lt;=X16)</f>
        <v>0</v>
      </c>
      <c r="AK9" s="488" t="b">
        <f ca="1">AND(W10,X11,G9="",AG9&lt;=X16)</f>
        <v>0</v>
      </c>
      <c r="AL9" s="488" t="b">
        <f ca="1">AND(Y10,Z11,K9="",AG9&lt;=Y16)</f>
        <v>0</v>
      </c>
      <c r="AM9" s="488" t="b">
        <f ca="1">AND(Y10,Z11,L9="",AG9&lt;=Y16)</f>
        <v>0</v>
      </c>
      <c r="AN9" s="488" t="b">
        <f ca="1">AND(Y10,Z11,M9="",AG9&lt;=Z16)</f>
        <v>0</v>
      </c>
      <c r="AO9" s="488" t="b">
        <f ca="1">AND(Y10,Z11,N9="",AG9&lt;=Z16)</f>
        <v>0</v>
      </c>
      <c r="AQ9" s="326" t="str">
        <f>IF(OR(NOT(Góllista!$E$6),D9=""),"",IF(C9="öngól","ö"&amp;G7&amp;D9,D7&amp;D9))</f>
        <v/>
      </c>
      <c r="AR9" s="326" t="str">
        <f>IF(OR(NOT(Góllista!$E$6),G9=""),"",IF(H9="öngól","ö"&amp;D7&amp;G9,G7&amp;G9))</f>
        <v/>
      </c>
      <c r="AS9" s="326" t="str">
        <f>IF(OR(NOT(Góllista!$E$6),K9=""),"",IF(J9="öngól","ö"&amp;N7&amp;K9,K7&amp;K9))</f>
        <v/>
      </c>
      <c r="AT9" s="326" t="str">
        <f>IF(OR(NOT(Góllista!$E$6),N9=""),"",IF(O9="öngól","ö"&amp;K7&amp;N9,N7&amp;N9))</f>
        <v/>
      </c>
      <c r="AW9" s="485"/>
      <c r="AX9" s="485">
        <f>AX8+1</f>
        <v>2</v>
      </c>
      <c r="AY9" s="326" t="str">
        <f t="shared" si="0"/>
        <v>Antalyali</v>
      </c>
      <c r="AZ9" s="485">
        <f t="shared" ref="AZ9:AZ21" si="24">AZ8+1</f>
        <v>42</v>
      </c>
      <c r="BA9" s="326" t="str">
        <f t="shared" si="1"/>
        <v>Barella</v>
      </c>
      <c r="BB9" s="485">
        <f t="shared" ref="BB9:BB21" si="25">BB8+1</f>
        <v>82</v>
      </c>
      <c r="BC9" s="326" t="str">
        <f t="shared" si="2"/>
        <v>Ampadu</v>
      </c>
      <c r="BD9" s="485">
        <f t="shared" ref="BD9:BD21" si="26">BD8+1</f>
        <v>122</v>
      </c>
      <c r="BE9" s="326" t="str">
        <f t="shared" si="3"/>
        <v>Benito</v>
      </c>
      <c r="BF9" s="485">
        <f t="shared" ref="BF9:BF21" si="27">BF8+1</f>
        <v>162</v>
      </c>
      <c r="BG9" s="326" t="str">
        <f t="shared" si="4"/>
        <v>Boilesen</v>
      </c>
      <c r="BH9" s="485">
        <f t="shared" ref="BH9:BH21" si="28">BH8+1</f>
        <v>202</v>
      </c>
      <c r="BI9" s="326" t="str">
        <f t="shared" si="5"/>
        <v>Alho</v>
      </c>
      <c r="BJ9" s="485">
        <f t="shared" ref="BJ9:BJ21" si="29">BJ8+1</f>
        <v>242</v>
      </c>
      <c r="BK9" s="326" t="str">
        <f t="shared" si="6"/>
        <v>Batshuayi</v>
      </c>
      <c r="BL9" s="485">
        <f t="shared" ref="BL9:BL21" si="30">BL8+1</f>
        <v>282</v>
      </c>
      <c r="BM9" s="326" t="str">
        <f t="shared" si="7"/>
        <v>Cserisev</v>
      </c>
      <c r="BN9" s="485">
        <f t="shared" ref="BN9:BN21" si="31">BN8+1</f>
        <v>322</v>
      </c>
      <c r="BO9" s="326" t="str">
        <f t="shared" si="8"/>
        <v>Berghuis</v>
      </c>
      <c r="BP9" s="485">
        <f t="shared" ref="BP9:BP21" si="32">BP8+1</f>
        <v>362</v>
      </c>
      <c r="BQ9" s="326" t="str">
        <f t="shared" si="9"/>
        <v>Bezusz</v>
      </c>
      <c r="BR9" s="485">
        <f t="shared" ref="BR9:BR21" si="33">BR8+1</f>
        <v>402</v>
      </c>
      <c r="BS9" s="326" t="str">
        <f t="shared" si="10"/>
        <v>Arnautovic</v>
      </c>
      <c r="BT9" s="485">
        <f t="shared" ref="BT9:BT21" si="34">BT8+1</f>
        <v>442</v>
      </c>
      <c r="BU9" s="326" t="str">
        <f t="shared" si="11"/>
        <v>Alioszki</v>
      </c>
      <c r="BV9" s="485">
        <f t="shared" ref="BV9:BV21" si="35">BV8+1</f>
        <v>482</v>
      </c>
      <c r="BW9" s="326" t="str">
        <f t="shared" si="12"/>
        <v>Bellingham</v>
      </c>
      <c r="BX9" s="485">
        <f t="shared" ref="BX9:BX21" si="36">BX8+1</f>
        <v>522</v>
      </c>
      <c r="BY9" s="326" t="str">
        <f t="shared" si="13"/>
        <v>Barisic</v>
      </c>
      <c r="BZ9" s="485">
        <f t="shared" ref="BZ9:BZ21" si="37">BZ8+1</f>
        <v>562</v>
      </c>
      <c r="CA9" s="326" t="str">
        <f t="shared" si="14"/>
        <v>Armstrong</v>
      </c>
      <c r="CB9" s="485">
        <f t="shared" ref="CB9:CB21" si="38">CB8+1</f>
        <v>602</v>
      </c>
      <c r="CC9" s="326" t="str">
        <f t="shared" si="15"/>
        <v>Boril</v>
      </c>
      <c r="CD9" s="485">
        <f t="shared" ref="CD9:CD35" si="39">CD8+1</f>
        <v>642</v>
      </c>
      <c r="CE9" s="326" t="str">
        <f t="shared" si="16"/>
        <v>Alcántara</v>
      </c>
      <c r="CF9" s="485">
        <f t="shared" ref="CF9:CF35" si="40">CF8+1</f>
        <v>682</v>
      </c>
      <c r="CG9" s="326" t="str">
        <f t="shared" si="17"/>
        <v>Bengtsson</v>
      </c>
      <c r="CH9" s="485">
        <f t="shared" ref="CH9:CH35" si="41">CH8+1</f>
        <v>722</v>
      </c>
      <c r="CI9" s="326" t="str">
        <f t="shared" si="18"/>
        <v>Bereszynski</v>
      </c>
      <c r="CJ9" s="485">
        <f t="shared" ref="CJ9:CJ35" si="42">CJ8+1</f>
        <v>762</v>
      </c>
      <c r="CK9" s="326" t="str">
        <f t="shared" si="19"/>
        <v>Bozeník</v>
      </c>
      <c r="CL9" s="485">
        <f t="shared" ref="CL9:CL35" si="43">CL8+1</f>
        <v>802</v>
      </c>
      <c r="CM9" s="326" t="str">
        <f t="shared" si="20"/>
        <v>Bolla</v>
      </c>
      <c r="CN9" s="485">
        <f t="shared" ref="CN9:CN35" si="44">CN8+1</f>
        <v>842</v>
      </c>
      <c r="CO9" s="326" t="str">
        <f t="shared" si="21"/>
        <v>Carvalho</v>
      </c>
      <c r="CP9" s="485">
        <f t="shared" ref="CP9:CP35" si="45">CP8+1</f>
        <v>882</v>
      </c>
      <c r="CQ9" s="326" t="str">
        <f t="shared" si="22"/>
        <v>Benzema</v>
      </c>
      <c r="CR9" s="485">
        <f t="shared" ref="CR9:CR35" si="46">CR8+1</f>
        <v>922</v>
      </c>
      <c r="CS9" s="326" t="str">
        <f t="shared" si="23"/>
        <v>Ginter</v>
      </c>
      <c r="CT9" s="485" t="e">
        <f t="shared" ref="CT9:CT35" si="47">CT8+1</f>
        <v>#N/A</v>
      </c>
      <c r="CU9" s="326"/>
      <c r="CV9" s="485" t="e">
        <f t="shared" ref="CV9:CV35" si="48">CV8+1</f>
        <v>#N/A</v>
      </c>
      <c r="CW9" s="326"/>
      <c r="CX9" s="485" t="e">
        <f t="shared" ref="CX9:CX35" si="49">CX8+1</f>
        <v>#N/A</v>
      </c>
      <c r="CY9" s="326"/>
      <c r="CZ9" s="485" t="e">
        <f t="shared" ref="CZ9:CZ35" si="50">CZ8+1</f>
        <v>#N/A</v>
      </c>
      <c r="DA9" s="326"/>
      <c r="DB9" s="485" t="e">
        <f t="shared" ref="DB9:DB35" si="51">DB8+1</f>
        <v>#N/A</v>
      </c>
      <c r="DC9" s="326"/>
      <c r="DD9" s="485" t="e">
        <f t="shared" ref="DD9:DD35" si="52">DD8+1</f>
        <v>#N/A</v>
      </c>
      <c r="DE9" s="326"/>
      <c r="DF9" s="485" t="e">
        <f t="shared" ref="DF9:DF35" si="53">DF8+1</f>
        <v>#N/A</v>
      </c>
      <c r="DG9" s="326"/>
      <c r="DH9" s="485" t="e">
        <f t="shared" ref="DH9:DH35" si="54">DH8+1</f>
        <v>#N/A</v>
      </c>
      <c r="DI9" s="326"/>
      <c r="DJ9" s="485"/>
    </row>
    <row r="10" spans="1:115" ht="12" customHeight="1" x14ac:dyDescent="0.3">
      <c r="A10" s="765"/>
      <c r="C10" s="219"/>
      <c r="D10" s="220"/>
      <c r="E10" s="224"/>
      <c r="F10" s="222"/>
      <c r="G10" s="223"/>
      <c r="H10" s="219"/>
      <c r="J10" s="219"/>
      <c r="K10" s="220"/>
      <c r="L10" s="224"/>
      <c r="M10" s="222"/>
      <c r="N10" s="223"/>
      <c r="O10" s="219"/>
      <c r="V10" s="487" t="s">
        <v>710</v>
      </c>
      <c r="W10" s="489" t="b">
        <f>INDEX(n.er,W9,3)</f>
        <v>0</v>
      </c>
      <c r="X10" s="485" t="str">
        <f>""</f>
        <v/>
      </c>
      <c r="Y10" s="489" t="b">
        <f>INDEX(n.er,Y9,3)</f>
        <v>0</v>
      </c>
      <c r="AB10" s="327" t="str">
        <f>IF(C10="öngól",AC7,AB7)</f>
        <v>nevek.01</v>
      </c>
      <c r="AC10" s="327" t="str">
        <f>IF(H10="öngól",AB7,AC7)</f>
        <v>nevek.02</v>
      </c>
      <c r="AD10" s="327" t="str">
        <f>IF(J10="öngól",AE7,AD7)</f>
        <v>nevek.03</v>
      </c>
      <c r="AE10" s="327" t="str">
        <f>IF(O10="öngól",AD7,AE7)</f>
        <v>nevek.04</v>
      </c>
      <c r="AF10" s="325"/>
      <c r="AG10" s="485">
        <v>3</v>
      </c>
      <c r="AH10" s="488" t="b">
        <f ca="1">AND(W10,X11,D10="",AG10&lt;=W16)</f>
        <v>0</v>
      </c>
      <c r="AI10" s="488" t="b">
        <f ca="1">AND(W10,X11,E10="",AG10&lt;=W16)</f>
        <v>0</v>
      </c>
      <c r="AJ10" s="488" t="b">
        <f ca="1">AND(W10,X11,F10="",AG10&lt;=X16)</f>
        <v>0</v>
      </c>
      <c r="AK10" s="488" t="b">
        <f ca="1">AND(W10,X11,G10="",AG10&lt;=X16)</f>
        <v>0</v>
      </c>
      <c r="AL10" s="488" t="b">
        <f ca="1">AND(Y10,Z11,K10="",AG10&lt;=Y16)</f>
        <v>0</v>
      </c>
      <c r="AM10" s="488" t="b">
        <f ca="1">AND(Y10,Z11,L10="",AG10&lt;=Y16)</f>
        <v>0</v>
      </c>
      <c r="AN10" s="488" t="b">
        <f ca="1">AND(Y10,Z11,M10="",AG10&lt;=Z16)</f>
        <v>0</v>
      </c>
      <c r="AO10" s="488" t="b">
        <f ca="1">AND(Y10,Z11,N10="",AG10&lt;=Z16)</f>
        <v>0</v>
      </c>
      <c r="AQ10" s="326" t="str">
        <f>IF(OR(NOT(Góllista!$E$6),D10=""),"",IF(C10="öngól","ö"&amp;G7&amp;D10,D7&amp;D10))</f>
        <v/>
      </c>
      <c r="AR10" s="326" t="str">
        <f>IF(OR(NOT(Góllista!$E$6),G10=""),"",IF(H10="öngól","ö"&amp;D7&amp;G10,G7&amp;G10))</f>
        <v/>
      </c>
      <c r="AS10" s="326" t="str">
        <f>IF(OR(NOT(Góllista!$E$6),K10=""),"",IF(J10="öngól","ö"&amp;N7&amp;K10,K7&amp;K10))</f>
        <v/>
      </c>
      <c r="AT10" s="326" t="str">
        <f>IF(OR(NOT(Góllista!$E$6),N10=""),"",IF(O10="öngól","ö"&amp;K7&amp;N10,N7&amp;N10))</f>
        <v/>
      </c>
      <c r="AW10" s="485"/>
      <c r="AX10" s="485">
        <f t="shared" ref="AX10:AX21" si="55">AX9+1</f>
        <v>3</v>
      </c>
      <c r="AY10" s="326" t="str">
        <f t="shared" si="0"/>
        <v>Ayhan</v>
      </c>
      <c r="AZ10" s="485">
        <f t="shared" si="24"/>
        <v>43</v>
      </c>
      <c r="BA10" s="326" t="str">
        <f t="shared" si="1"/>
        <v>Bastoni</v>
      </c>
      <c r="BB10" s="485">
        <f t="shared" si="25"/>
        <v>83</v>
      </c>
      <c r="BC10" s="326" t="str">
        <f t="shared" si="2"/>
        <v>Bale</v>
      </c>
      <c r="BD10" s="485">
        <f t="shared" si="26"/>
        <v>123</v>
      </c>
      <c r="BE10" s="326" t="str">
        <f t="shared" si="3"/>
        <v>Cömert</v>
      </c>
      <c r="BF10" s="485">
        <f t="shared" si="27"/>
        <v>163</v>
      </c>
      <c r="BG10" s="326" t="str">
        <f t="shared" si="4"/>
        <v>Braithwaite</v>
      </c>
      <c r="BH10" s="485">
        <f t="shared" si="28"/>
        <v>203</v>
      </c>
      <c r="BI10" s="326" t="str">
        <f t="shared" si="5"/>
        <v>Forss</v>
      </c>
      <c r="BJ10" s="485">
        <f t="shared" si="29"/>
        <v>243</v>
      </c>
      <c r="BK10" s="326" t="str">
        <f t="shared" si="6"/>
        <v>Benteke</v>
      </c>
      <c r="BL10" s="485">
        <f t="shared" si="30"/>
        <v>283</v>
      </c>
      <c r="BM10" s="326" t="str">
        <f t="shared" si="7"/>
        <v>Divejev</v>
      </c>
      <c r="BN10" s="485">
        <f t="shared" si="31"/>
        <v>323</v>
      </c>
      <c r="BO10" s="326" t="str">
        <f t="shared" si="8"/>
        <v>Bizot</v>
      </c>
      <c r="BP10" s="485">
        <f t="shared" si="32"/>
        <v>363</v>
      </c>
      <c r="BQ10" s="326" t="str">
        <f t="shared" si="9"/>
        <v>Buscsan</v>
      </c>
      <c r="BR10" s="485">
        <f t="shared" si="33"/>
        <v>403</v>
      </c>
      <c r="BS10" s="326" t="str">
        <f t="shared" si="10"/>
        <v>Bachmann</v>
      </c>
      <c r="BT10" s="485">
        <f t="shared" si="34"/>
        <v>443</v>
      </c>
      <c r="BU10" s="326" t="str">
        <f t="shared" si="11"/>
        <v>Avramovszki</v>
      </c>
      <c r="BV10" s="485">
        <f t="shared" si="35"/>
        <v>483</v>
      </c>
      <c r="BW10" s="326" t="str">
        <f t="shared" si="12"/>
        <v>Calvert-Lewin</v>
      </c>
      <c r="BX10" s="485">
        <f t="shared" si="36"/>
        <v>523</v>
      </c>
      <c r="BY10" s="326" t="str">
        <f t="shared" si="13"/>
        <v>Bradaric</v>
      </c>
      <c r="BZ10" s="485">
        <f t="shared" si="37"/>
        <v>563</v>
      </c>
      <c r="CA10" s="326" t="str">
        <f t="shared" si="14"/>
        <v>Christie</v>
      </c>
      <c r="CB10" s="485">
        <f t="shared" si="38"/>
        <v>603</v>
      </c>
      <c r="CC10" s="326" t="str">
        <f t="shared" si="15"/>
        <v>Brabec</v>
      </c>
      <c r="CD10" s="485">
        <f t="shared" si="39"/>
        <v>643</v>
      </c>
      <c r="CE10" s="326" t="str">
        <f t="shared" si="16"/>
        <v>Azpilicueta</v>
      </c>
      <c r="CF10" s="485">
        <f t="shared" si="40"/>
        <v>683</v>
      </c>
      <c r="CG10" s="326" t="str">
        <f t="shared" si="17"/>
        <v>Berg</v>
      </c>
      <c r="CH10" s="485">
        <f t="shared" si="41"/>
        <v>723</v>
      </c>
      <c r="CI10" s="326" t="str">
        <f t="shared" si="18"/>
        <v>Dawidowicz</v>
      </c>
      <c r="CJ10" s="485">
        <f t="shared" si="42"/>
        <v>763</v>
      </c>
      <c r="CK10" s="326" t="str">
        <f t="shared" si="19"/>
        <v>Dúbravka</v>
      </c>
      <c r="CL10" s="485">
        <f t="shared" si="43"/>
        <v>803</v>
      </c>
      <c r="CM10" s="326" t="str">
        <f t="shared" si="20"/>
        <v>Botka</v>
      </c>
      <c r="CN10" s="485">
        <f t="shared" si="44"/>
        <v>843</v>
      </c>
      <c r="CO10" s="326" t="str">
        <f t="shared" si="21"/>
        <v>Dias</v>
      </c>
      <c r="CP10" s="485">
        <f t="shared" si="45"/>
        <v>883</v>
      </c>
      <c r="CQ10" s="326" t="str">
        <f t="shared" si="22"/>
        <v>Coman</v>
      </c>
      <c r="CR10" s="485">
        <f t="shared" si="46"/>
        <v>923</v>
      </c>
      <c r="CS10" s="326" t="str">
        <f t="shared" si="23"/>
        <v>Gnabry</v>
      </c>
      <c r="CT10" s="485" t="e">
        <f t="shared" si="47"/>
        <v>#N/A</v>
      </c>
      <c r="CU10" s="326"/>
      <c r="CV10" s="485" t="e">
        <f t="shared" si="48"/>
        <v>#N/A</v>
      </c>
      <c r="CW10" s="326"/>
      <c r="CX10" s="485" t="e">
        <f t="shared" si="49"/>
        <v>#N/A</v>
      </c>
      <c r="CY10" s="326"/>
      <c r="CZ10" s="485" t="e">
        <f t="shared" si="50"/>
        <v>#N/A</v>
      </c>
      <c r="DA10" s="326"/>
      <c r="DB10" s="485" t="e">
        <f t="shared" si="51"/>
        <v>#N/A</v>
      </c>
      <c r="DC10" s="326"/>
      <c r="DD10" s="485" t="e">
        <f t="shared" si="52"/>
        <v>#N/A</v>
      </c>
      <c r="DE10" s="326"/>
      <c r="DF10" s="485" t="e">
        <f t="shared" si="53"/>
        <v>#N/A</v>
      </c>
      <c r="DG10" s="326"/>
      <c r="DH10" s="485" t="e">
        <f t="shared" si="54"/>
        <v>#N/A</v>
      </c>
      <c r="DI10" s="326"/>
      <c r="DJ10" s="485"/>
    </row>
    <row r="11" spans="1:115" ht="12" customHeight="1" x14ac:dyDescent="0.3">
      <c r="A11" s="765"/>
      <c r="C11" s="219"/>
      <c r="D11" s="220"/>
      <c r="E11" s="224"/>
      <c r="F11" s="222"/>
      <c r="G11" s="223"/>
      <c r="H11" s="219"/>
      <c r="J11" s="219"/>
      <c r="K11" s="220"/>
      <c r="L11" s="224"/>
      <c r="M11" s="222"/>
      <c r="N11" s="223"/>
      <c r="O11" s="219"/>
      <c r="V11" s="487" t="s">
        <v>705</v>
      </c>
      <c r="W11" s="490" t="str">
        <f>VLOOKUP(W8,schedule,18,FALSE)</f>
        <v>JÚNIUS 11. – PÉNTEK 21:00</v>
      </c>
      <c r="X11" s="489" t="b">
        <f ca="1">VLOOKUP(W8,schedule,14,FALSE)&lt;=NOW()</f>
        <v>0</v>
      </c>
      <c r="Y11" s="490" t="str">
        <f>VLOOKUP(Y8,schedule,18,FALSE)</f>
        <v>JÚNIUS 12. – SZOMBAT 15:00</v>
      </c>
      <c r="Z11" s="489" t="b">
        <f ca="1">VLOOKUP(Y8,schedule,14,FALSE)&lt;=NOW()</f>
        <v>0</v>
      </c>
      <c r="AB11" s="327" t="str">
        <f>IF(C11="öngól",AC7,AB7)</f>
        <v>nevek.01</v>
      </c>
      <c r="AC11" s="327" t="str">
        <f>IF(H11="öngól",AB7,AC7)</f>
        <v>nevek.02</v>
      </c>
      <c r="AD11" s="327" t="str">
        <f>IF(J11="öngól",AE7,AD7)</f>
        <v>nevek.03</v>
      </c>
      <c r="AE11" s="327" t="str">
        <f>IF(O11="öngól",AD7,AE7)</f>
        <v>nevek.04</v>
      </c>
      <c r="AF11" s="325"/>
      <c r="AG11" s="485">
        <v>4</v>
      </c>
      <c r="AH11" s="488" t="b">
        <f ca="1">AND(W10,X11,D11="",AG11&lt;=W16)</f>
        <v>0</v>
      </c>
      <c r="AI11" s="488" t="b">
        <f ca="1">AND(W10,X11,E11="",AG11&lt;=W16)</f>
        <v>0</v>
      </c>
      <c r="AJ11" s="488" t="b">
        <f ca="1">AND(W10,X11,F11="",AG11&lt;=X16)</f>
        <v>0</v>
      </c>
      <c r="AK11" s="488" t="b">
        <f ca="1">AND(W10,X11,G11="",AG11&lt;=X16)</f>
        <v>0</v>
      </c>
      <c r="AL11" s="488" t="b">
        <f ca="1">AND(Y10,Z11,K11="",AG11&lt;=Y16)</f>
        <v>0</v>
      </c>
      <c r="AM11" s="488" t="b">
        <f ca="1">AND(Y10,Z11,L11="",AG11&lt;=Y16)</f>
        <v>0</v>
      </c>
      <c r="AN11" s="488" t="b">
        <f ca="1">AND(Y10,Z11,M11="",AG11&lt;=Z16)</f>
        <v>0</v>
      </c>
      <c r="AO11" s="488" t="b">
        <f ca="1">AND(Y10,Z11,N11="",AG11&lt;=Z16)</f>
        <v>0</v>
      </c>
      <c r="AQ11" s="326" t="str">
        <f>IF(OR(NOT(Góllista!$E$6),D11=""),"",IF(C11="öngól","ö"&amp;G7&amp;D11,D7&amp;D11))</f>
        <v/>
      </c>
      <c r="AR11" s="326" t="str">
        <f>IF(OR(NOT(Góllista!$E$6),G11=""),"",IF(H11="öngól","ö"&amp;D7&amp;G11,G7&amp;G11))</f>
        <v/>
      </c>
      <c r="AS11" s="326" t="str">
        <f>IF(OR(NOT(Góllista!$E$6),K11=""),"",IF(J11="öngól","ö"&amp;N7&amp;K11,K7&amp;K11))</f>
        <v/>
      </c>
      <c r="AT11" s="326" t="str">
        <f>IF(OR(NOT(Góllista!$E$6),N11=""),"",IF(O11="öngól","ö"&amp;K7&amp;N11,N7&amp;N11))</f>
        <v/>
      </c>
      <c r="AW11" s="485"/>
      <c r="AX11" s="485">
        <f t="shared" si="55"/>
        <v>4</v>
      </c>
      <c r="AY11" s="326" t="str">
        <f t="shared" si="0"/>
        <v>Bayindir</v>
      </c>
      <c r="AZ11" s="485">
        <f t="shared" si="24"/>
        <v>44</v>
      </c>
      <c r="BA11" s="326" t="str">
        <f t="shared" si="1"/>
        <v>Belotti</v>
      </c>
      <c r="BB11" s="485">
        <f t="shared" si="25"/>
        <v>84</v>
      </c>
      <c r="BC11" s="326" t="str">
        <f t="shared" si="2"/>
        <v>Brooks</v>
      </c>
      <c r="BD11" s="485">
        <f t="shared" si="26"/>
        <v>124</v>
      </c>
      <c r="BE11" s="326" t="str">
        <f t="shared" si="3"/>
        <v>Elvedi</v>
      </c>
      <c r="BF11" s="485">
        <f t="shared" si="27"/>
        <v>164</v>
      </c>
      <c r="BG11" s="326" t="str">
        <f t="shared" si="4"/>
        <v>Christensen</v>
      </c>
      <c r="BH11" s="485">
        <f t="shared" si="28"/>
        <v>204</v>
      </c>
      <c r="BI11" s="326" t="str">
        <f t="shared" si="5"/>
        <v>Hämäläinen</v>
      </c>
      <c r="BJ11" s="485">
        <f t="shared" si="29"/>
        <v>244</v>
      </c>
      <c r="BK11" s="326" t="str">
        <f t="shared" si="6"/>
        <v>Boyata</v>
      </c>
      <c r="BL11" s="485">
        <f t="shared" si="30"/>
        <v>284</v>
      </c>
      <c r="BM11" s="326" t="str">
        <f t="shared" si="7"/>
        <v>Djupin</v>
      </c>
      <c r="BN11" s="485">
        <f t="shared" si="31"/>
        <v>324</v>
      </c>
      <c r="BO11" s="326" t="str">
        <f t="shared" si="8"/>
        <v>Blind</v>
      </c>
      <c r="BP11" s="485">
        <f t="shared" si="32"/>
        <v>364</v>
      </c>
      <c r="BQ11" s="326" t="str">
        <f t="shared" si="9"/>
        <v>Cihankov</v>
      </c>
      <c r="BR11" s="485">
        <f t="shared" si="33"/>
        <v>404</v>
      </c>
      <c r="BS11" s="326" t="str">
        <f t="shared" si="10"/>
        <v>Baumgartlinger</v>
      </c>
      <c r="BT11" s="485">
        <f t="shared" si="34"/>
        <v>444</v>
      </c>
      <c r="BU11" s="326" t="str">
        <f t="shared" si="11"/>
        <v>Bardi</v>
      </c>
      <c r="BV11" s="485">
        <f t="shared" si="35"/>
        <v>484</v>
      </c>
      <c r="BW11" s="326" t="str">
        <f t="shared" si="12"/>
        <v>Chilwell</v>
      </c>
      <c r="BX11" s="485">
        <f t="shared" si="36"/>
        <v>524</v>
      </c>
      <c r="BY11" s="326" t="str">
        <f t="shared" si="13"/>
        <v>Brekalo</v>
      </c>
      <c r="BZ11" s="485">
        <f t="shared" si="37"/>
        <v>564</v>
      </c>
      <c r="CA11" s="326" t="str">
        <f t="shared" si="14"/>
        <v>Cooper</v>
      </c>
      <c r="CB11" s="485">
        <f t="shared" si="38"/>
        <v>604</v>
      </c>
      <c r="CC11" s="326" t="str">
        <f t="shared" si="15"/>
        <v>Celustka</v>
      </c>
      <c r="CD11" s="485">
        <f t="shared" si="39"/>
        <v>644</v>
      </c>
      <c r="CE11" s="326" t="str">
        <f t="shared" si="16"/>
        <v>Busquets</v>
      </c>
      <c r="CF11" s="485">
        <f t="shared" si="40"/>
        <v>684</v>
      </c>
      <c r="CG11" s="326" t="str">
        <f t="shared" si="17"/>
        <v>Cajuste</v>
      </c>
      <c r="CH11" s="485">
        <f t="shared" si="41"/>
        <v>724</v>
      </c>
      <c r="CI11" s="326" t="str">
        <f t="shared" si="18"/>
        <v>Fabianski</v>
      </c>
      <c r="CJ11" s="485">
        <f t="shared" si="42"/>
        <v>764</v>
      </c>
      <c r="CK11" s="326" t="str">
        <f t="shared" si="19"/>
        <v>Duda</v>
      </c>
      <c r="CL11" s="485">
        <f t="shared" si="43"/>
        <v>804</v>
      </c>
      <c r="CM11" s="326" t="str">
        <f t="shared" si="20"/>
        <v>Cseri</v>
      </c>
      <c r="CN11" s="485">
        <f t="shared" si="44"/>
        <v>844</v>
      </c>
      <c r="CO11" s="326" t="str">
        <f t="shared" si="21"/>
        <v>Félix</v>
      </c>
      <c r="CP11" s="485">
        <f t="shared" si="45"/>
        <v>884</v>
      </c>
      <c r="CQ11" s="326" t="str">
        <f t="shared" si="22"/>
        <v>Dembélé</v>
      </c>
      <c r="CR11" s="485">
        <f t="shared" si="46"/>
        <v>924</v>
      </c>
      <c r="CS11" s="326" t="str">
        <f t="shared" si="23"/>
        <v>Goretzka</v>
      </c>
      <c r="CT11" s="485" t="e">
        <f t="shared" si="47"/>
        <v>#N/A</v>
      </c>
      <c r="CU11" s="326"/>
      <c r="CV11" s="485" t="e">
        <f t="shared" si="48"/>
        <v>#N/A</v>
      </c>
      <c r="CW11" s="326"/>
      <c r="CX11" s="485" t="e">
        <f t="shared" si="49"/>
        <v>#N/A</v>
      </c>
      <c r="CY11" s="326"/>
      <c r="CZ11" s="485" t="e">
        <f t="shared" si="50"/>
        <v>#N/A</v>
      </c>
      <c r="DA11" s="326"/>
      <c r="DB11" s="485" t="e">
        <f t="shared" si="51"/>
        <v>#N/A</v>
      </c>
      <c r="DC11" s="326"/>
      <c r="DD11" s="485" t="e">
        <f t="shared" si="52"/>
        <v>#N/A</v>
      </c>
      <c r="DE11" s="326"/>
      <c r="DF11" s="485" t="e">
        <f t="shared" si="53"/>
        <v>#N/A</v>
      </c>
      <c r="DG11" s="326"/>
      <c r="DH11" s="485" t="e">
        <f t="shared" si="54"/>
        <v>#N/A</v>
      </c>
      <c r="DI11" s="326"/>
      <c r="DJ11" s="485"/>
    </row>
    <row r="12" spans="1:115" ht="12" customHeight="1" x14ac:dyDescent="0.3">
      <c r="A12" s="765"/>
      <c r="C12" s="219"/>
      <c r="D12" s="220"/>
      <c r="E12" s="224"/>
      <c r="F12" s="222"/>
      <c r="G12" s="223"/>
      <c r="H12" s="219"/>
      <c r="J12" s="219"/>
      <c r="K12" s="220"/>
      <c r="L12" s="224"/>
      <c r="M12" s="222"/>
      <c r="N12" s="223"/>
      <c r="O12" s="219"/>
      <c r="V12" s="487" t="s">
        <v>1265</v>
      </c>
      <c r="W12" s="491" t="str">
        <f>VLOOKUP(W8,schedule,12,FALSE)</f>
        <v>1. CSOPORTMÉRKŐZÉS</v>
      </c>
      <c r="X12" s="485" t="str">
        <f>""</f>
        <v/>
      </c>
      <c r="Y12" s="491" t="str">
        <f>VLOOKUP(Y8,schedule,12,FALSE)</f>
        <v>1. CSOPORTMÉRKŐZÉS</v>
      </c>
      <c r="AB12" s="327" t="str">
        <f>IF(C12="öngól",AC7,AB7)</f>
        <v>nevek.01</v>
      </c>
      <c r="AC12" s="327" t="str">
        <f>IF(H12="öngól",AB7,AC7)</f>
        <v>nevek.02</v>
      </c>
      <c r="AD12" s="327" t="str">
        <f>IF(J12="öngól",AE7,AD7)</f>
        <v>nevek.03</v>
      </c>
      <c r="AE12" s="327" t="str">
        <f>IF(O12="öngól",AD7,AE7)</f>
        <v>nevek.04</v>
      </c>
      <c r="AF12" s="325"/>
      <c r="AG12" s="485">
        <v>5</v>
      </c>
      <c r="AH12" s="488" t="b">
        <f ca="1">AND(W10,X11,D12="",AG12&lt;=W16)</f>
        <v>0</v>
      </c>
      <c r="AI12" s="488" t="b">
        <f ca="1">AND(W10,X11,E12="",AG12&lt;=W16)</f>
        <v>0</v>
      </c>
      <c r="AJ12" s="488" t="b">
        <f ca="1">AND(W10,X11,F12="",AG12&lt;=X16)</f>
        <v>0</v>
      </c>
      <c r="AK12" s="488" t="b">
        <f ca="1">AND(W10,X11,G12="",AG12&lt;=X16)</f>
        <v>0</v>
      </c>
      <c r="AL12" s="488" t="b">
        <f ca="1">AND(Y10,Z11,K12="",AG12&lt;=Y16)</f>
        <v>0</v>
      </c>
      <c r="AM12" s="488" t="b">
        <f ca="1">AND(Y10,Z11,L12="",AG12&lt;=Y16)</f>
        <v>0</v>
      </c>
      <c r="AN12" s="488" t="b">
        <f ca="1">AND(Y10,Z11,M12="",AG12&lt;=Z16)</f>
        <v>0</v>
      </c>
      <c r="AO12" s="488" t="b">
        <f ca="1">AND(Y10,Z11,N12="",AG12&lt;=Z16)</f>
        <v>0</v>
      </c>
      <c r="AQ12" s="326" t="str">
        <f>IF(OR(NOT(Góllista!$E$6),D12=""),"",IF(C12="öngól","ö"&amp;G7&amp;D12,D7&amp;D12))</f>
        <v/>
      </c>
      <c r="AR12" s="326" t="str">
        <f>IF(OR(NOT(Góllista!$E$6),G12=""),"",IF(H12="öngól","ö"&amp;D7&amp;G12,G7&amp;G12))</f>
        <v/>
      </c>
      <c r="AS12" s="326" t="str">
        <f>IF(OR(NOT(Góllista!$E$6),K12=""),"",IF(J12="öngól","ö"&amp;N7&amp;K12,K7&amp;K12))</f>
        <v/>
      </c>
      <c r="AT12" s="326" t="str">
        <f>IF(OR(NOT(Góllista!$E$6),N12=""),"",IF(O12="öngól","ö"&amp;K7&amp;N12,N7&amp;N12))</f>
        <v/>
      </c>
      <c r="AW12" s="485"/>
      <c r="AX12" s="485">
        <f t="shared" si="55"/>
        <v>5</v>
      </c>
      <c r="AY12" s="326" t="str">
        <f t="shared" si="0"/>
        <v>Cakir</v>
      </c>
      <c r="AZ12" s="485">
        <f t="shared" si="24"/>
        <v>45</v>
      </c>
      <c r="BA12" s="326" t="str">
        <f t="shared" si="1"/>
        <v>Berardi</v>
      </c>
      <c r="BB12" s="485">
        <f t="shared" si="25"/>
        <v>85</v>
      </c>
      <c r="BC12" s="326" t="str">
        <f t="shared" si="2"/>
        <v>Cabango</v>
      </c>
      <c r="BD12" s="485">
        <f t="shared" si="26"/>
        <v>125</v>
      </c>
      <c r="BE12" s="326" t="str">
        <f t="shared" si="3"/>
        <v>Embolo</v>
      </c>
      <c r="BF12" s="485">
        <f t="shared" si="27"/>
        <v>165</v>
      </c>
      <c r="BG12" s="326" t="str">
        <f t="shared" si="4"/>
        <v>Christiansen</v>
      </c>
      <c r="BH12" s="485">
        <f t="shared" si="28"/>
        <v>205</v>
      </c>
      <c r="BI12" s="326" t="str">
        <f t="shared" si="5"/>
        <v>Hradecky</v>
      </c>
      <c r="BJ12" s="485">
        <f t="shared" si="29"/>
        <v>245</v>
      </c>
      <c r="BK12" s="326" t="str">
        <f t="shared" si="6"/>
        <v>Carrasco</v>
      </c>
      <c r="BL12" s="485">
        <f t="shared" si="30"/>
        <v>285</v>
      </c>
      <c r="BM12" s="326" t="str">
        <f t="shared" si="7"/>
        <v>Dzjuba</v>
      </c>
      <c r="BN12" s="485">
        <f t="shared" si="31"/>
        <v>325</v>
      </c>
      <c r="BO12" s="326" t="str">
        <f t="shared" si="8"/>
        <v>de Jong F.</v>
      </c>
      <c r="BP12" s="485">
        <f t="shared" si="32"/>
        <v>365</v>
      </c>
      <c r="BQ12" s="326" t="str">
        <f t="shared" si="9"/>
        <v>Dovbik</v>
      </c>
      <c r="BR12" s="485">
        <f t="shared" si="33"/>
        <v>405</v>
      </c>
      <c r="BS12" s="326" t="str">
        <f t="shared" si="10"/>
        <v>Baumgartner</v>
      </c>
      <c r="BT12" s="485">
        <f t="shared" si="34"/>
        <v>445</v>
      </c>
      <c r="BU12" s="326" t="str">
        <f t="shared" si="11"/>
        <v>Bejtulai</v>
      </c>
      <c r="BV12" s="485">
        <f t="shared" si="35"/>
        <v>485</v>
      </c>
      <c r="BW12" s="326" t="str">
        <f t="shared" si="12"/>
        <v>Coady</v>
      </c>
      <c r="BX12" s="485">
        <f t="shared" si="36"/>
        <v>525</v>
      </c>
      <c r="BY12" s="326" t="str">
        <f t="shared" si="13"/>
        <v>Brozovic</v>
      </c>
      <c r="BZ12" s="485">
        <f t="shared" si="37"/>
        <v>565</v>
      </c>
      <c r="CA12" s="326" t="str">
        <f t="shared" si="14"/>
        <v>Dykes</v>
      </c>
      <c r="CB12" s="485">
        <f t="shared" si="38"/>
        <v>605</v>
      </c>
      <c r="CC12" s="326" t="str">
        <f t="shared" si="15"/>
        <v>Coufal</v>
      </c>
      <c r="CD12" s="485">
        <f t="shared" si="39"/>
        <v>645</v>
      </c>
      <c r="CE12" s="326" t="str">
        <f t="shared" si="16"/>
        <v>de Gea</v>
      </c>
      <c r="CF12" s="485">
        <f t="shared" si="40"/>
        <v>685</v>
      </c>
      <c r="CG12" s="326" t="str">
        <f t="shared" si="17"/>
        <v>Claesson</v>
      </c>
      <c r="CH12" s="485">
        <f t="shared" si="41"/>
        <v>725</v>
      </c>
      <c r="CI12" s="326" t="str">
        <f t="shared" si="18"/>
        <v>Frankowski</v>
      </c>
      <c r="CJ12" s="485">
        <f t="shared" si="42"/>
        <v>765</v>
      </c>
      <c r="CK12" s="326" t="str">
        <f t="shared" si="19"/>
        <v>Duris</v>
      </c>
      <c r="CL12" s="485">
        <f t="shared" si="43"/>
        <v>805</v>
      </c>
      <c r="CM12" s="326" t="str">
        <f t="shared" si="20"/>
        <v>Dibusz</v>
      </c>
      <c r="CN12" s="485">
        <f t="shared" si="44"/>
        <v>845</v>
      </c>
      <c r="CO12" s="326" t="str">
        <f t="shared" si="21"/>
        <v>Fernandes</v>
      </c>
      <c r="CP12" s="485">
        <f t="shared" si="45"/>
        <v>885</v>
      </c>
      <c r="CQ12" s="326" t="str">
        <f t="shared" si="22"/>
        <v>Digne</v>
      </c>
      <c r="CR12" s="485">
        <f t="shared" si="46"/>
        <v>925</v>
      </c>
      <c r="CS12" s="326" t="str">
        <f t="shared" si="23"/>
        <v>Gosens</v>
      </c>
      <c r="CT12" s="485" t="e">
        <f t="shared" si="47"/>
        <v>#N/A</v>
      </c>
      <c r="CU12" s="326"/>
      <c r="CV12" s="485" t="e">
        <f t="shared" si="48"/>
        <v>#N/A</v>
      </c>
      <c r="CW12" s="326"/>
      <c r="CX12" s="485" t="e">
        <f t="shared" si="49"/>
        <v>#N/A</v>
      </c>
      <c r="CY12" s="326"/>
      <c r="CZ12" s="485" t="e">
        <f t="shared" si="50"/>
        <v>#N/A</v>
      </c>
      <c r="DA12" s="326"/>
      <c r="DB12" s="485" t="e">
        <f t="shared" si="51"/>
        <v>#N/A</v>
      </c>
      <c r="DC12" s="326"/>
      <c r="DD12" s="485" t="e">
        <f t="shared" si="52"/>
        <v>#N/A</v>
      </c>
      <c r="DE12" s="326"/>
      <c r="DF12" s="485" t="e">
        <f t="shared" si="53"/>
        <v>#N/A</v>
      </c>
      <c r="DG12" s="326"/>
      <c r="DH12" s="485" t="e">
        <f t="shared" si="54"/>
        <v>#N/A</v>
      </c>
      <c r="DI12" s="326"/>
      <c r="DJ12" s="485"/>
    </row>
    <row r="13" spans="1:115" ht="12" customHeight="1" x14ac:dyDescent="0.3">
      <c r="A13" s="765"/>
      <c r="C13" s="219"/>
      <c r="D13" s="220"/>
      <c r="E13" s="224"/>
      <c r="F13" s="222"/>
      <c r="G13" s="223"/>
      <c r="H13" s="219"/>
      <c r="J13" s="219"/>
      <c r="K13" s="220"/>
      <c r="L13" s="224"/>
      <c r="M13" s="222"/>
      <c r="N13" s="223"/>
      <c r="O13" s="219"/>
      <c r="V13" s="487" t="s">
        <v>1264</v>
      </c>
      <c r="W13" s="327" t="str">
        <f>VLOOKUP(W8,schedule,3,FALSE)</f>
        <v>A</v>
      </c>
      <c r="X13" s="485" t="str">
        <f>""</f>
        <v/>
      </c>
      <c r="Y13" s="327" t="str">
        <f>VLOOKUP(Y8,schedule,3,FALSE)</f>
        <v>A</v>
      </c>
      <c r="AB13" s="327" t="str">
        <f>IF(C13="öngól",AC7,AB7)</f>
        <v>nevek.01</v>
      </c>
      <c r="AC13" s="327" t="str">
        <f>IF(H13="öngól",AB7,AC7)</f>
        <v>nevek.02</v>
      </c>
      <c r="AD13" s="327" t="str">
        <f>IF(J13="öngól",AE7,AD7)</f>
        <v>nevek.03</v>
      </c>
      <c r="AE13" s="327" t="str">
        <f>IF(O13="öngól",AD7,AE7)</f>
        <v>nevek.04</v>
      </c>
      <c r="AF13" s="325"/>
      <c r="AG13" s="485">
        <v>6</v>
      </c>
      <c r="AH13" s="488" t="b">
        <f ca="1">AND(W10,X11,D13="",AG13&lt;=W16)</f>
        <v>0</v>
      </c>
      <c r="AI13" s="488" t="b">
        <f ca="1">AND(W10,X11,E13="",AG13&lt;=W16)</f>
        <v>0</v>
      </c>
      <c r="AJ13" s="488" t="b">
        <f ca="1">AND(W10,X11,F13="",AG13&lt;=X16)</f>
        <v>0</v>
      </c>
      <c r="AK13" s="488" t="b">
        <f ca="1">AND(W10,X11,G13="",AG13&lt;=X16)</f>
        <v>0</v>
      </c>
      <c r="AL13" s="488" t="b">
        <f ca="1">AND(Y10,Z11,K13="",AG13&lt;=Y16)</f>
        <v>0</v>
      </c>
      <c r="AM13" s="488" t="b">
        <f ca="1">AND(Y10,Z11,L13="",AG13&lt;=Y16)</f>
        <v>0</v>
      </c>
      <c r="AN13" s="488" t="b">
        <f ca="1">AND(Y10,Z11,M13="",AG13&lt;=Z16)</f>
        <v>0</v>
      </c>
      <c r="AO13" s="488" t="b">
        <f ca="1">AND(Y10,Z11,N13="",AG13&lt;=Z16)</f>
        <v>0</v>
      </c>
      <c r="AQ13" s="326" t="str">
        <f>IF(OR(NOT(Góllista!$E$6),D13=""),"",IF(C13="öngól","ö"&amp;G7&amp;D13,D7&amp;D13))</f>
        <v/>
      </c>
      <c r="AR13" s="326" t="str">
        <f>IF(OR(NOT(Góllista!$E$6),G13=""),"",IF(H13="öngól","ö"&amp;D7&amp;G13,G7&amp;G13))</f>
        <v/>
      </c>
      <c r="AS13" s="326" t="str">
        <f>IF(OR(NOT(Góllista!$E$6),K13=""),"",IF(J13="öngól","ö"&amp;N7&amp;K13,K7&amp;K13))</f>
        <v/>
      </c>
      <c r="AT13" s="326" t="str">
        <f>IF(OR(NOT(Góllista!$E$6),N13=""),"",IF(O13="öngól","ö"&amp;K7&amp;N13,N7&amp;N13))</f>
        <v/>
      </c>
      <c r="AW13" s="485"/>
      <c r="AX13" s="485">
        <f t="shared" si="55"/>
        <v>6</v>
      </c>
      <c r="AY13" s="326" t="str">
        <f t="shared" si="0"/>
        <v>Calhanoglu</v>
      </c>
      <c r="AZ13" s="485">
        <f t="shared" si="24"/>
        <v>46</v>
      </c>
      <c r="BA13" s="326" t="str">
        <f t="shared" si="1"/>
        <v>Bernardeschi</v>
      </c>
      <c r="BB13" s="485">
        <f t="shared" si="25"/>
        <v>86</v>
      </c>
      <c r="BC13" s="326" t="str">
        <f t="shared" si="2"/>
        <v>Colwill</v>
      </c>
      <c r="BD13" s="485">
        <f t="shared" si="26"/>
        <v>126</v>
      </c>
      <c r="BE13" s="326" t="str">
        <f t="shared" si="3"/>
        <v>Fassnacht</v>
      </c>
      <c r="BF13" s="485">
        <f t="shared" si="27"/>
        <v>166</v>
      </c>
      <c r="BG13" s="326" t="str">
        <f t="shared" si="4"/>
        <v>Cornelius</v>
      </c>
      <c r="BH13" s="485">
        <f t="shared" si="28"/>
        <v>206</v>
      </c>
      <c r="BI13" s="326" t="str">
        <f t="shared" si="5"/>
        <v>Ivanov</v>
      </c>
      <c r="BJ13" s="485">
        <f t="shared" si="29"/>
        <v>246</v>
      </c>
      <c r="BK13" s="326" t="str">
        <f t="shared" si="6"/>
        <v>Castagne</v>
      </c>
      <c r="BL13" s="485">
        <f t="shared" si="30"/>
        <v>286</v>
      </c>
      <c r="BM13" s="326" t="str">
        <f t="shared" si="7"/>
        <v>Dzsikija</v>
      </c>
      <c r="BN13" s="485">
        <f t="shared" si="31"/>
        <v>326</v>
      </c>
      <c r="BO13" s="326" t="str">
        <f t="shared" si="8"/>
        <v>de Jong L.</v>
      </c>
      <c r="BP13" s="485">
        <f t="shared" si="32"/>
        <v>366</v>
      </c>
      <c r="BQ13" s="326" t="str">
        <f t="shared" si="9"/>
        <v>Jaremcsuk</v>
      </c>
      <c r="BR13" s="485">
        <f t="shared" si="33"/>
        <v>406</v>
      </c>
      <c r="BS13" s="326" t="str">
        <f t="shared" si="10"/>
        <v>Dragovic</v>
      </c>
      <c r="BT13" s="485">
        <f t="shared" si="34"/>
        <v>446</v>
      </c>
      <c r="BU13" s="326" t="str">
        <f t="shared" si="11"/>
        <v>Csurlinov</v>
      </c>
      <c r="BV13" s="485">
        <f t="shared" si="35"/>
        <v>486</v>
      </c>
      <c r="BW13" s="326" t="str">
        <f t="shared" si="12"/>
        <v>Foden</v>
      </c>
      <c r="BX13" s="485">
        <f t="shared" si="36"/>
        <v>526</v>
      </c>
      <c r="BY13" s="326" t="str">
        <f t="shared" si="13"/>
        <v>Budimir</v>
      </c>
      <c r="BZ13" s="485">
        <f t="shared" si="37"/>
        <v>566</v>
      </c>
      <c r="CA13" s="326" t="str">
        <f t="shared" si="14"/>
        <v>Fleck</v>
      </c>
      <c r="CB13" s="485">
        <f t="shared" si="38"/>
        <v>606</v>
      </c>
      <c r="CC13" s="326" t="str">
        <f t="shared" si="15"/>
        <v>Darida</v>
      </c>
      <c r="CD13" s="485">
        <f t="shared" si="39"/>
        <v>646</v>
      </c>
      <c r="CE13" s="326" t="str">
        <f t="shared" si="16"/>
        <v>García</v>
      </c>
      <c r="CF13" s="485">
        <f t="shared" si="40"/>
        <v>686</v>
      </c>
      <c r="CG13" s="326" t="str">
        <f t="shared" si="17"/>
        <v>Danielson</v>
      </c>
      <c r="CH13" s="485">
        <f t="shared" si="41"/>
        <v>726</v>
      </c>
      <c r="CI13" s="326" t="str">
        <f t="shared" si="18"/>
        <v>Glik</v>
      </c>
      <c r="CJ13" s="485">
        <f t="shared" si="42"/>
        <v>766</v>
      </c>
      <c r="CK13" s="326" t="str">
        <f t="shared" si="19"/>
        <v>Gregus</v>
      </c>
      <c r="CL13" s="485">
        <f t="shared" si="43"/>
        <v>806</v>
      </c>
      <c r="CM13" s="326" t="str">
        <f t="shared" si="20"/>
        <v>Fiola</v>
      </c>
      <c r="CN13" s="485">
        <f t="shared" si="44"/>
        <v>846</v>
      </c>
      <c r="CO13" s="326" t="str">
        <f t="shared" si="21"/>
        <v>Fonte</v>
      </c>
      <c r="CP13" s="485">
        <f t="shared" si="45"/>
        <v>886</v>
      </c>
      <c r="CQ13" s="326" t="str">
        <f t="shared" si="22"/>
        <v>Dubois</v>
      </c>
      <c r="CR13" s="485">
        <f t="shared" si="46"/>
        <v>926</v>
      </c>
      <c r="CS13" s="326" t="str">
        <f t="shared" si="23"/>
        <v>Gündogan</v>
      </c>
      <c r="CT13" s="485" t="e">
        <f t="shared" si="47"/>
        <v>#N/A</v>
      </c>
      <c r="CU13" s="326"/>
      <c r="CV13" s="485" t="e">
        <f t="shared" si="48"/>
        <v>#N/A</v>
      </c>
      <c r="CW13" s="326"/>
      <c r="CX13" s="485" t="e">
        <f t="shared" si="49"/>
        <v>#N/A</v>
      </c>
      <c r="CY13" s="326"/>
      <c r="CZ13" s="485" t="e">
        <f t="shared" si="50"/>
        <v>#N/A</v>
      </c>
      <c r="DA13" s="326"/>
      <c r="DB13" s="485" t="e">
        <f t="shared" si="51"/>
        <v>#N/A</v>
      </c>
      <c r="DC13" s="326"/>
      <c r="DD13" s="485" t="e">
        <f t="shared" si="52"/>
        <v>#N/A</v>
      </c>
      <c r="DE13" s="326"/>
      <c r="DF13" s="485" t="e">
        <f t="shared" si="53"/>
        <v>#N/A</v>
      </c>
      <c r="DG13" s="326"/>
      <c r="DH13" s="485" t="e">
        <f t="shared" si="54"/>
        <v>#N/A</v>
      </c>
      <c r="DI13" s="326"/>
      <c r="DJ13" s="485"/>
    </row>
    <row r="14" spans="1:115" ht="12" customHeight="1" x14ac:dyDescent="0.3">
      <c r="A14" s="765"/>
      <c r="C14" s="219"/>
      <c r="D14" s="220"/>
      <c r="E14" s="224"/>
      <c r="F14" s="222"/>
      <c r="G14" s="223"/>
      <c r="H14" s="219"/>
      <c r="J14" s="219"/>
      <c r="K14" s="220"/>
      <c r="L14" s="224"/>
      <c r="M14" s="222"/>
      <c r="N14" s="223"/>
      <c r="O14" s="219"/>
      <c r="V14" s="485" t="s">
        <v>707</v>
      </c>
      <c r="W14" s="327">
        <f>IF(NOT(W10),0,E7-9+COUNTBLANK(D8:D16))</f>
        <v>0</v>
      </c>
      <c r="X14" s="327">
        <f>IF(NOT(W10),0,F7-9+COUNTBLANK(G8:G16))</f>
        <v>0</v>
      </c>
      <c r="Y14" s="327">
        <f>IF(NOT(Y10),0,L7-9+COUNTBLANK(K8:K16))</f>
        <v>0</v>
      </c>
      <c r="Z14" s="327">
        <f>IF(NOT(Y10),0,M7-9+COUNTBLANK(N8:N16))</f>
        <v>0</v>
      </c>
      <c r="AB14" s="327" t="str">
        <f>IF(C14="öngól",AC7,AB7)</f>
        <v>nevek.01</v>
      </c>
      <c r="AC14" s="327" t="str">
        <f>IF(H14="öngól",AB7,AC7)</f>
        <v>nevek.02</v>
      </c>
      <c r="AD14" s="327" t="str">
        <f>IF(J14="öngól",AE7,AD7)</f>
        <v>nevek.03</v>
      </c>
      <c r="AE14" s="327" t="str">
        <f>IF(O14="öngól",AD7,AE7)</f>
        <v>nevek.04</v>
      </c>
      <c r="AF14" s="325"/>
      <c r="AG14" s="485">
        <v>7</v>
      </c>
      <c r="AH14" s="488" t="b">
        <f ca="1">AND(W10,X11,D14="",AG14&lt;=W16)</f>
        <v>0</v>
      </c>
      <c r="AI14" s="488" t="b">
        <f ca="1">AND(W10,X11,E14="",AG14&lt;=W16)</f>
        <v>0</v>
      </c>
      <c r="AJ14" s="488" t="b">
        <f ca="1">AND(W10,X11,F14="",AG14&lt;=X16)</f>
        <v>0</v>
      </c>
      <c r="AK14" s="488" t="b">
        <f ca="1">AND(W10,X11,G14="",AG14&lt;=X16)</f>
        <v>0</v>
      </c>
      <c r="AL14" s="488" t="b">
        <f ca="1">AND(Y10,Z11,K14="",AG14&lt;=Y16)</f>
        <v>0</v>
      </c>
      <c r="AM14" s="488" t="b">
        <f ca="1">AND(Y10,Z11,L14="",AG14&lt;=Y16)</f>
        <v>0</v>
      </c>
      <c r="AN14" s="488" t="b">
        <f ca="1">AND(Y10,Z11,M14="",AG14&lt;=Z16)</f>
        <v>0</v>
      </c>
      <c r="AO14" s="488" t="b">
        <f ca="1">AND(Y10,Z11,N14="",AG14&lt;=Z16)</f>
        <v>0</v>
      </c>
      <c r="AQ14" s="326" t="str">
        <f>IF(OR(NOT(Góllista!$E$6),D14=""),"",IF(C14="öngól","ö"&amp;G7&amp;D14,D7&amp;D14))</f>
        <v/>
      </c>
      <c r="AR14" s="326" t="str">
        <f>IF(OR(NOT(Góllista!$E$6),G14=""),"",IF(H14="öngól","ö"&amp;D7&amp;G14,G7&amp;G14))</f>
        <v/>
      </c>
      <c r="AS14" s="326" t="str">
        <f>IF(OR(NOT(Góllista!$E$6),K14=""),"",IF(J14="öngól","ö"&amp;N7&amp;K14,K7&amp;K14))</f>
        <v/>
      </c>
      <c r="AT14" s="326" t="str">
        <f>IF(OR(NOT(Góllista!$E$6),N14=""),"",IF(O14="öngól","ö"&amp;K7&amp;N14,N7&amp;N14))</f>
        <v/>
      </c>
      <c r="AW14" s="485"/>
      <c r="AX14" s="485">
        <f t="shared" si="55"/>
        <v>7</v>
      </c>
      <c r="AY14" s="326" t="str">
        <f t="shared" si="0"/>
        <v>Celik</v>
      </c>
      <c r="AZ14" s="485">
        <f t="shared" si="24"/>
        <v>47</v>
      </c>
      <c r="BA14" s="326" t="str">
        <f t="shared" si="1"/>
        <v>Bonucci</v>
      </c>
      <c r="BB14" s="485">
        <f t="shared" si="25"/>
        <v>87</v>
      </c>
      <c r="BC14" s="326" t="str">
        <f t="shared" si="2"/>
        <v>Davies A.</v>
      </c>
      <c r="BD14" s="485">
        <f t="shared" si="26"/>
        <v>127</v>
      </c>
      <c r="BE14" s="326" t="str">
        <f t="shared" si="3"/>
        <v>Fernandes</v>
      </c>
      <c r="BF14" s="485">
        <f t="shared" si="27"/>
        <v>167</v>
      </c>
      <c r="BG14" s="326" t="str">
        <f t="shared" si="4"/>
        <v>Damsgaard</v>
      </c>
      <c r="BH14" s="485">
        <f t="shared" si="28"/>
        <v>207</v>
      </c>
      <c r="BI14" s="326" t="str">
        <f t="shared" si="5"/>
        <v>Jaakola</v>
      </c>
      <c r="BJ14" s="485">
        <f t="shared" si="29"/>
        <v>247</v>
      </c>
      <c r="BK14" s="326" t="str">
        <f t="shared" si="6"/>
        <v>Chadli</v>
      </c>
      <c r="BL14" s="485">
        <f t="shared" si="30"/>
        <v>287</v>
      </c>
      <c r="BM14" s="326" t="str">
        <f t="shared" si="7"/>
        <v>Fernandes</v>
      </c>
      <c r="BN14" s="485">
        <f t="shared" si="31"/>
        <v>327</v>
      </c>
      <c r="BO14" s="326" t="str">
        <f t="shared" si="8"/>
        <v>de Ligt</v>
      </c>
      <c r="BP14" s="485">
        <f t="shared" si="32"/>
        <v>367</v>
      </c>
      <c r="BQ14" s="326" t="str">
        <f t="shared" si="9"/>
        <v>Jarmolenko</v>
      </c>
      <c r="BR14" s="485">
        <f t="shared" si="33"/>
        <v>407</v>
      </c>
      <c r="BS14" s="326" t="str">
        <f t="shared" si="10"/>
        <v>Friedl</v>
      </c>
      <c r="BT14" s="485">
        <f t="shared" si="34"/>
        <v>447</v>
      </c>
      <c r="BU14" s="326" t="str">
        <f t="shared" si="11"/>
        <v>Dimitrievszki</v>
      </c>
      <c r="BV14" s="485">
        <f t="shared" si="35"/>
        <v>487</v>
      </c>
      <c r="BW14" s="326" t="str">
        <f t="shared" si="12"/>
        <v>Grealish</v>
      </c>
      <c r="BX14" s="485">
        <f t="shared" si="36"/>
        <v>527</v>
      </c>
      <c r="BY14" s="326" t="str">
        <f t="shared" si="13"/>
        <v>Caleta-Car</v>
      </c>
      <c r="BZ14" s="485">
        <f t="shared" si="37"/>
        <v>567</v>
      </c>
      <c r="CA14" s="326" t="str">
        <f t="shared" si="14"/>
        <v>Forrest</v>
      </c>
      <c r="CB14" s="485">
        <f t="shared" si="38"/>
        <v>607</v>
      </c>
      <c r="CC14" s="326" t="str">
        <f t="shared" si="15"/>
        <v>Hlozek</v>
      </c>
      <c r="CD14" s="485">
        <f t="shared" si="39"/>
        <v>647</v>
      </c>
      <c r="CE14" s="326" t="str">
        <f t="shared" si="16"/>
        <v>Gayá</v>
      </c>
      <c r="CF14" s="485">
        <f t="shared" si="40"/>
        <v>687</v>
      </c>
      <c r="CG14" s="326" t="str">
        <f t="shared" si="17"/>
        <v>Ekdal</v>
      </c>
      <c r="CH14" s="485">
        <f t="shared" si="41"/>
        <v>727</v>
      </c>
      <c r="CI14" s="326" t="str">
        <f t="shared" si="18"/>
        <v>Helik</v>
      </c>
      <c r="CJ14" s="485">
        <f t="shared" si="42"/>
        <v>767</v>
      </c>
      <c r="CK14" s="326" t="str">
        <f t="shared" si="19"/>
        <v>Hamsík</v>
      </c>
      <c r="CL14" s="485">
        <f t="shared" si="43"/>
        <v>807</v>
      </c>
      <c r="CM14" s="326" t="str">
        <f t="shared" si="20"/>
        <v>Gazdag</v>
      </c>
      <c r="CN14" s="485">
        <f t="shared" si="44"/>
        <v>847</v>
      </c>
      <c r="CO14" s="326" t="str">
        <f t="shared" si="21"/>
        <v>Goncalves</v>
      </c>
      <c r="CP14" s="485">
        <f t="shared" si="45"/>
        <v>887</v>
      </c>
      <c r="CQ14" s="326" t="str">
        <f t="shared" si="22"/>
        <v>Giroud</v>
      </c>
      <c r="CR14" s="485">
        <f t="shared" si="46"/>
        <v>927</v>
      </c>
      <c r="CS14" s="326" t="str">
        <f t="shared" si="23"/>
        <v>Günter</v>
      </c>
      <c r="CT14" s="485" t="e">
        <f t="shared" si="47"/>
        <v>#N/A</v>
      </c>
      <c r="CU14" s="326"/>
      <c r="CV14" s="485" t="e">
        <f t="shared" si="48"/>
        <v>#N/A</v>
      </c>
      <c r="CW14" s="326"/>
      <c r="CX14" s="485" t="e">
        <f t="shared" si="49"/>
        <v>#N/A</v>
      </c>
      <c r="CY14" s="326"/>
      <c r="CZ14" s="485" t="e">
        <f t="shared" si="50"/>
        <v>#N/A</v>
      </c>
      <c r="DA14" s="326"/>
      <c r="DB14" s="485" t="e">
        <f t="shared" si="51"/>
        <v>#N/A</v>
      </c>
      <c r="DC14" s="326"/>
      <c r="DD14" s="485" t="e">
        <f t="shared" si="52"/>
        <v>#N/A</v>
      </c>
      <c r="DE14" s="326"/>
      <c r="DF14" s="485" t="e">
        <f t="shared" si="53"/>
        <v>#N/A</v>
      </c>
      <c r="DG14" s="326"/>
      <c r="DH14" s="485" t="e">
        <f t="shared" si="54"/>
        <v>#N/A</v>
      </c>
      <c r="DI14" s="326"/>
      <c r="DJ14" s="485"/>
    </row>
    <row r="15" spans="1:115" ht="12" customHeight="1" x14ac:dyDescent="0.3">
      <c r="A15" s="765"/>
      <c r="C15" s="219"/>
      <c r="D15" s="220"/>
      <c r="E15" s="224"/>
      <c r="F15" s="222"/>
      <c r="G15" s="223"/>
      <c r="H15" s="219"/>
      <c r="J15" s="219"/>
      <c r="K15" s="220"/>
      <c r="L15" s="224"/>
      <c r="M15" s="222"/>
      <c r="N15" s="223"/>
      <c r="O15" s="219"/>
      <c r="V15" s="485" t="s">
        <v>708</v>
      </c>
      <c r="W15" s="411" t="str">
        <f>VLOOKUP(W8,schedule,8,FALSE)</f>
        <v>Törökország</v>
      </c>
      <c r="X15" s="411" t="str">
        <f>VLOOKUP(W8,schedule,9,FALSE)</f>
        <v>Olaszország</v>
      </c>
      <c r="Y15" s="411" t="str">
        <f>VLOOKUP(Y8,schedule,8,FALSE)</f>
        <v>Wales</v>
      </c>
      <c r="Z15" s="491" t="str">
        <f>VLOOKUP(Y8,schedule,9,FALSE)</f>
        <v>Svájc</v>
      </c>
      <c r="AB15" s="327" t="str">
        <f>IF(C15="öngól",AC7,AB7)</f>
        <v>nevek.01</v>
      </c>
      <c r="AC15" s="327" t="str">
        <f>IF(H15="öngól",AB7,AC7)</f>
        <v>nevek.02</v>
      </c>
      <c r="AD15" s="327" t="str">
        <f>IF(J15="öngól",AE7,AD7)</f>
        <v>nevek.03</v>
      </c>
      <c r="AE15" s="327" t="str">
        <f>IF(O15="öngól",AD7,AE7)</f>
        <v>nevek.04</v>
      </c>
      <c r="AF15" s="325"/>
      <c r="AG15" s="485">
        <v>8</v>
      </c>
      <c r="AH15" s="488" t="b">
        <f ca="1">AND(W10,X11,D15="",AG15&lt;=W16)</f>
        <v>0</v>
      </c>
      <c r="AI15" s="488" t="b">
        <f ca="1">AND(W10,X11,E15="",AG15&lt;=W16)</f>
        <v>0</v>
      </c>
      <c r="AJ15" s="488" t="b">
        <f ca="1">AND(W10,X11,F15="",AG15&lt;=X16)</f>
        <v>0</v>
      </c>
      <c r="AK15" s="488" t="b">
        <f ca="1">AND(W10,X11,G15="",AG15&lt;=X16)</f>
        <v>0</v>
      </c>
      <c r="AL15" s="488" t="b">
        <f ca="1">AND(Y10,Z11,K15="",AG15&lt;=Y16)</f>
        <v>0</v>
      </c>
      <c r="AM15" s="488" t="b">
        <f ca="1">AND(Y10,Z11,L15="",AG15&lt;=Y16)</f>
        <v>0</v>
      </c>
      <c r="AN15" s="488" t="b">
        <f ca="1">AND(Y10,Z11,M15="",AG15&lt;=Z16)</f>
        <v>0</v>
      </c>
      <c r="AO15" s="488" t="b">
        <f ca="1">AND(Y10,Z11,N15="",AG15&lt;=Z16)</f>
        <v>0</v>
      </c>
      <c r="AQ15" s="326" t="str">
        <f>IF(OR(NOT(Góllista!$E$6),D15=""),"",IF(C15="öngól","ö"&amp;G7&amp;D15,D7&amp;D15))</f>
        <v/>
      </c>
      <c r="AR15" s="326" t="str">
        <f>IF(OR(NOT(Góllista!$E$6),G15=""),"",IF(H15="öngól","ö"&amp;D7&amp;G15,G7&amp;G15))</f>
        <v/>
      </c>
      <c r="AS15" s="326" t="str">
        <f>IF(OR(NOT(Góllista!$E$6),K15=""),"",IF(J15="öngól","ö"&amp;N7&amp;K15,K7&amp;K15))</f>
        <v/>
      </c>
      <c r="AT15" s="326" t="str">
        <f>IF(OR(NOT(Góllista!$E$6),N15=""),"",IF(O15="öngól","ö"&amp;K7&amp;N15,N7&amp;N15))</f>
        <v/>
      </c>
      <c r="AW15" s="485"/>
      <c r="AX15" s="485">
        <f t="shared" si="55"/>
        <v>8</v>
      </c>
      <c r="AY15" s="326" t="str">
        <f t="shared" si="0"/>
        <v>Demiral</v>
      </c>
      <c r="AZ15" s="485">
        <f t="shared" si="24"/>
        <v>48</v>
      </c>
      <c r="BA15" s="326" t="str">
        <f t="shared" si="1"/>
        <v>Chiellini</v>
      </c>
      <c r="BB15" s="485">
        <f t="shared" si="25"/>
        <v>88</v>
      </c>
      <c r="BC15" s="326" t="str">
        <f t="shared" si="2"/>
        <v>Davies B.</v>
      </c>
      <c r="BD15" s="485">
        <f t="shared" si="26"/>
        <v>128</v>
      </c>
      <c r="BE15" s="326" t="str">
        <f t="shared" si="3"/>
        <v>Freuler</v>
      </c>
      <c r="BF15" s="485">
        <f t="shared" si="27"/>
        <v>168</v>
      </c>
      <c r="BG15" s="326" t="str">
        <f t="shared" si="4"/>
        <v>Delaney</v>
      </c>
      <c r="BH15" s="485">
        <f t="shared" si="28"/>
        <v>208</v>
      </c>
      <c r="BI15" s="326" t="str">
        <f t="shared" si="5"/>
        <v>Jensen</v>
      </c>
      <c r="BJ15" s="485">
        <f t="shared" si="29"/>
        <v>248</v>
      </c>
      <c r="BK15" s="326" t="str">
        <f t="shared" si="6"/>
        <v>Courtois</v>
      </c>
      <c r="BL15" s="485">
        <f t="shared" si="30"/>
        <v>288</v>
      </c>
      <c r="BM15" s="326" t="str">
        <f t="shared" si="7"/>
        <v>Fomin</v>
      </c>
      <c r="BN15" s="485">
        <f t="shared" si="31"/>
        <v>328</v>
      </c>
      <c r="BO15" s="326" t="str">
        <f t="shared" si="8"/>
        <v>de Roon</v>
      </c>
      <c r="BP15" s="485">
        <f t="shared" si="32"/>
        <v>368</v>
      </c>
      <c r="BQ15" s="326" t="str">
        <f t="shared" si="9"/>
        <v>Karavajev</v>
      </c>
      <c r="BR15" s="485">
        <f t="shared" si="33"/>
        <v>408</v>
      </c>
      <c r="BS15" s="326" t="str">
        <f t="shared" si="10"/>
        <v>Gregoritsch</v>
      </c>
      <c r="BT15" s="485">
        <f t="shared" si="34"/>
        <v>448</v>
      </c>
      <c r="BU15" s="326" t="str">
        <f t="shared" si="11"/>
        <v>Elmasz</v>
      </c>
      <c r="BV15" s="485">
        <f t="shared" si="35"/>
        <v>488</v>
      </c>
      <c r="BW15" s="326" t="str">
        <f t="shared" si="12"/>
        <v>Henderson D.</v>
      </c>
      <c r="BX15" s="485">
        <f t="shared" si="36"/>
        <v>528</v>
      </c>
      <c r="BY15" s="326" t="str">
        <f t="shared" si="13"/>
        <v xml:space="preserve">Gvardiol </v>
      </c>
      <c r="BZ15" s="485">
        <f t="shared" si="37"/>
        <v>568</v>
      </c>
      <c r="CA15" s="326" t="str">
        <f t="shared" si="14"/>
        <v>Fraser</v>
      </c>
      <c r="CB15" s="485">
        <f t="shared" si="38"/>
        <v>608</v>
      </c>
      <c r="CC15" s="326" t="str">
        <f t="shared" si="15"/>
        <v>Holes</v>
      </c>
      <c r="CD15" s="485">
        <f t="shared" si="39"/>
        <v>648</v>
      </c>
      <c r="CE15" s="326" t="str">
        <f t="shared" si="16"/>
        <v>Koke</v>
      </c>
      <c r="CF15" s="485">
        <f t="shared" si="40"/>
        <v>688</v>
      </c>
      <c r="CG15" s="326" t="str">
        <f t="shared" si="17"/>
        <v>Forsberg</v>
      </c>
      <c r="CH15" s="485">
        <f t="shared" si="41"/>
        <v>728</v>
      </c>
      <c r="CI15" s="326" t="str">
        <f t="shared" si="18"/>
        <v>Józwiak</v>
      </c>
      <c r="CJ15" s="485">
        <f t="shared" si="42"/>
        <v>768</v>
      </c>
      <c r="CK15" s="326" t="str">
        <f t="shared" si="19"/>
        <v>Hancko</v>
      </c>
      <c r="CL15" s="485">
        <f t="shared" si="43"/>
        <v>808</v>
      </c>
      <c r="CM15" s="326" t="str">
        <f t="shared" si="20"/>
        <v>Gulácsi</v>
      </c>
      <c r="CN15" s="485">
        <f t="shared" si="44"/>
        <v>848</v>
      </c>
      <c r="CO15" s="326" t="str">
        <f t="shared" si="21"/>
        <v>Guedes</v>
      </c>
      <c r="CP15" s="485">
        <f t="shared" si="45"/>
        <v>888</v>
      </c>
      <c r="CQ15" s="326" t="str">
        <f t="shared" si="22"/>
        <v>Griezmann</v>
      </c>
      <c r="CR15" s="485">
        <f t="shared" si="46"/>
        <v>928</v>
      </c>
      <c r="CS15" s="326" t="str">
        <f t="shared" si="23"/>
        <v>Halstenberg</v>
      </c>
      <c r="CT15" s="485" t="e">
        <f t="shared" si="47"/>
        <v>#N/A</v>
      </c>
      <c r="CU15" s="326"/>
      <c r="CV15" s="485" t="e">
        <f t="shared" si="48"/>
        <v>#N/A</v>
      </c>
      <c r="CW15" s="326"/>
      <c r="CX15" s="485" t="e">
        <f t="shared" si="49"/>
        <v>#N/A</v>
      </c>
      <c r="CY15" s="326"/>
      <c r="CZ15" s="485" t="e">
        <f t="shared" si="50"/>
        <v>#N/A</v>
      </c>
      <c r="DA15" s="326"/>
      <c r="DB15" s="485" t="e">
        <f t="shared" si="51"/>
        <v>#N/A</v>
      </c>
      <c r="DC15" s="326"/>
      <c r="DD15" s="485" t="e">
        <f t="shared" si="52"/>
        <v>#N/A</v>
      </c>
      <c r="DE15" s="326"/>
      <c r="DF15" s="485" t="e">
        <f t="shared" si="53"/>
        <v>#N/A</v>
      </c>
      <c r="DG15" s="326"/>
      <c r="DH15" s="485" t="e">
        <f t="shared" si="54"/>
        <v>#N/A</v>
      </c>
      <c r="DI15" s="326"/>
      <c r="DJ15" s="485"/>
    </row>
    <row r="16" spans="1:115" ht="12" customHeight="1" x14ac:dyDescent="0.3">
      <c r="A16" s="765"/>
      <c r="C16" s="219"/>
      <c r="D16" s="220"/>
      <c r="E16" s="225"/>
      <c r="F16" s="222"/>
      <c r="G16" s="223"/>
      <c r="H16" s="219"/>
      <c r="J16" s="219"/>
      <c r="K16" s="220"/>
      <c r="L16" s="225"/>
      <c r="M16" s="222"/>
      <c r="N16" s="223"/>
      <c r="O16" s="219"/>
      <c r="V16" s="485" t="s">
        <v>709</v>
      </c>
      <c r="W16" s="492" t="str">
        <f>INDEX(n.er,W9,9)</f>
        <v/>
      </c>
      <c r="X16" s="493" t="str">
        <f>INDEX(n.er,W9,10)</f>
        <v/>
      </c>
      <c r="Y16" s="492" t="str">
        <f>INDEX(n.er,Y9,9)</f>
        <v/>
      </c>
      <c r="Z16" s="493" t="str">
        <f>INDEX(n.er,Y9,10)</f>
        <v/>
      </c>
      <c r="AB16" s="327" t="str">
        <f>IF(C16="öngól",AC7,AB7)</f>
        <v>nevek.01</v>
      </c>
      <c r="AC16" s="327" t="str">
        <f>IF(H16="öngól",AB7,AC7)</f>
        <v>nevek.02</v>
      </c>
      <c r="AD16" s="327" t="str">
        <f>IF(J16="öngól",AE7,AD7)</f>
        <v>nevek.03</v>
      </c>
      <c r="AE16" s="327" t="str">
        <f>IF(O16="öngól",AD7,AE7)</f>
        <v>nevek.04</v>
      </c>
      <c r="AF16" s="325"/>
      <c r="AG16" s="485">
        <v>9</v>
      </c>
      <c r="AH16" s="488" t="b">
        <f ca="1">AND(W10,X11,D16="",AG16&lt;=W16)</f>
        <v>0</v>
      </c>
      <c r="AI16" s="488" t="b">
        <f ca="1">AND(W10,X11,E16="",AG16&lt;=W16)</f>
        <v>0</v>
      </c>
      <c r="AJ16" s="488" t="b">
        <f ca="1">AND(W10,X11,F16="",AG16&lt;=X16)</f>
        <v>0</v>
      </c>
      <c r="AK16" s="488" t="b">
        <f ca="1">AND(W10,X11,G16="",AG16&lt;=X16)</f>
        <v>0</v>
      </c>
      <c r="AL16" s="488" t="b">
        <f ca="1">AND(Y10,Z11,K16="",AG16&lt;=Y16)</f>
        <v>0</v>
      </c>
      <c r="AM16" s="488" t="b">
        <f ca="1">AND(Y10,Z11,L16="",AG16&lt;=Y16)</f>
        <v>0</v>
      </c>
      <c r="AN16" s="488" t="b">
        <f ca="1">AND(Y10,Z11,M16="",AG16&lt;=Z16)</f>
        <v>0</v>
      </c>
      <c r="AO16" s="488" t="b">
        <f ca="1">AND(Y10,Z11,N16="",AG16&lt;=Z16)</f>
        <v>0</v>
      </c>
      <c r="AQ16" s="326" t="str">
        <f>IF(OR(NOT(Góllista!$E$6),D16=""),"",IF(C16="öngól","ö"&amp;G7&amp;D16,D7&amp;D16))</f>
        <v/>
      </c>
      <c r="AR16" s="326" t="str">
        <f>IF(OR(NOT(Góllista!$E$6),G16=""),"",IF(H16="öngól","ö"&amp;D7&amp;G16,G7&amp;G16))</f>
        <v/>
      </c>
      <c r="AS16" s="326" t="str">
        <f>IF(OR(NOT(Góllista!$E$6),K16=""),"",IF(J16="öngól","ö"&amp;N7&amp;K16,K7&amp;K16))</f>
        <v/>
      </c>
      <c r="AT16" s="326" t="str">
        <f>IF(OR(NOT(Góllista!$E$6),N16=""),"",IF(O16="öngól","ö"&amp;K7&amp;N16,N7&amp;N16))</f>
        <v/>
      </c>
      <c r="AW16" s="485"/>
      <c r="AX16" s="485">
        <f t="shared" si="55"/>
        <v>9</v>
      </c>
      <c r="AY16" s="326" t="str">
        <f t="shared" si="0"/>
        <v>Dervisoglu</v>
      </c>
      <c r="AZ16" s="485">
        <f t="shared" si="24"/>
        <v>49</v>
      </c>
      <c r="BA16" s="326" t="str">
        <f t="shared" si="1"/>
        <v>Chiesa</v>
      </c>
      <c r="BB16" s="485">
        <f t="shared" si="25"/>
        <v>89</v>
      </c>
      <c r="BC16" s="326" t="str">
        <f t="shared" si="2"/>
        <v>Gunter</v>
      </c>
      <c r="BD16" s="485">
        <f t="shared" si="26"/>
        <v>129</v>
      </c>
      <c r="BE16" s="326" t="str">
        <f t="shared" si="3"/>
        <v>Gavranovic</v>
      </c>
      <c r="BF16" s="485">
        <f t="shared" si="27"/>
        <v>169</v>
      </c>
      <c r="BG16" s="326" t="str">
        <f t="shared" si="4"/>
        <v>Dolberg</v>
      </c>
      <c r="BH16" s="485">
        <f t="shared" si="28"/>
        <v>209</v>
      </c>
      <c r="BI16" s="326" t="str">
        <f t="shared" si="5"/>
        <v>Joronen</v>
      </c>
      <c r="BJ16" s="485">
        <f t="shared" si="29"/>
        <v>249</v>
      </c>
      <c r="BK16" s="326" t="str">
        <f t="shared" si="6"/>
        <v>De Bruyne</v>
      </c>
      <c r="BL16" s="485">
        <f t="shared" si="30"/>
        <v>289</v>
      </c>
      <c r="BM16" s="326" t="str">
        <f t="shared" si="7"/>
        <v>Golovin</v>
      </c>
      <c r="BN16" s="485">
        <f t="shared" si="31"/>
        <v>329</v>
      </c>
      <c r="BO16" s="326" t="str">
        <f t="shared" si="8"/>
        <v>de Vrij</v>
      </c>
      <c r="BP16" s="485">
        <f t="shared" si="32"/>
        <v>369</v>
      </c>
      <c r="BQ16" s="326" t="str">
        <f t="shared" si="9"/>
        <v>Krivcov</v>
      </c>
      <c r="BR16" s="485">
        <f t="shared" si="33"/>
        <v>409</v>
      </c>
      <c r="BS16" s="326" t="str">
        <f t="shared" si="10"/>
        <v>Grillitsch</v>
      </c>
      <c r="BT16" s="485">
        <f t="shared" si="34"/>
        <v>449</v>
      </c>
      <c r="BU16" s="326" t="str">
        <f t="shared" si="11"/>
        <v>Haszani</v>
      </c>
      <c r="BV16" s="485">
        <f t="shared" si="35"/>
        <v>489</v>
      </c>
      <c r="BW16" s="326" t="str">
        <f t="shared" si="12"/>
        <v>Henderson J.</v>
      </c>
      <c r="BX16" s="485">
        <f t="shared" si="36"/>
        <v>529</v>
      </c>
      <c r="BY16" s="326" t="str">
        <f t="shared" si="13"/>
        <v>Ivanusec</v>
      </c>
      <c r="BZ16" s="485">
        <f t="shared" si="37"/>
        <v>569</v>
      </c>
      <c r="CA16" s="326" t="str">
        <f t="shared" si="14"/>
        <v>Gallagher</v>
      </c>
      <c r="CB16" s="485">
        <f t="shared" si="38"/>
        <v>609</v>
      </c>
      <c r="CC16" s="326" t="str">
        <f t="shared" si="15"/>
        <v>Jankto</v>
      </c>
      <c r="CD16" s="485">
        <f t="shared" si="39"/>
        <v>649</v>
      </c>
      <c r="CE16" s="326" t="str">
        <f t="shared" si="16"/>
        <v xml:space="preserve">Laporte </v>
      </c>
      <c r="CF16" s="485">
        <f t="shared" si="40"/>
        <v>689</v>
      </c>
      <c r="CG16" s="326" t="str">
        <f t="shared" si="17"/>
        <v>Granqvist</v>
      </c>
      <c r="CH16" s="485">
        <f t="shared" si="41"/>
        <v>729</v>
      </c>
      <c r="CI16" s="326" t="str">
        <f t="shared" si="18"/>
        <v>Kedziora</v>
      </c>
      <c r="CJ16" s="485">
        <f t="shared" si="42"/>
        <v>769</v>
      </c>
      <c r="CK16" s="326" t="str">
        <f t="shared" si="19"/>
        <v>Haraslín</v>
      </c>
      <c r="CL16" s="485">
        <f t="shared" si="43"/>
        <v>809</v>
      </c>
      <c r="CM16" s="326" t="str">
        <f t="shared" si="20"/>
        <v>Hahn</v>
      </c>
      <c r="CN16" s="485">
        <f t="shared" si="44"/>
        <v>849</v>
      </c>
      <c r="CO16" s="326" t="str">
        <f t="shared" si="21"/>
        <v>Guerreiro</v>
      </c>
      <c r="CP16" s="485">
        <f t="shared" si="45"/>
        <v>889</v>
      </c>
      <c r="CQ16" s="326" t="str">
        <f t="shared" si="22"/>
        <v>Hernández</v>
      </c>
      <c r="CR16" s="485">
        <f t="shared" si="46"/>
        <v>929</v>
      </c>
      <c r="CS16" s="326" t="str">
        <f t="shared" si="23"/>
        <v>Havertz</v>
      </c>
      <c r="CT16" s="485" t="e">
        <f t="shared" si="47"/>
        <v>#N/A</v>
      </c>
      <c r="CU16" s="326"/>
      <c r="CV16" s="485" t="e">
        <f t="shared" si="48"/>
        <v>#N/A</v>
      </c>
      <c r="CW16" s="326"/>
      <c r="CX16" s="485" t="e">
        <f t="shared" si="49"/>
        <v>#N/A</v>
      </c>
      <c r="CY16" s="326"/>
      <c r="CZ16" s="485" t="e">
        <f t="shared" si="50"/>
        <v>#N/A</v>
      </c>
      <c r="DA16" s="326"/>
      <c r="DB16" s="485" t="e">
        <f t="shared" si="51"/>
        <v>#N/A</v>
      </c>
      <c r="DC16" s="326"/>
      <c r="DD16" s="485" t="e">
        <f t="shared" si="52"/>
        <v>#N/A</v>
      </c>
      <c r="DE16" s="326"/>
      <c r="DF16" s="485" t="e">
        <f t="shared" si="53"/>
        <v>#N/A</v>
      </c>
      <c r="DG16" s="326"/>
      <c r="DH16" s="485" t="e">
        <f t="shared" si="54"/>
        <v>#N/A</v>
      </c>
      <c r="DI16" s="326"/>
      <c r="DJ16" s="485"/>
    </row>
    <row r="17" spans="1:115" ht="12" customHeight="1" x14ac:dyDescent="0.3">
      <c r="A17" s="765"/>
      <c r="C17" s="768"/>
      <c r="D17" s="768"/>
      <c r="E17" s="768"/>
      <c r="F17" s="768"/>
      <c r="G17" s="768"/>
      <c r="H17" s="768"/>
      <c r="J17" s="768"/>
      <c r="K17" s="768"/>
      <c r="L17" s="768"/>
      <c r="M17" s="768"/>
      <c r="N17" s="768"/>
      <c r="O17" s="768"/>
      <c r="AW17" s="485"/>
      <c r="AX17" s="485">
        <f t="shared" si="55"/>
        <v>10</v>
      </c>
      <c r="AY17" s="326" t="str">
        <f t="shared" si="0"/>
        <v>Günok</v>
      </c>
      <c r="AZ17" s="485">
        <f t="shared" si="24"/>
        <v>50</v>
      </c>
      <c r="BA17" s="326" t="str">
        <f t="shared" si="1"/>
        <v>Cristante</v>
      </c>
      <c r="BB17" s="485">
        <f t="shared" si="25"/>
        <v>90</v>
      </c>
      <c r="BC17" s="326" t="str">
        <f t="shared" si="2"/>
        <v>Hennessey</v>
      </c>
      <c r="BD17" s="485">
        <f t="shared" si="26"/>
        <v>130</v>
      </c>
      <c r="BE17" s="326" t="str">
        <f t="shared" si="3"/>
        <v>Lotomba</v>
      </c>
      <c r="BF17" s="485">
        <f t="shared" si="27"/>
        <v>170</v>
      </c>
      <c r="BG17" s="326" t="str">
        <f t="shared" si="4"/>
        <v>Eriksen</v>
      </c>
      <c r="BH17" s="485">
        <f t="shared" si="28"/>
        <v>210</v>
      </c>
      <c r="BI17" s="326" t="str">
        <f t="shared" si="5"/>
        <v>Kamara</v>
      </c>
      <c r="BJ17" s="485">
        <f t="shared" si="29"/>
        <v>250</v>
      </c>
      <c r="BK17" s="326" t="str">
        <f t="shared" si="6"/>
        <v>Denayer</v>
      </c>
      <c r="BL17" s="485">
        <f t="shared" si="30"/>
        <v>290</v>
      </c>
      <c r="BM17" s="326" t="str">
        <f t="shared" si="7"/>
        <v>Ionov</v>
      </c>
      <c r="BN17" s="485">
        <f t="shared" si="31"/>
        <v>330</v>
      </c>
      <c r="BO17" s="326" t="str">
        <f t="shared" si="8"/>
        <v>Depay</v>
      </c>
      <c r="BP17" s="485">
        <f t="shared" si="32"/>
        <v>370</v>
      </c>
      <c r="BQ17" s="326" t="str">
        <f t="shared" si="9"/>
        <v>Makarenko</v>
      </c>
      <c r="BR17" s="485">
        <f t="shared" si="33"/>
        <v>410</v>
      </c>
      <c r="BS17" s="326" t="str">
        <f t="shared" si="10"/>
        <v>Hinteregger</v>
      </c>
      <c r="BT17" s="485">
        <f t="shared" si="34"/>
        <v>450</v>
      </c>
      <c r="BU17" s="326" t="str">
        <f t="shared" si="11"/>
        <v>Jankov</v>
      </c>
      <c r="BV17" s="485">
        <f t="shared" si="35"/>
        <v>490</v>
      </c>
      <c r="BW17" s="326" t="str">
        <f t="shared" si="12"/>
        <v>James</v>
      </c>
      <c r="BX17" s="485">
        <f t="shared" si="36"/>
        <v>530</v>
      </c>
      <c r="BY17" s="326" t="str">
        <f t="shared" si="13"/>
        <v>Juranovic</v>
      </c>
      <c r="BZ17" s="485">
        <f t="shared" si="37"/>
        <v>570</v>
      </c>
      <c r="CA17" s="326" t="str">
        <f t="shared" si="14"/>
        <v>Gilmour</v>
      </c>
      <c r="CB17" s="485">
        <f t="shared" si="38"/>
        <v>610</v>
      </c>
      <c r="CC17" s="326" t="str">
        <f t="shared" si="15"/>
        <v>Kaderábek</v>
      </c>
      <c r="CD17" s="485">
        <f t="shared" si="39"/>
        <v>650</v>
      </c>
      <c r="CE17" s="326" t="str">
        <f t="shared" si="16"/>
        <v>Llorente D.</v>
      </c>
      <c r="CF17" s="485">
        <f t="shared" si="40"/>
        <v>690</v>
      </c>
      <c r="CG17" s="326" t="str">
        <f t="shared" si="17"/>
        <v>Helander</v>
      </c>
      <c r="CH17" s="485">
        <f t="shared" si="41"/>
        <v>730</v>
      </c>
      <c r="CI17" s="326" t="str">
        <f t="shared" si="18"/>
        <v>Klich</v>
      </c>
      <c r="CJ17" s="485">
        <f t="shared" si="42"/>
        <v>770</v>
      </c>
      <c r="CK17" s="326" t="str">
        <f t="shared" si="19"/>
        <v>Hromada</v>
      </c>
      <c r="CL17" s="485">
        <f t="shared" si="43"/>
        <v>810</v>
      </c>
      <c r="CM17" s="326" t="str">
        <f t="shared" si="20"/>
        <v>Holender</v>
      </c>
      <c r="CN17" s="485">
        <f t="shared" si="44"/>
        <v>850</v>
      </c>
      <c r="CO17" s="326" t="str">
        <f t="shared" si="21"/>
        <v>Jota</v>
      </c>
      <c r="CP17" s="485">
        <f t="shared" si="45"/>
        <v>890</v>
      </c>
      <c r="CQ17" s="326" t="str">
        <f t="shared" si="22"/>
        <v>Kanté</v>
      </c>
      <c r="CR17" s="485">
        <f t="shared" si="46"/>
        <v>930</v>
      </c>
      <c r="CS17" s="326" t="str">
        <f t="shared" si="23"/>
        <v>Hofmann</v>
      </c>
      <c r="CT17" s="485" t="e">
        <f t="shared" si="47"/>
        <v>#N/A</v>
      </c>
      <c r="CU17" s="326"/>
      <c r="CV17" s="485" t="e">
        <f t="shared" si="48"/>
        <v>#N/A</v>
      </c>
      <c r="CW17" s="326"/>
      <c r="CX17" s="485" t="e">
        <f t="shared" si="49"/>
        <v>#N/A</v>
      </c>
      <c r="CY17" s="326"/>
      <c r="CZ17" s="485" t="e">
        <f t="shared" si="50"/>
        <v>#N/A</v>
      </c>
      <c r="DA17" s="326"/>
      <c r="DB17" s="485" t="e">
        <f t="shared" si="51"/>
        <v>#N/A</v>
      </c>
      <c r="DC17" s="326"/>
      <c r="DD17" s="485" t="e">
        <f t="shared" si="52"/>
        <v>#N/A</v>
      </c>
      <c r="DE17" s="326"/>
      <c r="DF17" s="485" t="e">
        <f t="shared" si="53"/>
        <v>#N/A</v>
      </c>
      <c r="DG17" s="326"/>
      <c r="DH17" s="485" t="e">
        <f t="shared" si="54"/>
        <v>#N/A</v>
      </c>
      <c r="DI17" s="326"/>
      <c r="DJ17" s="485"/>
    </row>
    <row r="18" spans="1:115" ht="12" hidden="1" customHeight="1" x14ac:dyDescent="0.3">
      <c r="A18" s="765"/>
      <c r="C18" s="767"/>
      <c r="D18" s="767"/>
      <c r="E18" s="767"/>
      <c r="F18" s="767"/>
      <c r="G18" s="767"/>
      <c r="H18" s="767"/>
      <c r="J18" s="767"/>
      <c r="K18" s="767"/>
      <c r="L18" s="767"/>
      <c r="M18" s="767"/>
      <c r="N18" s="767"/>
      <c r="O18" s="767"/>
      <c r="AW18" s="485"/>
      <c r="AX18" s="485">
        <f t="shared" si="55"/>
        <v>11</v>
      </c>
      <c r="AY18" s="326" t="str">
        <f t="shared" si="0"/>
        <v>Kabak</v>
      </c>
      <c r="AZ18" s="485">
        <f t="shared" si="24"/>
        <v>51</v>
      </c>
      <c r="BA18" s="326" t="str">
        <f t="shared" si="1"/>
        <v>Di Lorenzo</v>
      </c>
      <c r="BB18" s="485">
        <f t="shared" si="25"/>
        <v>91</v>
      </c>
      <c r="BC18" s="326" t="str">
        <f t="shared" si="2"/>
        <v>James</v>
      </c>
      <c r="BD18" s="485">
        <f t="shared" si="26"/>
        <v>131</v>
      </c>
      <c r="BE18" s="326" t="str">
        <f t="shared" si="3"/>
        <v>Mbabu</v>
      </c>
      <c r="BF18" s="485">
        <f t="shared" si="27"/>
        <v>171</v>
      </c>
      <c r="BG18" s="326" t="str">
        <f t="shared" si="4"/>
        <v>Höjbjerg</v>
      </c>
      <c r="BH18" s="485">
        <f t="shared" si="28"/>
        <v>211</v>
      </c>
      <c r="BI18" s="326" t="str">
        <f t="shared" si="5"/>
        <v>Kauko</v>
      </c>
      <c r="BJ18" s="485">
        <f t="shared" si="29"/>
        <v>251</v>
      </c>
      <c r="BK18" s="326" t="str">
        <f t="shared" si="6"/>
        <v>Dendoncker</v>
      </c>
      <c r="BL18" s="485">
        <f t="shared" si="30"/>
        <v>291</v>
      </c>
      <c r="BM18" s="326" t="str">
        <f t="shared" si="7"/>
        <v>Karavajev</v>
      </c>
      <c r="BN18" s="485">
        <f t="shared" si="31"/>
        <v>331</v>
      </c>
      <c r="BO18" s="326" t="str">
        <f t="shared" si="8"/>
        <v>Dumfries</v>
      </c>
      <c r="BP18" s="485">
        <f t="shared" si="32"/>
        <v>371</v>
      </c>
      <c r="BQ18" s="326" t="str">
        <f t="shared" si="9"/>
        <v>Malinovszkij</v>
      </c>
      <c r="BR18" s="485">
        <f t="shared" si="33"/>
        <v>411</v>
      </c>
      <c r="BS18" s="326" t="str">
        <f t="shared" si="10"/>
        <v>Ilsanker</v>
      </c>
      <c r="BT18" s="485">
        <f t="shared" si="34"/>
        <v>451</v>
      </c>
      <c r="BU18" s="326" t="str">
        <f t="shared" si="11"/>
        <v>Kosztadinov</v>
      </c>
      <c r="BV18" s="485">
        <f t="shared" si="35"/>
        <v>491</v>
      </c>
      <c r="BW18" s="326" t="str">
        <f t="shared" si="12"/>
        <v>Johnstone</v>
      </c>
      <c r="BX18" s="485">
        <f t="shared" si="36"/>
        <v>531</v>
      </c>
      <c r="BY18" s="326" t="str">
        <f t="shared" si="13"/>
        <v>Kalinic</v>
      </c>
      <c r="BZ18" s="485">
        <f t="shared" si="37"/>
        <v>571</v>
      </c>
      <c r="CA18" s="326" t="str">
        <f t="shared" si="14"/>
        <v>Gordon</v>
      </c>
      <c r="CB18" s="485">
        <f t="shared" si="38"/>
        <v>611</v>
      </c>
      <c r="CC18" s="326" t="str">
        <f t="shared" si="15"/>
        <v>Kalas</v>
      </c>
      <c r="CD18" s="485">
        <f t="shared" si="39"/>
        <v>651</v>
      </c>
      <c r="CE18" s="326" t="str">
        <f t="shared" si="16"/>
        <v>Llorente M.</v>
      </c>
      <c r="CF18" s="485">
        <f t="shared" si="40"/>
        <v>691</v>
      </c>
      <c r="CG18" s="326" t="str">
        <f t="shared" si="17"/>
        <v>Isak</v>
      </c>
      <c r="CH18" s="485">
        <f t="shared" si="41"/>
        <v>731</v>
      </c>
      <c r="CI18" s="326" t="str">
        <f t="shared" si="18"/>
        <v>Kownacki</v>
      </c>
      <c r="CJ18" s="485">
        <f t="shared" si="42"/>
        <v>771</v>
      </c>
      <c r="CK18" s="326" t="str">
        <f t="shared" si="19"/>
        <v>Hrosovsky</v>
      </c>
      <c r="CL18" s="485">
        <f t="shared" si="43"/>
        <v>811</v>
      </c>
      <c r="CM18" s="326" t="str">
        <f t="shared" si="20"/>
        <v>Kecskés</v>
      </c>
      <c r="CN18" s="485">
        <f t="shared" si="44"/>
        <v>851</v>
      </c>
      <c r="CO18" s="326" t="str">
        <f t="shared" si="21"/>
        <v>Lopes</v>
      </c>
      <c r="CP18" s="485">
        <f t="shared" si="45"/>
        <v>891</v>
      </c>
      <c r="CQ18" s="326" t="str">
        <f t="shared" si="22"/>
        <v>Kimpembe</v>
      </c>
      <c r="CR18" s="485">
        <f t="shared" si="46"/>
        <v>931</v>
      </c>
      <c r="CS18" s="326" t="str">
        <f t="shared" si="23"/>
        <v>Hummels</v>
      </c>
      <c r="CT18" s="485" t="e">
        <f t="shared" si="47"/>
        <v>#N/A</v>
      </c>
      <c r="CU18" s="326"/>
      <c r="CV18" s="485" t="e">
        <f t="shared" si="48"/>
        <v>#N/A</v>
      </c>
      <c r="CW18" s="326"/>
      <c r="CX18" s="485" t="e">
        <f t="shared" si="49"/>
        <v>#N/A</v>
      </c>
      <c r="CY18" s="326"/>
      <c r="CZ18" s="485" t="e">
        <f t="shared" si="50"/>
        <v>#N/A</v>
      </c>
      <c r="DA18" s="326"/>
      <c r="DB18" s="485" t="e">
        <f t="shared" si="51"/>
        <v>#N/A</v>
      </c>
      <c r="DC18" s="326"/>
      <c r="DD18" s="485" t="e">
        <f t="shared" si="52"/>
        <v>#N/A</v>
      </c>
      <c r="DE18" s="326"/>
      <c r="DF18" s="485" t="e">
        <f t="shared" si="53"/>
        <v>#N/A</v>
      </c>
      <c r="DG18" s="326"/>
      <c r="DH18" s="485" t="e">
        <f t="shared" si="54"/>
        <v>#N/A</v>
      </c>
      <c r="DI18" s="326"/>
      <c r="DJ18" s="485"/>
    </row>
    <row r="19" spans="1:115" ht="12" hidden="1" customHeight="1" x14ac:dyDescent="0.3">
      <c r="A19" s="765"/>
      <c r="C19" s="767"/>
      <c r="D19" s="767"/>
      <c r="E19" s="767"/>
      <c r="F19" s="767"/>
      <c r="G19" s="767"/>
      <c r="H19" s="767"/>
      <c r="J19" s="767"/>
      <c r="K19" s="767"/>
      <c r="L19" s="767"/>
      <c r="M19" s="767"/>
      <c r="N19" s="767"/>
      <c r="O19" s="767"/>
      <c r="AW19" s="485"/>
      <c r="AX19" s="485">
        <f t="shared" si="55"/>
        <v>12</v>
      </c>
      <c r="AY19" s="326" t="str">
        <f t="shared" si="0"/>
        <v>Kahveci</v>
      </c>
      <c r="AZ19" s="485">
        <f t="shared" si="24"/>
        <v>52</v>
      </c>
      <c r="BA19" s="326" t="str">
        <f t="shared" si="1"/>
        <v>Donnarumma</v>
      </c>
      <c r="BB19" s="485">
        <f t="shared" si="25"/>
        <v>92</v>
      </c>
      <c r="BC19" s="326" t="str">
        <f t="shared" si="2"/>
        <v>Levitt</v>
      </c>
      <c r="BD19" s="485">
        <f t="shared" si="26"/>
        <v>132</v>
      </c>
      <c r="BE19" s="326" t="str">
        <f t="shared" si="3"/>
        <v>Mehmedi</v>
      </c>
      <c r="BF19" s="485">
        <f t="shared" si="27"/>
        <v>172</v>
      </c>
      <c r="BG19" s="326" t="str">
        <f t="shared" si="4"/>
        <v>Jensen</v>
      </c>
      <c r="BH19" s="485">
        <f t="shared" si="28"/>
        <v>212</v>
      </c>
      <c r="BI19" s="326" t="str">
        <f t="shared" si="5"/>
        <v>Lam</v>
      </c>
      <c r="BJ19" s="485">
        <f t="shared" si="29"/>
        <v>252</v>
      </c>
      <c r="BK19" s="326" t="str">
        <f t="shared" si="6"/>
        <v>Doku</v>
      </c>
      <c r="BL19" s="485">
        <f t="shared" si="30"/>
        <v>292</v>
      </c>
      <c r="BM19" s="326" t="str">
        <f t="shared" si="7"/>
        <v>Kudrjasov</v>
      </c>
      <c r="BN19" s="485">
        <f t="shared" si="31"/>
        <v>332</v>
      </c>
      <c r="BO19" s="326" t="str">
        <f t="shared" si="8"/>
        <v>Gakpo</v>
      </c>
      <c r="BP19" s="485">
        <f t="shared" si="32"/>
        <v>372</v>
      </c>
      <c r="BQ19" s="326" t="str">
        <f t="shared" si="9"/>
        <v>Marlos</v>
      </c>
      <c r="BR19" s="485">
        <f t="shared" si="33"/>
        <v>412</v>
      </c>
      <c r="BS19" s="326" t="str">
        <f t="shared" si="10"/>
        <v>Kalajdzic</v>
      </c>
      <c r="BT19" s="485">
        <f t="shared" si="34"/>
        <v>452</v>
      </c>
      <c r="BU19" s="326" t="str">
        <f t="shared" si="11"/>
        <v>Muszliu</v>
      </c>
      <c r="BV19" s="485">
        <f t="shared" si="35"/>
        <v>492</v>
      </c>
      <c r="BW19" s="326" t="str">
        <f t="shared" si="12"/>
        <v>Kane</v>
      </c>
      <c r="BX19" s="485">
        <f t="shared" si="36"/>
        <v>532</v>
      </c>
      <c r="BY19" s="326" t="str">
        <f t="shared" si="13"/>
        <v>Kovacic</v>
      </c>
      <c r="BZ19" s="485">
        <f t="shared" si="37"/>
        <v>572</v>
      </c>
      <c r="CA19" s="326" t="str">
        <f t="shared" si="14"/>
        <v>Hanley</v>
      </c>
      <c r="CB19" s="485">
        <f t="shared" si="38"/>
        <v>612</v>
      </c>
      <c r="CC19" s="326" t="str">
        <f t="shared" si="15"/>
        <v>Král</v>
      </c>
      <c r="CD19" s="485">
        <f t="shared" si="39"/>
        <v>652</v>
      </c>
      <c r="CE19" s="326" t="str">
        <f t="shared" si="16"/>
        <v>Morata</v>
      </c>
      <c r="CF19" s="485">
        <f t="shared" si="40"/>
        <v>692</v>
      </c>
      <c r="CG19" s="326" t="str">
        <f t="shared" si="17"/>
        <v>Jansson</v>
      </c>
      <c r="CH19" s="485">
        <f t="shared" si="41"/>
        <v>732</v>
      </c>
      <c r="CI19" s="326" t="str">
        <f t="shared" si="18"/>
        <v>Kozlowski</v>
      </c>
      <c r="CJ19" s="485">
        <f t="shared" si="42"/>
        <v>772</v>
      </c>
      <c r="CK19" s="326" t="str">
        <f t="shared" si="19"/>
        <v>Hubocan</v>
      </c>
      <c r="CL19" s="485">
        <f t="shared" si="43"/>
        <v>812</v>
      </c>
      <c r="CM19" s="326" t="str">
        <f t="shared" si="20"/>
        <v>Kleinheisler</v>
      </c>
      <c r="CN19" s="485">
        <f t="shared" si="44"/>
        <v>852</v>
      </c>
      <c r="CO19" s="326" t="str">
        <f t="shared" si="21"/>
        <v>Mendes</v>
      </c>
      <c r="CP19" s="485">
        <f t="shared" si="45"/>
        <v>892</v>
      </c>
      <c r="CQ19" s="326" t="str">
        <f t="shared" si="22"/>
        <v>Koundé</v>
      </c>
      <c r="CR19" s="485">
        <f t="shared" si="46"/>
        <v>932</v>
      </c>
      <c r="CS19" s="326" t="str">
        <f t="shared" si="23"/>
        <v>Kimmich</v>
      </c>
      <c r="CT19" s="485" t="e">
        <f t="shared" si="47"/>
        <v>#N/A</v>
      </c>
      <c r="CU19" s="326"/>
      <c r="CV19" s="485" t="e">
        <f t="shared" si="48"/>
        <v>#N/A</v>
      </c>
      <c r="CW19" s="326"/>
      <c r="CX19" s="485" t="e">
        <f t="shared" si="49"/>
        <v>#N/A</v>
      </c>
      <c r="CY19" s="326"/>
      <c r="CZ19" s="485" t="e">
        <f t="shared" si="50"/>
        <v>#N/A</v>
      </c>
      <c r="DA19" s="326"/>
      <c r="DB19" s="485" t="e">
        <f t="shared" si="51"/>
        <v>#N/A</v>
      </c>
      <c r="DC19" s="326"/>
      <c r="DD19" s="485" t="e">
        <f t="shared" si="52"/>
        <v>#N/A</v>
      </c>
      <c r="DE19" s="326"/>
      <c r="DF19" s="485" t="e">
        <f t="shared" si="53"/>
        <v>#N/A</v>
      </c>
      <c r="DG19" s="326"/>
      <c r="DH19" s="485" t="e">
        <f t="shared" si="54"/>
        <v>#N/A</v>
      </c>
      <c r="DI19" s="326"/>
      <c r="DJ19" s="485"/>
    </row>
    <row r="20" spans="1:115" ht="10.5" customHeight="1" x14ac:dyDescent="0.3">
      <c r="A20" s="765"/>
      <c r="AW20" s="485"/>
      <c r="AX20" s="485">
        <f t="shared" si="55"/>
        <v>13</v>
      </c>
      <c r="AY20" s="326" t="str">
        <f t="shared" si="0"/>
        <v>Karaman</v>
      </c>
      <c r="AZ20" s="485">
        <f t="shared" si="24"/>
        <v>53</v>
      </c>
      <c r="BA20" s="326" t="str">
        <f t="shared" si="1"/>
        <v>Emerson</v>
      </c>
      <c r="BB20" s="485">
        <f t="shared" si="25"/>
        <v>93</v>
      </c>
      <c r="BC20" s="326" t="str">
        <f t="shared" si="2"/>
        <v>Lockyer</v>
      </c>
      <c r="BD20" s="485">
        <f t="shared" si="26"/>
        <v>133</v>
      </c>
      <c r="BE20" s="326" t="str">
        <f t="shared" si="3"/>
        <v>Mvogo</v>
      </c>
      <c r="BF20" s="485">
        <f t="shared" si="27"/>
        <v>173</v>
      </c>
      <c r="BG20" s="326" t="str">
        <f t="shared" si="4"/>
        <v>Jörgensen</v>
      </c>
      <c r="BH20" s="485">
        <f t="shared" si="28"/>
        <v>213</v>
      </c>
      <c r="BI20" s="326" t="str">
        <f t="shared" si="5"/>
        <v>Lappalainen</v>
      </c>
      <c r="BJ20" s="485">
        <f t="shared" si="29"/>
        <v>253</v>
      </c>
      <c r="BK20" s="326" t="str">
        <f t="shared" si="6"/>
        <v>Hazard E.</v>
      </c>
      <c r="BL20" s="485">
        <f t="shared" si="30"/>
        <v>293</v>
      </c>
      <c r="BM20" s="326" t="str">
        <f t="shared" si="7"/>
        <v>Kuzjajev</v>
      </c>
      <c r="BN20" s="485">
        <f t="shared" si="31"/>
        <v>333</v>
      </c>
      <c r="BO20" s="326" t="str">
        <f t="shared" si="8"/>
        <v>Gravenberch</v>
      </c>
      <c r="BP20" s="485">
        <f t="shared" si="32"/>
        <v>373</v>
      </c>
      <c r="BQ20" s="326" t="str">
        <f t="shared" si="9"/>
        <v>Matvijenko</v>
      </c>
      <c r="BR20" s="485">
        <f t="shared" si="33"/>
        <v>413</v>
      </c>
      <c r="BS20" s="326" t="str">
        <f t="shared" si="10"/>
        <v>Laimer</v>
      </c>
      <c r="BT20" s="485">
        <f t="shared" si="34"/>
        <v>453</v>
      </c>
      <c r="BU20" s="326" t="str">
        <f t="shared" si="11"/>
        <v>Nikolov</v>
      </c>
      <c r="BV20" s="485">
        <f t="shared" si="35"/>
        <v>493</v>
      </c>
      <c r="BW20" s="326" t="str">
        <f t="shared" si="12"/>
        <v>Maguire</v>
      </c>
      <c r="BX20" s="485">
        <f t="shared" si="36"/>
        <v>533</v>
      </c>
      <c r="BY20" s="326" t="str">
        <f t="shared" si="13"/>
        <v>Kramaric</v>
      </c>
      <c r="BZ20" s="485">
        <f t="shared" si="37"/>
        <v>573</v>
      </c>
      <c r="CA20" s="326" t="str">
        <f t="shared" si="14"/>
        <v>Hendry</v>
      </c>
      <c r="CB20" s="485">
        <f t="shared" si="38"/>
        <v>613</v>
      </c>
      <c r="CC20" s="326" t="str">
        <f t="shared" si="15"/>
        <v>Krmencík</v>
      </c>
      <c r="CD20" s="485">
        <f t="shared" si="39"/>
        <v>653</v>
      </c>
      <c r="CE20" s="326" t="str">
        <f t="shared" si="16"/>
        <v>Moreno</v>
      </c>
      <c r="CF20" s="485">
        <f t="shared" si="40"/>
        <v>693</v>
      </c>
      <c r="CG20" s="326" t="str">
        <f t="shared" si="17"/>
        <v>Johnsson</v>
      </c>
      <c r="CH20" s="485">
        <f t="shared" si="41"/>
        <v>733</v>
      </c>
      <c r="CI20" s="326" t="str">
        <f t="shared" si="18"/>
        <v>Krychowiak</v>
      </c>
      <c r="CJ20" s="485">
        <f t="shared" si="42"/>
        <v>773</v>
      </c>
      <c r="CK20" s="326" t="str">
        <f t="shared" si="19"/>
        <v>Koscelník</v>
      </c>
      <c r="CL20" s="485">
        <f t="shared" si="43"/>
        <v>813</v>
      </c>
      <c r="CM20" s="326" t="str">
        <f t="shared" si="20"/>
        <v>Lang</v>
      </c>
      <c r="CN20" s="485">
        <f t="shared" si="44"/>
        <v>853</v>
      </c>
      <c r="CO20" s="326" t="str">
        <f t="shared" si="21"/>
        <v>Moutinho</v>
      </c>
      <c r="CP20" s="485">
        <f t="shared" si="45"/>
        <v>893</v>
      </c>
      <c r="CQ20" s="326" t="str">
        <f t="shared" si="22"/>
        <v>Lemar</v>
      </c>
      <c r="CR20" s="485">
        <f t="shared" si="46"/>
        <v>933</v>
      </c>
      <c r="CS20" s="326" t="str">
        <f t="shared" si="23"/>
        <v>Klostermann</v>
      </c>
      <c r="CT20" s="485" t="e">
        <f t="shared" si="47"/>
        <v>#N/A</v>
      </c>
      <c r="CU20" s="326"/>
      <c r="CV20" s="485" t="e">
        <f t="shared" si="48"/>
        <v>#N/A</v>
      </c>
      <c r="CW20" s="326"/>
      <c r="CX20" s="485" t="e">
        <f t="shared" si="49"/>
        <v>#N/A</v>
      </c>
      <c r="CY20" s="326"/>
      <c r="CZ20" s="485" t="e">
        <f t="shared" si="50"/>
        <v>#N/A</v>
      </c>
      <c r="DA20" s="326"/>
      <c r="DB20" s="485" t="e">
        <f t="shared" si="51"/>
        <v>#N/A</v>
      </c>
      <c r="DC20" s="326"/>
      <c r="DD20" s="485" t="e">
        <f t="shared" si="52"/>
        <v>#N/A</v>
      </c>
      <c r="DE20" s="326"/>
      <c r="DF20" s="485" t="e">
        <f t="shared" si="53"/>
        <v>#N/A</v>
      </c>
      <c r="DG20" s="326"/>
      <c r="DH20" s="485" t="e">
        <f t="shared" si="54"/>
        <v>#N/A</v>
      </c>
      <c r="DI20" s="326"/>
      <c r="DJ20" s="485"/>
    </row>
    <row r="21" spans="1:115" ht="6" customHeight="1" x14ac:dyDescent="0.3">
      <c r="A21" s="765"/>
      <c r="AQ21" s="323"/>
      <c r="AR21" s="323"/>
      <c r="AS21" s="323"/>
      <c r="AT21" s="323"/>
      <c r="AW21" s="485"/>
      <c r="AX21" s="485">
        <f t="shared" si="55"/>
        <v>14</v>
      </c>
      <c r="AY21" s="326" t="str">
        <f t="shared" si="0"/>
        <v>Kökcü</v>
      </c>
      <c r="AZ21" s="485">
        <f t="shared" si="24"/>
        <v>54</v>
      </c>
      <c r="BA21" s="326" t="str">
        <f t="shared" si="1"/>
        <v>Florenzi</v>
      </c>
      <c r="BB21" s="485">
        <f t="shared" si="25"/>
        <v>94</v>
      </c>
      <c r="BC21" s="326" t="str">
        <f t="shared" si="2"/>
        <v>Mepham</v>
      </c>
      <c r="BD21" s="485">
        <f t="shared" si="26"/>
        <v>134</v>
      </c>
      <c r="BE21" s="326" t="str">
        <f t="shared" si="3"/>
        <v>Omeragic</v>
      </c>
      <c r="BF21" s="485">
        <f t="shared" si="27"/>
        <v>174</v>
      </c>
      <c r="BG21" s="326" t="str">
        <f t="shared" si="4"/>
        <v>Kjaer</v>
      </c>
      <c r="BH21" s="485">
        <f t="shared" si="28"/>
        <v>214</v>
      </c>
      <c r="BI21" s="326" t="str">
        <f t="shared" si="5"/>
        <v>Lod</v>
      </c>
      <c r="BJ21" s="485">
        <f t="shared" si="29"/>
        <v>254</v>
      </c>
      <c r="BK21" s="326" t="str">
        <f t="shared" si="6"/>
        <v>Hazard T.</v>
      </c>
      <c r="BL21" s="485">
        <f t="shared" si="30"/>
        <v>294</v>
      </c>
      <c r="BM21" s="326" t="str">
        <f t="shared" si="7"/>
        <v>Makarov</v>
      </c>
      <c r="BN21" s="485">
        <f t="shared" si="31"/>
        <v>334</v>
      </c>
      <c r="BO21" s="326" t="str">
        <f t="shared" si="8"/>
        <v>Klaasen</v>
      </c>
      <c r="BP21" s="485">
        <f t="shared" si="32"/>
        <v>374</v>
      </c>
      <c r="BQ21" s="326" t="str">
        <f t="shared" si="9"/>
        <v>Mikolenko</v>
      </c>
      <c r="BR21" s="485">
        <f t="shared" si="33"/>
        <v>414</v>
      </c>
      <c r="BS21" s="326" t="str">
        <f t="shared" si="10"/>
        <v>Lainer</v>
      </c>
      <c r="BT21" s="485">
        <f t="shared" si="34"/>
        <v>454</v>
      </c>
      <c r="BU21" s="326" t="str">
        <f t="shared" si="11"/>
        <v>Pandev</v>
      </c>
      <c r="BV21" s="485">
        <f t="shared" si="35"/>
        <v>494</v>
      </c>
      <c r="BW21" s="326" t="str">
        <f t="shared" si="12"/>
        <v>Mings</v>
      </c>
      <c r="BX21" s="485">
        <f t="shared" si="36"/>
        <v>534</v>
      </c>
      <c r="BY21" s="326" t="str">
        <f t="shared" si="13"/>
        <v>Livakovic</v>
      </c>
      <c r="BZ21" s="485">
        <f t="shared" si="37"/>
        <v>574</v>
      </c>
      <c r="CA21" s="326" t="str">
        <f t="shared" si="14"/>
        <v>Marshall</v>
      </c>
      <c r="CB21" s="485">
        <f t="shared" si="38"/>
        <v>614</v>
      </c>
      <c r="CC21" s="326" t="str">
        <f t="shared" si="15"/>
        <v>Mandous</v>
      </c>
      <c r="CD21" s="485">
        <f t="shared" si="39"/>
        <v>654</v>
      </c>
      <c r="CE21" s="326" t="str">
        <f t="shared" si="16"/>
        <v>Olmo</v>
      </c>
      <c r="CF21" s="485">
        <f t="shared" si="40"/>
        <v>694</v>
      </c>
      <c r="CG21" s="326" t="str">
        <f t="shared" si="17"/>
        <v>Krafth</v>
      </c>
      <c r="CH21" s="485">
        <f t="shared" si="41"/>
        <v>734</v>
      </c>
      <c r="CI21" s="326" t="str">
        <f t="shared" si="18"/>
        <v>Lewandowski</v>
      </c>
      <c r="CJ21" s="485">
        <f t="shared" si="42"/>
        <v>774</v>
      </c>
      <c r="CK21" s="326" t="str">
        <f t="shared" si="19"/>
        <v>Kuciak</v>
      </c>
      <c r="CL21" s="485">
        <f t="shared" si="43"/>
        <v>814</v>
      </c>
      <c r="CM21" s="326" t="str">
        <f t="shared" si="20"/>
        <v>Lovrencsics</v>
      </c>
      <c r="CN21" s="485">
        <f t="shared" si="44"/>
        <v>854</v>
      </c>
      <c r="CO21" s="326" t="str">
        <f t="shared" si="21"/>
        <v>Neves</v>
      </c>
      <c r="CP21" s="485">
        <f t="shared" si="45"/>
        <v>894</v>
      </c>
      <c r="CQ21" s="326" t="str">
        <f t="shared" si="22"/>
        <v>Lenglet</v>
      </c>
      <c r="CR21" s="485">
        <f t="shared" si="46"/>
        <v>934</v>
      </c>
      <c r="CS21" s="326" t="str">
        <f t="shared" si="23"/>
        <v>Koch</v>
      </c>
      <c r="CT21" s="485" t="e">
        <f t="shared" si="47"/>
        <v>#N/A</v>
      </c>
      <c r="CU21" s="326"/>
      <c r="CV21" s="485" t="e">
        <f t="shared" si="48"/>
        <v>#N/A</v>
      </c>
      <c r="CW21" s="326"/>
      <c r="CX21" s="485" t="e">
        <f t="shared" si="49"/>
        <v>#N/A</v>
      </c>
      <c r="CY21" s="326"/>
      <c r="CZ21" s="485" t="e">
        <f t="shared" si="50"/>
        <v>#N/A</v>
      </c>
      <c r="DA21" s="326"/>
      <c r="DB21" s="485" t="e">
        <f t="shared" si="51"/>
        <v>#N/A</v>
      </c>
      <c r="DC21" s="326"/>
      <c r="DD21" s="485" t="e">
        <f t="shared" si="52"/>
        <v>#N/A</v>
      </c>
      <c r="DE21" s="326"/>
      <c r="DF21" s="485" t="e">
        <f t="shared" si="53"/>
        <v>#N/A</v>
      </c>
      <c r="DG21" s="326"/>
      <c r="DH21" s="485" t="e">
        <f t="shared" si="54"/>
        <v>#N/A</v>
      </c>
      <c r="DI21" s="326"/>
      <c r="DJ21" s="485"/>
    </row>
    <row r="22" spans="1:115" ht="12" customHeight="1" x14ac:dyDescent="0.3">
      <c r="A22" s="765"/>
      <c r="C22" s="247" t="str">
        <f>W27</f>
        <v>JÚNIUS 12. – SZOMBAT 18:00</v>
      </c>
      <c r="D22" s="227"/>
      <c r="E22" s="228"/>
      <c r="F22" s="229"/>
      <c r="G22" s="230"/>
      <c r="H22" s="231" t="str">
        <f>W28</f>
        <v>1. CSOPORTMÉRKŐZÉS</v>
      </c>
      <c r="I22" s="138"/>
      <c r="J22" s="246" t="str">
        <f>Y27</f>
        <v>JÚNIUS 12. – SZOMBAT 21:00</v>
      </c>
      <c r="K22" s="227"/>
      <c r="L22" s="228"/>
      <c r="M22" s="229"/>
      <c r="N22" s="230"/>
      <c r="O22" s="226" t="str">
        <f>Y28</f>
        <v>1. CSOPORTMÉRKŐZÉS</v>
      </c>
      <c r="AQ22" s="323"/>
      <c r="AR22" s="323"/>
      <c r="AS22" s="323"/>
      <c r="AT22" s="323"/>
      <c r="AX22" s="485">
        <f t="shared" ref="AX22:AX37" si="56">AX21+1</f>
        <v>15</v>
      </c>
      <c r="AY22" s="326" t="str">
        <f t="shared" si="0"/>
        <v>Meras</v>
      </c>
      <c r="AZ22" s="485">
        <f t="shared" ref="AZ22:AZ37" si="57">AZ21+1</f>
        <v>55</v>
      </c>
      <c r="BA22" s="326" t="str">
        <f t="shared" si="1"/>
        <v>Immobile</v>
      </c>
      <c r="BB22" s="485">
        <f t="shared" ref="BB22:BB37" si="58">BB21+1</f>
        <v>95</v>
      </c>
      <c r="BC22" s="326" t="str">
        <f t="shared" si="2"/>
        <v>Moore</v>
      </c>
      <c r="BD22" s="485">
        <f t="shared" ref="BD22:BD37" si="59">BD21+1</f>
        <v>135</v>
      </c>
      <c r="BE22" s="326" t="str">
        <f t="shared" si="3"/>
        <v>Omlin</v>
      </c>
      <c r="BF22" s="485">
        <f t="shared" ref="BF22:BF37" si="60">BF21+1</f>
        <v>175</v>
      </c>
      <c r="BG22" s="326" t="str">
        <f t="shared" si="4"/>
        <v>Lössl</v>
      </c>
      <c r="BH22" s="485">
        <f t="shared" ref="BH22:BH37" si="61">BH21+1</f>
        <v>215</v>
      </c>
      <c r="BI22" s="326" t="str">
        <f t="shared" si="5"/>
        <v>O'Shaughnessy</v>
      </c>
      <c r="BJ22" s="485">
        <f t="shared" ref="BJ22:BJ37" si="62">BJ21+1</f>
        <v>255</v>
      </c>
      <c r="BK22" s="326" t="str">
        <f t="shared" si="6"/>
        <v>Lukaku</v>
      </c>
      <c r="BL22" s="485">
        <f t="shared" ref="BL22:BL37" si="63">BL21+1</f>
        <v>295</v>
      </c>
      <c r="BM22" s="326" t="str">
        <f t="shared" si="7"/>
        <v>Mirancsuk</v>
      </c>
      <c r="BN22" s="485">
        <f t="shared" ref="BN22:BN37" si="64">BN21+1</f>
        <v>335</v>
      </c>
      <c r="BO22" s="326" t="str">
        <f t="shared" si="8"/>
        <v>Koopmeiners</v>
      </c>
      <c r="BP22" s="485">
        <f t="shared" ref="BP22:BP37" si="65">BP21+1</f>
        <v>375</v>
      </c>
      <c r="BQ22" s="326" t="str">
        <f t="shared" si="9"/>
        <v>Pjatov</v>
      </c>
      <c r="BR22" s="485">
        <f t="shared" ref="BR22:BR37" si="66">BR21+1</f>
        <v>415</v>
      </c>
      <c r="BS22" s="326" t="str">
        <f t="shared" si="10"/>
        <v>Lazaro</v>
      </c>
      <c r="BT22" s="485">
        <f t="shared" ref="BT22:BT37" si="67">BT21+1</f>
        <v>455</v>
      </c>
      <c r="BU22" s="326" t="str">
        <f t="shared" si="11"/>
        <v>Radeszki</v>
      </c>
      <c r="BV22" s="485">
        <f t="shared" ref="BV22:BV37" si="68">BV21+1</f>
        <v>495</v>
      </c>
      <c r="BW22" s="326" t="str">
        <f t="shared" si="12"/>
        <v>Mount</v>
      </c>
      <c r="BX22" s="485">
        <f t="shared" ref="BX22:BX37" si="69">BX21+1</f>
        <v>535</v>
      </c>
      <c r="BY22" s="326" t="str">
        <f t="shared" si="13"/>
        <v>Lovren</v>
      </c>
      <c r="BZ22" s="485">
        <f t="shared" ref="BZ22:BZ37" si="70">BZ21+1</f>
        <v>575</v>
      </c>
      <c r="CA22" s="326" t="str">
        <f t="shared" si="14"/>
        <v>McGinn</v>
      </c>
      <c r="CB22" s="485">
        <f t="shared" ref="CB22:CB37" si="71">CB21+1</f>
        <v>615</v>
      </c>
      <c r="CC22" s="326" t="str">
        <f t="shared" si="15"/>
        <v>Masopust</v>
      </c>
      <c r="CD22" s="485">
        <f t="shared" si="39"/>
        <v>655</v>
      </c>
      <c r="CE22" s="326" t="str">
        <f t="shared" si="16"/>
        <v>Oyarzabal</v>
      </c>
      <c r="CF22" s="485">
        <f t="shared" si="40"/>
        <v>695</v>
      </c>
      <c r="CG22" s="326" t="str">
        <f t="shared" si="17"/>
        <v>Kulusevski</v>
      </c>
      <c r="CH22" s="485">
        <f t="shared" si="41"/>
        <v>735</v>
      </c>
      <c r="CI22" s="326" t="str">
        <f t="shared" si="18"/>
        <v>Linetty</v>
      </c>
      <c r="CJ22" s="485">
        <f t="shared" si="42"/>
        <v>775</v>
      </c>
      <c r="CK22" s="326" t="str">
        <f t="shared" si="19"/>
        <v>Kucka</v>
      </c>
      <c r="CL22" s="485">
        <f t="shared" si="43"/>
        <v>815</v>
      </c>
      <c r="CM22" s="326" t="str">
        <f t="shared" si="20"/>
        <v>Nagy</v>
      </c>
      <c r="CN22" s="485">
        <f t="shared" si="44"/>
        <v>855</v>
      </c>
      <c r="CO22" s="326" t="str">
        <f t="shared" si="21"/>
        <v>Oliverira</v>
      </c>
      <c r="CP22" s="485">
        <f t="shared" si="45"/>
        <v>895</v>
      </c>
      <c r="CQ22" s="326" t="str">
        <f t="shared" si="22"/>
        <v>Lloris</v>
      </c>
      <c r="CR22" s="485">
        <f t="shared" si="46"/>
        <v>935</v>
      </c>
      <c r="CS22" s="326" t="str">
        <f t="shared" si="23"/>
        <v>Kroos</v>
      </c>
      <c r="CT22" s="485" t="e">
        <f t="shared" si="47"/>
        <v>#N/A</v>
      </c>
      <c r="CU22" s="326"/>
      <c r="CV22" s="485" t="e">
        <f t="shared" si="48"/>
        <v>#N/A</v>
      </c>
      <c r="CW22" s="326"/>
      <c r="CX22" s="485" t="e">
        <f t="shared" si="49"/>
        <v>#N/A</v>
      </c>
      <c r="CY22" s="326"/>
      <c r="CZ22" s="485" t="e">
        <f t="shared" si="50"/>
        <v>#N/A</v>
      </c>
      <c r="DA22" s="326"/>
      <c r="DB22" s="485" t="e">
        <f t="shared" si="51"/>
        <v>#N/A</v>
      </c>
      <c r="DC22" s="326"/>
      <c r="DD22" s="485" t="e">
        <f t="shared" si="52"/>
        <v>#N/A</v>
      </c>
      <c r="DE22" s="326"/>
      <c r="DF22" s="485" t="e">
        <f t="shared" si="53"/>
        <v>#N/A</v>
      </c>
      <c r="DG22" s="326"/>
      <c r="DH22" s="485" t="e">
        <f t="shared" si="54"/>
        <v>#N/A</v>
      </c>
      <c r="DI22" s="326"/>
      <c r="DJ22" s="485"/>
    </row>
    <row r="23" spans="1:115" s="138" customFormat="1" ht="14.25" customHeight="1" x14ac:dyDescent="0.3">
      <c r="A23" s="765"/>
      <c r="B23" s="137"/>
      <c r="C23" s="233" t="str">
        <f>IF(W30=0,"",IF(W30&gt;0,CONCATENATE("még ",W30," gól"),CONCATENATE("túl sok (",W30," gól)")))</f>
        <v/>
      </c>
      <c r="D23" s="714" t="str">
        <f>W31</f>
        <v>Dánia</v>
      </c>
      <c r="E23" s="716" t="str">
        <f>W32</f>
        <v/>
      </c>
      <c r="F23" s="717" t="str">
        <f>X32</f>
        <v/>
      </c>
      <c r="G23" s="715" t="str">
        <f>X31</f>
        <v>Finnország</v>
      </c>
      <c r="H23" s="232" t="str">
        <f>IF(X30=0,"",IF(X30&gt;0,CONCATENATE("még ",X30," gól"),CONCATENATE("túl sok (",X30," gól)")))</f>
        <v/>
      </c>
      <c r="I23" s="127"/>
      <c r="J23" s="233" t="str">
        <f>IF(Y30=0,"",IF(Y30&gt;0,CONCATENATE("még ",Y30," gól"),CONCATENATE("túl sok (",Y30," gól)")))</f>
        <v/>
      </c>
      <c r="K23" s="714" t="str">
        <f>Y31</f>
        <v>Belgium</v>
      </c>
      <c r="L23" s="716" t="str">
        <f>Y32</f>
        <v/>
      </c>
      <c r="M23" s="717" t="str">
        <f>Z32</f>
        <v/>
      </c>
      <c r="N23" s="715" t="str">
        <f>Z31</f>
        <v>Oroszország</v>
      </c>
      <c r="O23" s="232" t="str">
        <f>IF(Z30=0,"",IF(Z30&gt;0,CONCATENATE("még ",Z30," gól"),CONCATENATE("túl sok (",Z30," gól)")))</f>
        <v/>
      </c>
      <c r="P23" s="139"/>
      <c r="Q23" s="140"/>
      <c r="R23" s="141"/>
      <c r="S23" s="141"/>
      <c r="T23" s="484"/>
      <c r="U23" s="485"/>
      <c r="V23" s="485"/>
      <c r="W23" s="485"/>
      <c r="X23" s="485"/>
      <c r="Y23" s="485"/>
      <c r="Z23" s="485"/>
      <c r="AA23" s="485"/>
      <c r="AB23" s="242" t="str">
        <f>HLOOKUP(D23,nevek.li,2,FALSE)</f>
        <v>nevek.05</v>
      </c>
      <c r="AC23" s="242" t="str">
        <f>HLOOKUP(G23,nevek.li,2,FALSE)</f>
        <v>nevek.06</v>
      </c>
      <c r="AD23" s="242" t="str">
        <f>HLOOKUP(K23,nevek.li,2,FALSE)</f>
        <v>nevek.07</v>
      </c>
      <c r="AE23" s="242" t="str">
        <f>HLOOKUP(N23,nevek.li,2,FALSE)</f>
        <v>nevek.08</v>
      </c>
      <c r="AF23" s="485"/>
      <c r="AG23" s="485"/>
      <c r="AH23" s="485"/>
      <c r="AI23" s="485"/>
      <c r="AJ23" s="485"/>
      <c r="AK23" s="485"/>
      <c r="AL23" s="485"/>
      <c r="AM23" s="485"/>
      <c r="AN23" s="485"/>
      <c r="AO23" s="485"/>
      <c r="AP23" s="485"/>
      <c r="AQ23" s="485"/>
      <c r="AR23" s="485"/>
      <c r="AS23" s="485"/>
      <c r="AT23" s="485"/>
      <c r="AU23" s="485"/>
      <c r="AV23" s="500"/>
      <c r="AW23" s="323"/>
      <c r="AX23" s="485">
        <f t="shared" si="56"/>
        <v>16</v>
      </c>
      <c r="AY23" s="326" t="str">
        <f t="shared" si="0"/>
        <v>Müldür</v>
      </c>
      <c r="AZ23" s="485">
        <f t="shared" si="57"/>
        <v>56</v>
      </c>
      <c r="BA23" s="326" t="str">
        <f t="shared" si="1"/>
        <v>Insigne</v>
      </c>
      <c r="BB23" s="485">
        <f t="shared" si="58"/>
        <v>96</v>
      </c>
      <c r="BC23" s="326" t="str">
        <f t="shared" si="2"/>
        <v>Morrell</v>
      </c>
      <c r="BD23" s="485">
        <f t="shared" si="59"/>
        <v>136</v>
      </c>
      <c r="BE23" s="326" t="str">
        <f t="shared" si="3"/>
        <v>Rodríguez</v>
      </c>
      <c r="BF23" s="485">
        <f t="shared" si="60"/>
        <v>176</v>
      </c>
      <c r="BG23" s="326" t="str">
        <f t="shared" si="4"/>
        <v>Maehle</v>
      </c>
      <c r="BH23" s="485">
        <f t="shared" si="61"/>
        <v>216</v>
      </c>
      <c r="BI23" s="326" t="str">
        <f t="shared" si="5"/>
        <v>Pohjanpalo</v>
      </c>
      <c r="BJ23" s="485">
        <f t="shared" si="62"/>
        <v>256</v>
      </c>
      <c r="BK23" s="326" t="str">
        <f t="shared" si="6"/>
        <v>Mertens</v>
      </c>
      <c r="BL23" s="485">
        <f t="shared" si="63"/>
        <v>296</v>
      </c>
      <c r="BM23" s="326" t="str">
        <f t="shared" si="7"/>
        <v>Mosztovoj</v>
      </c>
      <c r="BN23" s="485">
        <f t="shared" si="64"/>
        <v>336</v>
      </c>
      <c r="BO23" s="326" t="str">
        <f t="shared" si="8"/>
        <v>Krul</v>
      </c>
      <c r="BP23" s="485">
        <f t="shared" si="65"/>
        <v>376</v>
      </c>
      <c r="BQ23" s="326" t="str">
        <f t="shared" si="9"/>
        <v>Popov</v>
      </c>
      <c r="BR23" s="485">
        <f t="shared" si="66"/>
        <v>416</v>
      </c>
      <c r="BS23" s="326" t="str">
        <f t="shared" si="10"/>
        <v>Lienhart</v>
      </c>
      <c r="BT23" s="485">
        <f t="shared" si="67"/>
        <v>456</v>
      </c>
      <c r="BU23" s="326" t="str">
        <f t="shared" si="11"/>
        <v>Risztevszki</v>
      </c>
      <c r="BV23" s="485">
        <f t="shared" si="68"/>
        <v>496</v>
      </c>
      <c r="BW23" s="326" t="str">
        <f t="shared" si="12"/>
        <v>Phillips</v>
      </c>
      <c r="BX23" s="485">
        <f t="shared" si="69"/>
        <v>536</v>
      </c>
      <c r="BY23" s="326" t="str">
        <f t="shared" si="13"/>
        <v>Modric</v>
      </c>
      <c r="BZ23" s="485">
        <f t="shared" si="70"/>
        <v>576</v>
      </c>
      <c r="CA23" s="326" t="str">
        <f t="shared" si="14"/>
        <v>McGregor</v>
      </c>
      <c r="CB23" s="485">
        <f t="shared" si="71"/>
        <v>616</v>
      </c>
      <c r="CC23" s="326" t="str">
        <f t="shared" si="15"/>
        <v>Mateju</v>
      </c>
      <c r="CD23" s="485">
        <f t="shared" si="39"/>
        <v>656</v>
      </c>
      <c r="CE23" s="326" t="str">
        <f t="shared" si="16"/>
        <v>Pedri</v>
      </c>
      <c r="CF23" s="485">
        <f t="shared" si="40"/>
        <v>696</v>
      </c>
      <c r="CG23" s="326" t="str">
        <f t="shared" si="17"/>
        <v>Larsson J.</v>
      </c>
      <c r="CH23" s="485">
        <f t="shared" si="41"/>
        <v>736</v>
      </c>
      <c r="CI23" s="326" t="str">
        <f t="shared" si="18"/>
        <v>Milik</v>
      </c>
      <c r="CJ23" s="485">
        <f t="shared" si="42"/>
        <v>776</v>
      </c>
      <c r="CK23" s="326" t="str">
        <f t="shared" si="19"/>
        <v>Lobotka</v>
      </c>
      <c r="CL23" s="485">
        <f t="shared" si="43"/>
        <v>816</v>
      </c>
      <c r="CM23" s="326" t="str">
        <f t="shared" si="20"/>
        <v>Nego</v>
      </c>
      <c r="CN23" s="485">
        <f t="shared" si="44"/>
        <v>856</v>
      </c>
      <c r="CO23" s="326" t="str">
        <f t="shared" si="21"/>
        <v>Palhinha</v>
      </c>
      <c r="CP23" s="485">
        <f t="shared" si="45"/>
        <v>896</v>
      </c>
      <c r="CQ23" s="326" t="str">
        <f t="shared" si="22"/>
        <v>Maignan</v>
      </c>
      <c r="CR23" s="485">
        <f t="shared" si="46"/>
        <v>936</v>
      </c>
      <c r="CS23" s="326" t="str">
        <f t="shared" si="23"/>
        <v>Leno</v>
      </c>
      <c r="CT23" s="485" t="e">
        <f t="shared" si="47"/>
        <v>#N/A</v>
      </c>
      <c r="CU23" s="326"/>
      <c r="CV23" s="485" t="e">
        <f t="shared" si="48"/>
        <v>#N/A</v>
      </c>
      <c r="CW23" s="326"/>
      <c r="CX23" s="485" t="e">
        <f t="shared" si="49"/>
        <v>#N/A</v>
      </c>
      <c r="CY23" s="326"/>
      <c r="CZ23" s="485" t="e">
        <f t="shared" si="50"/>
        <v>#N/A</v>
      </c>
      <c r="DA23" s="326"/>
      <c r="DB23" s="485" t="e">
        <f t="shared" si="51"/>
        <v>#N/A</v>
      </c>
      <c r="DC23" s="326"/>
      <c r="DD23" s="485" t="e">
        <f t="shared" si="52"/>
        <v>#N/A</v>
      </c>
      <c r="DE23" s="326"/>
      <c r="DF23" s="485" t="e">
        <f t="shared" si="53"/>
        <v>#N/A</v>
      </c>
      <c r="DG23" s="326"/>
      <c r="DH23" s="485" t="e">
        <f t="shared" si="54"/>
        <v>#N/A</v>
      </c>
      <c r="DI23" s="326"/>
      <c r="DJ23" s="485"/>
      <c r="DK23" s="500"/>
    </row>
    <row r="24" spans="1:115" ht="12" customHeight="1" x14ac:dyDescent="0.3">
      <c r="A24" s="765"/>
      <c r="C24" s="218"/>
      <c r="D24" s="220"/>
      <c r="E24" s="221"/>
      <c r="F24" s="222"/>
      <c r="G24" s="223"/>
      <c r="H24" s="218"/>
      <c r="J24" s="218"/>
      <c r="K24" s="220"/>
      <c r="L24" s="221"/>
      <c r="M24" s="222"/>
      <c r="N24" s="223"/>
      <c r="O24" s="218"/>
      <c r="V24" s="487" t="s">
        <v>706</v>
      </c>
      <c r="W24" s="242">
        <v>3</v>
      </c>
      <c r="X24" s="485" t="str">
        <f>""</f>
        <v/>
      </c>
      <c r="Y24" s="242">
        <v>4</v>
      </c>
      <c r="AB24" s="327" t="str">
        <f>IF(C24="öngól",AC23,AB23)</f>
        <v>nevek.05</v>
      </c>
      <c r="AC24" s="327" t="str">
        <f>IF(H24="öngól",AB23,AC23)</f>
        <v>nevek.06</v>
      </c>
      <c r="AD24" s="327" t="str">
        <f>IF(J24="öngól",AE23,AD23)</f>
        <v>nevek.07</v>
      </c>
      <c r="AE24" s="327" t="str">
        <f>IF(O24="öngól",AD23,AE23)</f>
        <v>nevek.08</v>
      </c>
      <c r="AF24" s="325"/>
      <c r="AG24" s="485">
        <v>1</v>
      </c>
      <c r="AH24" s="488" t="b">
        <f ca="1">AND(W26,X27,D24="",AG24&lt;=W32)</f>
        <v>0</v>
      </c>
      <c r="AI24" s="488" t="b">
        <f ca="1">AND(W26,X27,E24="",AG24&lt;=W32)</f>
        <v>0</v>
      </c>
      <c r="AJ24" s="488" t="b">
        <f ca="1">AND(W26,X27,F24="",AG24&lt;=X32)</f>
        <v>0</v>
      </c>
      <c r="AK24" s="488" t="b">
        <f ca="1">AND(W26,X27,G24="",AG24&lt;=X32)</f>
        <v>0</v>
      </c>
      <c r="AL24" s="488" t="b">
        <f ca="1">AND(Y26,Z27,K24="",AG24&lt;=Y32)</f>
        <v>0</v>
      </c>
      <c r="AM24" s="488" t="b">
        <f ca="1">AND(Y26,Z27,L24="",AG24&lt;=Y32)</f>
        <v>0</v>
      </c>
      <c r="AN24" s="488" t="b">
        <f ca="1">AND(Y26,Z27,M24="",AG24&lt;=Z32)</f>
        <v>0</v>
      </c>
      <c r="AO24" s="488" t="b">
        <f ca="1">AND(Y26,Z27,N24="",AG24&lt;=Z32)</f>
        <v>0</v>
      </c>
      <c r="AQ24" s="326" t="str">
        <f>IF(OR(NOT(Góllista!$E$6),D24=""),"",IF(C24="öngól","ö"&amp;G23&amp;D24,D23&amp;D24))</f>
        <v/>
      </c>
      <c r="AR24" s="326" t="str">
        <f>IF(OR(NOT(Góllista!$E$6),G24=""),"",IF(H24="öngól","ö"&amp;D23&amp;G24,G23&amp;G24))</f>
        <v/>
      </c>
      <c r="AS24" s="326" t="str">
        <f>IF(OR(NOT(Góllista!$E$6),K24=""),"",IF(J24="öngól","ö"&amp;N23&amp;K24,K23&amp;K24))</f>
        <v/>
      </c>
      <c r="AT24" s="326" t="str">
        <f>IF(OR(NOT(Góllista!$E$6),N24=""),"",IF(O24="öngól","ö"&amp;K23&amp;N24,N23&amp;N24))</f>
        <v/>
      </c>
      <c r="AX24" s="485">
        <f t="shared" si="56"/>
        <v>17</v>
      </c>
      <c r="AY24" s="326" t="str">
        <f t="shared" si="0"/>
        <v>Ömür</v>
      </c>
      <c r="AZ24" s="485">
        <f t="shared" si="57"/>
        <v>57</v>
      </c>
      <c r="BA24" s="326" t="str">
        <f t="shared" si="1"/>
        <v>Jorginho</v>
      </c>
      <c r="BB24" s="485">
        <f t="shared" si="58"/>
        <v>97</v>
      </c>
      <c r="BC24" s="326" t="str">
        <f t="shared" si="2"/>
        <v>Norrington-Davies</v>
      </c>
      <c r="BD24" s="485">
        <f t="shared" si="59"/>
        <v>137</v>
      </c>
      <c r="BE24" s="326" t="str">
        <f t="shared" si="3"/>
        <v>Schär</v>
      </c>
      <c r="BF24" s="485">
        <f t="shared" si="60"/>
        <v>177</v>
      </c>
      <c r="BG24" s="326" t="str">
        <f t="shared" si="4"/>
        <v>Nörgaard</v>
      </c>
      <c r="BH24" s="485">
        <f t="shared" si="61"/>
        <v>217</v>
      </c>
      <c r="BI24" s="326" t="str">
        <f t="shared" si="5"/>
        <v>Pukki</v>
      </c>
      <c r="BJ24" s="485">
        <f t="shared" si="62"/>
        <v>257</v>
      </c>
      <c r="BK24" s="326" t="str">
        <f t="shared" si="6"/>
        <v>Meunier</v>
      </c>
      <c r="BL24" s="485">
        <f t="shared" si="63"/>
        <v>297</v>
      </c>
      <c r="BM24" s="326" t="str">
        <f t="shared" si="7"/>
        <v>Muhin</v>
      </c>
      <c r="BN24" s="485">
        <f t="shared" si="64"/>
        <v>337</v>
      </c>
      <c r="BO24" s="326" t="str">
        <f t="shared" si="8"/>
        <v>Malen</v>
      </c>
      <c r="BP24" s="485">
        <f t="shared" si="65"/>
        <v>377</v>
      </c>
      <c r="BQ24" s="326" t="str">
        <f t="shared" si="9"/>
        <v>Saparenko</v>
      </c>
      <c r="BR24" s="485">
        <f t="shared" si="66"/>
        <v>417</v>
      </c>
      <c r="BS24" s="326" t="str">
        <f t="shared" si="10"/>
        <v>Onisiwo</v>
      </c>
      <c r="BT24" s="485">
        <f t="shared" si="67"/>
        <v>457</v>
      </c>
      <c r="BU24" s="326" t="str">
        <f t="shared" si="11"/>
        <v>Risztovszki M.</v>
      </c>
      <c r="BV24" s="485">
        <f t="shared" si="68"/>
        <v>497</v>
      </c>
      <c r="BW24" s="326" t="str">
        <f t="shared" si="12"/>
        <v>Pickford</v>
      </c>
      <c r="BX24" s="485">
        <f t="shared" si="69"/>
        <v>537</v>
      </c>
      <c r="BY24" s="326" t="str">
        <f t="shared" si="13"/>
        <v>Orsic</v>
      </c>
      <c r="BZ24" s="485">
        <f t="shared" si="70"/>
        <v>577</v>
      </c>
      <c r="CA24" s="326" t="str">
        <f t="shared" si="14"/>
        <v>McKenna</v>
      </c>
      <c r="CB24" s="485">
        <f t="shared" si="71"/>
        <v>617</v>
      </c>
      <c r="CC24" s="326" t="str">
        <f t="shared" si="15"/>
        <v>Pavlenka</v>
      </c>
      <c r="CD24" s="485">
        <f t="shared" si="39"/>
        <v>657</v>
      </c>
      <c r="CE24" s="326" t="str">
        <f t="shared" ref="CE24:CE37" si="72">IF(INDEX(nevek,CD24,3)="","",INDEX(nevek,CD24,3))</f>
        <v>Rodri</v>
      </c>
      <c r="CF24" s="485">
        <f t="shared" si="40"/>
        <v>697</v>
      </c>
      <c r="CG24" s="326" t="str">
        <f t="shared" ref="CG24:CG37" si="73">IF(INDEX(nevek,CF24,3)="","",INDEX(nevek,CF24,3))</f>
        <v>Larsson S.</v>
      </c>
      <c r="CH24" s="485">
        <f t="shared" si="41"/>
        <v>737</v>
      </c>
      <c r="CI24" s="326" t="str">
        <f t="shared" ref="CI24:CI37" si="74">IF(INDEX(nevek,CH24,3)="","",INDEX(nevek,CH24,3))</f>
        <v>Moder</v>
      </c>
      <c r="CJ24" s="485">
        <f t="shared" si="42"/>
        <v>777</v>
      </c>
      <c r="CK24" s="326" t="str">
        <f t="shared" ref="CK24:CK37" si="75">IF(INDEX(nevek,CJ24,3)="","",INDEX(nevek,CJ24,3))</f>
        <v>Mak</v>
      </c>
      <c r="CL24" s="485">
        <f t="shared" si="43"/>
        <v>817</v>
      </c>
      <c r="CM24" s="326" t="str">
        <f t="shared" ref="CM24:CM37" si="76">IF(INDEX(nevek,CL24,3)="","",INDEX(nevek,CL24,3))</f>
        <v>Nikolics</v>
      </c>
      <c r="CN24" s="485">
        <f t="shared" si="44"/>
        <v>857</v>
      </c>
      <c r="CO24" s="326" t="str">
        <f t="shared" ref="CO24:CO37" si="77">IF(INDEX(nevek,CN24,3)="","",INDEX(nevek,CN24,3))</f>
        <v>Pepe</v>
      </c>
      <c r="CP24" s="485">
        <f t="shared" si="45"/>
        <v>897</v>
      </c>
      <c r="CQ24" s="326" t="str">
        <f t="shared" ref="CQ24:CQ37" si="78">IF(INDEX(nevek,CP24,3)="","",INDEX(nevek,CP24,3))</f>
        <v>Mandanda</v>
      </c>
      <c r="CR24" s="485">
        <f t="shared" si="46"/>
        <v>937</v>
      </c>
      <c r="CS24" s="326" t="str">
        <f t="shared" ref="CS24:CS37" si="79">IF(INDEX(nevek,CR24,3)="","",INDEX(nevek,CR24,3))</f>
        <v>Musiala</v>
      </c>
      <c r="CT24" s="485" t="e">
        <f t="shared" si="47"/>
        <v>#N/A</v>
      </c>
      <c r="CU24" s="326"/>
      <c r="CV24" s="485" t="e">
        <f t="shared" si="48"/>
        <v>#N/A</v>
      </c>
      <c r="CW24" s="326"/>
      <c r="CX24" s="485" t="e">
        <f t="shared" si="49"/>
        <v>#N/A</v>
      </c>
      <c r="CY24" s="326"/>
      <c r="CZ24" s="485" t="e">
        <f t="shared" si="50"/>
        <v>#N/A</v>
      </c>
      <c r="DA24" s="326"/>
      <c r="DB24" s="485" t="e">
        <f t="shared" si="51"/>
        <v>#N/A</v>
      </c>
      <c r="DC24" s="326"/>
      <c r="DD24" s="485" t="e">
        <f t="shared" si="52"/>
        <v>#N/A</v>
      </c>
      <c r="DE24" s="326"/>
      <c r="DF24" s="485" t="e">
        <f t="shared" si="53"/>
        <v>#N/A</v>
      </c>
      <c r="DG24" s="326"/>
      <c r="DH24" s="485" t="e">
        <f t="shared" si="54"/>
        <v>#N/A</v>
      </c>
      <c r="DI24" s="326"/>
      <c r="DJ24" s="485"/>
    </row>
    <row r="25" spans="1:115" ht="12" customHeight="1" x14ac:dyDescent="0.3">
      <c r="A25" s="765"/>
      <c r="C25" s="219"/>
      <c r="D25" s="220"/>
      <c r="E25" s="224"/>
      <c r="F25" s="222"/>
      <c r="G25" s="223"/>
      <c r="H25" s="219"/>
      <c r="J25" s="219"/>
      <c r="K25" s="220"/>
      <c r="L25" s="224"/>
      <c r="M25" s="222"/>
      <c r="N25" s="223"/>
      <c r="O25" s="219"/>
      <c r="V25" s="487" t="s">
        <v>711</v>
      </c>
      <c r="W25" s="327">
        <f>MATCH(W24,n.er.index,0)</f>
        <v>7</v>
      </c>
      <c r="X25" s="485" t="str">
        <f>""</f>
        <v/>
      </c>
      <c r="Y25" s="327">
        <f>MATCH(Y24,n.er.index,0)</f>
        <v>8</v>
      </c>
      <c r="AB25" s="327" t="str">
        <f>IF(C25="öngól",AC23,AB23)</f>
        <v>nevek.05</v>
      </c>
      <c r="AC25" s="327" t="str">
        <f>IF(H25="öngól",AB23,AC23)</f>
        <v>nevek.06</v>
      </c>
      <c r="AD25" s="327" t="str">
        <f>IF(J25="öngól",AE23,AD23)</f>
        <v>nevek.07</v>
      </c>
      <c r="AE25" s="327" t="str">
        <f>IF(O25="öngól",AD23,AE23)</f>
        <v>nevek.08</v>
      </c>
      <c r="AF25" s="325"/>
      <c r="AG25" s="485">
        <v>2</v>
      </c>
      <c r="AH25" s="488" t="b">
        <f ca="1">AND(W26,X27,D25="",AG25&lt;=W32)</f>
        <v>0</v>
      </c>
      <c r="AI25" s="488" t="b">
        <f ca="1">AND(W26,X27,E25="",AG25&lt;=W32)</f>
        <v>0</v>
      </c>
      <c r="AJ25" s="488" t="b">
        <f ca="1">AND(W26,X27,F25="",AG25&lt;=X32)</f>
        <v>0</v>
      </c>
      <c r="AK25" s="488" t="b">
        <f ca="1">AND(W26,X27,G25="",AG25&lt;=X32)</f>
        <v>0</v>
      </c>
      <c r="AL25" s="488" t="b">
        <f ca="1">AND(Y26,Z27,K25="",AG25&lt;=Y32)</f>
        <v>0</v>
      </c>
      <c r="AM25" s="488" t="b">
        <f ca="1">AND(Y26,Z27,L25="",AG25&lt;=Y32)</f>
        <v>0</v>
      </c>
      <c r="AN25" s="488" t="b">
        <f ca="1">AND(Y26,Z27,M25="",AG25&lt;=Z32)</f>
        <v>0</v>
      </c>
      <c r="AO25" s="488" t="b">
        <f ca="1">AND(Y26,Z27,N25="",AG25&lt;=Z32)</f>
        <v>0</v>
      </c>
      <c r="AQ25" s="326" t="str">
        <f>IF(OR(NOT(Góllista!$E$6),D25=""),"",IF(C25="öngól","ö"&amp;G23&amp;D25,D23&amp;D25))</f>
        <v/>
      </c>
      <c r="AR25" s="326" t="str">
        <f>IF(OR(NOT(Góllista!$E$6),G25=""),"",IF(H25="öngól","ö"&amp;D23&amp;G25,G23&amp;G25))</f>
        <v/>
      </c>
      <c r="AS25" s="326" t="str">
        <f>IF(OR(NOT(Góllista!$E$6),K25=""),"",IF(J25="öngól","ö"&amp;N23&amp;K25,K23&amp;K25))</f>
        <v/>
      </c>
      <c r="AT25" s="326" t="str">
        <f>IF(OR(NOT(Góllista!$E$6),N25=""),"",IF(O25="öngól","ö"&amp;K23&amp;N25,N23&amp;N25))</f>
        <v/>
      </c>
      <c r="AW25" s="485"/>
      <c r="AX25" s="485">
        <f t="shared" si="56"/>
        <v>18</v>
      </c>
      <c r="AY25" s="326" t="str">
        <f t="shared" si="0"/>
        <v>Söyüncü</v>
      </c>
      <c r="AZ25" s="485">
        <f t="shared" si="57"/>
        <v>58</v>
      </c>
      <c r="BA25" s="326" t="str">
        <f t="shared" si="1"/>
        <v>Locatelli</v>
      </c>
      <c r="BB25" s="485">
        <f t="shared" si="58"/>
        <v>98</v>
      </c>
      <c r="BC25" s="326" t="str">
        <f t="shared" si="2"/>
        <v>Ramsey</v>
      </c>
      <c r="BD25" s="485">
        <f t="shared" si="59"/>
        <v>138</v>
      </c>
      <c r="BE25" s="326" t="str">
        <f t="shared" si="3"/>
        <v>Seferovic</v>
      </c>
      <c r="BF25" s="485">
        <f t="shared" si="60"/>
        <v>178</v>
      </c>
      <c r="BG25" s="326" t="str">
        <f t="shared" si="4"/>
        <v>Poulsen</v>
      </c>
      <c r="BH25" s="485">
        <f t="shared" si="61"/>
        <v>218</v>
      </c>
      <c r="BI25" s="326" t="str">
        <f t="shared" si="5"/>
        <v>Raitala</v>
      </c>
      <c r="BJ25" s="485">
        <f t="shared" si="62"/>
        <v>258</v>
      </c>
      <c r="BK25" s="326" t="str">
        <f t="shared" si="6"/>
        <v>Mignolet</v>
      </c>
      <c r="BL25" s="485">
        <f t="shared" si="63"/>
        <v>298</v>
      </c>
      <c r="BM25" s="326" t="str">
        <f t="shared" si="7"/>
        <v>Ozdojev</v>
      </c>
      <c r="BN25" s="485">
        <f t="shared" si="64"/>
        <v>338</v>
      </c>
      <c r="BO25" s="326" t="str">
        <f t="shared" si="8"/>
        <v>Promes</v>
      </c>
      <c r="BP25" s="485">
        <f t="shared" si="65"/>
        <v>378</v>
      </c>
      <c r="BQ25" s="326" t="str">
        <f t="shared" si="9"/>
        <v>Szidorcsuk</v>
      </c>
      <c r="BR25" s="485">
        <f t="shared" si="66"/>
        <v>418</v>
      </c>
      <c r="BS25" s="326" t="str">
        <f t="shared" si="10"/>
        <v>Pervan</v>
      </c>
      <c r="BT25" s="485">
        <f t="shared" si="67"/>
        <v>458</v>
      </c>
      <c r="BU25" s="326" t="str">
        <f t="shared" si="11"/>
        <v>Risztovszki S.</v>
      </c>
      <c r="BV25" s="485">
        <f t="shared" si="68"/>
        <v>498</v>
      </c>
      <c r="BW25" s="326" t="str">
        <f t="shared" si="12"/>
        <v>Rashford</v>
      </c>
      <c r="BX25" s="485">
        <f t="shared" si="69"/>
        <v>538</v>
      </c>
      <c r="BY25" s="326" t="str">
        <f t="shared" si="13"/>
        <v>Pasalic</v>
      </c>
      <c r="BZ25" s="485">
        <f t="shared" si="70"/>
        <v>578</v>
      </c>
      <c r="CA25" s="326" t="str">
        <f t="shared" si="14"/>
        <v>McLaughlin</v>
      </c>
      <c r="CB25" s="485">
        <f t="shared" si="71"/>
        <v>618</v>
      </c>
      <c r="CC25" s="326" t="str">
        <f t="shared" si="15"/>
        <v>Pekhart</v>
      </c>
      <c r="CD25" s="485">
        <f t="shared" si="39"/>
        <v>658</v>
      </c>
      <c r="CE25" s="326" t="str">
        <f t="shared" si="72"/>
        <v>Ruiz</v>
      </c>
      <c r="CF25" s="485">
        <f t="shared" si="40"/>
        <v>698</v>
      </c>
      <c r="CG25" s="326" t="str">
        <f t="shared" si="73"/>
        <v>Lindelöf</v>
      </c>
      <c r="CH25" s="485">
        <f t="shared" si="41"/>
        <v>738</v>
      </c>
      <c r="CI25" s="326" t="str">
        <f t="shared" si="74"/>
        <v>Piatkowski</v>
      </c>
      <c r="CJ25" s="485">
        <f t="shared" si="42"/>
        <v>778</v>
      </c>
      <c r="CK25" s="326" t="str">
        <f t="shared" si="75"/>
        <v>Pekarík</v>
      </c>
      <c r="CL25" s="485">
        <f t="shared" si="43"/>
        <v>818</v>
      </c>
      <c r="CM25" s="326" t="str">
        <f t="shared" si="76"/>
        <v>Orbán</v>
      </c>
      <c r="CN25" s="485">
        <f t="shared" si="44"/>
        <v>858</v>
      </c>
      <c r="CO25" s="326" t="str">
        <f t="shared" si="77"/>
        <v>Pereira D.</v>
      </c>
      <c r="CP25" s="485">
        <f t="shared" si="45"/>
        <v>898</v>
      </c>
      <c r="CQ25" s="326" t="str">
        <f t="shared" si="78"/>
        <v>Mbappé</v>
      </c>
      <c r="CR25" s="485">
        <f t="shared" si="46"/>
        <v>938</v>
      </c>
      <c r="CS25" s="326" t="str">
        <f t="shared" si="79"/>
        <v>Müller</v>
      </c>
      <c r="CT25" s="485" t="e">
        <f t="shared" si="47"/>
        <v>#N/A</v>
      </c>
      <c r="CU25" s="326"/>
      <c r="CV25" s="485" t="e">
        <f t="shared" si="48"/>
        <v>#N/A</v>
      </c>
      <c r="CW25" s="326"/>
      <c r="CX25" s="485" t="e">
        <f t="shared" si="49"/>
        <v>#N/A</v>
      </c>
      <c r="CY25" s="326"/>
      <c r="CZ25" s="485" t="e">
        <f t="shared" si="50"/>
        <v>#N/A</v>
      </c>
      <c r="DA25" s="326"/>
      <c r="DB25" s="485" t="e">
        <f t="shared" si="51"/>
        <v>#N/A</v>
      </c>
      <c r="DC25" s="326"/>
      <c r="DD25" s="485" t="e">
        <f t="shared" si="52"/>
        <v>#N/A</v>
      </c>
      <c r="DE25" s="326"/>
      <c r="DF25" s="485" t="e">
        <f t="shared" si="53"/>
        <v>#N/A</v>
      </c>
      <c r="DG25" s="326"/>
      <c r="DH25" s="485" t="e">
        <f t="shared" si="54"/>
        <v>#N/A</v>
      </c>
      <c r="DI25" s="326"/>
      <c r="DJ25" s="485"/>
    </row>
    <row r="26" spans="1:115" ht="12" customHeight="1" x14ac:dyDescent="0.3">
      <c r="A26" s="765"/>
      <c r="C26" s="219"/>
      <c r="D26" s="220"/>
      <c r="E26" s="224"/>
      <c r="F26" s="222"/>
      <c r="G26" s="223"/>
      <c r="H26" s="219"/>
      <c r="J26" s="219"/>
      <c r="K26" s="220"/>
      <c r="L26" s="224"/>
      <c r="M26" s="222"/>
      <c r="N26" s="223"/>
      <c r="O26" s="219"/>
      <c r="V26" s="487" t="s">
        <v>710</v>
      </c>
      <c r="W26" s="489" t="b">
        <f>INDEX(n.er,W25,3)</f>
        <v>0</v>
      </c>
      <c r="X26" s="485" t="str">
        <f>""</f>
        <v/>
      </c>
      <c r="Y26" s="489" t="b">
        <f>INDEX(n.er,Y25,3)</f>
        <v>0</v>
      </c>
      <c r="AB26" s="327" t="str">
        <f>IF(C26="öngól",AC23,AB23)</f>
        <v>nevek.05</v>
      </c>
      <c r="AC26" s="327" t="str">
        <f>IF(H26="öngól",AB23,AC23)</f>
        <v>nevek.06</v>
      </c>
      <c r="AD26" s="327" t="str">
        <f>IF(J26="öngól",AE23,AD23)</f>
        <v>nevek.07</v>
      </c>
      <c r="AE26" s="327" t="str">
        <f>IF(O26="öngól",AD23,AE23)</f>
        <v>nevek.08</v>
      </c>
      <c r="AF26" s="325"/>
      <c r="AG26" s="485">
        <v>3</v>
      </c>
      <c r="AH26" s="488" t="b">
        <f ca="1">AND(W26,X27,D26="",AG26&lt;=W32)</f>
        <v>0</v>
      </c>
      <c r="AI26" s="488" t="b">
        <f ca="1">AND(W26,X27,E26="",AG26&lt;=W32)</f>
        <v>0</v>
      </c>
      <c r="AJ26" s="488" t="b">
        <f ca="1">AND(W26,X27,F26="",AG26&lt;=X32)</f>
        <v>0</v>
      </c>
      <c r="AK26" s="488" t="b">
        <f ca="1">AND(W26,X27,G26="",AG26&lt;=X32)</f>
        <v>0</v>
      </c>
      <c r="AL26" s="488" t="b">
        <f ca="1">AND(Y26,Z27,K26="",AG26&lt;=Y32)</f>
        <v>0</v>
      </c>
      <c r="AM26" s="488" t="b">
        <f ca="1">AND(Y26,Z27,L26="",AG26&lt;=Y32)</f>
        <v>0</v>
      </c>
      <c r="AN26" s="488" t="b">
        <f ca="1">AND(Y26,Z27,M26="",AG26&lt;=Z32)</f>
        <v>0</v>
      </c>
      <c r="AO26" s="488" t="b">
        <f ca="1">AND(Y26,Z27,N26="",AG26&lt;=Z32)</f>
        <v>0</v>
      </c>
      <c r="AQ26" s="326" t="str">
        <f>IF(OR(NOT(Góllista!$E$6),D26=""),"",IF(C26="öngól","ö"&amp;G23&amp;D26,D23&amp;D26))</f>
        <v/>
      </c>
      <c r="AR26" s="326" t="str">
        <f>IF(OR(NOT(Góllista!$E$6),G26=""),"",IF(H26="öngól","ö"&amp;D23&amp;G26,G23&amp;G26))</f>
        <v/>
      </c>
      <c r="AS26" s="326" t="str">
        <f>IF(OR(NOT(Góllista!$E$6),K26=""),"",IF(J26="öngól","ö"&amp;N23&amp;K26,K23&amp;K26))</f>
        <v/>
      </c>
      <c r="AT26" s="326" t="str">
        <f>IF(OR(NOT(Góllista!$E$6),N26=""),"",IF(O26="öngól","ö"&amp;K23&amp;N26,N23&amp;N26))</f>
        <v/>
      </c>
      <c r="AW26" s="485"/>
      <c r="AX26" s="485">
        <f t="shared" si="56"/>
        <v>19</v>
      </c>
      <c r="AY26" s="326" t="str">
        <f t="shared" si="0"/>
        <v>Toköz</v>
      </c>
      <c r="AZ26" s="485">
        <f t="shared" si="57"/>
        <v>59</v>
      </c>
      <c r="BA26" s="326" t="str">
        <f t="shared" si="1"/>
        <v>Meret</v>
      </c>
      <c r="BB26" s="485">
        <f t="shared" si="58"/>
        <v>99</v>
      </c>
      <c r="BC26" s="326" t="str">
        <f t="shared" si="2"/>
        <v>Roberts C.</v>
      </c>
      <c r="BD26" s="485">
        <f t="shared" si="59"/>
        <v>139</v>
      </c>
      <c r="BE26" s="326" t="str">
        <f t="shared" si="3"/>
        <v>Shaqiri</v>
      </c>
      <c r="BF26" s="485">
        <f t="shared" si="60"/>
        <v>179</v>
      </c>
      <c r="BG26" s="326" t="str">
        <f t="shared" si="4"/>
        <v>Rönnow</v>
      </c>
      <c r="BH26" s="485">
        <f t="shared" si="61"/>
        <v>219</v>
      </c>
      <c r="BI26" s="326" t="str">
        <f t="shared" si="5"/>
        <v>Schüller</v>
      </c>
      <c r="BJ26" s="485">
        <f t="shared" si="62"/>
        <v>259</v>
      </c>
      <c r="BK26" s="326" t="str">
        <f t="shared" si="6"/>
        <v>Praet</v>
      </c>
      <c r="BL26" s="485">
        <f t="shared" si="63"/>
        <v>299</v>
      </c>
      <c r="BM26" s="326" t="str">
        <f t="shared" si="7"/>
        <v>Sunyin</v>
      </c>
      <c r="BN26" s="485">
        <f t="shared" si="64"/>
        <v>339</v>
      </c>
      <c r="BO26" s="326" t="str">
        <f t="shared" si="8"/>
        <v>Stekelenburg</v>
      </c>
      <c r="BP26" s="485">
        <f t="shared" si="65"/>
        <v>379</v>
      </c>
      <c r="BQ26" s="326" t="str">
        <f t="shared" si="9"/>
        <v>Szobol</v>
      </c>
      <c r="BR26" s="485">
        <f t="shared" si="66"/>
        <v>419</v>
      </c>
      <c r="BS26" s="326" t="str">
        <f t="shared" si="10"/>
        <v>Posch</v>
      </c>
      <c r="BT26" s="485">
        <f t="shared" si="67"/>
        <v>459</v>
      </c>
      <c r="BU26" s="326" t="str">
        <f t="shared" si="11"/>
        <v>Siskovszki</v>
      </c>
      <c r="BV26" s="485">
        <f t="shared" si="68"/>
        <v>499</v>
      </c>
      <c r="BW26" s="326" t="str">
        <f t="shared" si="12"/>
        <v>Rice</v>
      </c>
      <c r="BX26" s="485">
        <f t="shared" si="69"/>
        <v>539</v>
      </c>
      <c r="BY26" s="326" t="str">
        <f t="shared" si="13"/>
        <v>Perisic</v>
      </c>
      <c r="BZ26" s="485">
        <f t="shared" si="70"/>
        <v>579</v>
      </c>
      <c r="CA26" s="326" t="str">
        <f t="shared" si="14"/>
        <v>McTominay</v>
      </c>
      <c r="CB26" s="485">
        <f t="shared" si="71"/>
        <v>619</v>
      </c>
      <c r="CC26" s="326" t="str">
        <f t="shared" si="15"/>
        <v>Pesek</v>
      </c>
      <c r="CD26" s="485">
        <f t="shared" si="39"/>
        <v>659</v>
      </c>
      <c r="CE26" s="326" t="str">
        <f t="shared" si="72"/>
        <v>Sánchez</v>
      </c>
      <c r="CF26" s="485">
        <f t="shared" si="40"/>
        <v>699</v>
      </c>
      <c r="CG26" s="326" t="str">
        <f t="shared" si="73"/>
        <v>Lustig</v>
      </c>
      <c r="CH26" s="485">
        <f t="shared" si="41"/>
        <v>739</v>
      </c>
      <c r="CI26" s="326" t="str">
        <f t="shared" si="74"/>
        <v>Placheta</v>
      </c>
      <c r="CJ26" s="485">
        <f t="shared" si="42"/>
        <v>779</v>
      </c>
      <c r="CK26" s="326" t="str">
        <f t="shared" si="75"/>
        <v>Rodák</v>
      </c>
      <c r="CL26" s="485">
        <f t="shared" si="43"/>
        <v>819</v>
      </c>
      <c r="CM26" s="326" t="str">
        <f t="shared" si="76"/>
        <v>Sallai</v>
      </c>
      <c r="CN26" s="485">
        <f t="shared" si="44"/>
        <v>859</v>
      </c>
      <c r="CO26" s="326" t="str">
        <f t="shared" si="77"/>
        <v>Ronaldo</v>
      </c>
      <c r="CP26" s="485">
        <f t="shared" si="45"/>
        <v>899</v>
      </c>
      <c r="CQ26" s="326" t="str">
        <f t="shared" si="78"/>
        <v>Pavard</v>
      </c>
      <c r="CR26" s="485">
        <f t="shared" si="46"/>
        <v>939</v>
      </c>
      <c r="CS26" s="326" t="str">
        <f t="shared" si="79"/>
        <v>Neuer</v>
      </c>
      <c r="CT26" s="485" t="e">
        <f t="shared" si="47"/>
        <v>#N/A</v>
      </c>
      <c r="CU26" s="326"/>
      <c r="CV26" s="485" t="e">
        <f t="shared" si="48"/>
        <v>#N/A</v>
      </c>
      <c r="CW26" s="326"/>
      <c r="CX26" s="485" t="e">
        <f t="shared" si="49"/>
        <v>#N/A</v>
      </c>
      <c r="CY26" s="326"/>
      <c r="CZ26" s="485" t="e">
        <f t="shared" si="50"/>
        <v>#N/A</v>
      </c>
      <c r="DA26" s="326"/>
      <c r="DB26" s="485" t="e">
        <f t="shared" si="51"/>
        <v>#N/A</v>
      </c>
      <c r="DC26" s="326"/>
      <c r="DD26" s="485" t="e">
        <f t="shared" si="52"/>
        <v>#N/A</v>
      </c>
      <c r="DE26" s="326"/>
      <c r="DF26" s="485" t="e">
        <f t="shared" si="53"/>
        <v>#N/A</v>
      </c>
      <c r="DG26" s="326"/>
      <c r="DH26" s="485" t="e">
        <f t="shared" si="54"/>
        <v>#N/A</v>
      </c>
      <c r="DI26" s="326"/>
      <c r="DJ26" s="485"/>
    </row>
    <row r="27" spans="1:115" ht="12" customHeight="1" x14ac:dyDescent="0.3">
      <c r="A27" s="765"/>
      <c r="C27" s="219"/>
      <c r="D27" s="220"/>
      <c r="E27" s="224"/>
      <c r="F27" s="222"/>
      <c r="G27" s="223"/>
      <c r="H27" s="219"/>
      <c r="J27" s="219"/>
      <c r="K27" s="220"/>
      <c r="L27" s="224"/>
      <c r="M27" s="222"/>
      <c r="N27" s="223"/>
      <c r="O27" s="219"/>
      <c r="V27" s="487" t="s">
        <v>705</v>
      </c>
      <c r="W27" s="490" t="str">
        <f>VLOOKUP(W24,schedule,18,FALSE)</f>
        <v>JÚNIUS 12. – SZOMBAT 18:00</v>
      </c>
      <c r="X27" s="489" t="b">
        <f ca="1">VLOOKUP(W24,schedule,14,FALSE)&lt;=NOW()</f>
        <v>0</v>
      </c>
      <c r="Y27" s="490" t="str">
        <f>VLOOKUP(Y24,schedule,18,FALSE)</f>
        <v>JÚNIUS 12. – SZOMBAT 21:00</v>
      </c>
      <c r="Z27" s="489" t="b">
        <f ca="1">VLOOKUP(Y24,schedule,14,FALSE)&lt;=NOW()</f>
        <v>0</v>
      </c>
      <c r="AB27" s="327" t="str">
        <f>IF(C27="öngól",AC23,AB23)</f>
        <v>nevek.05</v>
      </c>
      <c r="AC27" s="327" t="str">
        <f>IF(H27="öngól",AB23,AC23)</f>
        <v>nevek.06</v>
      </c>
      <c r="AD27" s="327" t="str">
        <f>IF(J27="öngól",AE23,AD23)</f>
        <v>nevek.07</v>
      </c>
      <c r="AE27" s="327" t="str">
        <f>IF(O27="öngól",AD23,AE23)</f>
        <v>nevek.08</v>
      </c>
      <c r="AF27" s="325"/>
      <c r="AG27" s="485">
        <v>4</v>
      </c>
      <c r="AH27" s="488" t="b">
        <f ca="1">AND(W26,X27,D27="",AG27&lt;=W32)</f>
        <v>0</v>
      </c>
      <c r="AI27" s="488" t="b">
        <f ca="1">AND(W26,X27,E27="",AG27&lt;=W32)</f>
        <v>0</v>
      </c>
      <c r="AJ27" s="488" t="b">
        <f ca="1">AND(W26,X27,F27="",AG27&lt;=X32)</f>
        <v>0</v>
      </c>
      <c r="AK27" s="488" t="b">
        <f ca="1">AND(W26,X27,G27="",AG27&lt;=X32)</f>
        <v>0</v>
      </c>
      <c r="AL27" s="488" t="b">
        <f ca="1">AND(Y26,Z27,K27="",AG27&lt;=Y32)</f>
        <v>0</v>
      </c>
      <c r="AM27" s="488" t="b">
        <f ca="1">AND(Y26,Z27,L27="",AG27&lt;=Y32)</f>
        <v>0</v>
      </c>
      <c r="AN27" s="488" t="b">
        <f ca="1">AND(Y26,Z27,M27="",AG27&lt;=Z32)</f>
        <v>0</v>
      </c>
      <c r="AO27" s="488" t="b">
        <f ca="1">AND(Y26,Z27,N27="",AG27&lt;=Z32)</f>
        <v>0</v>
      </c>
      <c r="AQ27" s="326" t="str">
        <f>IF(OR(NOT(Góllista!$E$6),D27=""),"",IF(C27="öngól","ö"&amp;G23&amp;D27,D23&amp;D27))</f>
        <v/>
      </c>
      <c r="AR27" s="326" t="str">
        <f>IF(OR(NOT(Góllista!$E$6),G27=""),"",IF(H27="öngól","ö"&amp;D23&amp;G27,G23&amp;G27))</f>
        <v/>
      </c>
      <c r="AS27" s="326" t="str">
        <f>IF(OR(NOT(Góllista!$E$6),K27=""),"",IF(J27="öngól","ö"&amp;N23&amp;K27,K23&amp;K27))</f>
        <v/>
      </c>
      <c r="AT27" s="326" t="str">
        <f>IF(OR(NOT(Góllista!$E$6),N27=""),"",IF(O27="öngól","ö"&amp;K23&amp;N27,N23&amp;N27))</f>
        <v/>
      </c>
      <c r="AW27" s="485"/>
      <c r="AX27" s="485">
        <f t="shared" si="56"/>
        <v>20</v>
      </c>
      <c r="AY27" s="326" t="str">
        <f t="shared" si="0"/>
        <v>Tufan</v>
      </c>
      <c r="AZ27" s="485">
        <f t="shared" si="57"/>
        <v>60</v>
      </c>
      <c r="BA27" s="326" t="str">
        <f t="shared" si="1"/>
        <v>Pellegrini</v>
      </c>
      <c r="BB27" s="485">
        <f t="shared" si="58"/>
        <v>100</v>
      </c>
      <c r="BC27" s="326" t="str">
        <f t="shared" si="2"/>
        <v>Roberts T.</v>
      </c>
      <c r="BD27" s="485">
        <f t="shared" si="59"/>
        <v>140</v>
      </c>
      <c r="BE27" s="326" t="str">
        <f t="shared" si="3"/>
        <v>Sommer</v>
      </c>
      <c r="BF27" s="485">
        <f t="shared" si="60"/>
        <v>180</v>
      </c>
      <c r="BG27" s="326" t="str">
        <f t="shared" si="4"/>
        <v>Schmeichel</v>
      </c>
      <c r="BH27" s="485">
        <f t="shared" si="61"/>
        <v>220</v>
      </c>
      <c r="BI27" s="326" t="str">
        <f t="shared" si="5"/>
        <v>Soiri</v>
      </c>
      <c r="BJ27" s="485">
        <f t="shared" si="62"/>
        <v>260</v>
      </c>
      <c r="BK27" s="326" t="str">
        <f t="shared" si="6"/>
        <v>Sels</v>
      </c>
      <c r="BL27" s="485">
        <f t="shared" si="63"/>
        <v>300</v>
      </c>
      <c r="BM27" s="326" t="str">
        <f t="shared" si="7"/>
        <v>Szafonov</v>
      </c>
      <c r="BN27" s="485">
        <f t="shared" si="64"/>
        <v>340</v>
      </c>
      <c r="BO27" s="326" t="str">
        <f t="shared" si="8"/>
        <v>Timber</v>
      </c>
      <c r="BP27" s="485">
        <f t="shared" si="65"/>
        <v>380</v>
      </c>
      <c r="BQ27" s="326" t="str">
        <f t="shared" si="9"/>
        <v>Sztepanenko</v>
      </c>
      <c r="BR27" s="485">
        <f t="shared" si="66"/>
        <v>420</v>
      </c>
      <c r="BS27" s="326" t="str">
        <f t="shared" si="10"/>
        <v>Sabitzer</v>
      </c>
      <c r="BT27" s="485">
        <f t="shared" si="67"/>
        <v>460</v>
      </c>
      <c r="BU27" s="326" t="str">
        <f t="shared" si="11"/>
        <v>Szpirovszki</v>
      </c>
      <c r="BV27" s="485">
        <f t="shared" si="68"/>
        <v>500</v>
      </c>
      <c r="BW27" s="326" t="str">
        <f t="shared" si="12"/>
        <v>Saka</v>
      </c>
      <c r="BX27" s="485">
        <f t="shared" si="69"/>
        <v>540</v>
      </c>
      <c r="BY27" s="326" t="str">
        <f t="shared" si="13"/>
        <v>Petkovic</v>
      </c>
      <c r="BZ27" s="485">
        <f t="shared" si="70"/>
        <v>580</v>
      </c>
      <c r="CA27" s="326" t="str">
        <f t="shared" si="14"/>
        <v>Nisbet</v>
      </c>
      <c r="CB27" s="485">
        <f t="shared" si="71"/>
        <v>620</v>
      </c>
      <c r="CC27" s="326" t="str">
        <f t="shared" si="15"/>
        <v>Sadílek</v>
      </c>
      <c r="CD27" s="485">
        <f t="shared" si="39"/>
        <v>660</v>
      </c>
      <c r="CE27" s="326" t="str">
        <f t="shared" si="72"/>
        <v>Sarabia</v>
      </c>
      <c r="CF27" s="485">
        <f t="shared" si="40"/>
        <v>700</v>
      </c>
      <c r="CG27" s="326" t="str">
        <f t="shared" si="73"/>
        <v>Nordfeldt</v>
      </c>
      <c r="CH27" s="485">
        <f t="shared" si="41"/>
        <v>740</v>
      </c>
      <c r="CI27" s="326" t="str">
        <f t="shared" si="74"/>
        <v>Puchacz</v>
      </c>
      <c r="CJ27" s="485">
        <f t="shared" si="42"/>
        <v>780</v>
      </c>
      <c r="CK27" s="326" t="str">
        <f t="shared" si="75"/>
        <v>Satka</v>
      </c>
      <c r="CL27" s="485">
        <f t="shared" si="43"/>
        <v>820</v>
      </c>
      <c r="CM27" s="326" t="str">
        <f t="shared" si="76"/>
        <v>Schäfer</v>
      </c>
      <c r="CN27" s="485">
        <f t="shared" si="44"/>
        <v>860</v>
      </c>
      <c r="CO27" s="326" t="str">
        <f t="shared" si="77"/>
        <v>Rui Patrício</v>
      </c>
      <c r="CP27" s="485">
        <f t="shared" si="45"/>
        <v>900</v>
      </c>
      <c r="CQ27" s="326" t="str">
        <f t="shared" si="78"/>
        <v>Pogba</v>
      </c>
      <c r="CR27" s="485">
        <f t="shared" si="46"/>
        <v>940</v>
      </c>
      <c r="CS27" s="326" t="str">
        <f t="shared" si="79"/>
        <v>Neuhaus</v>
      </c>
      <c r="CT27" s="485" t="e">
        <f t="shared" si="47"/>
        <v>#N/A</v>
      </c>
      <c r="CU27" s="326"/>
      <c r="CV27" s="485" t="e">
        <f t="shared" si="48"/>
        <v>#N/A</v>
      </c>
      <c r="CW27" s="326"/>
      <c r="CX27" s="485" t="e">
        <f t="shared" si="49"/>
        <v>#N/A</v>
      </c>
      <c r="CY27" s="326"/>
      <c r="CZ27" s="485" t="e">
        <f t="shared" si="50"/>
        <v>#N/A</v>
      </c>
      <c r="DA27" s="326"/>
      <c r="DB27" s="485" t="e">
        <f t="shared" si="51"/>
        <v>#N/A</v>
      </c>
      <c r="DC27" s="326"/>
      <c r="DD27" s="485" t="e">
        <f t="shared" si="52"/>
        <v>#N/A</v>
      </c>
      <c r="DE27" s="326"/>
      <c r="DF27" s="485" t="e">
        <f t="shared" si="53"/>
        <v>#N/A</v>
      </c>
      <c r="DG27" s="326"/>
      <c r="DH27" s="485" t="e">
        <f t="shared" si="54"/>
        <v>#N/A</v>
      </c>
      <c r="DI27" s="326"/>
      <c r="DJ27" s="485"/>
    </row>
    <row r="28" spans="1:115" ht="12" customHeight="1" x14ac:dyDescent="0.3">
      <c r="A28" s="765"/>
      <c r="C28" s="219"/>
      <c r="D28" s="220"/>
      <c r="E28" s="224"/>
      <c r="F28" s="222"/>
      <c r="G28" s="223"/>
      <c r="H28" s="219"/>
      <c r="J28" s="219"/>
      <c r="K28" s="220"/>
      <c r="L28" s="224"/>
      <c r="M28" s="222"/>
      <c r="N28" s="223"/>
      <c r="O28" s="219"/>
      <c r="V28" s="487" t="s">
        <v>1265</v>
      </c>
      <c r="W28" s="491" t="str">
        <f>VLOOKUP(W24,schedule,12,FALSE)</f>
        <v>1. CSOPORTMÉRKŐZÉS</v>
      </c>
      <c r="X28" s="485" t="str">
        <f>""</f>
        <v/>
      </c>
      <c r="Y28" s="491" t="str">
        <f>VLOOKUP(Y24,schedule,12,FALSE)</f>
        <v>1. CSOPORTMÉRKŐZÉS</v>
      </c>
      <c r="AB28" s="327" t="str">
        <f>IF(C28="öngól",AC23,AB23)</f>
        <v>nevek.05</v>
      </c>
      <c r="AC28" s="327" t="str">
        <f>IF(H28="öngól",AB23,AC23)</f>
        <v>nevek.06</v>
      </c>
      <c r="AD28" s="327" t="str">
        <f>IF(J28="öngól",AE23,AD23)</f>
        <v>nevek.07</v>
      </c>
      <c r="AE28" s="327" t="str">
        <f>IF(O28="öngól",AD23,AE23)</f>
        <v>nevek.08</v>
      </c>
      <c r="AF28" s="325"/>
      <c r="AG28" s="485">
        <v>5</v>
      </c>
      <c r="AH28" s="488" t="b">
        <f ca="1">AND(W26,X27,D28="",AG28&lt;=W32)</f>
        <v>0</v>
      </c>
      <c r="AI28" s="488" t="b">
        <f ca="1">AND(W26,X27,E28="",AG28&lt;=W32)</f>
        <v>0</v>
      </c>
      <c r="AJ28" s="488" t="b">
        <f ca="1">AND(W26,X27,F28="",AG28&lt;=X32)</f>
        <v>0</v>
      </c>
      <c r="AK28" s="488" t="b">
        <f ca="1">AND(W26,X27,G28="",AG28&lt;=X32)</f>
        <v>0</v>
      </c>
      <c r="AL28" s="488" t="b">
        <f ca="1">AND(Y26,Z27,K28="",AG28&lt;=Y32)</f>
        <v>0</v>
      </c>
      <c r="AM28" s="488" t="b">
        <f ca="1">AND(Y26,Z27,L28="",AG28&lt;=Y32)</f>
        <v>0</v>
      </c>
      <c r="AN28" s="488" t="b">
        <f ca="1">AND(Y26,Z27,M28="",AG28&lt;=Z32)</f>
        <v>0</v>
      </c>
      <c r="AO28" s="488" t="b">
        <f ca="1">AND(Y26,Z27,N28="",AG28&lt;=Z32)</f>
        <v>0</v>
      </c>
      <c r="AQ28" s="326" t="str">
        <f>IF(OR(NOT(Góllista!$E$6),D28=""),"",IF(C28="öngól","ö"&amp;G23&amp;D28,D23&amp;D28))</f>
        <v/>
      </c>
      <c r="AR28" s="326" t="str">
        <f>IF(OR(NOT(Góllista!$E$6),G28=""),"",IF(H28="öngól","ö"&amp;D23&amp;G28,G23&amp;G28))</f>
        <v/>
      </c>
      <c r="AS28" s="326" t="str">
        <f>IF(OR(NOT(Góllista!$E$6),K28=""),"",IF(J28="öngól","ö"&amp;N23&amp;K28,K23&amp;K28))</f>
        <v/>
      </c>
      <c r="AT28" s="326" t="str">
        <f>IF(OR(NOT(Góllista!$E$6),N28=""),"",IF(O28="öngól","ö"&amp;K23&amp;N28,N23&amp;N28))</f>
        <v/>
      </c>
      <c r="AW28" s="485"/>
      <c r="AX28" s="485">
        <f t="shared" si="56"/>
        <v>21</v>
      </c>
      <c r="AY28" s="326" t="str">
        <f t="shared" si="0"/>
        <v>Ünal</v>
      </c>
      <c r="AZ28" s="485">
        <f t="shared" si="57"/>
        <v>61</v>
      </c>
      <c r="BA28" s="326" t="str">
        <f t="shared" si="1"/>
        <v>Raspadori</v>
      </c>
      <c r="BB28" s="485">
        <f t="shared" si="58"/>
        <v>101</v>
      </c>
      <c r="BC28" s="326" t="str">
        <f t="shared" si="2"/>
        <v>Rodon</v>
      </c>
      <c r="BD28" s="485">
        <f t="shared" si="59"/>
        <v>141</v>
      </c>
      <c r="BE28" s="326" t="str">
        <f t="shared" si="3"/>
        <v>Sow</v>
      </c>
      <c r="BF28" s="485">
        <f t="shared" si="60"/>
        <v>181</v>
      </c>
      <c r="BG28" s="326" t="str">
        <f t="shared" si="4"/>
        <v>Skov</v>
      </c>
      <c r="BH28" s="485">
        <f t="shared" si="61"/>
        <v>221</v>
      </c>
      <c r="BI28" s="326" t="str">
        <f t="shared" si="5"/>
        <v>Sparv</v>
      </c>
      <c r="BJ28" s="485">
        <f t="shared" si="62"/>
        <v>261</v>
      </c>
      <c r="BK28" s="326" t="str">
        <f t="shared" si="6"/>
        <v>Tielemans</v>
      </c>
      <c r="BL28" s="485">
        <f t="shared" si="63"/>
        <v>301</v>
      </c>
      <c r="BM28" s="326" t="str">
        <f t="shared" si="7"/>
        <v>Szemjonov</v>
      </c>
      <c r="BN28" s="485">
        <f t="shared" si="64"/>
        <v>341</v>
      </c>
      <c r="BO28" s="326" t="str">
        <f t="shared" si="8"/>
        <v>van Aanholt</v>
      </c>
      <c r="BP28" s="485">
        <f t="shared" si="65"/>
        <v>381</v>
      </c>
      <c r="BQ28" s="326" t="str">
        <f t="shared" si="9"/>
        <v>Szudakov</v>
      </c>
      <c r="BR28" s="485">
        <f t="shared" si="66"/>
        <v>421</v>
      </c>
      <c r="BS28" s="326" t="str">
        <f t="shared" si="10"/>
        <v>Schaub</v>
      </c>
      <c r="BT28" s="485">
        <f t="shared" si="67"/>
        <v>461</v>
      </c>
      <c r="BU28" s="326" t="str">
        <f t="shared" si="11"/>
        <v>Sztojanovszki</v>
      </c>
      <c r="BV28" s="485">
        <f t="shared" si="68"/>
        <v>501</v>
      </c>
      <c r="BW28" s="326" t="str">
        <f t="shared" si="12"/>
        <v>Sancho</v>
      </c>
      <c r="BX28" s="485">
        <f t="shared" si="69"/>
        <v>541</v>
      </c>
      <c r="BY28" s="326" t="str">
        <f t="shared" si="13"/>
        <v>Rebic</v>
      </c>
      <c r="BZ28" s="485">
        <f t="shared" si="70"/>
        <v>581</v>
      </c>
      <c r="CA28" s="326" t="str">
        <f t="shared" si="14"/>
        <v>O'Donnell</v>
      </c>
      <c r="CB28" s="485">
        <f t="shared" si="71"/>
        <v>621</v>
      </c>
      <c r="CC28" s="326" t="str">
        <f t="shared" si="15"/>
        <v>Schick</v>
      </c>
      <c r="CD28" s="485">
        <f t="shared" si="39"/>
        <v>661</v>
      </c>
      <c r="CE28" s="326" t="str">
        <f t="shared" si="72"/>
        <v>Simón</v>
      </c>
      <c r="CF28" s="485">
        <f t="shared" si="40"/>
        <v>701</v>
      </c>
      <c r="CG28" s="326" t="str">
        <f t="shared" si="73"/>
        <v>Olsen</v>
      </c>
      <c r="CH28" s="485">
        <f t="shared" si="41"/>
        <v>741</v>
      </c>
      <c r="CI28" s="326" t="str">
        <f t="shared" si="74"/>
        <v>Rybus</v>
      </c>
      <c r="CJ28" s="485">
        <f t="shared" si="42"/>
        <v>781</v>
      </c>
      <c r="CK28" s="326" t="str">
        <f t="shared" si="75"/>
        <v>Schranz</v>
      </c>
      <c r="CL28" s="485">
        <f t="shared" si="43"/>
        <v>821</v>
      </c>
      <c r="CM28" s="326" t="str">
        <f t="shared" si="76"/>
        <v>Schön</v>
      </c>
      <c r="CN28" s="485">
        <f t="shared" si="44"/>
        <v>861</v>
      </c>
      <c r="CO28" s="326" t="str">
        <f t="shared" si="77"/>
        <v>Rui Silva</v>
      </c>
      <c r="CP28" s="485">
        <f t="shared" si="45"/>
        <v>901</v>
      </c>
      <c r="CQ28" s="326" t="str">
        <f t="shared" si="78"/>
        <v>Rabiot</v>
      </c>
      <c r="CR28" s="485">
        <f t="shared" si="46"/>
        <v>941</v>
      </c>
      <c r="CS28" s="326" t="str">
        <f t="shared" si="79"/>
        <v>Rüdiger</v>
      </c>
      <c r="CT28" s="485" t="e">
        <f t="shared" si="47"/>
        <v>#N/A</v>
      </c>
      <c r="CU28" s="326"/>
      <c r="CV28" s="485" t="e">
        <f t="shared" si="48"/>
        <v>#N/A</v>
      </c>
      <c r="CW28" s="326"/>
      <c r="CX28" s="485" t="e">
        <f t="shared" si="49"/>
        <v>#N/A</v>
      </c>
      <c r="CY28" s="326"/>
      <c r="CZ28" s="485" t="e">
        <f t="shared" si="50"/>
        <v>#N/A</v>
      </c>
      <c r="DA28" s="326"/>
      <c r="DB28" s="485" t="e">
        <f t="shared" si="51"/>
        <v>#N/A</v>
      </c>
      <c r="DC28" s="326"/>
      <c r="DD28" s="485" t="e">
        <f t="shared" si="52"/>
        <v>#N/A</v>
      </c>
      <c r="DE28" s="326"/>
      <c r="DF28" s="485" t="e">
        <f t="shared" si="53"/>
        <v>#N/A</v>
      </c>
      <c r="DG28" s="326"/>
      <c r="DH28" s="485" t="e">
        <f t="shared" si="54"/>
        <v>#N/A</v>
      </c>
      <c r="DI28" s="326"/>
      <c r="DJ28" s="485"/>
    </row>
    <row r="29" spans="1:115" ht="12" customHeight="1" x14ac:dyDescent="0.3">
      <c r="A29" s="765"/>
      <c r="C29" s="219"/>
      <c r="D29" s="220"/>
      <c r="E29" s="224"/>
      <c r="F29" s="222"/>
      <c r="G29" s="223"/>
      <c r="H29" s="219"/>
      <c r="J29" s="219"/>
      <c r="K29" s="220"/>
      <c r="L29" s="224"/>
      <c r="M29" s="222"/>
      <c r="N29" s="223"/>
      <c r="O29" s="219"/>
      <c r="V29" s="487" t="s">
        <v>1264</v>
      </c>
      <c r="W29" s="327" t="str">
        <f>VLOOKUP(W24,schedule,3,FALSE)</f>
        <v>B</v>
      </c>
      <c r="X29" s="485" t="str">
        <f>""</f>
        <v/>
      </c>
      <c r="Y29" s="327" t="str">
        <f>VLOOKUP(Y24,schedule,3,FALSE)</f>
        <v>B</v>
      </c>
      <c r="AB29" s="327" t="str">
        <f>IF(C29="öngól",AC23,AB23)</f>
        <v>nevek.05</v>
      </c>
      <c r="AC29" s="327" t="str">
        <f>IF(H29="öngól",AB23,AC23)</f>
        <v>nevek.06</v>
      </c>
      <c r="AD29" s="327" t="str">
        <f>IF(J29="öngól",AE23,AD23)</f>
        <v>nevek.07</v>
      </c>
      <c r="AE29" s="327" t="str">
        <f>IF(O29="öngól",AD23,AE23)</f>
        <v>nevek.08</v>
      </c>
      <c r="AF29" s="325"/>
      <c r="AG29" s="485">
        <v>6</v>
      </c>
      <c r="AH29" s="488" t="b">
        <f ca="1">AND(W26,X27,D29="",AG29&lt;=W32)</f>
        <v>0</v>
      </c>
      <c r="AI29" s="488" t="b">
        <f ca="1">AND(W26,X27,E29="",AG29&lt;=W32)</f>
        <v>0</v>
      </c>
      <c r="AJ29" s="488" t="b">
        <f ca="1">AND(W26,X27,F29="",AG29&lt;=X32)</f>
        <v>0</v>
      </c>
      <c r="AK29" s="488" t="b">
        <f ca="1">AND(W26,X27,G29="",AG29&lt;=X32)</f>
        <v>0</v>
      </c>
      <c r="AL29" s="488" t="b">
        <f ca="1">AND(Y26,Z27,K29="",AG29&lt;=Y32)</f>
        <v>0</v>
      </c>
      <c r="AM29" s="488" t="b">
        <f ca="1">AND(Y26,Z27,L29="",AG29&lt;=Y32)</f>
        <v>0</v>
      </c>
      <c r="AN29" s="488" t="b">
        <f ca="1">AND(Y26,Z27,M29="",AG29&lt;=Z32)</f>
        <v>0</v>
      </c>
      <c r="AO29" s="488" t="b">
        <f ca="1">AND(Y26,Z27,N29="",AG29&lt;=Z32)</f>
        <v>0</v>
      </c>
      <c r="AQ29" s="326" t="str">
        <f>IF(OR(NOT(Góllista!$E$6),D29=""),"",IF(C29="öngól","ö"&amp;G23&amp;D29,D23&amp;D29))</f>
        <v/>
      </c>
      <c r="AR29" s="326" t="str">
        <f>IF(OR(NOT(Góllista!$E$6),G29=""),"",IF(H29="öngól","ö"&amp;D23&amp;G29,G23&amp;G29))</f>
        <v/>
      </c>
      <c r="AS29" s="326" t="str">
        <f>IF(OR(NOT(Góllista!$E$6),K29=""),"",IF(J29="öngól","ö"&amp;N23&amp;K29,K23&amp;K29))</f>
        <v/>
      </c>
      <c r="AT29" s="326" t="str">
        <f>IF(OR(NOT(Góllista!$E$6),N29=""),"",IF(O29="öngól","ö"&amp;K23&amp;N29,N23&amp;N29))</f>
        <v/>
      </c>
      <c r="AW29" s="485"/>
      <c r="AX29" s="485">
        <f t="shared" si="56"/>
        <v>22</v>
      </c>
      <c r="AY29" s="326" t="str">
        <f t="shared" si="0"/>
        <v>Ünder</v>
      </c>
      <c r="AZ29" s="485">
        <f t="shared" si="57"/>
        <v>62</v>
      </c>
      <c r="BA29" s="326" t="str">
        <f t="shared" si="1"/>
        <v>Sensi</v>
      </c>
      <c r="BB29" s="485">
        <f t="shared" si="58"/>
        <v>102</v>
      </c>
      <c r="BC29" s="326" t="str">
        <f t="shared" si="2"/>
        <v>Smith</v>
      </c>
      <c r="BD29" s="485">
        <f t="shared" si="59"/>
        <v>142</v>
      </c>
      <c r="BE29" s="326" t="str">
        <f t="shared" si="3"/>
        <v>Vargas</v>
      </c>
      <c r="BF29" s="485">
        <f t="shared" si="60"/>
        <v>182</v>
      </c>
      <c r="BG29" s="326" t="str">
        <f t="shared" si="4"/>
        <v>Skov Olsen</v>
      </c>
      <c r="BH29" s="485">
        <f t="shared" si="61"/>
        <v>222</v>
      </c>
      <c r="BI29" s="326" t="str">
        <f t="shared" si="5"/>
        <v>Taylor</v>
      </c>
      <c r="BJ29" s="485">
        <f t="shared" si="62"/>
        <v>262</v>
      </c>
      <c r="BK29" s="326" t="str">
        <f t="shared" si="6"/>
        <v>Trossard</v>
      </c>
      <c r="BL29" s="485">
        <f t="shared" si="63"/>
        <v>302</v>
      </c>
      <c r="BM29" s="326" t="str">
        <f t="shared" si="7"/>
        <v>Szobolev</v>
      </c>
      <c r="BN29" s="485">
        <f t="shared" si="64"/>
        <v>342</v>
      </c>
      <c r="BO29" s="326" t="str">
        <f t="shared" si="8"/>
        <v>van de Beek</v>
      </c>
      <c r="BP29" s="485">
        <f t="shared" si="65"/>
        <v>382</v>
      </c>
      <c r="BQ29" s="326" t="str">
        <f t="shared" si="9"/>
        <v>Timcsik</v>
      </c>
      <c r="BR29" s="485">
        <f t="shared" si="66"/>
        <v>422</v>
      </c>
      <c r="BS29" s="326" t="str">
        <f t="shared" si="10"/>
        <v>Schlager A.</v>
      </c>
      <c r="BT29" s="485">
        <f t="shared" si="67"/>
        <v>462</v>
      </c>
      <c r="BU29" s="326" t="str">
        <f t="shared" si="11"/>
        <v>Trajkovszki</v>
      </c>
      <c r="BV29" s="485">
        <f t="shared" si="68"/>
        <v>502</v>
      </c>
      <c r="BW29" s="326" t="str">
        <f t="shared" si="12"/>
        <v>Shaw</v>
      </c>
      <c r="BX29" s="485">
        <f t="shared" si="69"/>
        <v>542</v>
      </c>
      <c r="BY29" s="326" t="str">
        <f t="shared" si="13"/>
        <v>Skoric</v>
      </c>
      <c r="BZ29" s="485">
        <f t="shared" si="70"/>
        <v>582</v>
      </c>
      <c r="CA29" s="326" t="str">
        <f t="shared" si="14"/>
        <v>Patterson</v>
      </c>
      <c r="CB29" s="485">
        <f t="shared" si="71"/>
        <v>622</v>
      </c>
      <c r="CC29" s="326" t="str">
        <f t="shared" si="15"/>
        <v>Sevcík</v>
      </c>
      <c r="CD29" s="485">
        <f t="shared" si="39"/>
        <v>662</v>
      </c>
      <c r="CE29" s="326" t="str">
        <f t="shared" si="72"/>
        <v>Torres F.</v>
      </c>
      <c r="CF29" s="485">
        <f t="shared" si="40"/>
        <v>702</v>
      </c>
      <c r="CG29" s="326" t="str">
        <f t="shared" si="73"/>
        <v>Olsson</v>
      </c>
      <c r="CH29" s="485">
        <f t="shared" si="41"/>
        <v>742</v>
      </c>
      <c r="CI29" s="326" t="str">
        <f t="shared" si="74"/>
        <v>Skorupski</v>
      </c>
      <c r="CJ29" s="485">
        <f t="shared" si="42"/>
        <v>782</v>
      </c>
      <c r="CK29" s="326" t="str">
        <f t="shared" si="75"/>
        <v>Skriniar</v>
      </c>
      <c r="CL29" s="485">
        <f t="shared" si="43"/>
        <v>822</v>
      </c>
      <c r="CM29" s="326" t="str">
        <f t="shared" si="76"/>
        <v>Sigér</v>
      </c>
      <c r="CN29" s="485">
        <f t="shared" si="44"/>
        <v>862</v>
      </c>
      <c r="CO29" s="326" t="str">
        <f t="shared" si="77"/>
        <v>Semedo N.</v>
      </c>
      <c r="CP29" s="485">
        <f t="shared" si="45"/>
        <v>902</v>
      </c>
      <c r="CQ29" s="326" t="str">
        <f t="shared" si="78"/>
        <v>Sissoko</v>
      </c>
      <c r="CR29" s="485">
        <f t="shared" si="46"/>
        <v>942</v>
      </c>
      <c r="CS29" s="326" t="str">
        <f t="shared" si="79"/>
        <v>Sané</v>
      </c>
      <c r="CT29" s="485" t="e">
        <f t="shared" si="47"/>
        <v>#N/A</v>
      </c>
      <c r="CU29" s="326"/>
      <c r="CV29" s="485" t="e">
        <f t="shared" si="48"/>
        <v>#N/A</v>
      </c>
      <c r="CW29" s="326"/>
      <c r="CX29" s="485" t="e">
        <f t="shared" si="49"/>
        <v>#N/A</v>
      </c>
      <c r="CY29" s="326"/>
      <c r="CZ29" s="485" t="e">
        <f t="shared" si="50"/>
        <v>#N/A</v>
      </c>
      <c r="DA29" s="326"/>
      <c r="DB29" s="485" t="e">
        <f t="shared" si="51"/>
        <v>#N/A</v>
      </c>
      <c r="DC29" s="326"/>
      <c r="DD29" s="485" t="e">
        <f t="shared" si="52"/>
        <v>#N/A</v>
      </c>
      <c r="DE29" s="326"/>
      <c r="DF29" s="485" t="e">
        <f t="shared" si="53"/>
        <v>#N/A</v>
      </c>
      <c r="DG29" s="326"/>
      <c r="DH29" s="485" t="e">
        <f t="shared" si="54"/>
        <v>#N/A</v>
      </c>
      <c r="DI29" s="326"/>
      <c r="DJ29" s="485"/>
    </row>
    <row r="30" spans="1:115" ht="12" customHeight="1" x14ac:dyDescent="0.3">
      <c r="A30" s="765"/>
      <c r="C30" s="219"/>
      <c r="D30" s="220"/>
      <c r="E30" s="224"/>
      <c r="F30" s="222"/>
      <c r="G30" s="223"/>
      <c r="H30" s="219"/>
      <c r="J30" s="219"/>
      <c r="K30" s="220"/>
      <c r="L30" s="224"/>
      <c r="M30" s="222"/>
      <c r="N30" s="223"/>
      <c r="O30" s="219"/>
      <c r="V30" s="485" t="s">
        <v>707</v>
      </c>
      <c r="W30" s="327">
        <f>IF(NOT(W26),0,E23-9+COUNTBLANK(D24:D32))</f>
        <v>0</v>
      </c>
      <c r="X30" s="327">
        <f>IF(NOT(W26),0,F23-9+COUNTBLANK(G24:G32))</f>
        <v>0</v>
      </c>
      <c r="Y30" s="327">
        <f>IF(NOT(Y26),0,L23-9+COUNTBLANK(K24:K32))</f>
        <v>0</v>
      </c>
      <c r="Z30" s="327">
        <f>IF(NOT(Y26),0,M23-9+COUNTBLANK(N24:N32))</f>
        <v>0</v>
      </c>
      <c r="AB30" s="327" t="str">
        <f>IF(C30="öngól",AC23,AB23)</f>
        <v>nevek.05</v>
      </c>
      <c r="AC30" s="327" t="str">
        <f>IF(H30="öngól",AB23,AC23)</f>
        <v>nevek.06</v>
      </c>
      <c r="AD30" s="327" t="str">
        <f>IF(J30="öngól",AE23,AD23)</f>
        <v>nevek.07</v>
      </c>
      <c r="AE30" s="327" t="str">
        <f>IF(O30="öngól",AD23,AE23)</f>
        <v>nevek.08</v>
      </c>
      <c r="AF30" s="325"/>
      <c r="AG30" s="485">
        <v>7</v>
      </c>
      <c r="AH30" s="488" t="b">
        <f ca="1">AND(W26,X27,D30="",AG30&lt;=W32)</f>
        <v>0</v>
      </c>
      <c r="AI30" s="488" t="b">
        <f ca="1">AND(W26,X27,E30="",AG30&lt;=W32)</f>
        <v>0</v>
      </c>
      <c r="AJ30" s="488" t="b">
        <f ca="1">AND(W26,X27,F30="",AG30&lt;=X32)</f>
        <v>0</v>
      </c>
      <c r="AK30" s="488" t="b">
        <f ca="1">AND(W26,X27,G30="",AG30&lt;=X32)</f>
        <v>0</v>
      </c>
      <c r="AL30" s="488" t="b">
        <f ca="1">AND(Y26,Z27,K30="",AG30&lt;=Y32)</f>
        <v>0</v>
      </c>
      <c r="AM30" s="488" t="b">
        <f ca="1">AND(Y26,Z27,L30="",AG30&lt;=Y32)</f>
        <v>0</v>
      </c>
      <c r="AN30" s="488" t="b">
        <f ca="1">AND(Y26,Z27,M30="",AG30&lt;=Z32)</f>
        <v>0</v>
      </c>
      <c r="AO30" s="488" t="b">
        <f ca="1">AND(Y26,Z27,N30="",AG30&lt;=Z32)</f>
        <v>0</v>
      </c>
      <c r="AQ30" s="326" t="str">
        <f>IF(OR(NOT(Góllista!$E$6),D30=""),"",IF(C30="öngól","ö"&amp;G23&amp;D30,D23&amp;D30))</f>
        <v/>
      </c>
      <c r="AR30" s="326" t="str">
        <f>IF(OR(NOT(Góllista!$E$6),G30=""),"",IF(H30="öngól","ö"&amp;D23&amp;G30,G23&amp;G30))</f>
        <v/>
      </c>
      <c r="AS30" s="326" t="str">
        <f>IF(OR(NOT(Góllista!$E$6),K30=""),"",IF(J30="öngól","ö"&amp;N23&amp;K30,K23&amp;K30))</f>
        <v/>
      </c>
      <c r="AT30" s="326" t="str">
        <f>IF(OR(NOT(Góllista!$E$6),N30=""),"",IF(O30="öngól","ö"&amp;K23&amp;N30,N23&amp;N30))</f>
        <v/>
      </c>
      <c r="AW30" s="485"/>
      <c r="AX30" s="485">
        <f t="shared" si="56"/>
        <v>23</v>
      </c>
      <c r="AY30" s="326" t="str">
        <f t="shared" si="0"/>
        <v>Yazici</v>
      </c>
      <c r="AZ30" s="485">
        <f t="shared" si="57"/>
        <v>63</v>
      </c>
      <c r="BA30" s="326" t="str">
        <f t="shared" si="1"/>
        <v>Sirigu</v>
      </c>
      <c r="BB30" s="485">
        <f t="shared" si="58"/>
        <v>103</v>
      </c>
      <c r="BC30" s="326" t="str">
        <f t="shared" si="2"/>
        <v>Ward</v>
      </c>
      <c r="BD30" s="485">
        <f t="shared" si="59"/>
        <v>143</v>
      </c>
      <c r="BE30" s="326" t="str">
        <f t="shared" si="3"/>
        <v>Widmer</v>
      </c>
      <c r="BF30" s="485">
        <f t="shared" si="60"/>
        <v>183</v>
      </c>
      <c r="BG30" s="326" t="str">
        <f t="shared" si="4"/>
        <v>Stryger Larsen</v>
      </c>
      <c r="BH30" s="485">
        <f t="shared" si="61"/>
        <v>223</v>
      </c>
      <c r="BI30" s="326" t="str">
        <f t="shared" si="5"/>
        <v>Toivio</v>
      </c>
      <c r="BJ30" s="485">
        <f t="shared" si="62"/>
        <v>263</v>
      </c>
      <c r="BK30" s="326" t="str">
        <f t="shared" si="6"/>
        <v>Vanaken</v>
      </c>
      <c r="BL30" s="485">
        <f t="shared" si="63"/>
        <v>303</v>
      </c>
      <c r="BM30" s="326" t="str">
        <f t="shared" si="7"/>
        <v>Zabolotnyij</v>
      </c>
      <c r="BN30" s="485">
        <f t="shared" si="64"/>
        <v>343</v>
      </c>
      <c r="BO30" s="326" t="str">
        <f t="shared" si="8"/>
        <v>Veltman</v>
      </c>
      <c r="BP30" s="485">
        <f t="shared" si="65"/>
        <v>383</v>
      </c>
      <c r="BQ30" s="326" t="str">
        <f t="shared" si="9"/>
        <v>Trubin</v>
      </c>
      <c r="BR30" s="485">
        <f t="shared" si="66"/>
        <v>423</v>
      </c>
      <c r="BS30" s="326" t="str">
        <f t="shared" si="10"/>
        <v>Schlager X.</v>
      </c>
      <c r="BT30" s="485">
        <f t="shared" si="67"/>
        <v>463</v>
      </c>
      <c r="BU30" s="326" t="str">
        <f t="shared" si="11"/>
        <v>Tricskovszki</v>
      </c>
      <c r="BV30" s="485">
        <f t="shared" si="68"/>
        <v>503</v>
      </c>
      <c r="BW30" s="326" t="str">
        <f t="shared" si="12"/>
        <v>Sterling</v>
      </c>
      <c r="BX30" s="485">
        <f t="shared" si="69"/>
        <v>543</v>
      </c>
      <c r="BY30" s="326" t="str">
        <f t="shared" si="13"/>
        <v>Sluga</v>
      </c>
      <c r="BZ30" s="485">
        <f t="shared" si="70"/>
        <v>583</v>
      </c>
      <c r="CA30" s="326" t="str">
        <f t="shared" si="14"/>
        <v>Robertson</v>
      </c>
      <c r="CB30" s="485">
        <f t="shared" si="71"/>
        <v>623</v>
      </c>
      <c r="CC30" s="326" t="str">
        <f t="shared" si="15"/>
        <v>Soucek</v>
      </c>
      <c r="CD30" s="485">
        <f t="shared" si="39"/>
        <v>663</v>
      </c>
      <c r="CE30" s="326" t="str">
        <f t="shared" si="72"/>
        <v>Torres P.</v>
      </c>
      <c r="CF30" s="485">
        <f t="shared" si="40"/>
        <v>703</v>
      </c>
      <c r="CG30" s="326" t="str">
        <f t="shared" si="73"/>
        <v>Quaison</v>
      </c>
      <c r="CH30" s="485">
        <f t="shared" si="41"/>
        <v>743</v>
      </c>
      <c r="CI30" s="326" t="str">
        <f t="shared" si="74"/>
        <v>Swiderski</v>
      </c>
      <c r="CJ30" s="485">
        <f t="shared" si="42"/>
        <v>783</v>
      </c>
      <c r="CK30" s="326" t="str">
        <f t="shared" si="75"/>
        <v>Suslov</v>
      </c>
      <c r="CL30" s="485">
        <f t="shared" si="43"/>
        <v>823</v>
      </c>
      <c r="CM30" s="326" t="str">
        <f t="shared" si="76"/>
        <v>Szalai A.</v>
      </c>
      <c r="CN30" s="485">
        <f t="shared" si="44"/>
        <v>863</v>
      </c>
      <c r="CO30" s="326" t="str">
        <f t="shared" si="77"/>
        <v>Semedo R.</v>
      </c>
      <c r="CP30" s="485">
        <f t="shared" si="45"/>
        <v>903</v>
      </c>
      <c r="CQ30" s="326" t="str">
        <f t="shared" si="78"/>
        <v>Thuram</v>
      </c>
      <c r="CR30" s="485">
        <f t="shared" si="46"/>
        <v>943</v>
      </c>
      <c r="CS30" s="326" t="str">
        <f t="shared" si="79"/>
        <v>Süle</v>
      </c>
      <c r="CT30" s="485" t="e">
        <f t="shared" si="47"/>
        <v>#N/A</v>
      </c>
      <c r="CU30" s="326"/>
      <c r="CV30" s="485" t="e">
        <f t="shared" si="48"/>
        <v>#N/A</v>
      </c>
      <c r="CW30" s="326"/>
      <c r="CX30" s="485" t="e">
        <f t="shared" si="49"/>
        <v>#N/A</v>
      </c>
      <c r="CY30" s="326"/>
      <c r="CZ30" s="485" t="e">
        <f t="shared" si="50"/>
        <v>#N/A</v>
      </c>
      <c r="DA30" s="326"/>
      <c r="DB30" s="485" t="e">
        <f t="shared" si="51"/>
        <v>#N/A</v>
      </c>
      <c r="DC30" s="326"/>
      <c r="DD30" s="485" t="e">
        <f t="shared" si="52"/>
        <v>#N/A</v>
      </c>
      <c r="DE30" s="326"/>
      <c r="DF30" s="485" t="e">
        <f t="shared" si="53"/>
        <v>#N/A</v>
      </c>
      <c r="DG30" s="326"/>
      <c r="DH30" s="485" t="e">
        <f t="shared" si="54"/>
        <v>#N/A</v>
      </c>
      <c r="DI30" s="326"/>
      <c r="DJ30" s="485"/>
    </row>
    <row r="31" spans="1:115" ht="12" customHeight="1" x14ac:dyDescent="0.3">
      <c r="A31" s="765"/>
      <c r="C31" s="219"/>
      <c r="D31" s="220"/>
      <c r="E31" s="224"/>
      <c r="F31" s="222"/>
      <c r="G31" s="223"/>
      <c r="H31" s="219"/>
      <c r="J31" s="219"/>
      <c r="K31" s="220"/>
      <c r="L31" s="224"/>
      <c r="M31" s="222"/>
      <c r="N31" s="223"/>
      <c r="O31" s="219"/>
      <c r="V31" s="485" t="s">
        <v>708</v>
      </c>
      <c r="W31" s="411" t="str">
        <f>VLOOKUP(W24,schedule,8,FALSE)</f>
        <v>Dánia</v>
      </c>
      <c r="X31" s="411" t="str">
        <f>VLOOKUP(W24,schedule,9,FALSE)</f>
        <v>Finnország</v>
      </c>
      <c r="Y31" s="411" t="str">
        <f>VLOOKUP(Y24,schedule,8,FALSE)</f>
        <v>Belgium</v>
      </c>
      <c r="Z31" s="491" t="str">
        <f>VLOOKUP(Y24,schedule,9,FALSE)</f>
        <v>Oroszország</v>
      </c>
      <c r="AB31" s="327" t="str">
        <f>IF(C31="öngól",AC23,AB23)</f>
        <v>nevek.05</v>
      </c>
      <c r="AC31" s="327" t="str">
        <f>IF(H31="öngól",AB23,AC23)</f>
        <v>nevek.06</v>
      </c>
      <c r="AD31" s="327" t="str">
        <f>IF(J31="öngól",AE23,AD23)</f>
        <v>nevek.07</v>
      </c>
      <c r="AE31" s="327" t="str">
        <f>IF(O31="öngól",AD23,AE23)</f>
        <v>nevek.08</v>
      </c>
      <c r="AF31" s="325"/>
      <c r="AG31" s="485">
        <v>8</v>
      </c>
      <c r="AH31" s="488" t="b">
        <f ca="1">AND(W26,X27,D31="",AG31&lt;=W32)</f>
        <v>0</v>
      </c>
      <c r="AI31" s="488" t="b">
        <f ca="1">AND(W26,X27,E31="",AG31&lt;=W32)</f>
        <v>0</v>
      </c>
      <c r="AJ31" s="488" t="b">
        <f ca="1">AND(W26,X27,F31="",AG31&lt;=X32)</f>
        <v>0</v>
      </c>
      <c r="AK31" s="488" t="b">
        <f ca="1">AND(W26,X27,G31="",AG31&lt;=X32)</f>
        <v>0</v>
      </c>
      <c r="AL31" s="488" t="b">
        <f ca="1">AND(Y26,Z27,K31="",AG31&lt;=Y32)</f>
        <v>0</v>
      </c>
      <c r="AM31" s="488" t="b">
        <f ca="1">AND(Y26,Z27,L31="",AG31&lt;=Y32)</f>
        <v>0</v>
      </c>
      <c r="AN31" s="488" t="b">
        <f ca="1">AND(Y26,Z27,M31="",AG31&lt;=Z32)</f>
        <v>0</v>
      </c>
      <c r="AO31" s="488" t="b">
        <f ca="1">AND(Y26,Z27,N31="",AG31&lt;=Z32)</f>
        <v>0</v>
      </c>
      <c r="AQ31" s="326" t="str">
        <f>IF(OR(NOT(Góllista!$E$6),D31=""),"",IF(C31="öngól","ö"&amp;G23&amp;D31,D23&amp;D31))</f>
        <v/>
      </c>
      <c r="AR31" s="326" t="str">
        <f>IF(OR(NOT(Góllista!$E$6),G31=""),"",IF(H31="öngól","ö"&amp;D23&amp;G31,G23&amp;G31))</f>
        <v/>
      </c>
      <c r="AS31" s="326" t="str">
        <f>IF(OR(NOT(Góllista!$E$6),K31=""),"",IF(J31="öngól","ö"&amp;N23&amp;K31,K23&amp;K31))</f>
        <v/>
      </c>
      <c r="AT31" s="326" t="str">
        <f>IF(OR(NOT(Góllista!$E$6),N31=""),"",IF(O31="öngól","ö"&amp;K23&amp;N31,N23&amp;N31))</f>
        <v/>
      </c>
      <c r="AW31" s="485"/>
      <c r="AX31" s="485">
        <f t="shared" si="56"/>
        <v>24</v>
      </c>
      <c r="AY31" s="326" t="str">
        <f t="shared" si="0"/>
        <v>Yilmaz B.</v>
      </c>
      <c r="AZ31" s="485">
        <f t="shared" si="57"/>
        <v>64</v>
      </c>
      <c r="BA31" s="326" t="str">
        <f t="shared" si="1"/>
        <v>Spinazzola</v>
      </c>
      <c r="BB31" s="485">
        <f t="shared" si="58"/>
        <v>104</v>
      </c>
      <c r="BC31" s="326" t="str">
        <f t="shared" si="2"/>
        <v>Williams J.</v>
      </c>
      <c r="BD31" s="485">
        <f t="shared" si="59"/>
        <v>144</v>
      </c>
      <c r="BE31" s="326" t="str">
        <f t="shared" si="3"/>
        <v>Xhaka</v>
      </c>
      <c r="BF31" s="485">
        <f t="shared" si="60"/>
        <v>184</v>
      </c>
      <c r="BG31" s="326" t="str">
        <f t="shared" si="4"/>
        <v>Vestergaard</v>
      </c>
      <c r="BH31" s="485">
        <f t="shared" si="61"/>
        <v>224</v>
      </c>
      <c r="BI31" s="326" t="str">
        <f t="shared" si="5"/>
        <v>Uronen</v>
      </c>
      <c r="BJ31" s="485">
        <f t="shared" si="62"/>
        <v>264</v>
      </c>
      <c r="BK31" s="326" t="str">
        <f t="shared" si="6"/>
        <v>Vermaelen</v>
      </c>
      <c r="BL31" s="485">
        <f t="shared" si="63"/>
        <v>304</v>
      </c>
      <c r="BM31" s="326" t="str">
        <f t="shared" si="7"/>
        <v>Zobnyin</v>
      </c>
      <c r="BN31" s="485">
        <f t="shared" si="64"/>
        <v>344</v>
      </c>
      <c r="BO31" s="326" t="str">
        <f t="shared" si="8"/>
        <v>Weghorst</v>
      </c>
      <c r="BP31" s="485">
        <f t="shared" si="65"/>
        <v>384</v>
      </c>
      <c r="BQ31" s="326" t="str">
        <f t="shared" si="9"/>
        <v>Zabarnij</v>
      </c>
      <c r="BR31" s="485">
        <f t="shared" si="66"/>
        <v>424</v>
      </c>
      <c r="BS31" s="326" t="str">
        <f t="shared" si="10"/>
        <v>Schöpf</v>
      </c>
      <c r="BT31" s="485">
        <f t="shared" si="67"/>
        <v>464</v>
      </c>
      <c r="BU31" s="326" t="str">
        <f t="shared" si="11"/>
        <v>Velkovszki D.</v>
      </c>
      <c r="BV31" s="485">
        <f t="shared" si="68"/>
        <v>504</v>
      </c>
      <c r="BW31" s="326" t="str">
        <f t="shared" si="12"/>
        <v>Stones</v>
      </c>
      <c r="BX31" s="485">
        <f t="shared" si="69"/>
        <v>544</v>
      </c>
      <c r="BY31" s="326" t="str">
        <f t="shared" si="13"/>
        <v>Vida</v>
      </c>
      <c r="BZ31" s="485">
        <f t="shared" si="70"/>
        <v>584</v>
      </c>
      <c r="CA31" s="326" t="str">
        <f t="shared" si="14"/>
        <v>Taylor</v>
      </c>
      <c r="CB31" s="485">
        <f t="shared" si="71"/>
        <v>624</v>
      </c>
      <c r="CC31" s="326" t="str">
        <f t="shared" si="15"/>
        <v>Vaclík</v>
      </c>
      <c r="CD31" s="485">
        <f t="shared" si="39"/>
        <v>664</v>
      </c>
      <c r="CE31" s="326" t="str">
        <f t="shared" si="72"/>
        <v>Traoré</v>
      </c>
      <c r="CF31" s="485">
        <f t="shared" si="40"/>
        <v>704</v>
      </c>
      <c r="CG31" s="326" t="str">
        <f t="shared" si="73"/>
        <v>Sema</v>
      </c>
      <c r="CH31" s="485">
        <f t="shared" si="41"/>
        <v>744</v>
      </c>
      <c r="CI31" s="326" t="str">
        <f t="shared" si="74"/>
        <v>Swierczok</v>
      </c>
      <c r="CJ31" s="485">
        <f t="shared" si="42"/>
        <v>784</v>
      </c>
      <c r="CK31" s="326" t="str">
        <f t="shared" si="75"/>
        <v>Valjent</v>
      </c>
      <c r="CL31" s="485">
        <f t="shared" si="43"/>
        <v>824</v>
      </c>
      <c r="CM31" s="326" t="str">
        <f t="shared" si="76"/>
        <v>Szalai Á.</v>
      </c>
      <c r="CN31" s="485">
        <f t="shared" si="44"/>
        <v>864</v>
      </c>
      <c r="CO31" s="326" t="str">
        <f t="shared" si="77"/>
        <v>Silva A.</v>
      </c>
      <c r="CP31" s="485">
        <f t="shared" si="45"/>
        <v>904</v>
      </c>
      <c r="CQ31" s="326" t="str">
        <f t="shared" si="78"/>
        <v>Tolisso</v>
      </c>
      <c r="CR31" s="485">
        <f t="shared" si="46"/>
        <v>944</v>
      </c>
      <c r="CS31" s="326" t="str">
        <f t="shared" si="79"/>
        <v>Trapp</v>
      </c>
      <c r="CT31" s="485" t="e">
        <f t="shared" si="47"/>
        <v>#N/A</v>
      </c>
      <c r="CU31" s="326"/>
      <c r="CV31" s="485" t="e">
        <f t="shared" si="48"/>
        <v>#N/A</v>
      </c>
      <c r="CW31" s="326"/>
      <c r="CX31" s="485" t="e">
        <f t="shared" si="49"/>
        <v>#N/A</v>
      </c>
      <c r="CY31" s="326"/>
      <c r="CZ31" s="485" t="e">
        <f t="shared" si="50"/>
        <v>#N/A</v>
      </c>
      <c r="DA31" s="326"/>
      <c r="DB31" s="485" t="e">
        <f t="shared" si="51"/>
        <v>#N/A</v>
      </c>
      <c r="DC31" s="326"/>
      <c r="DD31" s="485" t="e">
        <f t="shared" si="52"/>
        <v>#N/A</v>
      </c>
      <c r="DE31" s="326"/>
      <c r="DF31" s="485" t="e">
        <f t="shared" si="53"/>
        <v>#N/A</v>
      </c>
      <c r="DG31" s="326"/>
      <c r="DH31" s="485" t="e">
        <f t="shared" si="54"/>
        <v>#N/A</v>
      </c>
      <c r="DI31" s="326"/>
      <c r="DJ31" s="485"/>
    </row>
    <row r="32" spans="1:115" ht="12" customHeight="1" x14ac:dyDescent="0.3">
      <c r="A32" s="765"/>
      <c r="C32" s="219"/>
      <c r="D32" s="220"/>
      <c r="E32" s="225"/>
      <c r="F32" s="222"/>
      <c r="G32" s="223"/>
      <c r="H32" s="219"/>
      <c r="J32" s="219"/>
      <c r="K32" s="220"/>
      <c r="L32" s="225"/>
      <c r="M32" s="222"/>
      <c r="N32" s="223"/>
      <c r="O32" s="219"/>
      <c r="V32" s="485" t="s">
        <v>709</v>
      </c>
      <c r="W32" s="492" t="str">
        <f>INDEX(n.er,W25,9)</f>
        <v/>
      </c>
      <c r="X32" s="493" t="str">
        <f>INDEX(n.er,W25,10)</f>
        <v/>
      </c>
      <c r="Y32" s="492" t="str">
        <f>INDEX(n.er,Y25,9)</f>
        <v/>
      </c>
      <c r="Z32" s="493" t="str">
        <f>INDEX(n.er,Y25,10)</f>
        <v/>
      </c>
      <c r="AB32" s="327" t="str">
        <f>IF(C32="öngól",AC23,AB23)</f>
        <v>nevek.05</v>
      </c>
      <c r="AC32" s="327" t="str">
        <f>IF(H32="öngól",AB23,AC23)</f>
        <v>nevek.06</v>
      </c>
      <c r="AD32" s="327" t="str">
        <f>IF(J32="öngól",AE23,AD23)</f>
        <v>nevek.07</v>
      </c>
      <c r="AE32" s="327" t="str">
        <f>IF(O32="öngól",AD23,AE23)</f>
        <v>nevek.08</v>
      </c>
      <c r="AF32" s="325"/>
      <c r="AG32" s="485">
        <v>9</v>
      </c>
      <c r="AH32" s="488" t="b">
        <f ca="1">AND(W26,X27,D32="",AG32&lt;=W32)</f>
        <v>0</v>
      </c>
      <c r="AI32" s="488" t="b">
        <f ca="1">AND(W26,X27,E32="",AG32&lt;=W32)</f>
        <v>0</v>
      </c>
      <c r="AJ32" s="488" t="b">
        <f ca="1">AND(W26,X27,F32="",AG32&lt;=X32)</f>
        <v>0</v>
      </c>
      <c r="AK32" s="488" t="b">
        <f ca="1">AND(W26,X27,G32="",AG32&lt;=X32)</f>
        <v>0</v>
      </c>
      <c r="AL32" s="488" t="b">
        <f ca="1">AND(Y26,Z27,K32="",AG32&lt;=Y32)</f>
        <v>0</v>
      </c>
      <c r="AM32" s="488" t="b">
        <f ca="1">AND(Y26,Z27,L32="",AG32&lt;=Y32)</f>
        <v>0</v>
      </c>
      <c r="AN32" s="488" t="b">
        <f ca="1">AND(Y26,Z27,M32="",AG32&lt;=Z32)</f>
        <v>0</v>
      </c>
      <c r="AO32" s="488" t="b">
        <f ca="1">AND(Y26,Z27,N32="",AG32&lt;=Z32)</f>
        <v>0</v>
      </c>
      <c r="AQ32" s="326" t="str">
        <f>IF(OR(NOT(Góllista!$E$6),D32=""),"",IF(C32="öngól","ö"&amp;G23&amp;D32,D23&amp;D32))</f>
        <v/>
      </c>
      <c r="AR32" s="326" t="str">
        <f>IF(OR(NOT(Góllista!$E$6),G32=""),"",IF(H32="öngól","ö"&amp;D23&amp;G32,G23&amp;G32))</f>
        <v/>
      </c>
      <c r="AS32" s="326" t="str">
        <f>IF(OR(NOT(Góllista!$E$6),K32=""),"",IF(J32="öngól","ö"&amp;N23&amp;K32,K23&amp;K32))</f>
        <v/>
      </c>
      <c r="AT32" s="326" t="str">
        <f>IF(OR(NOT(Góllista!$E$6),N32=""),"",IF(O32="öngól","ö"&amp;K23&amp;N32,N23&amp;N32))</f>
        <v/>
      </c>
      <c r="AW32" s="485"/>
      <c r="AX32" s="485">
        <f t="shared" si="56"/>
        <v>25</v>
      </c>
      <c r="AY32" s="326" t="str">
        <f t="shared" si="0"/>
        <v>Yilmaz R.</v>
      </c>
      <c r="AZ32" s="485">
        <f t="shared" si="57"/>
        <v>65</v>
      </c>
      <c r="BA32" s="326" t="str">
        <f t="shared" si="1"/>
        <v>Tolói</v>
      </c>
      <c r="BB32" s="485">
        <f t="shared" si="58"/>
        <v>105</v>
      </c>
      <c r="BC32" s="326" t="str">
        <f t="shared" si="2"/>
        <v>Williams N.</v>
      </c>
      <c r="BD32" s="485">
        <f t="shared" si="59"/>
        <v>145</v>
      </c>
      <c r="BE32" s="326" t="str">
        <f t="shared" si="3"/>
        <v>Zakaria</v>
      </c>
      <c r="BF32" s="485">
        <f t="shared" si="60"/>
        <v>185</v>
      </c>
      <c r="BG32" s="326" t="str">
        <f t="shared" si="4"/>
        <v>Wass</v>
      </c>
      <c r="BH32" s="485">
        <f t="shared" si="61"/>
        <v>225</v>
      </c>
      <c r="BI32" s="326" t="str">
        <f t="shared" si="5"/>
        <v>Väisänen</v>
      </c>
      <c r="BJ32" s="485">
        <f t="shared" si="62"/>
        <v>265</v>
      </c>
      <c r="BK32" s="326" t="str">
        <f t="shared" si="6"/>
        <v>Vertonghen</v>
      </c>
      <c r="BL32" s="485">
        <f t="shared" si="63"/>
        <v>305</v>
      </c>
      <c r="BM32" s="326" t="str">
        <f t="shared" si="7"/>
        <v>Zsemaletdinov</v>
      </c>
      <c r="BN32" s="485">
        <f t="shared" si="64"/>
        <v>345</v>
      </c>
      <c r="BO32" s="326" t="str">
        <f t="shared" si="8"/>
        <v>Wijnaldum</v>
      </c>
      <c r="BP32" s="485">
        <f t="shared" si="65"/>
        <v>385</v>
      </c>
      <c r="BQ32" s="326" t="str">
        <f t="shared" si="9"/>
        <v>Zincsenko</v>
      </c>
      <c r="BR32" s="485">
        <f t="shared" si="66"/>
        <v>425</v>
      </c>
      <c r="BS32" s="326" t="str">
        <f t="shared" si="10"/>
        <v>Trimmel</v>
      </c>
      <c r="BT32" s="485">
        <f t="shared" si="67"/>
        <v>465</v>
      </c>
      <c r="BU32" s="326" t="str">
        <f t="shared" si="11"/>
        <v>Velkovszki K.</v>
      </c>
      <c r="BV32" s="485">
        <f t="shared" si="68"/>
        <v>505</v>
      </c>
      <c r="BW32" s="326" t="str">
        <f t="shared" si="12"/>
        <v>Trippier</v>
      </c>
      <c r="BX32" s="485">
        <f t="shared" si="69"/>
        <v>545</v>
      </c>
      <c r="BY32" s="326" t="str">
        <f t="shared" si="13"/>
        <v>Vlasic</v>
      </c>
      <c r="BZ32" s="485">
        <f t="shared" si="70"/>
        <v>585</v>
      </c>
      <c r="CA32" s="326" t="str">
        <f t="shared" si="14"/>
        <v>Tierney</v>
      </c>
      <c r="CB32" s="485">
        <f t="shared" si="71"/>
        <v>625</v>
      </c>
      <c r="CC32" s="326" t="str">
        <f t="shared" si="15"/>
        <v>Vydra</v>
      </c>
      <c r="CD32" s="485">
        <f t="shared" si="39"/>
        <v>665</v>
      </c>
      <c r="CE32" s="326" t="str">
        <f t="shared" si="72"/>
        <v/>
      </c>
      <c r="CF32" s="485">
        <f t="shared" si="40"/>
        <v>705</v>
      </c>
      <c r="CG32" s="326" t="str">
        <f t="shared" si="73"/>
        <v>Svanberg</v>
      </c>
      <c r="CH32" s="485">
        <f t="shared" si="41"/>
        <v>745</v>
      </c>
      <c r="CI32" s="326" t="str">
        <f t="shared" si="74"/>
        <v>Szczesny</v>
      </c>
      <c r="CJ32" s="485">
        <f t="shared" si="42"/>
        <v>785</v>
      </c>
      <c r="CK32" s="326" t="str">
        <f t="shared" si="75"/>
        <v>Vavro</v>
      </c>
      <c r="CL32" s="485">
        <f t="shared" si="43"/>
        <v>825</v>
      </c>
      <c r="CM32" s="326" t="str">
        <f t="shared" si="76"/>
        <v>Varga K.</v>
      </c>
      <c r="CN32" s="485">
        <f t="shared" si="44"/>
        <v>865</v>
      </c>
      <c r="CO32" s="326" t="str">
        <f t="shared" si="77"/>
        <v>Silva B.</v>
      </c>
      <c r="CP32" s="485">
        <f t="shared" si="45"/>
        <v>905</v>
      </c>
      <c r="CQ32" s="326" t="str">
        <f t="shared" si="78"/>
        <v>Varane</v>
      </c>
      <c r="CR32" s="485">
        <f t="shared" si="46"/>
        <v>945</v>
      </c>
      <c r="CS32" s="326" t="str">
        <f t="shared" si="79"/>
        <v>Volland</v>
      </c>
      <c r="CT32" s="485" t="e">
        <f t="shared" si="47"/>
        <v>#N/A</v>
      </c>
      <c r="CU32" s="326"/>
      <c r="CV32" s="485" t="e">
        <f t="shared" si="48"/>
        <v>#N/A</v>
      </c>
      <c r="CW32" s="326"/>
      <c r="CX32" s="485" t="e">
        <f t="shared" si="49"/>
        <v>#N/A</v>
      </c>
      <c r="CY32" s="326"/>
      <c r="CZ32" s="485" t="e">
        <f t="shared" si="50"/>
        <v>#N/A</v>
      </c>
      <c r="DA32" s="326"/>
      <c r="DB32" s="485" t="e">
        <f t="shared" si="51"/>
        <v>#N/A</v>
      </c>
      <c r="DC32" s="326"/>
      <c r="DD32" s="485" t="e">
        <f t="shared" si="52"/>
        <v>#N/A</v>
      </c>
      <c r="DE32" s="326"/>
      <c r="DF32" s="485" t="e">
        <f t="shared" si="53"/>
        <v>#N/A</v>
      </c>
      <c r="DG32" s="326"/>
      <c r="DH32" s="485" t="e">
        <f t="shared" si="54"/>
        <v>#N/A</v>
      </c>
      <c r="DI32" s="326"/>
      <c r="DJ32" s="485"/>
    </row>
    <row r="33" spans="1:115" ht="12" customHeight="1" x14ac:dyDescent="0.3">
      <c r="A33" s="765"/>
      <c r="C33" s="768"/>
      <c r="D33" s="768"/>
      <c r="E33" s="768"/>
      <c r="F33" s="768"/>
      <c r="G33" s="768"/>
      <c r="H33" s="768"/>
      <c r="J33" s="768"/>
      <c r="K33" s="768"/>
      <c r="L33" s="768"/>
      <c r="M33" s="768"/>
      <c r="N33" s="768"/>
      <c r="O33" s="768"/>
      <c r="AW33" s="485"/>
      <c r="AX33" s="485">
        <f t="shared" si="56"/>
        <v>26</v>
      </c>
      <c r="AY33" s="326" t="str">
        <f t="shared" si="0"/>
        <v>Yokuslu</v>
      </c>
      <c r="AZ33" s="485">
        <f t="shared" si="57"/>
        <v>66</v>
      </c>
      <c r="BA33" s="326" t="str">
        <f t="shared" si="1"/>
        <v>Verratti</v>
      </c>
      <c r="BB33" s="485">
        <f t="shared" si="58"/>
        <v>106</v>
      </c>
      <c r="BC33" s="326" t="str">
        <f t="shared" si="2"/>
        <v>Wilson</v>
      </c>
      <c r="BD33" s="485">
        <f t="shared" si="59"/>
        <v>146</v>
      </c>
      <c r="BE33" s="326" t="str">
        <f t="shared" si="3"/>
        <v>Zuber</v>
      </c>
      <c r="BF33" s="485">
        <f t="shared" si="60"/>
        <v>186</v>
      </c>
      <c r="BG33" s="326" t="str">
        <f t="shared" si="4"/>
        <v>Wind</v>
      </c>
      <c r="BH33" s="485">
        <f t="shared" si="61"/>
        <v>226</v>
      </c>
      <c r="BI33" s="326" t="str">
        <f t="shared" si="5"/>
        <v>Valakari</v>
      </c>
      <c r="BJ33" s="485">
        <f t="shared" si="62"/>
        <v>266</v>
      </c>
      <c r="BK33" s="326" t="str">
        <f t="shared" si="6"/>
        <v>Witsel</v>
      </c>
      <c r="BL33" s="485">
        <f t="shared" si="63"/>
        <v>306</v>
      </c>
      <c r="BM33" s="326" t="str">
        <f t="shared" si="7"/>
        <v>Zsirkov</v>
      </c>
      <c r="BN33" s="485">
        <f t="shared" si="64"/>
        <v>346</v>
      </c>
      <c r="BO33" s="326" t="str">
        <f t="shared" si="8"/>
        <v>Wijndal</v>
      </c>
      <c r="BP33" s="485">
        <f t="shared" si="65"/>
        <v>386</v>
      </c>
      <c r="BQ33" s="326" t="str">
        <f t="shared" si="9"/>
        <v>Zubkov</v>
      </c>
      <c r="BR33" s="485">
        <f t="shared" si="66"/>
        <v>426</v>
      </c>
      <c r="BS33" s="326" t="str">
        <f t="shared" si="10"/>
        <v>Ulmer</v>
      </c>
      <c r="BT33" s="485">
        <f t="shared" si="67"/>
        <v>466</v>
      </c>
      <c r="BU33" s="326" t="str">
        <f t="shared" si="11"/>
        <v>Zajkov</v>
      </c>
      <c r="BV33" s="485">
        <f t="shared" si="68"/>
        <v>506</v>
      </c>
      <c r="BW33" s="326" t="str">
        <f t="shared" si="12"/>
        <v>Walker</v>
      </c>
      <c r="BX33" s="485">
        <f t="shared" si="69"/>
        <v>546</v>
      </c>
      <c r="BY33" s="326" t="str">
        <f t="shared" si="13"/>
        <v>Vrsaljko</v>
      </c>
      <c r="BZ33" s="485">
        <f t="shared" si="70"/>
        <v>586</v>
      </c>
      <c r="CA33" s="326" t="str">
        <f t="shared" si="14"/>
        <v>Turnbull</v>
      </c>
      <c r="CB33" s="485">
        <f t="shared" si="71"/>
        <v>626</v>
      </c>
      <c r="CC33" s="326" t="str">
        <f t="shared" si="15"/>
        <v>Zima</v>
      </c>
      <c r="CD33" s="485">
        <f t="shared" si="39"/>
        <v>666</v>
      </c>
      <c r="CE33" s="326" t="str">
        <f t="shared" si="72"/>
        <v/>
      </c>
      <c r="CF33" s="485">
        <f t="shared" si="40"/>
        <v>706</v>
      </c>
      <c r="CG33" s="326" t="str">
        <f t="shared" si="73"/>
        <v>Svensson</v>
      </c>
      <c r="CH33" s="485">
        <f t="shared" si="41"/>
        <v>746</v>
      </c>
      <c r="CI33" s="326" t="str">
        <f t="shared" si="74"/>
        <v>Zielinski</v>
      </c>
      <c r="CJ33" s="485">
        <f t="shared" si="42"/>
        <v>786</v>
      </c>
      <c r="CK33" s="326" t="str">
        <f t="shared" si="75"/>
        <v>Weiss</v>
      </c>
      <c r="CL33" s="485">
        <f t="shared" si="43"/>
        <v>826</v>
      </c>
      <c r="CM33" s="326" t="str">
        <f t="shared" si="76"/>
        <v>Varga R.</v>
      </c>
      <c r="CN33" s="485">
        <f t="shared" si="44"/>
        <v>866</v>
      </c>
      <c r="CO33" s="326" t="str">
        <f t="shared" si="77"/>
        <v>Silva R.</v>
      </c>
      <c r="CP33" s="485">
        <f t="shared" si="45"/>
        <v>906</v>
      </c>
      <c r="CQ33" s="326" t="str">
        <f t="shared" si="78"/>
        <v>Zouma</v>
      </c>
      <c r="CR33" s="485">
        <f t="shared" si="46"/>
        <v>946</v>
      </c>
      <c r="CS33" s="326" t="str">
        <f t="shared" si="79"/>
        <v>Werner</v>
      </c>
      <c r="CT33" s="485" t="e">
        <f t="shared" si="47"/>
        <v>#N/A</v>
      </c>
      <c r="CU33" s="326"/>
      <c r="CV33" s="485" t="e">
        <f t="shared" si="48"/>
        <v>#N/A</v>
      </c>
      <c r="CW33" s="326"/>
      <c r="CX33" s="485" t="e">
        <f t="shared" si="49"/>
        <v>#N/A</v>
      </c>
      <c r="CY33" s="326"/>
      <c r="CZ33" s="485" t="e">
        <f t="shared" si="50"/>
        <v>#N/A</v>
      </c>
      <c r="DA33" s="326"/>
      <c r="DB33" s="485" t="e">
        <f t="shared" si="51"/>
        <v>#N/A</v>
      </c>
      <c r="DC33" s="326"/>
      <c r="DD33" s="485" t="e">
        <f t="shared" si="52"/>
        <v>#N/A</v>
      </c>
      <c r="DE33" s="326"/>
      <c r="DF33" s="485" t="e">
        <f t="shared" si="53"/>
        <v>#N/A</v>
      </c>
      <c r="DG33" s="326"/>
      <c r="DH33" s="485" t="e">
        <f t="shared" si="54"/>
        <v>#N/A</v>
      </c>
      <c r="DI33" s="326"/>
      <c r="DJ33" s="485"/>
    </row>
    <row r="34" spans="1:115" ht="12" customHeight="1" x14ac:dyDescent="0.3">
      <c r="A34" s="765"/>
      <c r="C34" s="767"/>
      <c r="D34" s="767"/>
      <c r="E34" s="767"/>
      <c r="F34" s="767"/>
      <c r="G34" s="767"/>
      <c r="H34" s="767"/>
      <c r="J34" s="767"/>
      <c r="K34" s="767"/>
      <c r="L34" s="767"/>
      <c r="M34" s="767"/>
      <c r="N34" s="767"/>
      <c r="O34" s="767"/>
      <c r="AW34" s="485"/>
      <c r="AX34" s="485">
        <f t="shared" si="56"/>
        <v>27</v>
      </c>
      <c r="AY34" s="326" t="str">
        <f t="shared" si="0"/>
        <v/>
      </c>
      <c r="AZ34" s="485">
        <f t="shared" si="57"/>
        <v>67</v>
      </c>
      <c r="BA34" s="326" t="str">
        <f t="shared" si="1"/>
        <v/>
      </c>
      <c r="BB34" s="485">
        <f t="shared" si="58"/>
        <v>107</v>
      </c>
      <c r="BC34" s="326" t="str">
        <f t="shared" si="2"/>
        <v/>
      </c>
      <c r="BD34" s="485">
        <f t="shared" si="59"/>
        <v>147</v>
      </c>
      <c r="BE34" s="326" t="str">
        <f t="shared" si="3"/>
        <v/>
      </c>
      <c r="BF34" s="485">
        <f t="shared" si="60"/>
        <v>187</v>
      </c>
      <c r="BG34" s="326" t="str">
        <f t="shared" si="4"/>
        <v/>
      </c>
      <c r="BH34" s="485">
        <f t="shared" si="61"/>
        <v>227</v>
      </c>
      <c r="BI34" s="326" t="str">
        <f t="shared" si="5"/>
        <v/>
      </c>
      <c r="BJ34" s="485">
        <f t="shared" si="62"/>
        <v>267</v>
      </c>
      <c r="BK34" s="326" t="str">
        <f t="shared" si="6"/>
        <v/>
      </c>
      <c r="BL34" s="485">
        <f t="shared" si="63"/>
        <v>307</v>
      </c>
      <c r="BM34" s="326" t="str">
        <f t="shared" si="7"/>
        <v/>
      </c>
      <c r="BN34" s="485">
        <f t="shared" si="64"/>
        <v>347</v>
      </c>
      <c r="BO34" s="326" t="str">
        <f t="shared" si="8"/>
        <v/>
      </c>
      <c r="BP34" s="485">
        <f t="shared" si="65"/>
        <v>387</v>
      </c>
      <c r="BQ34" s="326" t="str">
        <f t="shared" si="9"/>
        <v/>
      </c>
      <c r="BR34" s="485">
        <f t="shared" si="66"/>
        <v>427</v>
      </c>
      <c r="BS34" s="326" t="str">
        <f t="shared" si="10"/>
        <v/>
      </c>
      <c r="BT34" s="485">
        <f t="shared" si="67"/>
        <v>467</v>
      </c>
      <c r="BU34" s="326" t="str">
        <f t="shared" si="11"/>
        <v/>
      </c>
      <c r="BV34" s="485">
        <f t="shared" si="68"/>
        <v>507</v>
      </c>
      <c r="BW34" s="326" t="str">
        <f t="shared" si="12"/>
        <v/>
      </c>
      <c r="BX34" s="485">
        <f t="shared" si="69"/>
        <v>547</v>
      </c>
      <c r="BY34" s="326" t="str">
        <f t="shared" si="13"/>
        <v/>
      </c>
      <c r="BZ34" s="485">
        <f t="shared" si="70"/>
        <v>587</v>
      </c>
      <c r="CA34" s="326" t="str">
        <f t="shared" si="14"/>
        <v/>
      </c>
      <c r="CB34" s="485">
        <f t="shared" si="71"/>
        <v>627</v>
      </c>
      <c r="CC34" s="326" t="str">
        <f t="shared" si="15"/>
        <v/>
      </c>
      <c r="CD34" s="485">
        <f t="shared" si="39"/>
        <v>667</v>
      </c>
      <c r="CE34" s="326" t="str">
        <f t="shared" si="72"/>
        <v/>
      </c>
      <c r="CF34" s="485">
        <f t="shared" si="40"/>
        <v>707</v>
      </c>
      <c r="CG34" s="326" t="str">
        <f t="shared" si="73"/>
        <v/>
      </c>
      <c r="CH34" s="485">
        <f t="shared" si="41"/>
        <v>747</v>
      </c>
      <c r="CI34" s="326" t="str">
        <f t="shared" si="74"/>
        <v/>
      </c>
      <c r="CJ34" s="485">
        <f t="shared" si="42"/>
        <v>787</v>
      </c>
      <c r="CK34" s="326" t="str">
        <f t="shared" si="75"/>
        <v/>
      </c>
      <c r="CL34" s="485">
        <f t="shared" si="43"/>
        <v>827</v>
      </c>
      <c r="CM34" s="326" t="str">
        <f t="shared" si="76"/>
        <v/>
      </c>
      <c r="CN34" s="485">
        <f t="shared" si="44"/>
        <v>867</v>
      </c>
      <c r="CO34" s="326" t="str">
        <f t="shared" si="77"/>
        <v/>
      </c>
      <c r="CP34" s="485">
        <f t="shared" si="45"/>
        <v>907</v>
      </c>
      <c r="CQ34" s="326" t="str">
        <f t="shared" si="78"/>
        <v/>
      </c>
      <c r="CR34" s="485">
        <f t="shared" si="46"/>
        <v>947</v>
      </c>
      <c r="CS34" s="326" t="str">
        <f t="shared" si="79"/>
        <v/>
      </c>
      <c r="CT34" s="485" t="e">
        <f t="shared" si="47"/>
        <v>#N/A</v>
      </c>
      <c r="CU34" s="326"/>
      <c r="CV34" s="485" t="e">
        <f t="shared" si="48"/>
        <v>#N/A</v>
      </c>
      <c r="CW34" s="326"/>
      <c r="CX34" s="485" t="e">
        <f t="shared" si="49"/>
        <v>#N/A</v>
      </c>
      <c r="CY34" s="326"/>
      <c r="CZ34" s="485" t="e">
        <f t="shared" si="50"/>
        <v>#N/A</v>
      </c>
      <c r="DA34" s="326"/>
      <c r="DB34" s="485" t="e">
        <f t="shared" si="51"/>
        <v>#N/A</v>
      </c>
      <c r="DC34" s="326"/>
      <c r="DD34" s="485" t="e">
        <f t="shared" si="52"/>
        <v>#N/A</v>
      </c>
      <c r="DE34" s="326"/>
      <c r="DF34" s="485" t="e">
        <f t="shared" si="53"/>
        <v>#N/A</v>
      </c>
      <c r="DG34" s="326"/>
      <c r="DH34" s="485" t="e">
        <f t="shared" si="54"/>
        <v>#N/A</v>
      </c>
      <c r="DI34" s="326"/>
      <c r="DJ34" s="485"/>
    </row>
    <row r="35" spans="1:115" ht="12" customHeight="1" x14ac:dyDescent="0.3">
      <c r="A35" s="765"/>
      <c r="C35" s="767"/>
      <c r="D35" s="767"/>
      <c r="E35" s="767"/>
      <c r="F35" s="767"/>
      <c r="G35" s="767"/>
      <c r="H35" s="767"/>
      <c r="J35" s="767"/>
      <c r="K35" s="767"/>
      <c r="L35" s="767"/>
      <c r="M35" s="767"/>
      <c r="N35" s="767"/>
      <c r="O35" s="767"/>
      <c r="AW35" s="485"/>
      <c r="AX35" s="485">
        <f t="shared" si="56"/>
        <v>28</v>
      </c>
      <c r="AY35" s="326" t="str">
        <f t="shared" si="0"/>
        <v/>
      </c>
      <c r="AZ35" s="485">
        <f t="shared" si="57"/>
        <v>68</v>
      </c>
      <c r="BA35" s="326" t="str">
        <f t="shared" si="1"/>
        <v/>
      </c>
      <c r="BB35" s="485">
        <f t="shared" si="58"/>
        <v>108</v>
      </c>
      <c r="BC35" s="326" t="str">
        <f t="shared" si="2"/>
        <v/>
      </c>
      <c r="BD35" s="485">
        <f t="shared" si="59"/>
        <v>148</v>
      </c>
      <c r="BE35" s="326" t="str">
        <f t="shared" si="3"/>
        <v/>
      </c>
      <c r="BF35" s="485">
        <f t="shared" si="60"/>
        <v>188</v>
      </c>
      <c r="BG35" s="326" t="str">
        <f t="shared" si="4"/>
        <v/>
      </c>
      <c r="BH35" s="485">
        <f t="shared" si="61"/>
        <v>228</v>
      </c>
      <c r="BI35" s="326" t="str">
        <f t="shared" si="5"/>
        <v/>
      </c>
      <c r="BJ35" s="485">
        <f t="shared" si="62"/>
        <v>268</v>
      </c>
      <c r="BK35" s="326" t="str">
        <f t="shared" si="6"/>
        <v/>
      </c>
      <c r="BL35" s="485">
        <f t="shared" si="63"/>
        <v>308</v>
      </c>
      <c r="BM35" s="326" t="str">
        <f t="shared" si="7"/>
        <v/>
      </c>
      <c r="BN35" s="485">
        <f t="shared" si="64"/>
        <v>348</v>
      </c>
      <c r="BO35" s="326" t="str">
        <f t="shared" si="8"/>
        <v/>
      </c>
      <c r="BP35" s="485">
        <f t="shared" si="65"/>
        <v>388</v>
      </c>
      <c r="BQ35" s="326" t="str">
        <f t="shared" si="9"/>
        <v/>
      </c>
      <c r="BR35" s="485">
        <f t="shared" si="66"/>
        <v>428</v>
      </c>
      <c r="BS35" s="326" t="str">
        <f t="shared" si="10"/>
        <v/>
      </c>
      <c r="BT35" s="485">
        <f t="shared" si="67"/>
        <v>468</v>
      </c>
      <c r="BU35" s="326" t="str">
        <f t="shared" si="11"/>
        <v/>
      </c>
      <c r="BV35" s="485">
        <f t="shared" si="68"/>
        <v>508</v>
      </c>
      <c r="BW35" s="326" t="str">
        <f t="shared" si="12"/>
        <v/>
      </c>
      <c r="BX35" s="485">
        <f t="shared" si="69"/>
        <v>548</v>
      </c>
      <c r="BY35" s="326" t="str">
        <f t="shared" si="13"/>
        <v/>
      </c>
      <c r="BZ35" s="485">
        <f t="shared" si="70"/>
        <v>588</v>
      </c>
      <c r="CA35" s="326" t="str">
        <f t="shared" si="14"/>
        <v/>
      </c>
      <c r="CB35" s="485">
        <f t="shared" si="71"/>
        <v>628</v>
      </c>
      <c r="CC35" s="326" t="str">
        <f t="shared" si="15"/>
        <v/>
      </c>
      <c r="CD35" s="485">
        <f t="shared" si="39"/>
        <v>668</v>
      </c>
      <c r="CE35" s="326" t="str">
        <f t="shared" si="72"/>
        <v/>
      </c>
      <c r="CF35" s="485">
        <f t="shared" si="40"/>
        <v>708</v>
      </c>
      <c r="CG35" s="326" t="str">
        <f t="shared" si="73"/>
        <v/>
      </c>
      <c r="CH35" s="485">
        <f t="shared" si="41"/>
        <v>748</v>
      </c>
      <c r="CI35" s="326" t="str">
        <f t="shared" si="74"/>
        <v/>
      </c>
      <c r="CJ35" s="485">
        <f t="shared" si="42"/>
        <v>788</v>
      </c>
      <c r="CK35" s="326" t="str">
        <f t="shared" si="75"/>
        <v/>
      </c>
      <c r="CL35" s="485">
        <f t="shared" si="43"/>
        <v>828</v>
      </c>
      <c r="CM35" s="326" t="str">
        <f t="shared" si="76"/>
        <v/>
      </c>
      <c r="CN35" s="485">
        <f t="shared" si="44"/>
        <v>868</v>
      </c>
      <c r="CO35" s="326" t="str">
        <f t="shared" si="77"/>
        <v/>
      </c>
      <c r="CP35" s="485">
        <f t="shared" si="45"/>
        <v>908</v>
      </c>
      <c r="CQ35" s="326" t="str">
        <f t="shared" si="78"/>
        <v/>
      </c>
      <c r="CR35" s="485">
        <f t="shared" si="46"/>
        <v>948</v>
      </c>
      <c r="CS35" s="326" t="str">
        <f t="shared" si="79"/>
        <v/>
      </c>
      <c r="CT35" s="485" t="e">
        <f t="shared" si="47"/>
        <v>#N/A</v>
      </c>
      <c r="CU35" s="326"/>
      <c r="CV35" s="485" t="e">
        <f t="shared" si="48"/>
        <v>#N/A</v>
      </c>
      <c r="CW35" s="326"/>
      <c r="CX35" s="485" t="e">
        <f t="shared" si="49"/>
        <v>#N/A</v>
      </c>
      <c r="CY35" s="326"/>
      <c r="CZ35" s="485" t="e">
        <f t="shared" si="50"/>
        <v>#N/A</v>
      </c>
      <c r="DA35" s="326"/>
      <c r="DB35" s="485" t="e">
        <f t="shared" si="51"/>
        <v>#N/A</v>
      </c>
      <c r="DC35" s="326"/>
      <c r="DD35" s="485" t="e">
        <f t="shared" si="52"/>
        <v>#N/A</v>
      </c>
      <c r="DE35" s="326"/>
      <c r="DF35" s="485" t="e">
        <f t="shared" si="53"/>
        <v>#N/A</v>
      </c>
      <c r="DG35" s="326"/>
      <c r="DH35" s="485" t="e">
        <f t="shared" si="54"/>
        <v>#N/A</v>
      </c>
      <c r="DI35" s="326"/>
      <c r="DJ35" s="485"/>
    </row>
    <row r="36" spans="1:115" ht="10.5" customHeight="1" x14ac:dyDescent="0.3">
      <c r="A36" s="765"/>
      <c r="AW36" s="485"/>
      <c r="AX36" s="485">
        <f t="shared" si="56"/>
        <v>29</v>
      </c>
      <c r="AY36" s="326" t="str">
        <f t="shared" si="0"/>
        <v/>
      </c>
      <c r="AZ36" s="485">
        <f t="shared" si="57"/>
        <v>69</v>
      </c>
      <c r="BA36" s="326" t="str">
        <f t="shared" si="1"/>
        <v/>
      </c>
      <c r="BB36" s="485">
        <f t="shared" si="58"/>
        <v>109</v>
      </c>
      <c r="BC36" s="326" t="str">
        <f t="shared" si="2"/>
        <v/>
      </c>
      <c r="BD36" s="485">
        <f t="shared" si="59"/>
        <v>149</v>
      </c>
      <c r="BE36" s="326" t="str">
        <f t="shared" si="3"/>
        <v/>
      </c>
      <c r="BF36" s="485">
        <f t="shared" si="60"/>
        <v>189</v>
      </c>
      <c r="BG36" s="326" t="str">
        <f t="shared" si="4"/>
        <v/>
      </c>
      <c r="BH36" s="485">
        <f t="shared" si="61"/>
        <v>229</v>
      </c>
      <c r="BI36" s="326" t="str">
        <f t="shared" si="5"/>
        <v/>
      </c>
      <c r="BJ36" s="485">
        <f t="shared" si="62"/>
        <v>269</v>
      </c>
      <c r="BK36" s="326" t="str">
        <f t="shared" si="6"/>
        <v/>
      </c>
      <c r="BL36" s="485">
        <f t="shared" si="63"/>
        <v>309</v>
      </c>
      <c r="BM36" s="326" t="str">
        <f t="shared" si="7"/>
        <v/>
      </c>
      <c r="BN36" s="485">
        <f t="shared" si="64"/>
        <v>349</v>
      </c>
      <c r="BO36" s="326" t="str">
        <f t="shared" si="8"/>
        <v/>
      </c>
      <c r="BP36" s="485">
        <f t="shared" si="65"/>
        <v>389</v>
      </c>
      <c r="BQ36" s="326" t="str">
        <f t="shared" si="9"/>
        <v/>
      </c>
      <c r="BR36" s="485">
        <f t="shared" si="66"/>
        <v>429</v>
      </c>
      <c r="BS36" s="326" t="str">
        <f t="shared" si="10"/>
        <v/>
      </c>
      <c r="BT36" s="485">
        <f t="shared" si="67"/>
        <v>469</v>
      </c>
      <c r="BU36" s="326" t="str">
        <f t="shared" si="11"/>
        <v/>
      </c>
      <c r="BV36" s="485">
        <f t="shared" si="68"/>
        <v>509</v>
      </c>
      <c r="BW36" s="326" t="str">
        <f t="shared" si="12"/>
        <v/>
      </c>
      <c r="BX36" s="485">
        <f t="shared" si="69"/>
        <v>549</v>
      </c>
      <c r="BY36" s="326" t="str">
        <f t="shared" si="13"/>
        <v/>
      </c>
      <c r="BZ36" s="485">
        <f t="shared" si="70"/>
        <v>589</v>
      </c>
      <c r="CA36" s="326" t="str">
        <f t="shared" si="14"/>
        <v/>
      </c>
      <c r="CB36" s="485">
        <f t="shared" si="71"/>
        <v>629</v>
      </c>
      <c r="CC36" s="326" t="str">
        <f t="shared" si="15"/>
        <v/>
      </c>
      <c r="CD36" s="485">
        <f>CD35+1</f>
        <v>669</v>
      </c>
      <c r="CE36" s="326" t="str">
        <f t="shared" si="72"/>
        <v/>
      </c>
      <c r="CF36" s="485">
        <f>CF35+1</f>
        <v>709</v>
      </c>
      <c r="CG36" s="326" t="str">
        <f t="shared" si="73"/>
        <v/>
      </c>
      <c r="CH36" s="485">
        <f>CH35+1</f>
        <v>749</v>
      </c>
      <c r="CI36" s="326" t="str">
        <f t="shared" si="74"/>
        <v/>
      </c>
      <c r="CJ36" s="485">
        <f>CJ35+1</f>
        <v>789</v>
      </c>
      <c r="CK36" s="326" t="str">
        <f t="shared" si="75"/>
        <v/>
      </c>
      <c r="CL36" s="485">
        <f>CL35+1</f>
        <v>829</v>
      </c>
      <c r="CM36" s="326" t="str">
        <f t="shared" si="76"/>
        <v/>
      </c>
      <c r="CN36" s="485">
        <f>CN35+1</f>
        <v>869</v>
      </c>
      <c r="CO36" s="326" t="str">
        <f t="shared" si="77"/>
        <v/>
      </c>
      <c r="CP36" s="485">
        <f>CP35+1</f>
        <v>909</v>
      </c>
      <c r="CQ36" s="326" t="str">
        <f t="shared" si="78"/>
        <v/>
      </c>
      <c r="CR36" s="485">
        <f>CR35+1</f>
        <v>949</v>
      </c>
      <c r="CS36" s="326" t="str">
        <f t="shared" si="79"/>
        <v/>
      </c>
      <c r="CT36" s="485" t="e">
        <f>CT35+1</f>
        <v>#N/A</v>
      </c>
      <c r="CU36" s="326"/>
      <c r="CV36" s="485" t="e">
        <f>CV35+1</f>
        <v>#N/A</v>
      </c>
      <c r="CW36" s="326"/>
      <c r="CX36" s="485" t="e">
        <f>CX35+1</f>
        <v>#N/A</v>
      </c>
      <c r="CY36" s="326"/>
      <c r="CZ36" s="485" t="e">
        <f>CZ35+1</f>
        <v>#N/A</v>
      </c>
      <c r="DA36" s="326"/>
      <c r="DB36" s="485" t="e">
        <f>DB35+1</f>
        <v>#N/A</v>
      </c>
      <c r="DC36" s="326"/>
      <c r="DD36" s="485" t="e">
        <f>DD35+1</f>
        <v>#N/A</v>
      </c>
      <c r="DE36" s="326"/>
      <c r="DF36" s="485" t="e">
        <f>DF35+1</f>
        <v>#N/A</v>
      </c>
      <c r="DG36" s="326"/>
      <c r="DH36" s="485" t="e">
        <f>DH35+1</f>
        <v>#N/A</v>
      </c>
      <c r="DI36" s="326"/>
      <c r="DJ36" s="485"/>
    </row>
    <row r="37" spans="1:115" ht="6" customHeight="1" x14ac:dyDescent="0.3">
      <c r="A37" s="765"/>
      <c r="AQ37" s="323"/>
      <c r="AR37" s="323"/>
      <c r="AS37" s="323"/>
      <c r="AT37" s="323"/>
      <c r="AW37" s="485"/>
      <c r="AX37" s="485">
        <f t="shared" si="56"/>
        <v>30</v>
      </c>
      <c r="AY37" s="326" t="str">
        <f t="shared" si="0"/>
        <v/>
      </c>
      <c r="AZ37" s="485">
        <f t="shared" si="57"/>
        <v>70</v>
      </c>
      <c r="BA37" s="326" t="str">
        <f t="shared" si="1"/>
        <v/>
      </c>
      <c r="BB37" s="485">
        <f t="shared" si="58"/>
        <v>110</v>
      </c>
      <c r="BC37" s="326" t="str">
        <f t="shared" si="2"/>
        <v/>
      </c>
      <c r="BD37" s="485">
        <f t="shared" si="59"/>
        <v>150</v>
      </c>
      <c r="BE37" s="326" t="str">
        <f t="shared" si="3"/>
        <v/>
      </c>
      <c r="BF37" s="485">
        <f t="shared" si="60"/>
        <v>190</v>
      </c>
      <c r="BG37" s="326" t="str">
        <f t="shared" si="4"/>
        <v/>
      </c>
      <c r="BH37" s="485">
        <f t="shared" si="61"/>
        <v>230</v>
      </c>
      <c r="BI37" s="326" t="str">
        <f t="shared" si="5"/>
        <v/>
      </c>
      <c r="BJ37" s="485">
        <f t="shared" si="62"/>
        <v>270</v>
      </c>
      <c r="BK37" s="326" t="str">
        <f t="shared" si="6"/>
        <v/>
      </c>
      <c r="BL37" s="485">
        <f t="shared" si="63"/>
        <v>310</v>
      </c>
      <c r="BM37" s="326" t="str">
        <f t="shared" si="7"/>
        <v/>
      </c>
      <c r="BN37" s="485">
        <f t="shared" si="64"/>
        <v>350</v>
      </c>
      <c r="BO37" s="326" t="str">
        <f t="shared" si="8"/>
        <v/>
      </c>
      <c r="BP37" s="485">
        <f t="shared" si="65"/>
        <v>390</v>
      </c>
      <c r="BQ37" s="326" t="str">
        <f t="shared" si="9"/>
        <v/>
      </c>
      <c r="BR37" s="485">
        <f t="shared" si="66"/>
        <v>430</v>
      </c>
      <c r="BS37" s="326" t="str">
        <f t="shared" si="10"/>
        <v/>
      </c>
      <c r="BT37" s="485">
        <f t="shared" si="67"/>
        <v>470</v>
      </c>
      <c r="BU37" s="326" t="str">
        <f t="shared" si="11"/>
        <v/>
      </c>
      <c r="BV37" s="485">
        <f t="shared" si="68"/>
        <v>510</v>
      </c>
      <c r="BW37" s="326" t="str">
        <f t="shared" si="12"/>
        <v/>
      </c>
      <c r="BX37" s="485">
        <f t="shared" si="69"/>
        <v>550</v>
      </c>
      <c r="BY37" s="326" t="str">
        <f t="shared" si="13"/>
        <v/>
      </c>
      <c r="BZ37" s="485">
        <f t="shared" si="70"/>
        <v>590</v>
      </c>
      <c r="CA37" s="326" t="str">
        <f t="shared" si="14"/>
        <v/>
      </c>
      <c r="CB37" s="485">
        <f t="shared" si="71"/>
        <v>630</v>
      </c>
      <c r="CC37" s="326" t="str">
        <f t="shared" si="15"/>
        <v/>
      </c>
      <c r="CD37" s="485">
        <f>CD36+1</f>
        <v>670</v>
      </c>
      <c r="CE37" s="326" t="str">
        <f t="shared" si="72"/>
        <v/>
      </c>
      <c r="CF37" s="485">
        <f>CF36+1</f>
        <v>710</v>
      </c>
      <c r="CG37" s="326" t="str">
        <f t="shared" si="73"/>
        <v/>
      </c>
      <c r="CH37" s="485">
        <f>CH36+1</f>
        <v>750</v>
      </c>
      <c r="CI37" s="326" t="str">
        <f t="shared" si="74"/>
        <v/>
      </c>
      <c r="CJ37" s="485">
        <f>CJ36+1</f>
        <v>790</v>
      </c>
      <c r="CK37" s="326" t="str">
        <f t="shared" si="75"/>
        <v/>
      </c>
      <c r="CL37" s="485">
        <f>CL36+1</f>
        <v>830</v>
      </c>
      <c r="CM37" s="326" t="str">
        <f t="shared" si="76"/>
        <v/>
      </c>
      <c r="CN37" s="485">
        <f>CN36+1</f>
        <v>870</v>
      </c>
      <c r="CO37" s="326" t="str">
        <f t="shared" si="77"/>
        <v/>
      </c>
      <c r="CP37" s="485">
        <f>CP36+1</f>
        <v>910</v>
      </c>
      <c r="CQ37" s="326" t="str">
        <f t="shared" si="78"/>
        <v/>
      </c>
      <c r="CR37" s="485">
        <f>CR36+1</f>
        <v>950</v>
      </c>
      <c r="CS37" s="326" t="str">
        <f t="shared" si="79"/>
        <v/>
      </c>
      <c r="CT37" s="485" t="e">
        <f>CT36+1</f>
        <v>#N/A</v>
      </c>
      <c r="CU37" s="326"/>
      <c r="CV37" s="485" t="e">
        <f>CV36+1</f>
        <v>#N/A</v>
      </c>
      <c r="CW37" s="326"/>
      <c r="CX37" s="485" t="e">
        <f>CX36+1</f>
        <v>#N/A</v>
      </c>
      <c r="CY37" s="326"/>
      <c r="CZ37" s="485" t="e">
        <f>CZ36+1</f>
        <v>#N/A</v>
      </c>
      <c r="DA37" s="326"/>
      <c r="DB37" s="485" t="e">
        <f>DB36+1</f>
        <v>#N/A</v>
      </c>
      <c r="DC37" s="326"/>
      <c r="DD37" s="485" t="e">
        <f>DD36+1</f>
        <v>#N/A</v>
      </c>
      <c r="DE37" s="326"/>
      <c r="DF37" s="485" t="e">
        <f>DF36+1</f>
        <v>#N/A</v>
      </c>
      <c r="DG37" s="326"/>
      <c r="DH37" s="485" t="e">
        <f>DH36+1</f>
        <v>#N/A</v>
      </c>
      <c r="DI37" s="326"/>
      <c r="DJ37" s="485"/>
    </row>
    <row r="38" spans="1:115" ht="12" customHeight="1" x14ac:dyDescent="0.3">
      <c r="A38" s="765"/>
      <c r="C38" s="247" t="str">
        <f>W43</f>
        <v>JÚNIUS 13. – VASÁRNAP 15:00</v>
      </c>
      <c r="D38" s="227"/>
      <c r="E38" s="228"/>
      <c r="F38" s="229"/>
      <c r="G38" s="230"/>
      <c r="H38" s="231" t="str">
        <f>W44</f>
        <v>1. CSOPORTMÉRKŐZÉS</v>
      </c>
      <c r="I38" s="138"/>
      <c r="J38" s="246" t="str">
        <f>Y43</f>
        <v>JÚNIUS 13. – VASÁRNAP 18:00</v>
      </c>
      <c r="K38" s="227"/>
      <c r="L38" s="228"/>
      <c r="M38" s="229"/>
      <c r="N38" s="230"/>
      <c r="O38" s="226" t="str">
        <f>Y44</f>
        <v>1. CSOPORTMÉRKŐZÉS</v>
      </c>
      <c r="AQ38" s="323"/>
      <c r="AR38" s="323"/>
      <c r="AS38" s="323"/>
      <c r="AT38" s="323"/>
      <c r="AY38" s="323"/>
      <c r="BA38" s="323"/>
      <c r="BC38" s="323"/>
      <c r="BE38" s="323"/>
      <c r="BG38" s="323"/>
      <c r="BI38" s="323"/>
      <c r="BK38" s="323"/>
      <c r="BM38" s="323"/>
      <c r="BO38" s="323"/>
      <c r="BQ38" s="323"/>
      <c r="BS38" s="323"/>
      <c r="BU38" s="323"/>
      <c r="BW38" s="323"/>
      <c r="BY38" s="323"/>
      <c r="CA38" s="323"/>
      <c r="CC38" s="323"/>
      <c r="CE38" s="323"/>
      <c r="CG38" s="323"/>
      <c r="CI38" s="323"/>
      <c r="CK38" s="323"/>
      <c r="CM38" s="323"/>
      <c r="CO38" s="323"/>
      <c r="CQ38" s="323"/>
      <c r="CS38" s="323"/>
      <c r="CU38" s="323"/>
      <c r="CW38" s="323"/>
      <c r="CY38" s="323"/>
      <c r="DA38" s="323"/>
      <c r="DC38" s="323"/>
      <c r="DE38" s="323"/>
      <c r="DG38" s="323"/>
      <c r="DI38" s="323"/>
    </row>
    <row r="39" spans="1:115" s="138" customFormat="1" ht="14.25" customHeight="1" x14ac:dyDescent="0.3">
      <c r="A39" s="765"/>
      <c r="B39" s="137"/>
      <c r="C39" s="233" t="str">
        <f>IF(W46=0,"",IF(W46&gt;0,CONCATENATE("még ",W46," gól"),CONCATENATE("túl sok (",W46," gól)")))</f>
        <v/>
      </c>
      <c r="D39" s="714" t="str">
        <f>W47</f>
        <v>Anglia</v>
      </c>
      <c r="E39" s="716" t="str">
        <f>W48</f>
        <v/>
      </c>
      <c r="F39" s="717" t="str">
        <f>X48</f>
        <v/>
      </c>
      <c r="G39" s="715" t="str">
        <f>X47</f>
        <v>Horvátország</v>
      </c>
      <c r="H39" s="232" t="str">
        <f>IF(X46=0,"",IF(X46&gt;0,CONCATENATE("még ",X46," gól"),CONCATENATE("túl sok (",X46," gól)")))</f>
        <v/>
      </c>
      <c r="I39" s="127"/>
      <c r="J39" s="233" t="str">
        <f>IF(Y46=0,"",IF(Y46&gt;0,CONCATENATE("még ",Y46," gól"),CONCATENATE("túl sok (",Y46," gól)")))</f>
        <v/>
      </c>
      <c r="K39" s="714" t="str">
        <f>Y47</f>
        <v>Ausztria</v>
      </c>
      <c r="L39" s="716" t="str">
        <f>Y48</f>
        <v/>
      </c>
      <c r="M39" s="717" t="str">
        <f>Z48</f>
        <v/>
      </c>
      <c r="N39" s="715" t="str">
        <f>Z47</f>
        <v>Észak-Macedónia</v>
      </c>
      <c r="O39" s="232" t="str">
        <f>IF(Z46=0,"",IF(Z46&gt;0,CONCATENATE("még ",Z46," gól"),CONCATENATE("túl sok (",Z46," gól)")))</f>
        <v/>
      </c>
      <c r="P39" s="10"/>
      <c r="Q39" s="140"/>
      <c r="R39" s="141"/>
      <c r="S39" s="141"/>
      <c r="T39" s="484"/>
      <c r="U39" s="485"/>
      <c r="V39" s="485"/>
      <c r="W39" s="485"/>
      <c r="X39" s="485"/>
      <c r="Y39" s="485"/>
      <c r="Z39" s="485"/>
      <c r="AA39" s="485"/>
      <c r="AB39" s="242" t="str">
        <f>HLOOKUP(D39,nevek.li,2,FALSE)</f>
        <v>nevek.13</v>
      </c>
      <c r="AC39" s="242" t="str">
        <f>HLOOKUP(G39,nevek.li,2,FALSE)</f>
        <v>nevek.14</v>
      </c>
      <c r="AD39" s="242" t="str">
        <f>HLOOKUP(K39,nevek.li,2,FALSE)</f>
        <v>nevek.11</v>
      </c>
      <c r="AE39" s="242" t="str">
        <f>HLOOKUP(N39,nevek.li,2,FALSE)</f>
        <v>nevek.12</v>
      </c>
      <c r="AF39" s="485"/>
      <c r="AG39" s="485"/>
      <c r="AH39" s="485"/>
      <c r="AI39" s="485"/>
      <c r="AJ39" s="485"/>
      <c r="AK39" s="485"/>
      <c r="AL39" s="485"/>
      <c r="AM39" s="485"/>
      <c r="AN39" s="485"/>
      <c r="AO39" s="485"/>
      <c r="AP39" s="485"/>
      <c r="AQ39" s="485"/>
      <c r="AR39" s="485"/>
      <c r="AS39" s="485"/>
      <c r="AT39" s="485"/>
      <c r="AU39" s="485"/>
      <c r="AV39" s="500"/>
      <c r="AW39" s="323"/>
      <c r="AX39" s="323"/>
      <c r="AY39" s="323"/>
      <c r="AZ39" s="323"/>
      <c r="BA39" s="323"/>
      <c r="BB39" s="323"/>
      <c r="BC39" s="323"/>
      <c r="BD39" s="323"/>
      <c r="BE39" s="323"/>
      <c r="BF39" s="323"/>
      <c r="BG39" s="323"/>
      <c r="BH39" s="323"/>
      <c r="BI39" s="323"/>
      <c r="BJ39" s="323"/>
      <c r="BK39" s="323"/>
      <c r="BL39" s="323"/>
      <c r="BM39" s="323"/>
      <c r="BN39" s="323"/>
      <c r="BO39" s="323"/>
      <c r="BP39" s="323"/>
      <c r="BQ39" s="323"/>
      <c r="BR39" s="323"/>
      <c r="BS39" s="323"/>
      <c r="BT39" s="323"/>
      <c r="BU39" s="323"/>
      <c r="BV39" s="323"/>
      <c r="BW39" s="323"/>
      <c r="BX39" s="323"/>
      <c r="BY39" s="323"/>
      <c r="BZ39" s="323"/>
      <c r="CA39" s="323"/>
      <c r="CB39" s="323"/>
      <c r="CC39" s="323"/>
      <c r="CD39" s="323"/>
      <c r="CE39" s="323"/>
      <c r="CF39" s="323"/>
      <c r="CG39" s="323"/>
      <c r="CH39" s="323"/>
      <c r="CI39" s="323"/>
      <c r="CJ39" s="323"/>
      <c r="CK39" s="323"/>
      <c r="CL39" s="323"/>
      <c r="CM39" s="323"/>
      <c r="CN39" s="323"/>
      <c r="CO39" s="323"/>
      <c r="CP39" s="323"/>
      <c r="CQ39" s="323"/>
      <c r="CR39" s="323"/>
      <c r="CS39" s="323"/>
      <c r="CT39" s="323"/>
      <c r="CU39" s="323"/>
      <c r="CV39" s="323"/>
      <c r="CW39" s="323"/>
      <c r="CX39" s="323"/>
      <c r="CY39" s="323"/>
      <c r="CZ39" s="323"/>
      <c r="DA39" s="323"/>
      <c r="DB39" s="323"/>
      <c r="DC39" s="323"/>
      <c r="DD39" s="323"/>
      <c r="DE39" s="323"/>
      <c r="DF39" s="323"/>
      <c r="DG39" s="323"/>
      <c r="DH39" s="323"/>
      <c r="DI39" s="323"/>
      <c r="DJ39" s="323"/>
      <c r="DK39" s="500"/>
    </row>
    <row r="40" spans="1:115" ht="12" customHeight="1" x14ac:dyDescent="0.3">
      <c r="A40" s="765"/>
      <c r="C40" s="218"/>
      <c r="D40" s="220"/>
      <c r="E40" s="221"/>
      <c r="F40" s="222"/>
      <c r="G40" s="223"/>
      <c r="H40" s="218"/>
      <c r="J40" s="218"/>
      <c r="K40" s="220"/>
      <c r="L40" s="221"/>
      <c r="M40" s="222"/>
      <c r="N40" s="223"/>
      <c r="O40" s="218"/>
      <c r="V40" s="487" t="s">
        <v>706</v>
      </c>
      <c r="W40" s="242">
        <v>5</v>
      </c>
      <c r="X40" s="485" t="str">
        <f>""</f>
        <v/>
      </c>
      <c r="Y40" s="242">
        <v>6</v>
      </c>
      <c r="AB40" s="327" t="str">
        <f>IF(C40="öngól",AC39,AB39)</f>
        <v>nevek.13</v>
      </c>
      <c r="AC40" s="327" t="str">
        <f>IF(H40="öngól",AB39,AC39)</f>
        <v>nevek.14</v>
      </c>
      <c r="AD40" s="327" t="str">
        <f>IF(J40="öngól",AE39,AD39)</f>
        <v>nevek.11</v>
      </c>
      <c r="AE40" s="327" t="str">
        <f>IF(O40="öngól",AD39,AE39)</f>
        <v>nevek.12</v>
      </c>
      <c r="AF40" s="325"/>
      <c r="AG40" s="485">
        <v>1</v>
      </c>
      <c r="AH40" s="488" t="b">
        <f ca="1">AND(W42,X43,D40="",AG40&lt;=W48)</f>
        <v>0</v>
      </c>
      <c r="AI40" s="488" t="b">
        <f ca="1">AND(W42,X43,E40="",AG40&lt;=W48)</f>
        <v>0</v>
      </c>
      <c r="AJ40" s="488" t="b">
        <f ca="1">AND(W42,X43,F40="",AG40&lt;=X48)</f>
        <v>0</v>
      </c>
      <c r="AK40" s="488" t="b">
        <f ca="1">AND(W42,X43,G40="",AG40&lt;=X48)</f>
        <v>0</v>
      </c>
      <c r="AL40" s="488" t="b">
        <f ca="1">AND(Y42,Z43,K40="",AG40&lt;=Y48)</f>
        <v>0</v>
      </c>
      <c r="AM40" s="488" t="b">
        <f ca="1">AND(Y42,Z43,L40="",AG40&lt;=Y48)</f>
        <v>0</v>
      </c>
      <c r="AN40" s="488" t="b">
        <f ca="1">AND(Y42,Z43,M40="",AG40&lt;=Z48)</f>
        <v>0</v>
      </c>
      <c r="AO40" s="488" t="b">
        <f ca="1">AND(Y42,Z43,N40="",AG40&lt;=Z48)</f>
        <v>0</v>
      </c>
      <c r="AQ40" s="326" t="str">
        <f>IF(OR(NOT(Góllista!$E$6),D40=""),"",IF(C40="öngól","ö"&amp;G39&amp;D40,D39&amp;D40))</f>
        <v/>
      </c>
      <c r="AR40" s="326" t="str">
        <f>IF(OR(NOT(Góllista!$E$6),G40=""),"",IF(H40="öngól","ö"&amp;D39&amp;G40,G39&amp;G40))</f>
        <v/>
      </c>
      <c r="AS40" s="326" t="str">
        <f>IF(OR(NOT(Góllista!$E$6),K40=""),"",IF(J40="öngól","ö"&amp;N39&amp;K40,K39&amp;K40))</f>
        <v/>
      </c>
      <c r="AT40" s="326" t="str">
        <f>IF(OR(NOT(Góllista!$E$6),N40=""),"",IF(O40="öngól","ö"&amp;K39&amp;N40,N39&amp;N40))</f>
        <v/>
      </c>
      <c r="AY40" s="323"/>
      <c r="BA40" s="323"/>
      <c r="BC40" s="323"/>
      <c r="BE40" s="323"/>
      <c r="BG40" s="323"/>
      <c r="BI40" s="323"/>
      <c r="BK40" s="323"/>
      <c r="BM40" s="323"/>
      <c r="BO40" s="323"/>
      <c r="BQ40" s="323"/>
      <c r="BS40" s="323"/>
      <c r="BU40" s="323"/>
      <c r="BW40" s="323"/>
      <c r="BY40" s="323"/>
      <c r="CA40" s="323"/>
      <c r="CC40" s="323"/>
      <c r="CE40" s="323"/>
      <c r="CG40" s="323"/>
      <c r="CI40" s="323"/>
      <c r="CK40" s="323"/>
      <c r="CM40" s="323"/>
      <c r="CO40" s="323"/>
      <c r="CQ40" s="323"/>
      <c r="CS40" s="323"/>
      <c r="CU40" s="323"/>
      <c r="CW40" s="323"/>
      <c r="CY40" s="323"/>
      <c r="DA40" s="323"/>
      <c r="DC40" s="323"/>
      <c r="DE40" s="323"/>
      <c r="DG40" s="323"/>
      <c r="DI40" s="323"/>
    </row>
    <row r="41" spans="1:115" ht="12" customHeight="1" x14ac:dyDescent="0.3">
      <c r="A41" s="765"/>
      <c r="C41" s="219"/>
      <c r="D41" s="220"/>
      <c r="E41" s="224"/>
      <c r="F41" s="222"/>
      <c r="G41" s="223"/>
      <c r="H41" s="219"/>
      <c r="J41" s="219"/>
      <c r="K41" s="220"/>
      <c r="L41" s="224"/>
      <c r="M41" s="222"/>
      <c r="N41" s="223"/>
      <c r="O41" s="219"/>
      <c r="V41" s="487" t="s">
        <v>711</v>
      </c>
      <c r="W41" s="327">
        <f>MATCH(W40,n.er.index,0)</f>
        <v>13</v>
      </c>
      <c r="X41" s="485" t="str">
        <f>""</f>
        <v/>
      </c>
      <c r="Y41" s="327">
        <f>MATCH(Y40,n.er.index,0)</f>
        <v>14</v>
      </c>
      <c r="AB41" s="327" t="str">
        <f>IF(C41="öngól",AC39,AB39)</f>
        <v>nevek.13</v>
      </c>
      <c r="AC41" s="327" t="str">
        <f>IF(H41="öngól",AB39,AC39)</f>
        <v>nevek.14</v>
      </c>
      <c r="AD41" s="327" t="str">
        <f>IF(J41="öngól",AE39,AD39)</f>
        <v>nevek.11</v>
      </c>
      <c r="AE41" s="327" t="str">
        <f>IF(O41="öngól",AD39,AE39)</f>
        <v>nevek.12</v>
      </c>
      <c r="AF41" s="325"/>
      <c r="AG41" s="485">
        <v>2</v>
      </c>
      <c r="AH41" s="488" t="b">
        <f ca="1">AND(W42,X43,D41="",AG41&lt;=W48)</f>
        <v>0</v>
      </c>
      <c r="AI41" s="488" t="b">
        <f ca="1">AND(W42,X43,E41="",AG41&lt;=W48)</f>
        <v>0</v>
      </c>
      <c r="AJ41" s="488" t="b">
        <f ca="1">AND(W42,X43,F41="",AG41&lt;=X48)</f>
        <v>0</v>
      </c>
      <c r="AK41" s="488" t="b">
        <f ca="1">AND(W42,X43,G41="",AG41&lt;=X48)</f>
        <v>0</v>
      </c>
      <c r="AL41" s="488" t="b">
        <f ca="1">AND(Y42,Z43,K41="",AG41&lt;=Y48)</f>
        <v>0</v>
      </c>
      <c r="AM41" s="488" t="b">
        <f ca="1">AND(Y42,Z43,L41="",AG41&lt;=Y48)</f>
        <v>0</v>
      </c>
      <c r="AN41" s="488" t="b">
        <f ca="1">AND(Y42,Z43,M41="",AG41&lt;=Z48)</f>
        <v>0</v>
      </c>
      <c r="AO41" s="488" t="b">
        <f ca="1">AND(Y42,Z43,N41="",AG41&lt;=Z48)</f>
        <v>0</v>
      </c>
      <c r="AQ41" s="326" t="str">
        <f>IF(OR(NOT(Góllista!$E$6),D41=""),"",IF(C41="öngól","ö"&amp;G39&amp;D41,D39&amp;D41))</f>
        <v/>
      </c>
      <c r="AR41" s="326" t="str">
        <f>IF(OR(NOT(Góllista!$E$6),G41=""),"",IF(H41="öngól","ö"&amp;D39&amp;G41,G39&amp;G41))</f>
        <v/>
      </c>
      <c r="AS41" s="326" t="str">
        <f>IF(OR(NOT(Góllista!$E$6),K41=""),"",IF(J41="öngól","ö"&amp;N39&amp;K41,K39&amp;K41))</f>
        <v/>
      </c>
      <c r="AT41" s="326" t="str">
        <f>IF(OR(NOT(Góllista!$E$6),N41=""),"",IF(O41="öngól","ö"&amp;K39&amp;N41,N39&amp;N41))</f>
        <v/>
      </c>
      <c r="AY41" s="323"/>
      <c r="BA41" s="323"/>
      <c r="BC41" s="323"/>
      <c r="BE41" s="323"/>
      <c r="BG41" s="323"/>
      <c r="BI41" s="323"/>
      <c r="BK41" s="323"/>
      <c r="BM41" s="323"/>
      <c r="BO41" s="323"/>
      <c r="BQ41" s="323"/>
      <c r="BS41" s="323"/>
      <c r="BU41" s="323"/>
      <c r="BW41" s="323"/>
      <c r="BY41" s="323"/>
      <c r="CA41" s="323"/>
      <c r="CC41" s="323"/>
      <c r="CE41" s="323"/>
      <c r="CG41" s="323"/>
      <c r="CI41" s="323"/>
      <c r="CK41" s="323"/>
      <c r="CM41" s="323"/>
      <c r="CO41" s="323"/>
      <c r="CQ41" s="323"/>
      <c r="CS41" s="323"/>
      <c r="CU41" s="323"/>
      <c r="CW41" s="323"/>
      <c r="CY41" s="323"/>
      <c r="DA41" s="323"/>
      <c r="DC41" s="323"/>
      <c r="DE41" s="323"/>
      <c r="DG41" s="323"/>
      <c r="DI41" s="323"/>
    </row>
    <row r="42" spans="1:115" ht="12" customHeight="1" x14ac:dyDescent="0.3">
      <c r="A42" s="765"/>
      <c r="C42" s="219"/>
      <c r="D42" s="220"/>
      <c r="E42" s="224"/>
      <c r="F42" s="222"/>
      <c r="G42" s="223"/>
      <c r="H42" s="219"/>
      <c r="J42" s="219"/>
      <c r="K42" s="220"/>
      <c r="L42" s="224"/>
      <c r="M42" s="222"/>
      <c r="N42" s="223"/>
      <c r="O42" s="219"/>
      <c r="V42" s="487" t="s">
        <v>710</v>
      </c>
      <c r="W42" s="489" t="b">
        <f>INDEX(n.er,W41,3)</f>
        <v>0</v>
      </c>
      <c r="X42" s="485" t="str">
        <f>""</f>
        <v/>
      </c>
      <c r="Y42" s="489" t="b">
        <f>INDEX(n.er,Y41,3)</f>
        <v>0</v>
      </c>
      <c r="AB42" s="327" t="str">
        <f>IF(C42="öngól",AC39,AB39)</f>
        <v>nevek.13</v>
      </c>
      <c r="AC42" s="327" t="str">
        <f>IF(H42="öngól",AB39,AC39)</f>
        <v>nevek.14</v>
      </c>
      <c r="AD42" s="327" t="str">
        <f>IF(J42="öngól",AE39,AD39)</f>
        <v>nevek.11</v>
      </c>
      <c r="AE42" s="327" t="str">
        <f>IF(O42="öngól",AD39,AE39)</f>
        <v>nevek.12</v>
      </c>
      <c r="AF42" s="325"/>
      <c r="AG42" s="485">
        <v>3</v>
      </c>
      <c r="AH42" s="488" t="b">
        <f ca="1">AND(W42,X43,D42="",AG42&lt;=W48)</f>
        <v>0</v>
      </c>
      <c r="AI42" s="488" t="b">
        <f ca="1">AND(W42,X43,E42="",AG42&lt;=W48)</f>
        <v>0</v>
      </c>
      <c r="AJ42" s="488" t="b">
        <f ca="1">AND(W42,X43,F42="",AG42&lt;=X48)</f>
        <v>0</v>
      </c>
      <c r="AK42" s="488" t="b">
        <f ca="1">AND(W42,X43,G42="",AG42&lt;=X48)</f>
        <v>0</v>
      </c>
      <c r="AL42" s="488" t="b">
        <f ca="1">AND(Y42,Z43,K42="",AG42&lt;=Y48)</f>
        <v>0</v>
      </c>
      <c r="AM42" s="488" t="b">
        <f ca="1">AND(Y42,Z43,L42="",AG42&lt;=Y48)</f>
        <v>0</v>
      </c>
      <c r="AN42" s="488" t="b">
        <f ca="1">AND(Y42,Z43,M42="",AG42&lt;=Z48)</f>
        <v>0</v>
      </c>
      <c r="AO42" s="488" t="b">
        <f ca="1">AND(Y42,Z43,N42="",AG42&lt;=Z48)</f>
        <v>0</v>
      </c>
      <c r="AQ42" s="326" t="str">
        <f>IF(OR(NOT(Góllista!$E$6),D42=""),"",IF(C42="öngól","ö"&amp;G39&amp;D42,D39&amp;D42))</f>
        <v/>
      </c>
      <c r="AR42" s="326" t="str">
        <f>IF(OR(NOT(Góllista!$E$6),G42=""),"",IF(H42="öngól","ö"&amp;D39&amp;G42,G39&amp;G42))</f>
        <v/>
      </c>
      <c r="AS42" s="326" t="str">
        <f>IF(OR(NOT(Góllista!$E$6),K42=""),"",IF(J42="öngól","ö"&amp;N39&amp;K42,K39&amp;K42))</f>
        <v/>
      </c>
      <c r="AT42" s="326" t="str">
        <f>IF(OR(NOT(Góllista!$E$6),N42=""),"",IF(O42="öngól","ö"&amp;K39&amp;N42,N39&amp;N42))</f>
        <v/>
      </c>
      <c r="AY42" s="323"/>
      <c r="BA42" s="323"/>
      <c r="BC42" s="323"/>
      <c r="BE42" s="323"/>
      <c r="BG42" s="323"/>
      <c r="BI42" s="323"/>
      <c r="BK42" s="323"/>
      <c r="BM42" s="323"/>
      <c r="BO42" s="323"/>
      <c r="BQ42" s="323"/>
      <c r="BS42" s="323"/>
      <c r="BU42" s="323"/>
      <c r="BW42" s="323"/>
      <c r="BY42" s="323"/>
      <c r="CA42" s="323"/>
      <c r="CC42" s="323"/>
      <c r="CE42" s="323"/>
      <c r="CG42" s="323"/>
      <c r="CI42" s="323"/>
      <c r="CK42" s="323"/>
      <c r="CM42" s="323"/>
      <c r="CO42" s="323"/>
      <c r="CQ42" s="323"/>
      <c r="CS42" s="323"/>
      <c r="CU42" s="323"/>
      <c r="CW42" s="323"/>
      <c r="CY42" s="323"/>
      <c r="DA42" s="323"/>
      <c r="DC42" s="323"/>
      <c r="DE42" s="323"/>
      <c r="DG42" s="323"/>
      <c r="DI42" s="323"/>
    </row>
    <row r="43" spans="1:115" ht="12" customHeight="1" x14ac:dyDescent="0.3">
      <c r="A43" s="765"/>
      <c r="C43" s="219"/>
      <c r="D43" s="220"/>
      <c r="E43" s="224"/>
      <c r="F43" s="222"/>
      <c r="G43" s="223"/>
      <c r="H43" s="219"/>
      <c r="J43" s="219"/>
      <c r="K43" s="220"/>
      <c r="L43" s="224"/>
      <c r="M43" s="222"/>
      <c r="N43" s="223"/>
      <c r="O43" s="219"/>
      <c r="V43" s="487" t="s">
        <v>705</v>
      </c>
      <c r="W43" s="490" t="str">
        <f>VLOOKUP(W40,schedule,18,FALSE)</f>
        <v>JÚNIUS 13. – VASÁRNAP 15:00</v>
      </c>
      <c r="X43" s="489" t="b">
        <f ca="1">VLOOKUP(W40,schedule,14,FALSE)&lt;=NOW()</f>
        <v>0</v>
      </c>
      <c r="Y43" s="490" t="str">
        <f>VLOOKUP(Y40,schedule,18,FALSE)</f>
        <v>JÚNIUS 13. – VASÁRNAP 18:00</v>
      </c>
      <c r="Z43" s="489" t="b">
        <f ca="1">VLOOKUP(Y40,schedule,14,FALSE)&lt;=NOW()</f>
        <v>0</v>
      </c>
      <c r="AB43" s="327" t="str">
        <f>IF(C43="öngól",AC39,AB39)</f>
        <v>nevek.13</v>
      </c>
      <c r="AC43" s="327" t="str">
        <f>IF(H43="öngól",AB39,AC39)</f>
        <v>nevek.14</v>
      </c>
      <c r="AD43" s="327" t="str">
        <f>IF(J43="öngól",AE39,AD39)</f>
        <v>nevek.11</v>
      </c>
      <c r="AE43" s="327" t="str">
        <f>IF(O43="öngól",AD39,AE39)</f>
        <v>nevek.12</v>
      </c>
      <c r="AF43" s="325"/>
      <c r="AG43" s="485">
        <v>4</v>
      </c>
      <c r="AH43" s="488" t="b">
        <f ca="1">AND(W42,X43,D43="",AG43&lt;=W48)</f>
        <v>0</v>
      </c>
      <c r="AI43" s="488" t="b">
        <f ca="1">AND(W42,X43,E43="",AG43&lt;=W48)</f>
        <v>0</v>
      </c>
      <c r="AJ43" s="488" t="b">
        <f ca="1">AND(W42,X43,F43="",AG43&lt;=X48)</f>
        <v>0</v>
      </c>
      <c r="AK43" s="488" t="b">
        <f ca="1">AND(W42,X43,G43="",AG43&lt;=X48)</f>
        <v>0</v>
      </c>
      <c r="AL43" s="488" t="b">
        <f ca="1">AND(Y42,Z43,K43="",AG43&lt;=Y48)</f>
        <v>0</v>
      </c>
      <c r="AM43" s="488" t="b">
        <f ca="1">AND(Y42,Z43,L43="",AG43&lt;=Y48)</f>
        <v>0</v>
      </c>
      <c r="AN43" s="488" t="b">
        <f ca="1">AND(Y42,Z43,M43="",AG43&lt;=Z48)</f>
        <v>0</v>
      </c>
      <c r="AO43" s="488" t="b">
        <f ca="1">AND(Y42,Z43,N43="",AG43&lt;=Z48)</f>
        <v>0</v>
      </c>
      <c r="AQ43" s="326" t="str">
        <f>IF(OR(NOT(Góllista!$E$6),D43=""),"",IF(C43="öngól","ö"&amp;G39&amp;D43,D39&amp;D43))</f>
        <v/>
      </c>
      <c r="AR43" s="326" t="str">
        <f>IF(OR(NOT(Góllista!$E$6),G43=""),"",IF(H43="öngól","ö"&amp;D39&amp;G43,G39&amp;G43))</f>
        <v/>
      </c>
      <c r="AS43" s="326" t="str">
        <f>IF(OR(NOT(Góllista!$E$6),K43=""),"",IF(J43="öngól","ö"&amp;N39&amp;K43,K39&amp;K43))</f>
        <v/>
      </c>
      <c r="AT43" s="326" t="str">
        <f>IF(OR(NOT(Góllista!$E$6),N43=""),"",IF(O43="öngól","ö"&amp;K39&amp;N43,N39&amp;N43))</f>
        <v/>
      </c>
      <c r="AY43" s="323"/>
      <c r="BA43" s="323"/>
      <c r="BC43" s="323"/>
      <c r="BE43" s="323"/>
      <c r="BG43" s="323"/>
      <c r="BI43" s="323"/>
      <c r="BK43" s="323"/>
      <c r="BM43" s="323"/>
      <c r="BO43" s="323"/>
      <c r="BQ43" s="323"/>
      <c r="BS43" s="323"/>
      <c r="BU43" s="323"/>
      <c r="BW43" s="323"/>
      <c r="BY43" s="323"/>
      <c r="CA43" s="323"/>
      <c r="CC43" s="323"/>
      <c r="CE43" s="323"/>
      <c r="CG43" s="323"/>
      <c r="CI43" s="323"/>
      <c r="CK43" s="323"/>
      <c r="CM43" s="323"/>
      <c r="CO43" s="323"/>
      <c r="CQ43" s="323"/>
      <c r="CS43" s="323"/>
      <c r="CU43" s="323"/>
      <c r="CW43" s="323"/>
      <c r="CY43" s="323"/>
      <c r="DA43" s="323"/>
      <c r="DC43" s="323"/>
      <c r="DE43" s="323"/>
      <c r="DG43" s="323"/>
      <c r="DI43" s="323"/>
    </row>
    <row r="44" spans="1:115" ht="12" customHeight="1" x14ac:dyDescent="0.3">
      <c r="A44" s="765"/>
      <c r="C44" s="219"/>
      <c r="D44" s="220"/>
      <c r="E44" s="224"/>
      <c r="F44" s="222"/>
      <c r="G44" s="223"/>
      <c r="H44" s="219"/>
      <c r="J44" s="219"/>
      <c r="K44" s="220"/>
      <c r="L44" s="224"/>
      <c r="M44" s="222"/>
      <c r="N44" s="223"/>
      <c r="O44" s="219"/>
      <c r="V44" s="487" t="s">
        <v>1265</v>
      </c>
      <c r="W44" s="491" t="str">
        <f>VLOOKUP(W40,schedule,12,FALSE)</f>
        <v>1. CSOPORTMÉRKŐZÉS</v>
      </c>
      <c r="X44" s="485" t="str">
        <f>""</f>
        <v/>
      </c>
      <c r="Y44" s="491" t="str">
        <f>VLOOKUP(Y40,schedule,12,FALSE)</f>
        <v>1. CSOPORTMÉRKŐZÉS</v>
      </c>
      <c r="AB44" s="327" t="str">
        <f>IF(C44="öngól",AC39,AB39)</f>
        <v>nevek.13</v>
      </c>
      <c r="AC44" s="327" t="str">
        <f>IF(H44="öngól",AB39,AC39)</f>
        <v>nevek.14</v>
      </c>
      <c r="AD44" s="327" t="str">
        <f>IF(J44="öngól",AE39,AD39)</f>
        <v>nevek.11</v>
      </c>
      <c r="AE44" s="327" t="str">
        <f>IF(O44="öngól",AD39,AE39)</f>
        <v>nevek.12</v>
      </c>
      <c r="AF44" s="325"/>
      <c r="AG44" s="485">
        <v>5</v>
      </c>
      <c r="AH44" s="488" t="b">
        <f ca="1">AND(W42,X43,D44="",AG44&lt;=W48)</f>
        <v>0</v>
      </c>
      <c r="AI44" s="488" t="b">
        <f ca="1">AND(W42,X43,E44="",AG44&lt;=W48)</f>
        <v>0</v>
      </c>
      <c r="AJ44" s="488" t="b">
        <f ca="1">AND(W42,X43,F44="",AG44&lt;=X48)</f>
        <v>0</v>
      </c>
      <c r="AK44" s="488" t="b">
        <f ca="1">AND(W42,X43,G44="",AG44&lt;=X48)</f>
        <v>0</v>
      </c>
      <c r="AL44" s="488" t="b">
        <f ca="1">AND(Y42,Z43,K44="",AG44&lt;=Y48)</f>
        <v>0</v>
      </c>
      <c r="AM44" s="488" t="b">
        <f ca="1">AND(Y42,Z43,L44="",AG44&lt;=Y48)</f>
        <v>0</v>
      </c>
      <c r="AN44" s="488" t="b">
        <f ca="1">AND(Y42,Z43,M44="",AG44&lt;=Z48)</f>
        <v>0</v>
      </c>
      <c r="AO44" s="488" t="b">
        <f ca="1">AND(Y42,Z43,N44="",AG44&lt;=Z48)</f>
        <v>0</v>
      </c>
      <c r="AQ44" s="326" t="str">
        <f>IF(OR(NOT(Góllista!$E$6),D44=""),"",IF(C44="öngól","ö"&amp;G39&amp;D44,D39&amp;D44))</f>
        <v/>
      </c>
      <c r="AR44" s="326" t="str">
        <f>IF(OR(NOT(Góllista!$E$6),G44=""),"",IF(H44="öngól","ö"&amp;D39&amp;G44,G39&amp;G44))</f>
        <v/>
      </c>
      <c r="AS44" s="326" t="str">
        <f>IF(OR(NOT(Góllista!$E$6),K44=""),"",IF(J44="öngól","ö"&amp;N39&amp;K44,K39&amp;K44))</f>
        <v/>
      </c>
      <c r="AT44" s="326" t="str">
        <f>IF(OR(NOT(Góllista!$E$6),N44=""),"",IF(O44="öngól","ö"&amp;K39&amp;N44,N39&amp;N44))</f>
        <v/>
      </c>
      <c r="AY44" s="323"/>
      <c r="BA44" s="323"/>
      <c r="BC44" s="323"/>
      <c r="BE44" s="323"/>
      <c r="BG44" s="323"/>
      <c r="BI44" s="323"/>
      <c r="BK44" s="323"/>
      <c r="BM44" s="323"/>
      <c r="BO44" s="323"/>
      <c r="BQ44" s="323"/>
      <c r="BS44" s="323"/>
      <c r="BU44" s="323"/>
      <c r="BW44" s="323"/>
      <c r="BY44" s="323"/>
      <c r="CA44" s="323"/>
      <c r="CC44" s="323"/>
      <c r="CE44" s="323"/>
      <c r="CG44" s="323"/>
      <c r="CI44" s="323"/>
      <c r="CK44" s="323"/>
      <c r="CM44" s="323"/>
      <c r="CO44" s="323"/>
      <c r="CQ44" s="323"/>
      <c r="CS44" s="323"/>
      <c r="CU44" s="323"/>
      <c r="CW44" s="323"/>
      <c r="CY44" s="323"/>
      <c r="DA44" s="323"/>
      <c r="DC44" s="323"/>
      <c r="DE44" s="323"/>
      <c r="DG44" s="323"/>
      <c r="DI44" s="323"/>
    </row>
    <row r="45" spans="1:115" ht="12" customHeight="1" x14ac:dyDescent="0.3">
      <c r="A45" s="765"/>
      <c r="C45" s="219"/>
      <c r="D45" s="220"/>
      <c r="E45" s="224"/>
      <c r="F45" s="222"/>
      <c r="G45" s="223"/>
      <c r="H45" s="219"/>
      <c r="J45" s="219"/>
      <c r="K45" s="220"/>
      <c r="L45" s="224"/>
      <c r="M45" s="222"/>
      <c r="N45" s="223"/>
      <c r="O45" s="219"/>
      <c r="V45" s="487" t="s">
        <v>1264</v>
      </c>
      <c r="W45" s="327" t="str">
        <f>VLOOKUP(W40,schedule,3,FALSE)</f>
        <v>D</v>
      </c>
      <c r="X45" s="485" t="str">
        <f>""</f>
        <v/>
      </c>
      <c r="Y45" s="327" t="str">
        <f>VLOOKUP(Y40,schedule,3,FALSE)</f>
        <v>C</v>
      </c>
      <c r="AB45" s="327" t="str">
        <f>IF(C45="öngól",AC39,AB39)</f>
        <v>nevek.13</v>
      </c>
      <c r="AC45" s="327" t="str">
        <f>IF(H45="öngól",AB39,AC39)</f>
        <v>nevek.14</v>
      </c>
      <c r="AD45" s="327" t="str">
        <f>IF(J45="öngól",AE39,AD39)</f>
        <v>nevek.11</v>
      </c>
      <c r="AE45" s="327" t="str">
        <f>IF(O45="öngól",AD39,AE39)</f>
        <v>nevek.12</v>
      </c>
      <c r="AF45" s="325"/>
      <c r="AG45" s="485">
        <v>6</v>
      </c>
      <c r="AH45" s="488" t="b">
        <f ca="1">AND(W42,X43,D45="",AG45&lt;=W48)</f>
        <v>0</v>
      </c>
      <c r="AI45" s="488" t="b">
        <f ca="1">AND(W42,X43,E45="",AG45&lt;=W48)</f>
        <v>0</v>
      </c>
      <c r="AJ45" s="488" t="b">
        <f ca="1">AND(W42,X43,F45="",AG45&lt;=X48)</f>
        <v>0</v>
      </c>
      <c r="AK45" s="488" t="b">
        <f ca="1">AND(W42,X43,G45="",AG45&lt;=X48)</f>
        <v>0</v>
      </c>
      <c r="AL45" s="488" t="b">
        <f ca="1">AND(Y42,Z43,K45="",AG45&lt;=Y48)</f>
        <v>0</v>
      </c>
      <c r="AM45" s="488" t="b">
        <f ca="1">AND(Y42,Z43,L45="",AG45&lt;=Y48)</f>
        <v>0</v>
      </c>
      <c r="AN45" s="488" t="b">
        <f ca="1">AND(Y42,Z43,M45="",AG45&lt;=Z48)</f>
        <v>0</v>
      </c>
      <c r="AO45" s="488" t="b">
        <f ca="1">AND(Y42,Z43,N45="",AG45&lt;=Z48)</f>
        <v>0</v>
      </c>
      <c r="AQ45" s="326" t="str">
        <f>IF(OR(NOT(Góllista!$E$6),D45=""),"",IF(C45="öngól","ö"&amp;G39&amp;D45,D39&amp;D45))</f>
        <v/>
      </c>
      <c r="AR45" s="326" t="str">
        <f>IF(OR(NOT(Góllista!$E$6),G45=""),"",IF(H45="öngól","ö"&amp;D39&amp;G45,G39&amp;G45))</f>
        <v/>
      </c>
      <c r="AS45" s="326" t="str">
        <f>IF(OR(NOT(Góllista!$E$6),K45=""),"",IF(J45="öngól","ö"&amp;N39&amp;K45,K39&amp;K45))</f>
        <v/>
      </c>
      <c r="AT45" s="326" t="str">
        <f>IF(OR(NOT(Góllista!$E$6),N45=""),"",IF(O45="öngól","ö"&amp;K39&amp;N45,N39&amp;N45))</f>
        <v/>
      </c>
      <c r="AY45" s="323"/>
      <c r="BA45" s="323"/>
      <c r="BC45" s="323"/>
      <c r="BE45" s="323"/>
      <c r="BG45" s="323"/>
      <c r="BI45" s="323"/>
      <c r="BK45" s="323"/>
      <c r="BM45" s="323"/>
      <c r="BO45" s="323"/>
      <c r="BQ45" s="323"/>
      <c r="BS45" s="323"/>
      <c r="BU45" s="323"/>
      <c r="BW45" s="323"/>
      <c r="BY45" s="323"/>
      <c r="CA45" s="323"/>
      <c r="CC45" s="323"/>
      <c r="CE45" s="323"/>
      <c r="CG45" s="323"/>
      <c r="CI45" s="323"/>
      <c r="CK45" s="323"/>
      <c r="CM45" s="323"/>
      <c r="CO45" s="323"/>
      <c r="CQ45" s="323"/>
      <c r="CS45" s="323"/>
      <c r="CU45" s="323"/>
      <c r="CW45" s="323"/>
      <c r="CY45" s="323"/>
      <c r="DA45" s="323"/>
      <c r="DC45" s="323"/>
      <c r="DE45" s="323"/>
      <c r="DG45" s="323"/>
      <c r="DI45" s="323"/>
    </row>
    <row r="46" spans="1:115" ht="12" customHeight="1" x14ac:dyDescent="0.3">
      <c r="A46" s="765"/>
      <c r="C46" s="219"/>
      <c r="D46" s="220"/>
      <c r="E46" s="224"/>
      <c r="F46" s="222"/>
      <c r="G46" s="223"/>
      <c r="H46" s="219"/>
      <c r="J46" s="219"/>
      <c r="K46" s="220"/>
      <c r="L46" s="224"/>
      <c r="M46" s="222"/>
      <c r="N46" s="223"/>
      <c r="O46" s="219"/>
      <c r="V46" s="485" t="s">
        <v>707</v>
      </c>
      <c r="W46" s="327">
        <f>IF(NOT(W42),0,E39-9+COUNTBLANK(D40:D48))</f>
        <v>0</v>
      </c>
      <c r="X46" s="327">
        <f>IF(NOT(W42),0,F39-9+COUNTBLANK(G40:G48))</f>
        <v>0</v>
      </c>
      <c r="Y46" s="327">
        <f>IF(NOT(Y42),0,L39-9+COUNTBLANK(K40:K48))</f>
        <v>0</v>
      </c>
      <c r="Z46" s="327">
        <f>IF(NOT(Y42),0,M39-9+COUNTBLANK(N40:N48))</f>
        <v>0</v>
      </c>
      <c r="AB46" s="327" t="str">
        <f>IF(C46="öngól",AC39,AB39)</f>
        <v>nevek.13</v>
      </c>
      <c r="AC46" s="327" t="str">
        <f>IF(H46="öngól",AB39,AC39)</f>
        <v>nevek.14</v>
      </c>
      <c r="AD46" s="327" t="str">
        <f>IF(J46="öngól",AE39,AD39)</f>
        <v>nevek.11</v>
      </c>
      <c r="AE46" s="327" t="str">
        <f>IF(O46="öngól",AD39,AE39)</f>
        <v>nevek.12</v>
      </c>
      <c r="AF46" s="325"/>
      <c r="AG46" s="485">
        <v>7</v>
      </c>
      <c r="AH46" s="488" t="b">
        <f ca="1">AND(W42,X43,D46="",AG46&lt;=W48)</f>
        <v>0</v>
      </c>
      <c r="AI46" s="488" t="b">
        <f ca="1">AND(W42,X43,E46="",AG46&lt;=W48)</f>
        <v>0</v>
      </c>
      <c r="AJ46" s="488" t="b">
        <f ca="1">AND(W42,X43,F46="",AG46&lt;=X48)</f>
        <v>0</v>
      </c>
      <c r="AK46" s="488" t="b">
        <f ca="1">AND(W42,X43,G46="",AG46&lt;=X48)</f>
        <v>0</v>
      </c>
      <c r="AL46" s="488" t="b">
        <f ca="1">AND(Y42,Z43,K46="",AG46&lt;=Y48)</f>
        <v>0</v>
      </c>
      <c r="AM46" s="488" t="b">
        <f ca="1">AND(Y42,Z43,L46="",AG46&lt;=Y48)</f>
        <v>0</v>
      </c>
      <c r="AN46" s="488" t="b">
        <f ca="1">AND(Y42,Z43,M46="",AG46&lt;=Z48)</f>
        <v>0</v>
      </c>
      <c r="AO46" s="488" t="b">
        <f ca="1">AND(Y42,Z43,N46="",AG46&lt;=Z48)</f>
        <v>0</v>
      </c>
      <c r="AQ46" s="326" t="str">
        <f>IF(OR(NOT(Góllista!$E$6),D46=""),"",IF(C46="öngól","ö"&amp;G39&amp;D46,D39&amp;D46))</f>
        <v/>
      </c>
      <c r="AR46" s="326" t="str">
        <f>IF(OR(NOT(Góllista!$E$6),G46=""),"",IF(H46="öngól","ö"&amp;D39&amp;G46,G39&amp;G46))</f>
        <v/>
      </c>
      <c r="AS46" s="326" t="str">
        <f>IF(OR(NOT(Góllista!$E$6),K46=""),"",IF(J46="öngól","ö"&amp;N39&amp;K46,K39&amp;K46))</f>
        <v/>
      </c>
      <c r="AT46" s="326" t="str">
        <f>IF(OR(NOT(Góllista!$E$6),N46=""),"",IF(O46="öngól","ö"&amp;K39&amp;N46,N39&amp;N46))</f>
        <v/>
      </c>
      <c r="AY46" s="323"/>
      <c r="BA46" s="323"/>
      <c r="BC46" s="323"/>
      <c r="BE46" s="323"/>
      <c r="BG46" s="323"/>
      <c r="BI46" s="323"/>
      <c r="BK46" s="323"/>
      <c r="BM46" s="323"/>
      <c r="BO46" s="323"/>
      <c r="BQ46" s="323"/>
      <c r="BS46" s="323"/>
      <c r="BU46" s="323"/>
      <c r="BW46" s="323"/>
      <c r="BY46" s="323"/>
      <c r="CA46" s="323"/>
      <c r="CC46" s="323"/>
      <c r="CE46" s="323"/>
      <c r="CG46" s="323"/>
      <c r="CI46" s="323"/>
      <c r="CK46" s="323"/>
      <c r="CM46" s="323"/>
      <c r="CO46" s="323"/>
      <c r="CQ46" s="323"/>
      <c r="CS46" s="323"/>
      <c r="CU46" s="323"/>
      <c r="CW46" s="323"/>
      <c r="CY46" s="323"/>
      <c r="DA46" s="323"/>
      <c r="DC46" s="323"/>
      <c r="DE46" s="323"/>
      <c r="DG46" s="323"/>
      <c r="DI46" s="323"/>
    </row>
    <row r="47" spans="1:115" ht="12" customHeight="1" x14ac:dyDescent="0.3">
      <c r="A47" s="765"/>
      <c r="C47" s="219"/>
      <c r="D47" s="220"/>
      <c r="E47" s="224"/>
      <c r="F47" s="222"/>
      <c r="G47" s="223"/>
      <c r="H47" s="219"/>
      <c r="J47" s="219"/>
      <c r="K47" s="220"/>
      <c r="L47" s="224"/>
      <c r="M47" s="222"/>
      <c r="N47" s="223"/>
      <c r="O47" s="219"/>
      <c r="V47" s="485" t="s">
        <v>708</v>
      </c>
      <c r="W47" s="411" t="str">
        <f>VLOOKUP(W40,schedule,8,FALSE)</f>
        <v>Anglia</v>
      </c>
      <c r="X47" s="411" t="str">
        <f>VLOOKUP(W40,schedule,9,FALSE)</f>
        <v>Horvátország</v>
      </c>
      <c r="Y47" s="411" t="str">
        <f>VLOOKUP(Y40,schedule,8,FALSE)</f>
        <v>Ausztria</v>
      </c>
      <c r="Z47" s="491" t="str">
        <f>VLOOKUP(Y40,schedule,9,FALSE)</f>
        <v>Észak-Macedónia</v>
      </c>
      <c r="AB47" s="327" t="str">
        <f>IF(C47="öngól",AC39,AB39)</f>
        <v>nevek.13</v>
      </c>
      <c r="AC47" s="327" t="str">
        <f>IF(H47="öngól",AB39,AC39)</f>
        <v>nevek.14</v>
      </c>
      <c r="AD47" s="327" t="str">
        <f>IF(J47="öngól",AE39,AD39)</f>
        <v>nevek.11</v>
      </c>
      <c r="AE47" s="327" t="str">
        <f>IF(O47="öngól",AD39,AE39)</f>
        <v>nevek.12</v>
      </c>
      <c r="AF47" s="325"/>
      <c r="AG47" s="485">
        <v>8</v>
      </c>
      <c r="AH47" s="488" t="b">
        <f ca="1">AND(W42,X43,D47="",AG47&lt;=W48)</f>
        <v>0</v>
      </c>
      <c r="AI47" s="488" t="b">
        <f ca="1">AND(W42,X43,E47="",AG47&lt;=W48)</f>
        <v>0</v>
      </c>
      <c r="AJ47" s="488" t="b">
        <f ca="1">AND(W42,X43,F47="",AG47&lt;=X48)</f>
        <v>0</v>
      </c>
      <c r="AK47" s="488" t="b">
        <f ca="1">AND(W42,X43,G47="",AG47&lt;=X48)</f>
        <v>0</v>
      </c>
      <c r="AL47" s="488" t="b">
        <f ca="1">AND(Y42,Z43,K47="",AG47&lt;=Y48)</f>
        <v>0</v>
      </c>
      <c r="AM47" s="488" t="b">
        <f ca="1">AND(Y42,Z43,L47="",AG47&lt;=Y48)</f>
        <v>0</v>
      </c>
      <c r="AN47" s="488" t="b">
        <f ca="1">AND(Y42,Z43,M47="",AG47&lt;=Z48)</f>
        <v>0</v>
      </c>
      <c r="AO47" s="488" t="b">
        <f ca="1">AND(Y42,Z43,N47="",AG47&lt;=Z48)</f>
        <v>0</v>
      </c>
      <c r="AQ47" s="326" t="str">
        <f>IF(OR(NOT(Góllista!$E$6),D47=""),"",IF(C47="öngól","ö"&amp;G39&amp;D47,D39&amp;D47))</f>
        <v/>
      </c>
      <c r="AR47" s="326" t="str">
        <f>IF(OR(NOT(Góllista!$E$6),G47=""),"",IF(H47="öngól","ö"&amp;D39&amp;G47,G39&amp;G47))</f>
        <v/>
      </c>
      <c r="AS47" s="326" t="str">
        <f>IF(OR(NOT(Góllista!$E$6),K47=""),"",IF(J47="öngól","ö"&amp;N39&amp;K47,K39&amp;K47))</f>
        <v/>
      </c>
      <c r="AT47" s="326" t="str">
        <f>IF(OR(NOT(Góllista!$E$6),N47=""),"",IF(O47="öngól","ö"&amp;K39&amp;N47,N39&amp;N47))</f>
        <v/>
      </c>
      <c r="AY47" s="323"/>
      <c r="BA47" s="323"/>
      <c r="BC47" s="323"/>
      <c r="BE47" s="323"/>
      <c r="BG47" s="323"/>
      <c r="BI47" s="323"/>
      <c r="BK47" s="323"/>
      <c r="BM47" s="323"/>
      <c r="BO47" s="323"/>
      <c r="BQ47" s="323"/>
      <c r="BS47" s="323"/>
      <c r="BU47" s="323"/>
      <c r="BW47" s="323"/>
      <c r="BY47" s="323"/>
      <c r="CA47" s="323"/>
      <c r="CC47" s="323"/>
      <c r="CE47" s="323"/>
      <c r="CG47" s="323"/>
      <c r="CI47" s="323"/>
      <c r="CK47" s="323"/>
      <c r="CM47" s="323"/>
      <c r="CO47" s="323"/>
      <c r="CQ47" s="323"/>
      <c r="CS47" s="323"/>
      <c r="CU47" s="323"/>
      <c r="CW47" s="323"/>
      <c r="CY47" s="323"/>
      <c r="DA47" s="323"/>
      <c r="DC47" s="323"/>
      <c r="DE47" s="323"/>
      <c r="DG47" s="323"/>
      <c r="DI47" s="323"/>
    </row>
    <row r="48" spans="1:115" ht="12" customHeight="1" x14ac:dyDescent="0.3">
      <c r="A48" s="765"/>
      <c r="C48" s="219"/>
      <c r="D48" s="220"/>
      <c r="E48" s="225"/>
      <c r="F48" s="222"/>
      <c r="G48" s="223"/>
      <c r="H48" s="219"/>
      <c r="J48" s="219"/>
      <c r="K48" s="220"/>
      <c r="L48" s="225"/>
      <c r="M48" s="222"/>
      <c r="N48" s="223"/>
      <c r="O48" s="219"/>
      <c r="V48" s="485" t="s">
        <v>709</v>
      </c>
      <c r="W48" s="492" t="str">
        <f>INDEX(n.er,W41,9)</f>
        <v/>
      </c>
      <c r="X48" s="493" t="str">
        <f>INDEX(n.er,W41,10)</f>
        <v/>
      </c>
      <c r="Y48" s="492" t="str">
        <f>INDEX(n.er,Y41,9)</f>
        <v/>
      </c>
      <c r="Z48" s="493" t="str">
        <f>INDEX(n.er,Y41,10)</f>
        <v/>
      </c>
      <c r="AB48" s="327" t="str">
        <f>IF(C48="öngól",AC39,AB39)</f>
        <v>nevek.13</v>
      </c>
      <c r="AC48" s="327" t="str">
        <f>IF(H48="öngól",AB39,AC39)</f>
        <v>nevek.14</v>
      </c>
      <c r="AD48" s="327" t="str">
        <f>IF(J48="öngól",AE39,AD39)</f>
        <v>nevek.11</v>
      </c>
      <c r="AE48" s="327" t="str">
        <f>IF(O48="öngól",AD39,AE39)</f>
        <v>nevek.12</v>
      </c>
      <c r="AF48" s="325"/>
      <c r="AG48" s="485">
        <v>9</v>
      </c>
      <c r="AH48" s="488" t="b">
        <f ca="1">AND(W42,X43,D48="",AG48&lt;=W48)</f>
        <v>0</v>
      </c>
      <c r="AI48" s="488" t="b">
        <f ca="1">AND(W42,X43,E48="",AG48&lt;=W48)</f>
        <v>0</v>
      </c>
      <c r="AJ48" s="488" t="b">
        <f ca="1">AND(W42,X43,F48="",AG48&lt;=X48)</f>
        <v>0</v>
      </c>
      <c r="AK48" s="488" t="b">
        <f ca="1">AND(W42,X43,G48="",AG48&lt;=X48)</f>
        <v>0</v>
      </c>
      <c r="AL48" s="488" t="b">
        <f ca="1">AND(Y42,Z43,K48="",AG48&lt;=Y48)</f>
        <v>0</v>
      </c>
      <c r="AM48" s="488" t="b">
        <f ca="1">AND(Y42,Z43,L48="",AG48&lt;=Y48)</f>
        <v>0</v>
      </c>
      <c r="AN48" s="488" t="b">
        <f ca="1">AND(Y42,Z43,M48="",AG48&lt;=Z48)</f>
        <v>0</v>
      </c>
      <c r="AO48" s="488" t="b">
        <f ca="1">AND(Y42,Z43,N48="",AG48&lt;=Z48)</f>
        <v>0</v>
      </c>
      <c r="AQ48" s="326" t="str">
        <f>IF(OR(NOT(Góllista!$E$6),D48=""),"",IF(C48="öngól","ö"&amp;G39&amp;D48,D39&amp;D48))</f>
        <v/>
      </c>
      <c r="AR48" s="326" t="str">
        <f>IF(OR(NOT(Góllista!$E$6),G48=""),"",IF(H48="öngól","ö"&amp;D39&amp;G48,G39&amp;G48))</f>
        <v/>
      </c>
      <c r="AS48" s="326" t="str">
        <f>IF(OR(NOT(Góllista!$E$6),K48=""),"",IF(J48="öngól","ö"&amp;N39&amp;K48,K39&amp;K48))</f>
        <v/>
      </c>
      <c r="AT48" s="326" t="str">
        <f>IF(OR(NOT(Góllista!$E$6),N48=""),"",IF(O48="öngól","ö"&amp;K39&amp;N48,N39&amp;N48))</f>
        <v/>
      </c>
      <c r="AY48" s="323"/>
      <c r="BA48" s="323"/>
      <c r="BC48" s="323"/>
      <c r="BE48" s="323"/>
      <c r="BG48" s="323"/>
      <c r="BI48" s="323"/>
      <c r="BK48" s="323"/>
      <c r="BM48" s="323"/>
      <c r="BO48" s="323"/>
      <c r="BQ48" s="323"/>
      <c r="BS48" s="323"/>
      <c r="BU48" s="323"/>
      <c r="BW48" s="323"/>
      <c r="BY48" s="323"/>
      <c r="CA48" s="323"/>
      <c r="CC48" s="323"/>
      <c r="CE48" s="323"/>
      <c r="CG48" s="323"/>
      <c r="CI48" s="323"/>
      <c r="CK48" s="323"/>
      <c r="CM48" s="323"/>
      <c r="CO48" s="323"/>
      <c r="CQ48" s="323"/>
      <c r="CS48" s="323"/>
      <c r="CU48" s="323"/>
      <c r="CW48" s="323"/>
      <c r="CY48" s="323"/>
      <c r="DA48" s="323"/>
      <c r="DC48" s="323"/>
      <c r="DE48" s="323"/>
      <c r="DG48" s="323"/>
      <c r="DI48" s="323"/>
    </row>
    <row r="49" spans="1:115" ht="12" customHeight="1" x14ac:dyDescent="0.3">
      <c r="A49" s="765"/>
      <c r="C49" s="768"/>
      <c r="D49" s="768"/>
      <c r="E49" s="768"/>
      <c r="F49" s="768"/>
      <c r="G49" s="768"/>
      <c r="H49" s="768"/>
      <c r="J49" s="768"/>
      <c r="K49" s="768"/>
      <c r="L49" s="768"/>
      <c r="M49" s="768"/>
      <c r="N49" s="768"/>
      <c r="O49" s="768"/>
      <c r="AY49" s="323"/>
      <c r="BA49" s="323"/>
      <c r="BC49" s="323"/>
      <c r="BE49" s="323"/>
      <c r="BG49" s="323"/>
      <c r="BI49" s="323"/>
      <c r="BK49" s="323"/>
      <c r="BM49" s="323"/>
      <c r="BO49" s="323"/>
      <c r="BQ49" s="323"/>
      <c r="BS49" s="323"/>
      <c r="BU49" s="323"/>
      <c r="BW49" s="323"/>
      <c r="BY49" s="323"/>
      <c r="CA49" s="323"/>
      <c r="CC49" s="323"/>
      <c r="CE49" s="323"/>
      <c r="CG49" s="323"/>
      <c r="CI49" s="323"/>
      <c r="CK49" s="323"/>
      <c r="CM49" s="323"/>
      <c r="CO49" s="323"/>
      <c r="CQ49" s="323"/>
      <c r="CS49" s="323"/>
      <c r="CU49" s="323"/>
      <c r="CW49" s="323"/>
      <c r="CY49" s="323"/>
      <c r="DA49" s="323"/>
      <c r="DC49" s="323"/>
      <c r="DE49" s="323"/>
      <c r="DG49" s="323"/>
      <c r="DI49" s="323"/>
    </row>
    <row r="50" spans="1:115" ht="12" hidden="1" customHeight="1" x14ac:dyDescent="0.3">
      <c r="A50" s="765"/>
      <c r="C50" s="767"/>
      <c r="D50" s="767"/>
      <c r="E50" s="767"/>
      <c r="F50" s="767"/>
      <c r="G50" s="767"/>
      <c r="H50" s="767"/>
      <c r="J50" s="767"/>
      <c r="K50" s="767"/>
      <c r="L50" s="767"/>
      <c r="M50" s="767"/>
      <c r="N50" s="767"/>
      <c r="O50" s="767"/>
      <c r="AY50" s="323"/>
      <c r="BA50" s="323"/>
      <c r="BC50" s="323"/>
      <c r="BE50" s="323"/>
      <c r="BG50" s="323"/>
      <c r="BI50" s="323"/>
      <c r="BK50" s="323"/>
      <c r="BM50" s="323"/>
      <c r="BO50" s="323"/>
      <c r="BQ50" s="323"/>
      <c r="BS50" s="323"/>
      <c r="BU50" s="323"/>
      <c r="BW50" s="323"/>
      <c r="BY50" s="323"/>
      <c r="CA50" s="323"/>
      <c r="CC50" s="323"/>
      <c r="CE50" s="323"/>
      <c r="CG50" s="323"/>
      <c r="CI50" s="323"/>
      <c r="CK50" s="323"/>
      <c r="CM50" s="323"/>
      <c r="CO50" s="323"/>
      <c r="CQ50" s="323"/>
      <c r="CS50" s="323"/>
      <c r="CU50" s="323"/>
      <c r="CW50" s="323"/>
      <c r="CY50" s="323"/>
      <c r="DA50" s="323"/>
      <c r="DC50" s="323"/>
      <c r="DE50" s="323"/>
      <c r="DG50" s="323"/>
      <c r="DI50" s="323"/>
    </row>
    <row r="51" spans="1:115" ht="12" hidden="1" customHeight="1" x14ac:dyDescent="0.3">
      <c r="A51" s="765"/>
      <c r="C51" s="767"/>
      <c r="D51" s="767"/>
      <c r="E51" s="767"/>
      <c r="F51" s="767"/>
      <c r="G51" s="767"/>
      <c r="H51" s="767"/>
      <c r="J51" s="767"/>
      <c r="K51" s="767"/>
      <c r="L51" s="767"/>
      <c r="M51" s="767"/>
      <c r="N51" s="767"/>
      <c r="O51" s="767"/>
      <c r="AY51" s="323"/>
      <c r="BA51" s="323"/>
      <c r="BC51" s="323"/>
      <c r="BE51" s="323"/>
      <c r="BG51" s="323"/>
      <c r="BI51" s="323"/>
      <c r="BK51" s="323"/>
      <c r="BM51" s="323"/>
      <c r="BO51" s="323"/>
      <c r="BQ51" s="323"/>
      <c r="BS51" s="323"/>
      <c r="BU51" s="323"/>
      <c r="BW51" s="323"/>
      <c r="BY51" s="323"/>
      <c r="CA51" s="323"/>
      <c r="CC51" s="323"/>
      <c r="CE51" s="323"/>
      <c r="CG51" s="323"/>
      <c r="CI51" s="323"/>
      <c r="CK51" s="323"/>
      <c r="CM51" s="323"/>
      <c r="CO51" s="323"/>
      <c r="CQ51" s="323"/>
      <c r="CS51" s="323"/>
      <c r="CU51" s="323"/>
      <c r="CW51" s="323"/>
      <c r="CY51" s="323"/>
      <c r="DA51" s="323"/>
      <c r="DC51" s="323"/>
      <c r="DE51" s="323"/>
      <c r="DG51" s="323"/>
      <c r="DI51" s="323"/>
    </row>
    <row r="52" spans="1:115" ht="10.5" customHeight="1" x14ac:dyDescent="0.3">
      <c r="A52" s="765"/>
      <c r="AY52" s="323"/>
      <c r="BA52" s="323"/>
      <c r="BC52" s="323"/>
      <c r="BE52" s="323"/>
      <c r="BG52" s="323"/>
      <c r="BI52" s="323"/>
      <c r="BK52" s="323"/>
      <c r="BM52" s="323"/>
      <c r="BO52" s="323"/>
      <c r="BQ52" s="323"/>
      <c r="BS52" s="323"/>
      <c r="BU52" s="323"/>
      <c r="BW52" s="323"/>
      <c r="BY52" s="323"/>
      <c r="CA52" s="323"/>
      <c r="CC52" s="323"/>
      <c r="CE52" s="323"/>
      <c r="CG52" s="323"/>
      <c r="CI52" s="323"/>
      <c r="CK52" s="323"/>
      <c r="CM52" s="323"/>
      <c r="CO52" s="323"/>
      <c r="CQ52" s="323"/>
      <c r="CS52" s="323"/>
      <c r="CU52" s="323"/>
      <c r="CW52" s="323"/>
      <c r="CY52" s="323"/>
      <c r="DA52" s="323"/>
      <c r="DC52" s="323"/>
      <c r="DE52" s="323"/>
      <c r="DG52" s="323"/>
      <c r="DI52" s="323"/>
    </row>
    <row r="53" spans="1:115" ht="6" customHeight="1" x14ac:dyDescent="0.3">
      <c r="A53" s="765"/>
      <c r="AQ53" s="323"/>
      <c r="AR53" s="323"/>
      <c r="AS53" s="323"/>
      <c r="AT53" s="323"/>
      <c r="AY53" s="323"/>
      <c r="BA53" s="323"/>
      <c r="BC53" s="323"/>
      <c r="BE53" s="323"/>
      <c r="BG53" s="323"/>
      <c r="BI53" s="323"/>
      <c r="BK53" s="323"/>
      <c r="BM53" s="323"/>
      <c r="BO53" s="323"/>
      <c r="BQ53" s="323"/>
      <c r="BS53" s="323"/>
      <c r="BU53" s="323"/>
      <c r="BW53" s="323"/>
      <c r="BY53" s="323"/>
      <c r="CA53" s="323"/>
      <c r="CC53" s="323"/>
      <c r="CE53" s="323"/>
      <c r="CG53" s="323"/>
      <c r="CI53" s="323"/>
      <c r="CK53" s="323"/>
      <c r="CM53" s="323"/>
      <c r="CO53" s="323"/>
      <c r="CQ53" s="323"/>
      <c r="CS53" s="323"/>
      <c r="CU53" s="323"/>
      <c r="CW53" s="323"/>
      <c r="CY53" s="323"/>
      <c r="DA53" s="323"/>
      <c r="DC53" s="323"/>
      <c r="DE53" s="323"/>
      <c r="DG53" s="323"/>
      <c r="DI53" s="323"/>
    </row>
    <row r="54" spans="1:115" ht="12" customHeight="1" x14ac:dyDescent="0.3">
      <c r="A54" s="765"/>
      <c r="C54" s="247" t="str">
        <f>W59</f>
        <v>JÚNIUS 13. – VASÁRNAP 21:00</v>
      </c>
      <c r="D54" s="227"/>
      <c r="E54" s="228"/>
      <c r="F54" s="229"/>
      <c r="G54" s="230"/>
      <c r="H54" s="231" t="str">
        <f>W60</f>
        <v>1. CSOPORTMÉRKŐZÉS</v>
      </c>
      <c r="I54" s="138"/>
      <c r="J54" s="246" t="str">
        <f>Y59</f>
        <v>JÚNIUS 14. – HÉTFŐ 15:00</v>
      </c>
      <c r="K54" s="227"/>
      <c r="L54" s="228"/>
      <c r="M54" s="229"/>
      <c r="N54" s="230"/>
      <c r="O54" s="226" t="str">
        <f>Y60</f>
        <v>1. CSOPORTMÉRKŐZÉS</v>
      </c>
      <c r="AQ54" s="323"/>
      <c r="AR54" s="323"/>
      <c r="AS54" s="323"/>
      <c r="AT54" s="323"/>
      <c r="AY54" s="323"/>
      <c r="BA54" s="323"/>
      <c r="BC54" s="323"/>
      <c r="BE54" s="323"/>
      <c r="BG54" s="323"/>
      <c r="BI54" s="323"/>
      <c r="BK54" s="323"/>
      <c r="BM54" s="323"/>
      <c r="BO54" s="323"/>
      <c r="BQ54" s="323"/>
      <c r="BS54" s="323"/>
      <c r="BU54" s="323"/>
      <c r="BW54" s="323"/>
      <c r="BY54" s="323"/>
      <c r="CA54" s="323"/>
      <c r="CC54" s="323"/>
      <c r="CE54" s="323"/>
      <c r="CG54" s="323"/>
      <c r="CI54" s="323"/>
      <c r="CK54" s="323"/>
      <c r="CM54" s="323"/>
      <c r="CO54" s="323"/>
      <c r="CQ54" s="323"/>
      <c r="CS54" s="323"/>
      <c r="CU54" s="323"/>
      <c r="CW54" s="323"/>
      <c r="CY54" s="323"/>
      <c r="DA54" s="323"/>
      <c r="DC54" s="323"/>
      <c r="DE54" s="323"/>
      <c r="DG54" s="323"/>
      <c r="DI54" s="323"/>
    </row>
    <row r="55" spans="1:115" s="138" customFormat="1" ht="14.25" customHeight="1" x14ac:dyDescent="0.3">
      <c r="A55" s="765"/>
      <c r="B55" s="137"/>
      <c r="C55" s="233" t="str">
        <f>IF(W62=0,"",IF(W62&gt;0,CONCATENATE("még ",W62," gól"),CONCATENATE("túl sok (",W62," gól)")))</f>
        <v/>
      </c>
      <c r="D55" s="714" t="str">
        <f>W63</f>
        <v>Hollandia</v>
      </c>
      <c r="E55" s="716" t="str">
        <f>W64</f>
        <v/>
      </c>
      <c r="F55" s="717" t="str">
        <f>X64</f>
        <v/>
      </c>
      <c r="G55" s="715" t="str">
        <f>X63</f>
        <v>Ukrajna</v>
      </c>
      <c r="H55" s="232" t="str">
        <f>IF(X62=0,"",IF(X62&gt;0,CONCATENATE("még ",X62," gól"),CONCATENATE("túl sok (",X62," gól)")))</f>
        <v/>
      </c>
      <c r="I55" s="127"/>
      <c r="J55" s="233" t="str">
        <f>IF(Y62=0,"",IF(Y62&gt;0,CONCATENATE("még ",Y62," gól"),CONCATENATE("túl sok (",Y62," gól)")))</f>
        <v/>
      </c>
      <c r="K55" s="714" t="str">
        <f>Y63</f>
        <v>Skócia</v>
      </c>
      <c r="L55" s="716" t="str">
        <f>Y64</f>
        <v/>
      </c>
      <c r="M55" s="717" t="str">
        <f>Z64</f>
        <v/>
      </c>
      <c r="N55" s="715" t="str">
        <f>Z63</f>
        <v>Csehország</v>
      </c>
      <c r="O55" s="232" t="str">
        <f>IF(Z62=0,"",IF(Z62&gt;0,CONCATENATE("még ",Z62," gól"),CONCATENATE("túl sok (",Z62," gól)")))</f>
        <v/>
      </c>
      <c r="P55" s="139"/>
      <c r="Q55" s="140"/>
      <c r="R55" s="141"/>
      <c r="S55" s="141"/>
      <c r="T55" s="484"/>
      <c r="U55" s="485"/>
      <c r="V55" s="485"/>
      <c r="W55" s="485"/>
      <c r="X55" s="485"/>
      <c r="Y55" s="485"/>
      <c r="Z55" s="485"/>
      <c r="AA55" s="485"/>
      <c r="AB55" s="242" t="str">
        <f>HLOOKUP(D55,nevek.li,2,FALSE)</f>
        <v>nevek.09</v>
      </c>
      <c r="AC55" s="242" t="str">
        <f>HLOOKUP(G55,nevek.li,2,FALSE)</f>
        <v>nevek.10</v>
      </c>
      <c r="AD55" s="242" t="str">
        <f>HLOOKUP(K55,nevek.li,2,FALSE)</f>
        <v>nevek.15</v>
      </c>
      <c r="AE55" s="242" t="str">
        <f>HLOOKUP(N55,nevek.li,2,FALSE)</f>
        <v>nevek.16</v>
      </c>
      <c r="AF55" s="485"/>
      <c r="AG55" s="485"/>
      <c r="AH55" s="485"/>
      <c r="AI55" s="485"/>
      <c r="AJ55" s="485"/>
      <c r="AK55" s="485"/>
      <c r="AL55" s="485"/>
      <c r="AM55" s="485"/>
      <c r="AN55" s="485"/>
      <c r="AO55" s="485"/>
      <c r="AP55" s="485"/>
      <c r="AQ55" s="485"/>
      <c r="AR55" s="485"/>
      <c r="AS55" s="485"/>
      <c r="AT55" s="485"/>
      <c r="AU55" s="485"/>
      <c r="AV55" s="500"/>
      <c r="AW55" s="323"/>
      <c r="AX55" s="323"/>
      <c r="AY55" s="323"/>
      <c r="AZ55" s="323"/>
      <c r="BA55" s="323"/>
      <c r="BB55" s="323"/>
      <c r="BC55" s="323"/>
      <c r="BD55" s="323"/>
      <c r="BE55" s="323"/>
      <c r="BF55" s="323"/>
      <c r="BG55" s="323"/>
      <c r="BH55" s="323"/>
      <c r="BI55" s="323"/>
      <c r="BJ55" s="323"/>
      <c r="BK55" s="323"/>
      <c r="BL55" s="323"/>
      <c r="BM55" s="323"/>
      <c r="BN55" s="323"/>
      <c r="BO55" s="323"/>
      <c r="BP55" s="323"/>
      <c r="BQ55" s="323"/>
      <c r="BR55" s="323"/>
      <c r="BS55" s="323"/>
      <c r="BT55" s="323"/>
      <c r="BU55" s="323"/>
      <c r="BV55" s="323"/>
      <c r="BW55" s="323"/>
      <c r="BX55" s="323"/>
      <c r="BY55" s="323"/>
      <c r="BZ55" s="323"/>
      <c r="CA55" s="323"/>
      <c r="CB55" s="323"/>
      <c r="CC55" s="323"/>
      <c r="CD55" s="323"/>
      <c r="CE55" s="323"/>
      <c r="CF55" s="323"/>
      <c r="CG55" s="323"/>
      <c r="CH55" s="323"/>
      <c r="CI55" s="323"/>
      <c r="CJ55" s="323"/>
      <c r="CK55" s="323"/>
      <c r="CL55" s="323"/>
      <c r="CM55" s="323"/>
      <c r="CN55" s="323"/>
      <c r="CO55" s="323"/>
      <c r="CP55" s="323"/>
      <c r="CQ55" s="323"/>
      <c r="CR55" s="323"/>
      <c r="CS55" s="323"/>
      <c r="CT55" s="323"/>
      <c r="CU55" s="323"/>
      <c r="CV55" s="323"/>
      <c r="CW55" s="323"/>
      <c r="CX55" s="323"/>
      <c r="CY55" s="323"/>
      <c r="CZ55" s="323"/>
      <c r="DA55" s="323"/>
      <c r="DB55" s="323"/>
      <c r="DC55" s="323"/>
      <c r="DD55" s="323"/>
      <c r="DE55" s="323"/>
      <c r="DF55" s="323"/>
      <c r="DG55" s="323"/>
      <c r="DH55" s="323"/>
      <c r="DI55" s="323"/>
      <c r="DJ55" s="323"/>
      <c r="DK55" s="500"/>
    </row>
    <row r="56" spans="1:115" ht="12" customHeight="1" x14ac:dyDescent="0.3">
      <c r="A56" s="765"/>
      <c r="C56" s="218"/>
      <c r="D56" s="220"/>
      <c r="E56" s="221"/>
      <c r="F56" s="222"/>
      <c r="G56" s="223"/>
      <c r="H56" s="218"/>
      <c r="J56" s="218"/>
      <c r="K56" s="220"/>
      <c r="L56" s="221"/>
      <c r="M56" s="222"/>
      <c r="N56" s="223"/>
      <c r="O56" s="218"/>
      <c r="V56" s="487" t="s">
        <v>706</v>
      </c>
      <c r="W56" s="242">
        <v>7</v>
      </c>
      <c r="X56" s="485" t="str">
        <f>""</f>
        <v/>
      </c>
      <c r="Y56" s="242">
        <v>8</v>
      </c>
      <c r="AB56" s="327" t="str">
        <f>IF(C56="öngól",AC55,AB55)</f>
        <v>nevek.09</v>
      </c>
      <c r="AC56" s="327" t="str">
        <f>IF(H56="öngól",AB55,AC55)</f>
        <v>nevek.10</v>
      </c>
      <c r="AD56" s="327" t="str">
        <f>IF(J56="öngól",AE55,AD55)</f>
        <v>nevek.15</v>
      </c>
      <c r="AE56" s="327" t="str">
        <f>IF(O56="öngól",AD55,AE55)</f>
        <v>nevek.16</v>
      </c>
      <c r="AF56" s="325"/>
      <c r="AG56" s="485">
        <v>1</v>
      </c>
      <c r="AH56" s="488" t="b">
        <f ca="1">AND(W58,X59,D56="",AG56&lt;=W64)</f>
        <v>0</v>
      </c>
      <c r="AI56" s="488" t="b">
        <f ca="1">AND(W58,X59,E56="",AG56&lt;=W64)</f>
        <v>0</v>
      </c>
      <c r="AJ56" s="488" t="b">
        <f ca="1">AND(W58,X59,F56="",AG56&lt;=X64)</f>
        <v>0</v>
      </c>
      <c r="AK56" s="488" t="b">
        <f ca="1">AND(W58,X59,G56="",AG56&lt;=X64)</f>
        <v>0</v>
      </c>
      <c r="AL56" s="488" t="b">
        <f ca="1">AND(Y58,Z59,K56="",AG56&lt;=Y64)</f>
        <v>0</v>
      </c>
      <c r="AM56" s="488" t="b">
        <f ca="1">AND(Y58,Z59,L56="",AG56&lt;=Y64)</f>
        <v>0</v>
      </c>
      <c r="AN56" s="488" t="b">
        <f ca="1">AND(Y58,Z59,M56="",AG56&lt;=Z64)</f>
        <v>0</v>
      </c>
      <c r="AO56" s="488" t="b">
        <f ca="1">AND(Y58,Z59,N56="",AG56&lt;=Z64)</f>
        <v>0</v>
      </c>
      <c r="AQ56" s="326" t="str">
        <f>IF(OR(NOT(Góllista!$E$6),D56=""),"",IF(C56="öngól","ö"&amp;G55&amp;D56,D55&amp;D56))</f>
        <v/>
      </c>
      <c r="AR56" s="326" t="str">
        <f>IF(OR(NOT(Góllista!$E$6),G56=""),"",IF(H56="öngól","ö"&amp;D55&amp;G56,G55&amp;G56))</f>
        <v/>
      </c>
      <c r="AS56" s="326" t="str">
        <f>IF(OR(NOT(Góllista!$E$6),K56=""),"",IF(J56="öngól","ö"&amp;N55&amp;K56,K55&amp;K56))</f>
        <v/>
      </c>
      <c r="AT56" s="326" t="str">
        <f>IF(OR(NOT(Góllista!$E$6),N56=""),"",IF(O56="öngól","ö"&amp;K55&amp;N56,N55&amp;N56))</f>
        <v/>
      </c>
      <c r="AY56" s="323"/>
      <c r="BA56" s="323"/>
      <c r="BC56" s="323"/>
      <c r="BE56" s="323"/>
      <c r="BG56" s="323"/>
      <c r="BI56" s="323"/>
      <c r="BK56" s="323"/>
      <c r="BM56" s="323"/>
      <c r="BO56" s="323"/>
      <c r="BQ56" s="323"/>
      <c r="BS56" s="323"/>
      <c r="BU56" s="323"/>
      <c r="BW56" s="323"/>
      <c r="BY56" s="323"/>
      <c r="CA56" s="323"/>
      <c r="CC56" s="323"/>
      <c r="CE56" s="323"/>
      <c r="CG56" s="323"/>
      <c r="CI56" s="323"/>
      <c r="CK56" s="323"/>
      <c r="CM56" s="323"/>
      <c r="CO56" s="323"/>
      <c r="CQ56" s="323"/>
      <c r="CS56" s="323"/>
      <c r="CU56" s="323"/>
      <c r="CW56" s="323"/>
      <c r="CY56" s="323"/>
      <c r="DA56" s="323"/>
      <c r="DC56" s="323"/>
      <c r="DE56" s="323"/>
      <c r="DG56" s="323"/>
      <c r="DI56" s="323"/>
    </row>
    <row r="57" spans="1:115" ht="12" customHeight="1" x14ac:dyDescent="0.3">
      <c r="A57" s="765"/>
      <c r="C57" s="219"/>
      <c r="D57" s="220"/>
      <c r="E57" s="224"/>
      <c r="F57" s="222"/>
      <c r="G57" s="223"/>
      <c r="H57" s="219"/>
      <c r="J57" s="219"/>
      <c r="K57" s="220"/>
      <c r="L57" s="224"/>
      <c r="M57" s="222"/>
      <c r="N57" s="223"/>
      <c r="O57" s="219"/>
      <c r="V57" s="487" t="s">
        <v>711</v>
      </c>
      <c r="W57" s="327">
        <f>MATCH(W56,n.er.index,0)</f>
        <v>15</v>
      </c>
      <c r="X57" s="485" t="str">
        <f>""</f>
        <v/>
      </c>
      <c r="Y57" s="327">
        <f>MATCH(Y56,n.er.index,0)</f>
        <v>20</v>
      </c>
      <c r="AB57" s="327" t="str">
        <f>IF(C57="öngól",AC55,AB55)</f>
        <v>nevek.09</v>
      </c>
      <c r="AC57" s="327" t="str">
        <f>IF(H57="öngól",AB55,AC55)</f>
        <v>nevek.10</v>
      </c>
      <c r="AD57" s="327" t="str">
        <f>IF(J57="öngól",AE55,AD55)</f>
        <v>nevek.15</v>
      </c>
      <c r="AE57" s="327" t="str">
        <f>IF(O57="öngól",AD55,AE55)</f>
        <v>nevek.16</v>
      </c>
      <c r="AF57" s="325"/>
      <c r="AG57" s="485">
        <v>2</v>
      </c>
      <c r="AH57" s="488" t="b">
        <f ca="1">AND(W58,X59,D57="",AG57&lt;=W64)</f>
        <v>0</v>
      </c>
      <c r="AI57" s="488" t="b">
        <f ca="1">AND(W58,X59,E57="",AG57&lt;=W64)</f>
        <v>0</v>
      </c>
      <c r="AJ57" s="488" t="b">
        <f ca="1">AND(W58,X59,F57="",AG57&lt;=X64)</f>
        <v>0</v>
      </c>
      <c r="AK57" s="488" t="b">
        <f ca="1">AND(W58,X59,G57="",AG57&lt;=X64)</f>
        <v>0</v>
      </c>
      <c r="AL57" s="488" t="b">
        <f ca="1">AND(Y58,Z59,K57="",AG57&lt;=Y64)</f>
        <v>0</v>
      </c>
      <c r="AM57" s="488" t="b">
        <f ca="1">AND(Y58,Z59,L57="",AG57&lt;=Y64)</f>
        <v>0</v>
      </c>
      <c r="AN57" s="488" t="b">
        <f ca="1">AND(Y58,Z59,M57="",AG57&lt;=Z64)</f>
        <v>0</v>
      </c>
      <c r="AO57" s="488" t="b">
        <f ca="1">AND(Y58,Z59,N57="",AG57&lt;=Z64)</f>
        <v>0</v>
      </c>
      <c r="AQ57" s="326" t="str">
        <f>IF(OR(NOT(Góllista!$E$6),D57=""),"",IF(C57="öngól","ö"&amp;G55&amp;D57,D55&amp;D57))</f>
        <v/>
      </c>
      <c r="AR57" s="326" t="str">
        <f>IF(OR(NOT(Góllista!$E$6),G57=""),"",IF(H57="öngól","ö"&amp;D55&amp;G57,G55&amp;G57))</f>
        <v/>
      </c>
      <c r="AS57" s="326" t="str">
        <f>IF(OR(NOT(Góllista!$E$6),K57=""),"",IF(J57="öngól","ö"&amp;N55&amp;K57,K55&amp;K57))</f>
        <v/>
      </c>
      <c r="AT57" s="326" t="str">
        <f>IF(OR(NOT(Góllista!$E$6),N57=""),"",IF(O57="öngól","ö"&amp;K55&amp;N57,N55&amp;N57))</f>
        <v/>
      </c>
      <c r="AY57" s="323"/>
      <c r="BA57" s="323"/>
      <c r="BC57" s="323"/>
      <c r="BE57" s="323"/>
      <c r="BG57" s="323"/>
      <c r="BI57" s="323"/>
      <c r="BK57" s="323"/>
      <c r="BM57" s="323"/>
      <c r="BO57" s="323"/>
      <c r="BQ57" s="323"/>
      <c r="BS57" s="323"/>
      <c r="BU57" s="323"/>
      <c r="BW57" s="323"/>
      <c r="BY57" s="323"/>
      <c r="CA57" s="323"/>
      <c r="CC57" s="323"/>
      <c r="CE57" s="323"/>
      <c r="CG57" s="323"/>
      <c r="CI57" s="323"/>
      <c r="CK57" s="323"/>
      <c r="CM57" s="323"/>
      <c r="CO57" s="323"/>
      <c r="CQ57" s="323"/>
      <c r="CS57" s="323"/>
      <c r="CU57" s="323"/>
      <c r="CW57" s="323"/>
      <c r="CY57" s="323"/>
      <c r="DA57" s="323"/>
      <c r="DC57" s="323"/>
      <c r="DE57" s="323"/>
      <c r="DG57" s="323"/>
      <c r="DI57" s="323"/>
    </row>
    <row r="58" spans="1:115" ht="12" customHeight="1" x14ac:dyDescent="0.3">
      <c r="A58" s="765"/>
      <c r="C58" s="219"/>
      <c r="D58" s="220"/>
      <c r="E58" s="224"/>
      <c r="F58" s="222"/>
      <c r="G58" s="223"/>
      <c r="H58" s="219"/>
      <c r="J58" s="219"/>
      <c r="K58" s="220"/>
      <c r="L58" s="224"/>
      <c r="M58" s="222"/>
      <c r="N58" s="223"/>
      <c r="O58" s="219"/>
      <c r="V58" s="487" t="s">
        <v>710</v>
      </c>
      <c r="W58" s="489" t="b">
        <f>INDEX(n.er,W57,3)</f>
        <v>0</v>
      </c>
      <c r="X58" s="485" t="str">
        <f>""</f>
        <v/>
      </c>
      <c r="Y58" s="489" t="b">
        <f>INDEX(n.er,Y57,3)</f>
        <v>0</v>
      </c>
      <c r="AB58" s="327" t="str">
        <f>IF(C58="öngól",AC55,AB55)</f>
        <v>nevek.09</v>
      </c>
      <c r="AC58" s="327" t="str">
        <f>IF(H58="öngól",AB55,AC55)</f>
        <v>nevek.10</v>
      </c>
      <c r="AD58" s="327" t="str">
        <f>IF(J58="öngól",AE55,AD55)</f>
        <v>nevek.15</v>
      </c>
      <c r="AE58" s="327" t="str">
        <f>IF(O58="öngól",AD55,AE55)</f>
        <v>nevek.16</v>
      </c>
      <c r="AF58" s="325"/>
      <c r="AG58" s="485">
        <v>3</v>
      </c>
      <c r="AH58" s="488" t="b">
        <f ca="1">AND(W58,X59,D58="",AG58&lt;=W64)</f>
        <v>0</v>
      </c>
      <c r="AI58" s="488" t="b">
        <f ca="1">AND(W58,X59,E58="",AG58&lt;=W64)</f>
        <v>0</v>
      </c>
      <c r="AJ58" s="488" t="b">
        <f ca="1">AND(W58,X59,F58="",AG58&lt;=X64)</f>
        <v>0</v>
      </c>
      <c r="AK58" s="488" t="b">
        <f ca="1">AND(W58,X59,G58="",AG58&lt;=X64)</f>
        <v>0</v>
      </c>
      <c r="AL58" s="488" t="b">
        <f ca="1">AND(Y58,Z59,K58="",AG58&lt;=Y64)</f>
        <v>0</v>
      </c>
      <c r="AM58" s="488" t="b">
        <f ca="1">AND(Y58,Z59,L58="",AG58&lt;=Y64)</f>
        <v>0</v>
      </c>
      <c r="AN58" s="488" t="b">
        <f ca="1">AND(Y58,Z59,M58="",AG58&lt;=Z64)</f>
        <v>0</v>
      </c>
      <c r="AO58" s="488" t="b">
        <f ca="1">AND(Y58,Z59,N58="",AG58&lt;=Z64)</f>
        <v>0</v>
      </c>
      <c r="AQ58" s="326" t="str">
        <f>IF(OR(NOT(Góllista!$E$6),D58=""),"",IF(C58="öngól","ö"&amp;G55&amp;D58,D55&amp;D58))</f>
        <v/>
      </c>
      <c r="AR58" s="326" t="str">
        <f>IF(OR(NOT(Góllista!$E$6),G58=""),"",IF(H58="öngól","ö"&amp;D55&amp;G58,G55&amp;G58))</f>
        <v/>
      </c>
      <c r="AS58" s="326" t="str">
        <f>IF(OR(NOT(Góllista!$E$6),K58=""),"",IF(J58="öngól","ö"&amp;N55&amp;K58,K55&amp;K58))</f>
        <v/>
      </c>
      <c r="AT58" s="326" t="str">
        <f>IF(OR(NOT(Góllista!$E$6),N58=""),"",IF(O58="öngól","ö"&amp;K55&amp;N58,N55&amp;N58))</f>
        <v/>
      </c>
      <c r="AY58" s="323"/>
      <c r="BA58" s="323"/>
      <c r="BC58" s="323"/>
      <c r="BE58" s="323"/>
      <c r="BG58" s="323"/>
      <c r="BI58" s="323"/>
      <c r="BK58" s="323"/>
      <c r="BM58" s="323"/>
      <c r="BO58" s="323"/>
      <c r="BQ58" s="323"/>
      <c r="BS58" s="323"/>
      <c r="BU58" s="323"/>
      <c r="BW58" s="323"/>
      <c r="BY58" s="323"/>
      <c r="CA58" s="323"/>
      <c r="CC58" s="323"/>
      <c r="CE58" s="323"/>
      <c r="CG58" s="323"/>
      <c r="CI58" s="323"/>
      <c r="CK58" s="323"/>
      <c r="CM58" s="323"/>
      <c r="CO58" s="323"/>
      <c r="CQ58" s="323"/>
      <c r="CS58" s="323"/>
      <c r="CU58" s="323"/>
      <c r="CW58" s="323"/>
      <c r="CY58" s="323"/>
      <c r="DA58" s="323"/>
      <c r="DC58" s="323"/>
      <c r="DE58" s="323"/>
      <c r="DG58" s="323"/>
      <c r="DI58" s="323"/>
    </row>
    <row r="59" spans="1:115" ht="12" customHeight="1" x14ac:dyDescent="0.3">
      <c r="A59" s="765"/>
      <c r="C59" s="219"/>
      <c r="D59" s="220"/>
      <c r="E59" s="224"/>
      <c r="F59" s="222"/>
      <c r="G59" s="223"/>
      <c r="H59" s="219"/>
      <c r="J59" s="219"/>
      <c r="K59" s="220"/>
      <c r="L59" s="224"/>
      <c r="M59" s="222"/>
      <c r="N59" s="223"/>
      <c r="O59" s="219"/>
      <c r="V59" s="487" t="s">
        <v>705</v>
      </c>
      <c r="W59" s="490" t="str">
        <f>VLOOKUP(W56,schedule,18,FALSE)</f>
        <v>JÚNIUS 13. – VASÁRNAP 21:00</v>
      </c>
      <c r="X59" s="489" t="b">
        <f ca="1">VLOOKUP(W56,schedule,14,FALSE)&lt;=NOW()</f>
        <v>0</v>
      </c>
      <c r="Y59" s="490" t="str">
        <f>VLOOKUP(Y56,schedule,18,FALSE)</f>
        <v>JÚNIUS 14. – HÉTFŐ 15:00</v>
      </c>
      <c r="Z59" s="489" t="b">
        <f ca="1">VLOOKUP(Y56,schedule,14,FALSE)&lt;=NOW()</f>
        <v>0</v>
      </c>
      <c r="AB59" s="327" t="str">
        <f>IF(C59="öngól",AC55,AB55)</f>
        <v>nevek.09</v>
      </c>
      <c r="AC59" s="327" t="str">
        <f>IF(H59="öngól",AB55,AC55)</f>
        <v>nevek.10</v>
      </c>
      <c r="AD59" s="327" t="str">
        <f>IF(J59="öngól",AE55,AD55)</f>
        <v>nevek.15</v>
      </c>
      <c r="AE59" s="327" t="str">
        <f>IF(O59="öngól",AD55,AE55)</f>
        <v>nevek.16</v>
      </c>
      <c r="AF59" s="325"/>
      <c r="AG59" s="485">
        <v>4</v>
      </c>
      <c r="AH59" s="488" t="b">
        <f ca="1">AND(W58,X59,D59="",AG59&lt;=W64)</f>
        <v>0</v>
      </c>
      <c r="AI59" s="488" t="b">
        <f ca="1">AND(W58,X59,E59="",AG59&lt;=W64)</f>
        <v>0</v>
      </c>
      <c r="AJ59" s="488" t="b">
        <f ca="1">AND(W58,X59,F59="",AG59&lt;=X64)</f>
        <v>0</v>
      </c>
      <c r="AK59" s="488" t="b">
        <f ca="1">AND(W58,X59,G59="",AG59&lt;=X64)</f>
        <v>0</v>
      </c>
      <c r="AL59" s="488" t="b">
        <f ca="1">AND(Y58,Z59,K59="",AG59&lt;=Y64)</f>
        <v>0</v>
      </c>
      <c r="AM59" s="488" t="b">
        <f ca="1">AND(Y58,Z59,L59="",AG59&lt;=Y64)</f>
        <v>0</v>
      </c>
      <c r="AN59" s="488" t="b">
        <f ca="1">AND(Y58,Z59,M59="",AG59&lt;=Z64)</f>
        <v>0</v>
      </c>
      <c r="AO59" s="488" t="b">
        <f ca="1">AND(Y58,Z59,N59="",AG59&lt;=Z64)</f>
        <v>0</v>
      </c>
      <c r="AQ59" s="326" t="str">
        <f>IF(OR(NOT(Góllista!$E$6),D59=""),"",IF(C59="öngól","ö"&amp;G55&amp;D59,D55&amp;D59))</f>
        <v/>
      </c>
      <c r="AR59" s="326" t="str">
        <f>IF(OR(NOT(Góllista!$E$6),G59=""),"",IF(H59="öngól","ö"&amp;D55&amp;G59,G55&amp;G59))</f>
        <v/>
      </c>
      <c r="AS59" s="326" t="str">
        <f>IF(OR(NOT(Góllista!$E$6),K59=""),"",IF(J59="öngól","ö"&amp;N55&amp;K59,K55&amp;K59))</f>
        <v/>
      </c>
      <c r="AT59" s="326" t="str">
        <f>IF(OR(NOT(Góllista!$E$6),N59=""),"",IF(O59="öngól","ö"&amp;K55&amp;N59,N55&amp;N59))</f>
        <v/>
      </c>
      <c r="AY59" s="323"/>
      <c r="BA59" s="323"/>
      <c r="BC59" s="323"/>
      <c r="BE59" s="323"/>
      <c r="BG59" s="323"/>
      <c r="BI59" s="323"/>
      <c r="BK59" s="323"/>
      <c r="BM59" s="323"/>
      <c r="BO59" s="323"/>
      <c r="BQ59" s="323"/>
      <c r="BS59" s="323"/>
      <c r="BU59" s="323"/>
      <c r="BW59" s="323"/>
      <c r="BY59" s="323"/>
      <c r="CA59" s="323"/>
      <c r="CC59" s="323"/>
      <c r="CE59" s="323"/>
      <c r="CG59" s="323"/>
      <c r="CI59" s="323"/>
      <c r="CK59" s="323"/>
      <c r="CM59" s="323"/>
      <c r="CO59" s="323"/>
      <c r="CQ59" s="323"/>
      <c r="CS59" s="323"/>
      <c r="CU59" s="323"/>
      <c r="CW59" s="323"/>
      <c r="CY59" s="323"/>
      <c r="DA59" s="323"/>
      <c r="DC59" s="323"/>
      <c r="DE59" s="323"/>
      <c r="DG59" s="323"/>
      <c r="DI59" s="323"/>
    </row>
    <row r="60" spans="1:115" ht="12" customHeight="1" x14ac:dyDescent="0.3">
      <c r="A60" s="765"/>
      <c r="C60" s="219"/>
      <c r="D60" s="220"/>
      <c r="E60" s="224"/>
      <c r="F60" s="222"/>
      <c r="G60" s="223"/>
      <c r="H60" s="219"/>
      <c r="J60" s="219"/>
      <c r="K60" s="220"/>
      <c r="L60" s="224"/>
      <c r="M60" s="222"/>
      <c r="N60" s="223"/>
      <c r="O60" s="219"/>
      <c r="V60" s="487" t="s">
        <v>1265</v>
      </c>
      <c r="W60" s="491" t="str">
        <f>VLOOKUP(W56,schedule,12,FALSE)</f>
        <v>1. CSOPORTMÉRKŐZÉS</v>
      </c>
      <c r="X60" s="485" t="str">
        <f>""</f>
        <v/>
      </c>
      <c r="Y60" s="491" t="str">
        <f>VLOOKUP(Y56,schedule,12,FALSE)</f>
        <v>1. CSOPORTMÉRKŐZÉS</v>
      </c>
      <c r="AB60" s="327" t="str">
        <f>IF(C60="öngól",AC55,AB55)</f>
        <v>nevek.09</v>
      </c>
      <c r="AC60" s="327" t="str">
        <f>IF(H60="öngól",AB55,AC55)</f>
        <v>nevek.10</v>
      </c>
      <c r="AD60" s="327" t="str">
        <f>IF(J60="öngól",AE55,AD55)</f>
        <v>nevek.15</v>
      </c>
      <c r="AE60" s="327" t="str">
        <f>IF(O60="öngól",AD55,AE55)</f>
        <v>nevek.16</v>
      </c>
      <c r="AF60" s="325"/>
      <c r="AG60" s="485">
        <v>5</v>
      </c>
      <c r="AH60" s="488" t="b">
        <f ca="1">AND(W58,X59,D60="",AG60&lt;=W64)</f>
        <v>0</v>
      </c>
      <c r="AI60" s="488" t="b">
        <f ca="1">AND(W58,X59,E60="",AG60&lt;=W64)</f>
        <v>0</v>
      </c>
      <c r="AJ60" s="488" t="b">
        <f ca="1">AND(W58,X59,F60="",AG60&lt;=X64)</f>
        <v>0</v>
      </c>
      <c r="AK60" s="488" t="b">
        <f ca="1">AND(W58,X59,G60="",AG60&lt;=X64)</f>
        <v>0</v>
      </c>
      <c r="AL60" s="488" t="b">
        <f ca="1">AND(Y58,Z59,K60="",AG60&lt;=Y64)</f>
        <v>0</v>
      </c>
      <c r="AM60" s="488" t="b">
        <f ca="1">AND(Y58,Z59,L60="",AG60&lt;=Y64)</f>
        <v>0</v>
      </c>
      <c r="AN60" s="488" t="b">
        <f ca="1">AND(Y58,Z59,M60="",AG60&lt;=Z64)</f>
        <v>0</v>
      </c>
      <c r="AO60" s="488" t="b">
        <f ca="1">AND(Y58,Z59,N60="",AG60&lt;=Z64)</f>
        <v>0</v>
      </c>
      <c r="AQ60" s="326" t="str">
        <f>IF(OR(NOT(Góllista!$E$6),D60=""),"",IF(C60="öngól","ö"&amp;G55&amp;D60,D55&amp;D60))</f>
        <v/>
      </c>
      <c r="AR60" s="326" t="str">
        <f>IF(OR(NOT(Góllista!$E$6),G60=""),"",IF(H60="öngól","ö"&amp;D55&amp;G60,G55&amp;G60))</f>
        <v/>
      </c>
      <c r="AS60" s="326" t="str">
        <f>IF(OR(NOT(Góllista!$E$6),K60=""),"",IF(J60="öngól","ö"&amp;N55&amp;K60,K55&amp;K60))</f>
        <v/>
      </c>
      <c r="AT60" s="326" t="str">
        <f>IF(OR(NOT(Góllista!$E$6),N60=""),"",IF(O60="öngól","ö"&amp;K55&amp;N60,N55&amp;N60))</f>
        <v/>
      </c>
      <c r="AY60" s="323"/>
      <c r="BA60" s="323"/>
      <c r="BC60" s="323"/>
      <c r="BE60" s="323"/>
      <c r="BG60" s="323"/>
      <c r="BI60" s="323"/>
      <c r="BK60" s="323"/>
      <c r="BM60" s="323"/>
      <c r="BO60" s="323"/>
      <c r="BQ60" s="323"/>
      <c r="BS60" s="323"/>
      <c r="BU60" s="323"/>
      <c r="BW60" s="323"/>
      <c r="BY60" s="323"/>
      <c r="CA60" s="323"/>
      <c r="CC60" s="323"/>
      <c r="CE60" s="323"/>
      <c r="CG60" s="323"/>
      <c r="CI60" s="323"/>
      <c r="CK60" s="323"/>
      <c r="CM60" s="323"/>
      <c r="CO60" s="323"/>
      <c r="CQ60" s="323"/>
      <c r="CS60" s="323"/>
      <c r="CU60" s="323"/>
      <c r="CW60" s="323"/>
      <c r="CY60" s="323"/>
      <c r="DA60" s="323"/>
      <c r="DC60" s="323"/>
      <c r="DE60" s="323"/>
      <c r="DG60" s="323"/>
      <c r="DI60" s="323"/>
    </row>
    <row r="61" spans="1:115" ht="12" customHeight="1" x14ac:dyDescent="0.3">
      <c r="A61" s="765"/>
      <c r="C61" s="219"/>
      <c r="D61" s="220"/>
      <c r="E61" s="224"/>
      <c r="F61" s="222"/>
      <c r="G61" s="223"/>
      <c r="H61" s="219" t="s">
        <v>510</v>
      </c>
      <c r="J61" s="219"/>
      <c r="K61" s="220"/>
      <c r="L61" s="224"/>
      <c r="M61" s="222"/>
      <c r="N61" s="223"/>
      <c r="O61" s="219"/>
      <c r="V61" s="487" t="s">
        <v>1264</v>
      </c>
      <c r="W61" s="327" t="str">
        <f>VLOOKUP(W56,schedule,3,FALSE)</f>
        <v>C</v>
      </c>
      <c r="X61" s="485" t="str">
        <f>""</f>
        <v/>
      </c>
      <c r="Y61" s="327" t="str">
        <f>VLOOKUP(Y56,schedule,3,FALSE)</f>
        <v>D</v>
      </c>
      <c r="AB61" s="327" t="str">
        <f>IF(C61="öngól",AC55,AB55)</f>
        <v>nevek.09</v>
      </c>
      <c r="AC61" s="327" t="str">
        <f>IF(H61="öngól",AB55,AC55)</f>
        <v>nevek.10</v>
      </c>
      <c r="AD61" s="327" t="str">
        <f>IF(J61="öngól",AE55,AD55)</f>
        <v>nevek.15</v>
      </c>
      <c r="AE61" s="327" t="str">
        <f>IF(O61="öngól",AD55,AE55)</f>
        <v>nevek.16</v>
      </c>
      <c r="AF61" s="325"/>
      <c r="AG61" s="485">
        <v>6</v>
      </c>
      <c r="AH61" s="488" t="b">
        <f ca="1">AND(W58,X59,D61="",AG61&lt;=W64)</f>
        <v>0</v>
      </c>
      <c r="AI61" s="488" t="b">
        <f ca="1">AND(W58,X59,E61="",AG61&lt;=W64)</f>
        <v>0</v>
      </c>
      <c r="AJ61" s="488" t="b">
        <f ca="1">AND(W58,X59,F61="",AG61&lt;=X64)</f>
        <v>0</v>
      </c>
      <c r="AK61" s="488" t="b">
        <f ca="1">AND(W58,X59,G61="",AG61&lt;=X64)</f>
        <v>0</v>
      </c>
      <c r="AL61" s="488" t="b">
        <f ca="1">AND(Y58,Z59,K61="",AG61&lt;=Y64)</f>
        <v>0</v>
      </c>
      <c r="AM61" s="488" t="b">
        <f ca="1">AND(Y58,Z59,L61="",AG61&lt;=Y64)</f>
        <v>0</v>
      </c>
      <c r="AN61" s="488" t="b">
        <f ca="1">AND(Y58,Z59,M61="",AG61&lt;=Z64)</f>
        <v>0</v>
      </c>
      <c r="AO61" s="488" t="b">
        <f ca="1">AND(Y58,Z59,N61="",AG61&lt;=Z64)</f>
        <v>0</v>
      </c>
      <c r="AQ61" s="326" t="str">
        <f>IF(OR(NOT(Góllista!$E$6),D61=""),"",IF(C61="öngól","ö"&amp;G55&amp;D61,D55&amp;D61))</f>
        <v/>
      </c>
      <c r="AR61" s="326" t="str">
        <f>IF(OR(NOT(Góllista!$E$6),G61=""),"",IF(H61="öngól","ö"&amp;D55&amp;G61,G55&amp;G61))</f>
        <v/>
      </c>
      <c r="AS61" s="326" t="str">
        <f>IF(OR(NOT(Góllista!$E$6),K61=""),"",IF(J61="öngól","ö"&amp;N55&amp;K61,K55&amp;K61))</f>
        <v/>
      </c>
      <c r="AT61" s="326" t="str">
        <f>IF(OR(NOT(Góllista!$E$6),N61=""),"",IF(O61="öngól","ö"&amp;K55&amp;N61,N55&amp;N61))</f>
        <v/>
      </c>
      <c r="AY61" s="323"/>
      <c r="BA61" s="323"/>
      <c r="BC61" s="323"/>
      <c r="BE61" s="323"/>
      <c r="BG61" s="323"/>
      <c r="BI61" s="323"/>
      <c r="BK61" s="323"/>
      <c r="BM61" s="323"/>
      <c r="BO61" s="323"/>
      <c r="BQ61" s="323"/>
      <c r="BS61" s="323"/>
      <c r="BU61" s="323"/>
      <c r="BW61" s="323"/>
      <c r="BY61" s="323"/>
      <c r="CA61" s="323"/>
      <c r="CC61" s="323"/>
      <c r="CE61" s="323"/>
      <c r="CG61" s="323"/>
      <c r="CI61" s="323"/>
      <c r="CK61" s="323"/>
      <c r="CM61" s="323"/>
      <c r="CO61" s="323"/>
      <c r="CQ61" s="323"/>
      <c r="CS61" s="323"/>
      <c r="CU61" s="323"/>
      <c r="CW61" s="323"/>
      <c r="CY61" s="323"/>
      <c r="DA61" s="323"/>
      <c r="DC61" s="323"/>
      <c r="DE61" s="323"/>
      <c r="DG61" s="323"/>
      <c r="DI61" s="323"/>
    </row>
    <row r="62" spans="1:115" ht="12" customHeight="1" x14ac:dyDescent="0.3">
      <c r="A62" s="765"/>
      <c r="C62" s="219"/>
      <c r="D62" s="220"/>
      <c r="E62" s="224"/>
      <c r="F62" s="222"/>
      <c r="G62" s="223"/>
      <c r="H62" s="219"/>
      <c r="J62" s="219"/>
      <c r="K62" s="220"/>
      <c r="L62" s="224"/>
      <c r="M62" s="222"/>
      <c r="N62" s="223"/>
      <c r="O62" s="219"/>
      <c r="V62" s="485" t="s">
        <v>707</v>
      </c>
      <c r="W62" s="327">
        <f>IF(NOT(W58),0,E55-9+COUNTBLANK(D56:D64))</f>
        <v>0</v>
      </c>
      <c r="X62" s="327">
        <f>IF(NOT(W58),0,F55-9+COUNTBLANK(G56:G64))</f>
        <v>0</v>
      </c>
      <c r="Y62" s="327">
        <f>IF(NOT(Y58),0,L55-9+COUNTBLANK(K56:K64))</f>
        <v>0</v>
      </c>
      <c r="Z62" s="327">
        <f>IF(NOT(Y58),0,M55-9+COUNTBLANK(N56:N64))</f>
        <v>0</v>
      </c>
      <c r="AB62" s="327" t="str">
        <f>IF(C62="öngól",AC55,AB55)</f>
        <v>nevek.09</v>
      </c>
      <c r="AC62" s="327" t="str">
        <f>IF(H62="öngól",AB55,AC55)</f>
        <v>nevek.10</v>
      </c>
      <c r="AD62" s="327" t="str">
        <f>IF(J62="öngól",AE55,AD55)</f>
        <v>nevek.15</v>
      </c>
      <c r="AE62" s="327" t="str">
        <f>IF(O62="öngól",AD55,AE55)</f>
        <v>nevek.16</v>
      </c>
      <c r="AF62" s="325"/>
      <c r="AG62" s="485">
        <v>7</v>
      </c>
      <c r="AH62" s="488" t="b">
        <f ca="1">AND(W58,X59,D62="",AG62&lt;=W64)</f>
        <v>0</v>
      </c>
      <c r="AI62" s="488" t="b">
        <f ca="1">AND(W58,X59,E62="",AG62&lt;=W64)</f>
        <v>0</v>
      </c>
      <c r="AJ62" s="488" t="b">
        <f ca="1">AND(W58,X59,F62="",AG62&lt;=X64)</f>
        <v>0</v>
      </c>
      <c r="AK62" s="488" t="b">
        <f ca="1">AND(W58,X59,G62="",AG62&lt;=X64)</f>
        <v>0</v>
      </c>
      <c r="AL62" s="488" t="b">
        <f ca="1">AND(Y58,Z59,K62="",AG62&lt;=Y64)</f>
        <v>0</v>
      </c>
      <c r="AM62" s="488" t="b">
        <f ca="1">AND(Y58,Z59,L62="",AG62&lt;=Y64)</f>
        <v>0</v>
      </c>
      <c r="AN62" s="488" t="b">
        <f ca="1">AND(Y58,Z59,M62="",AG62&lt;=Z64)</f>
        <v>0</v>
      </c>
      <c r="AO62" s="488" t="b">
        <f ca="1">AND(Y58,Z59,N62="",AG62&lt;=Z64)</f>
        <v>0</v>
      </c>
      <c r="AQ62" s="326" t="str">
        <f>IF(OR(NOT(Góllista!$E$6),D62=""),"",IF(C62="öngól","ö"&amp;G55&amp;D62,D55&amp;D62))</f>
        <v/>
      </c>
      <c r="AR62" s="326" t="str">
        <f>IF(OR(NOT(Góllista!$E$6),G62=""),"",IF(H62="öngól","ö"&amp;D55&amp;G62,G55&amp;G62))</f>
        <v/>
      </c>
      <c r="AS62" s="326" t="str">
        <f>IF(OR(NOT(Góllista!$E$6),K62=""),"",IF(J62="öngól","ö"&amp;N55&amp;K62,K55&amp;K62))</f>
        <v/>
      </c>
      <c r="AT62" s="326" t="str">
        <f>IF(OR(NOT(Góllista!$E$6),N62=""),"",IF(O62="öngól","ö"&amp;K55&amp;N62,N55&amp;N62))</f>
        <v/>
      </c>
      <c r="AY62" s="323"/>
      <c r="BA62" s="323"/>
      <c r="BC62" s="323"/>
      <c r="BE62" s="323"/>
      <c r="BG62" s="323"/>
      <c r="BI62" s="323"/>
      <c r="BK62" s="323"/>
      <c r="BM62" s="323"/>
      <c r="BO62" s="323"/>
      <c r="BQ62" s="323"/>
      <c r="BS62" s="323"/>
      <c r="BU62" s="323"/>
      <c r="BW62" s="323"/>
      <c r="BY62" s="323"/>
      <c r="CA62" s="323"/>
      <c r="CC62" s="323"/>
      <c r="CE62" s="323"/>
      <c r="CG62" s="323"/>
      <c r="CI62" s="323"/>
      <c r="CK62" s="323"/>
      <c r="CM62" s="323"/>
      <c r="CO62" s="323"/>
      <c r="CQ62" s="323"/>
      <c r="CS62" s="323"/>
      <c r="CU62" s="323"/>
      <c r="CW62" s="323"/>
      <c r="CY62" s="323"/>
      <c r="DA62" s="323"/>
      <c r="DC62" s="323"/>
      <c r="DE62" s="323"/>
      <c r="DG62" s="323"/>
      <c r="DI62" s="323"/>
    </row>
    <row r="63" spans="1:115" ht="12" customHeight="1" x14ac:dyDescent="0.3">
      <c r="A63" s="765"/>
      <c r="C63" s="219"/>
      <c r="D63" s="220"/>
      <c r="E63" s="224"/>
      <c r="F63" s="222"/>
      <c r="G63" s="223"/>
      <c r="H63" s="219"/>
      <c r="J63" s="219"/>
      <c r="K63" s="220"/>
      <c r="L63" s="224"/>
      <c r="M63" s="222"/>
      <c r="N63" s="223"/>
      <c r="O63" s="219"/>
      <c r="V63" s="485" t="s">
        <v>708</v>
      </c>
      <c r="W63" s="411" t="str">
        <f>VLOOKUP(W56,schedule,8,FALSE)</f>
        <v>Hollandia</v>
      </c>
      <c r="X63" s="411" t="str">
        <f>VLOOKUP(W56,schedule,9,FALSE)</f>
        <v>Ukrajna</v>
      </c>
      <c r="Y63" s="411" t="str">
        <f>VLOOKUP(Y56,schedule,8,FALSE)</f>
        <v>Skócia</v>
      </c>
      <c r="Z63" s="491" t="str">
        <f>VLOOKUP(Y56,schedule,9,FALSE)</f>
        <v>Csehország</v>
      </c>
      <c r="AB63" s="327" t="str">
        <f>IF(C63="öngól",AC55,AB55)</f>
        <v>nevek.09</v>
      </c>
      <c r="AC63" s="327" t="str">
        <f>IF(H63="öngól",AB55,AC55)</f>
        <v>nevek.10</v>
      </c>
      <c r="AD63" s="327" t="str">
        <f>IF(J63="öngól",AE55,AD55)</f>
        <v>nevek.15</v>
      </c>
      <c r="AE63" s="327" t="str">
        <f>IF(O63="öngól",AD55,AE55)</f>
        <v>nevek.16</v>
      </c>
      <c r="AF63" s="325"/>
      <c r="AG63" s="485">
        <v>8</v>
      </c>
      <c r="AH63" s="488" t="b">
        <f ca="1">AND(W58,X59,D63="",AG63&lt;=W64)</f>
        <v>0</v>
      </c>
      <c r="AI63" s="488" t="b">
        <f ca="1">AND(W58,X59,E63="",AG63&lt;=W64)</f>
        <v>0</v>
      </c>
      <c r="AJ63" s="488" t="b">
        <f ca="1">AND(W58,X59,F63="",AG63&lt;=X64)</f>
        <v>0</v>
      </c>
      <c r="AK63" s="488" t="b">
        <f ca="1">AND(W58,X59,G63="",AG63&lt;=X64)</f>
        <v>0</v>
      </c>
      <c r="AL63" s="488" t="b">
        <f ca="1">AND(Y58,Z59,K63="",AG63&lt;=Y64)</f>
        <v>0</v>
      </c>
      <c r="AM63" s="488" t="b">
        <f ca="1">AND(Y58,Z59,L63="",AG63&lt;=Y64)</f>
        <v>0</v>
      </c>
      <c r="AN63" s="488" t="b">
        <f ca="1">AND(Y58,Z59,M63="",AG63&lt;=Z64)</f>
        <v>0</v>
      </c>
      <c r="AO63" s="488" t="b">
        <f ca="1">AND(Y58,Z59,N63="",AG63&lt;=Z64)</f>
        <v>0</v>
      </c>
      <c r="AQ63" s="326" t="str">
        <f>IF(OR(NOT(Góllista!$E$6),D63=""),"",IF(C63="öngól","ö"&amp;G55&amp;D63,D55&amp;D63))</f>
        <v/>
      </c>
      <c r="AR63" s="326" t="str">
        <f>IF(OR(NOT(Góllista!$E$6),G63=""),"",IF(H63="öngól","ö"&amp;D55&amp;G63,G55&amp;G63))</f>
        <v/>
      </c>
      <c r="AS63" s="326" t="str">
        <f>IF(OR(NOT(Góllista!$E$6),K63=""),"",IF(J63="öngól","ö"&amp;N55&amp;K63,K55&amp;K63))</f>
        <v/>
      </c>
      <c r="AT63" s="326" t="str">
        <f>IF(OR(NOT(Góllista!$E$6),N63=""),"",IF(O63="öngól","ö"&amp;K55&amp;N63,N55&amp;N63))</f>
        <v/>
      </c>
      <c r="AY63" s="323"/>
      <c r="BA63" s="323"/>
      <c r="BC63" s="323"/>
      <c r="BE63" s="323"/>
      <c r="BG63" s="323"/>
      <c r="BI63" s="323"/>
      <c r="BK63" s="323"/>
      <c r="BM63" s="323"/>
      <c r="BO63" s="323"/>
      <c r="BQ63" s="323"/>
      <c r="BS63" s="323"/>
      <c r="BU63" s="323"/>
      <c r="BW63" s="323"/>
      <c r="BY63" s="323"/>
      <c r="CA63" s="323"/>
      <c r="CC63" s="323"/>
      <c r="CE63" s="323"/>
      <c r="CG63" s="323"/>
      <c r="CI63" s="323"/>
      <c r="CK63" s="323"/>
      <c r="CM63" s="323"/>
      <c r="CO63" s="323"/>
      <c r="CQ63" s="323"/>
      <c r="CS63" s="323"/>
      <c r="CU63" s="323"/>
      <c r="CW63" s="323"/>
      <c r="CY63" s="323"/>
      <c r="DA63" s="323"/>
      <c r="DC63" s="323"/>
      <c r="DE63" s="323"/>
      <c r="DG63" s="323"/>
      <c r="DI63" s="323"/>
    </row>
    <row r="64" spans="1:115" ht="12" customHeight="1" x14ac:dyDescent="0.3">
      <c r="A64" s="765"/>
      <c r="C64" s="219"/>
      <c r="D64" s="220"/>
      <c r="E64" s="225"/>
      <c r="F64" s="222"/>
      <c r="G64" s="223"/>
      <c r="H64" s="219"/>
      <c r="J64" s="219"/>
      <c r="K64" s="220"/>
      <c r="L64" s="225"/>
      <c r="M64" s="222"/>
      <c r="N64" s="223"/>
      <c r="O64" s="219"/>
      <c r="V64" s="485" t="s">
        <v>709</v>
      </c>
      <c r="W64" s="492" t="str">
        <f>INDEX(n.er,W57,9)</f>
        <v/>
      </c>
      <c r="X64" s="493" t="str">
        <f>INDEX(n.er,W57,10)</f>
        <v/>
      </c>
      <c r="Y64" s="492" t="str">
        <f>INDEX(n.er,Y57,9)</f>
        <v/>
      </c>
      <c r="Z64" s="493" t="str">
        <f>INDEX(n.er,Y57,10)</f>
        <v/>
      </c>
      <c r="AB64" s="327" t="str">
        <f>IF(C64="öngól",AC55,AB55)</f>
        <v>nevek.09</v>
      </c>
      <c r="AC64" s="327" t="str">
        <f>IF(H64="öngól",AB55,AC55)</f>
        <v>nevek.10</v>
      </c>
      <c r="AD64" s="327" t="str">
        <f>IF(J64="öngól",AE55,AD55)</f>
        <v>nevek.15</v>
      </c>
      <c r="AE64" s="327" t="str">
        <f>IF(O64="öngól",AD55,AE55)</f>
        <v>nevek.16</v>
      </c>
      <c r="AF64" s="325"/>
      <c r="AG64" s="485">
        <v>9</v>
      </c>
      <c r="AH64" s="488" t="b">
        <f ca="1">AND(W58,X59,D64="",AG64&lt;=W64)</f>
        <v>0</v>
      </c>
      <c r="AI64" s="488" t="b">
        <f ca="1">AND(W58,X59,E64="",AG64&lt;=W64)</f>
        <v>0</v>
      </c>
      <c r="AJ64" s="488" t="b">
        <f ca="1">AND(W58,X59,F64="",AG64&lt;=X64)</f>
        <v>0</v>
      </c>
      <c r="AK64" s="488" t="b">
        <f ca="1">AND(W58,X59,G64="",AG64&lt;=X64)</f>
        <v>0</v>
      </c>
      <c r="AL64" s="488" t="b">
        <f ca="1">AND(Y58,Z59,K64="",AG64&lt;=Y64)</f>
        <v>0</v>
      </c>
      <c r="AM64" s="488" t="b">
        <f ca="1">AND(Y58,Z59,L64="",AG64&lt;=Y64)</f>
        <v>0</v>
      </c>
      <c r="AN64" s="488" t="b">
        <f ca="1">AND(Y58,Z59,M64="",AG64&lt;=Z64)</f>
        <v>0</v>
      </c>
      <c r="AO64" s="488" t="b">
        <f ca="1">AND(Y58,Z59,N64="",AG64&lt;=Z64)</f>
        <v>0</v>
      </c>
      <c r="AQ64" s="326" t="str">
        <f>IF(OR(NOT(Góllista!$E$6),D64=""),"",IF(C64="öngól","ö"&amp;G55&amp;D64,D55&amp;D64))</f>
        <v/>
      </c>
      <c r="AR64" s="326" t="str">
        <f>IF(OR(NOT(Góllista!$E$6),G64=""),"",IF(H64="öngól","ö"&amp;D55&amp;G64,G55&amp;G64))</f>
        <v/>
      </c>
      <c r="AS64" s="326" t="str">
        <f>IF(OR(NOT(Góllista!$E$6),K64=""),"",IF(J64="öngól","ö"&amp;N55&amp;K64,K55&amp;K64))</f>
        <v/>
      </c>
      <c r="AT64" s="326" t="str">
        <f>IF(OR(NOT(Góllista!$E$6),N64=""),"",IF(O64="öngól","ö"&amp;K55&amp;N64,N55&amp;N64))</f>
        <v/>
      </c>
      <c r="AY64" s="323"/>
      <c r="BA64" s="323"/>
      <c r="BC64" s="323"/>
      <c r="BE64" s="323"/>
      <c r="BG64" s="323"/>
      <c r="BI64" s="323"/>
      <c r="BK64" s="323"/>
      <c r="BM64" s="323"/>
      <c r="BO64" s="323"/>
      <c r="BQ64" s="323"/>
      <c r="BS64" s="323"/>
      <c r="BU64" s="323"/>
      <c r="BW64" s="323"/>
      <c r="BY64" s="323"/>
      <c r="CA64" s="323"/>
      <c r="CC64" s="323"/>
      <c r="CE64" s="323"/>
      <c r="CG64" s="323"/>
      <c r="CI64" s="323"/>
      <c r="CK64" s="323"/>
      <c r="CM64" s="323"/>
      <c r="CO64" s="323"/>
      <c r="CQ64" s="323"/>
      <c r="CS64" s="323"/>
      <c r="CU64" s="323"/>
      <c r="CW64" s="323"/>
      <c r="CY64" s="323"/>
      <c r="DA64" s="323"/>
      <c r="DC64" s="323"/>
      <c r="DE64" s="323"/>
      <c r="DG64" s="323"/>
      <c r="DI64" s="323"/>
    </row>
    <row r="65" spans="1:115" ht="12" customHeight="1" x14ac:dyDescent="0.3">
      <c r="A65" s="765"/>
      <c r="C65" s="768"/>
      <c r="D65" s="768"/>
      <c r="E65" s="768"/>
      <c r="F65" s="768"/>
      <c r="G65" s="768"/>
      <c r="H65" s="768"/>
      <c r="J65" s="768"/>
      <c r="K65" s="768"/>
      <c r="L65" s="768"/>
      <c r="M65" s="768"/>
      <c r="N65" s="768"/>
      <c r="O65" s="768"/>
      <c r="AY65" s="323"/>
      <c r="BA65" s="323"/>
      <c r="BC65" s="323"/>
      <c r="BE65" s="323"/>
      <c r="BG65" s="323"/>
      <c r="BI65" s="323"/>
      <c r="BK65" s="323"/>
      <c r="BM65" s="323"/>
      <c r="BO65" s="323"/>
      <c r="BQ65" s="323"/>
      <c r="BS65" s="323"/>
      <c r="BU65" s="323"/>
      <c r="BW65" s="323"/>
      <c r="BY65" s="323"/>
      <c r="CA65" s="323"/>
      <c r="CC65" s="323"/>
      <c r="CE65" s="323"/>
      <c r="CG65" s="323"/>
      <c r="CI65" s="323"/>
      <c r="CK65" s="323"/>
      <c r="CM65" s="323"/>
      <c r="CO65" s="323"/>
      <c r="CQ65" s="323"/>
      <c r="CS65" s="323"/>
      <c r="CU65" s="323"/>
      <c r="CW65" s="323"/>
      <c r="CY65" s="323"/>
      <c r="DA65" s="323"/>
      <c r="DC65" s="323"/>
      <c r="DE65" s="323"/>
      <c r="DG65" s="323"/>
      <c r="DI65" s="323"/>
    </row>
    <row r="66" spans="1:115" ht="12" hidden="1" customHeight="1" x14ac:dyDescent="0.3">
      <c r="A66" s="765"/>
      <c r="C66" s="767"/>
      <c r="D66" s="767"/>
      <c r="E66" s="767"/>
      <c r="F66" s="767"/>
      <c r="G66" s="767"/>
      <c r="H66" s="767"/>
      <c r="J66" s="767"/>
      <c r="K66" s="767"/>
      <c r="L66" s="767"/>
      <c r="M66" s="767"/>
      <c r="N66" s="767"/>
      <c r="O66" s="767"/>
      <c r="AY66" s="323"/>
      <c r="BA66" s="323"/>
      <c r="BC66" s="323"/>
      <c r="BE66" s="323"/>
      <c r="BG66" s="323"/>
      <c r="BI66" s="323"/>
      <c r="BK66" s="323"/>
      <c r="BM66" s="323"/>
      <c r="BO66" s="323"/>
      <c r="BQ66" s="323"/>
      <c r="BS66" s="323"/>
      <c r="BU66" s="323"/>
      <c r="BW66" s="323"/>
      <c r="BY66" s="323"/>
      <c r="CA66" s="323"/>
      <c r="CC66" s="323"/>
      <c r="CE66" s="323"/>
      <c r="CG66" s="323"/>
      <c r="CI66" s="323"/>
      <c r="CK66" s="323"/>
      <c r="CM66" s="323"/>
      <c r="CO66" s="323"/>
      <c r="CQ66" s="323"/>
      <c r="CS66" s="323"/>
      <c r="CU66" s="323"/>
      <c r="CW66" s="323"/>
      <c r="CY66" s="323"/>
      <c r="DA66" s="323"/>
      <c r="DC66" s="323"/>
      <c r="DE66" s="323"/>
      <c r="DG66" s="323"/>
      <c r="DI66" s="323"/>
    </row>
    <row r="67" spans="1:115" ht="12" hidden="1" customHeight="1" x14ac:dyDescent="0.3">
      <c r="A67" s="765"/>
      <c r="C67" s="767"/>
      <c r="D67" s="767"/>
      <c r="E67" s="767"/>
      <c r="F67" s="767"/>
      <c r="G67" s="767"/>
      <c r="H67" s="767"/>
      <c r="J67" s="767"/>
      <c r="K67" s="767"/>
      <c r="L67" s="767"/>
      <c r="M67" s="767"/>
      <c r="N67" s="767"/>
      <c r="O67" s="767"/>
      <c r="AY67" s="323"/>
      <c r="BA67" s="323"/>
      <c r="BC67" s="323"/>
      <c r="BE67" s="323"/>
      <c r="BG67" s="323"/>
      <c r="BI67" s="323"/>
      <c r="BK67" s="323"/>
      <c r="BM67" s="323"/>
      <c r="BO67" s="323"/>
      <c r="BQ67" s="323"/>
      <c r="BS67" s="323"/>
      <c r="BU67" s="323"/>
      <c r="BW67" s="323"/>
      <c r="BY67" s="323"/>
      <c r="CA67" s="323"/>
      <c r="CC67" s="323"/>
      <c r="CE67" s="323"/>
      <c r="CG67" s="323"/>
      <c r="CI67" s="323"/>
      <c r="CK67" s="323"/>
      <c r="CM67" s="323"/>
      <c r="CO67" s="323"/>
      <c r="CQ67" s="323"/>
      <c r="CS67" s="323"/>
      <c r="CU67" s="323"/>
      <c r="CW67" s="323"/>
      <c r="CY67" s="323"/>
      <c r="DA67" s="323"/>
      <c r="DC67" s="323"/>
      <c r="DE67" s="323"/>
      <c r="DG67" s="323"/>
      <c r="DI67" s="323"/>
    </row>
    <row r="68" spans="1:115" ht="10.5" customHeight="1" x14ac:dyDescent="0.3">
      <c r="A68" s="765"/>
      <c r="AY68" s="323"/>
      <c r="BA68" s="323"/>
      <c r="BC68" s="323"/>
      <c r="BE68" s="323"/>
      <c r="BG68" s="323"/>
      <c r="BI68" s="323"/>
      <c r="BK68" s="323"/>
      <c r="BM68" s="323"/>
      <c r="BO68" s="323"/>
      <c r="BQ68" s="323"/>
      <c r="BS68" s="323"/>
      <c r="BU68" s="323"/>
      <c r="BW68" s="323"/>
      <c r="BY68" s="323"/>
      <c r="CA68" s="323"/>
      <c r="CC68" s="323"/>
      <c r="CE68" s="323"/>
      <c r="CG68" s="323"/>
      <c r="CI68" s="323"/>
      <c r="CK68" s="323"/>
      <c r="CM68" s="323"/>
      <c r="CO68" s="323"/>
      <c r="CQ68" s="323"/>
      <c r="CS68" s="323"/>
      <c r="CU68" s="323"/>
      <c r="CW68" s="323"/>
      <c r="CY68" s="323"/>
      <c r="DA68" s="323"/>
      <c r="DC68" s="323"/>
      <c r="DE68" s="323"/>
      <c r="DG68" s="323"/>
      <c r="DI68" s="323"/>
    </row>
    <row r="69" spans="1:115" ht="6" customHeight="1" x14ac:dyDescent="0.3">
      <c r="A69" s="765"/>
      <c r="AQ69" s="323"/>
      <c r="AR69" s="323"/>
      <c r="AS69" s="323"/>
      <c r="AT69" s="323"/>
      <c r="AY69" s="323"/>
      <c r="BA69" s="323"/>
      <c r="BC69" s="323"/>
      <c r="BE69" s="323"/>
      <c r="BG69" s="323"/>
      <c r="BI69" s="323"/>
      <c r="BK69" s="323"/>
      <c r="BM69" s="323"/>
      <c r="BO69" s="323"/>
      <c r="BQ69" s="323"/>
      <c r="BS69" s="323"/>
      <c r="BU69" s="323"/>
      <c r="BW69" s="323"/>
      <c r="BY69" s="323"/>
      <c r="CA69" s="323"/>
      <c r="CC69" s="323"/>
      <c r="CE69" s="323"/>
      <c r="CG69" s="323"/>
      <c r="CI69" s="323"/>
      <c r="CK69" s="323"/>
      <c r="CM69" s="323"/>
      <c r="CO69" s="323"/>
      <c r="CQ69" s="323"/>
      <c r="CS69" s="323"/>
      <c r="CU69" s="323"/>
      <c r="CW69" s="323"/>
      <c r="CY69" s="323"/>
      <c r="DA69" s="323"/>
      <c r="DC69" s="323"/>
      <c r="DE69" s="323"/>
      <c r="DG69" s="323"/>
      <c r="DI69" s="323"/>
    </row>
    <row r="70" spans="1:115" ht="12" customHeight="1" x14ac:dyDescent="0.3">
      <c r="A70" s="765"/>
      <c r="C70" s="247" t="str">
        <f>W75</f>
        <v>JÚNIUS 14. – HÉTFŐ 18:00</v>
      </c>
      <c r="D70" s="227"/>
      <c r="E70" s="228"/>
      <c r="F70" s="229"/>
      <c r="G70" s="230"/>
      <c r="H70" s="231" t="str">
        <f>W76</f>
        <v>1. CSOPORTMÉRKŐZÉS</v>
      </c>
      <c r="I70" s="138"/>
      <c r="J70" s="246" t="str">
        <f>Y75</f>
        <v>JÚNIUS 14. – HÉTFŐ 21:00</v>
      </c>
      <c r="K70" s="227"/>
      <c r="L70" s="228"/>
      <c r="M70" s="229"/>
      <c r="N70" s="230"/>
      <c r="O70" s="226" t="str">
        <f>Y76</f>
        <v>1. CSOPORTMÉRKŐZÉS</v>
      </c>
      <c r="AQ70" s="323"/>
      <c r="AR70" s="323"/>
      <c r="AS70" s="323"/>
      <c r="AT70" s="323"/>
      <c r="AY70" s="323"/>
      <c r="BA70" s="323"/>
      <c r="BC70" s="323"/>
      <c r="BE70" s="323"/>
      <c r="BG70" s="323"/>
      <c r="BI70" s="323"/>
      <c r="BK70" s="323"/>
      <c r="BM70" s="323"/>
      <c r="BO70" s="323"/>
      <c r="BQ70" s="323"/>
      <c r="BS70" s="323"/>
      <c r="BU70" s="323"/>
      <c r="BW70" s="323"/>
      <c r="BY70" s="323"/>
      <c r="CA70" s="323"/>
      <c r="CC70" s="323"/>
      <c r="CE70" s="323"/>
      <c r="CG70" s="323"/>
      <c r="CI70" s="323"/>
      <c r="CK70" s="323"/>
      <c r="CM70" s="323"/>
      <c r="CO70" s="323"/>
      <c r="CQ70" s="323"/>
      <c r="CS70" s="323"/>
      <c r="CU70" s="323"/>
      <c r="CW70" s="323"/>
      <c r="CY70" s="323"/>
      <c r="DA70" s="323"/>
      <c r="DC70" s="323"/>
      <c r="DE70" s="323"/>
      <c r="DG70" s="323"/>
      <c r="DI70" s="323"/>
    </row>
    <row r="71" spans="1:115" s="138" customFormat="1" ht="14.25" customHeight="1" x14ac:dyDescent="0.3">
      <c r="A71" s="765"/>
      <c r="B71" s="137"/>
      <c r="C71" s="233" t="str">
        <f>IF(W78=0,"",IF(W78&gt;0,CONCATENATE("még ",W78," gól"),CONCATENATE("túl sok (",W78," gól)")))</f>
        <v/>
      </c>
      <c r="D71" s="714" t="str">
        <f>W79</f>
        <v>Lengyelország</v>
      </c>
      <c r="E71" s="716" t="str">
        <f>W80</f>
        <v/>
      </c>
      <c r="F71" s="717" t="str">
        <f>X80</f>
        <v/>
      </c>
      <c r="G71" s="715" t="str">
        <f>X79</f>
        <v>Szlovákia</v>
      </c>
      <c r="H71" s="232" t="str">
        <f>IF(X78=0,"",IF(X78&gt;0,CONCATENATE("még ",X78," gól"),CONCATENATE("túl sok (",X78," gól)")))</f>
        <v/>
      </c>
      <c r="I71" s="127"/>
      <c r="J71" s="233" t="str">
        <f>IF(Y78=0,"",IF(Y78&gt;0,CONCATENATE("még ",Y78," gól"),CONCATENATE("túl sok (",Y78," gól)")))</f>
        <v/>
      </c>
      <c r="K71" s="714" t="str">
        <f>Y79</f>
        <v>Spanyolország</v>
      </c>
      <c r="L71" s="716" t="str">
        <f>Y80</f>
        <v/>
      </c>
      <c r="M71" s="717" t="str">
        <f>Z80</f>
        <v/>
      </c>
      <c r="N71" s="715" t="str">
        <f>Z79</f>
        <v>Svédország</v>
      </c>
      <c r="O71" s="232" t="str">
        <f>IF(Z78=0,"",IF(Z78&gt;0,CONCATENATE("még ",Z78," gól"),CONCATENATE("túl sok (",Z78," gól)")))</f>
        <v/>
      </c>
      <c r="P71" s="10"/>
      <c r="Q71" s="140"/>
      <c r="R71" s="141"/>
      <c r="S71" s="141"/>
      <c r="T71" s="484"/>
      <c r="U71" s="485"/>
      <c r="V71" s="485"/>
      <c r="W71" s="485"/>
      <c r="X71" s="485"/>
      <c r="Y71" s="485"/>
      <c r="Z71" s="485"/>
      <c r="AA71" s="485"/>
      <c r="AB71" s="242" t="str">
        <f>HLOOKUP(D71,nevek.li,2,FALSE)</f>
        <v>nevek.19</v>
      </c>
      <c r="AC71" s="242" t="str">
        <f>HLOOKUP(G71,nevek.li,2,FALSE)</f>
        <v>nevek.20</v>
      </c>
      <c r="AD71" s="242" t="str">
        <f>HLOOKUP(K71,nevek.li,2,FALSE)</f>
        <v>nevek.17</v>
      </c>
      <c r="AE71" s="242" t="str">
        <f>HLOOKUP(N71,nevek.li,2,FALSE)</f>
        <v>nevek.18</v>
      </c>
      <c r="AF71" s="485"/>
      <c r="AG71" s="485"/>
      <c r="AH71" s="485"/>
      <c r="AI71" s="485"/>
      <c r="AJ71" s="485"/>
      <c r="AK71" s="485"/>
      <c r="AL71" s="485"/>
      <c r="AM71" s="485"/>
      <c r="AN71" s="485"/>
      <c r="AO71" s="485"/>
      <c r="AP71" s="485"/>
      <c r="AQ71" s="485"/>
      <c r="AR71" s="485"/>
      <c r="AS71" s="485"/>
      <c r="AT71" s="485"/>
      <c r="AU71" s="485"/>
      <c r="AV71" s="500"/>
      <c r="AW71" s="323"/>
      <c r="AX71" s="323"/>
      <c r="AY71" s="323"/>
      <c r="AZ71" s="323"/>
      <c r="BA71" s="323"/>
      <c r="BB71" s="323"/>
      <c r="BC71" s="323"/>
      <c r="BD71" s="323"/>
      <c r="BE71" s="323"/>
      <c r="BF71" s="323"/>
      <c r="BG71" s="323"/>
      <c r="BH71" s="323"/>
      <c r="BI71" s="323"/>
      <c r="BJ71" s="323"/>
      <c r="BK71" s="323"/>
      <c r="BL71" s="323"/>
      <c r="BM71" s="323"/>
      <c r="BN71" s="323"/>
      <c r="BO71" s="323"/>
      <c r="BP71" s="323"/>
      <c r="BQ71" s="323"/>
      <c r="BR71" s="323"/>
      <c r="BS71" s="323"/>
      <c r="BT71" s="323"/>
      <c r="BU71" s="323"/>
      <c r="BV71" s="323"/>
      <c r="BW71" s="323"/>
      <c r="BX71" s="323"/>
      <c r="BY71" s="323"/>
      <c r="BZ71" s="323"/>
      <c r="CA71" s="323"/>
      <c r="CB71" s="323"/>
      <c r="CC71" s="323"/>
      <c r="CD71" s="323"/>
      <c r="CE71" s="323"/>
      <c r="CF71" s="323"/>
      <c r="CG71" s="323"/>
      <c r="CH71" s="323"/>
      <c r="CI71" s="323"/>
      <c r="CJ71" s="323"/>
      <c r="CK71" s="323"/>
      <c r="CL71" s="323"/>
      <c r="CM71" s="323"/>
      <c r="CN71" s="323"/>
      <c r="CO71" s="323"/>
      <c r="CP71" s="323"/>
      <c r="CQ71" s="323"/>
      <c r="CR71" s="323"/>
      <c r="CS71" s="323"/>
      <c r="CT71" s="323"/>
      <c r="CU71" s="323"/>
      <c r="CV71" s="323"/>
      <c r="CW71" s="323"/>
      <c r="CX71" s="323"/>
      <c r="CY71" s="323"/>
      <c r="CZ71" s="323"/>
      <c r="DA71" s="323"/>
      <c r="DB71" s="323"/>
      <c r="DC71" s="323"/>
      <c r="DD71" s="323"/>
      <c r="DE71" s="323"/>
      <c r="DF71" s="323"/>
      <c r="DG71" s="323"/>
      <c r="DH71" s="323"/>
      <c r="DI71" s="323"/>
      <c r="DJ71" s="323"/>
      <c r="DK71" s="500"/>
    </row>
    <row r="72" spans="1:115" ht="12" customHeight="1" x14ac:dyDescent="0.3">
      <c r="A72" s="765"/>
      <c r="C72" s="218"/>
      <c r="D72" s="220"/>
      <c r="E72" s="221"/>
      <c r="F72" s="222"/>
      <c r="G72" s="223"/>
      <c r="H72" s="218"/>
      <c r="J72" s="218"/>
      <c r="K72" s="220"/>
      <c r="L72" s="221"/>
      <c r="M72" s="222"/>
      <c r="N72" s="223"/>
      <c r="O72" s="218"/>
      <c r="V72" s="487" t="s">
        <v>706</v>
      </c>
      <c r="W72" s="242">
        <v>9</v>
      </c>
      <c r="X72" s="485" t="str">
        <f>""</f>
        <v/>
      </c>
      <c r="Y72" s="242">
        <v>10</v>
      </c>
      <c r="AB72" s="327" t="str">
        <f>IF(C72="öngól",AC71,AB71)</f>
        <v>nevek.19</v>
      </c>
      <c r="AC72" s="327" t="str">
        <f>IF(H72="öngól",AB71,AC71)</f>
        <v>nevek.20</v>
      </c>
      <c r="AD72" s="327" t="str">
        <f>IF(J72="öngól",AE71,AD71)</f>
        <v>nevek.17</v>
      </c>
      <c r="AE72" s="327" t="str">
        <f>IF(O72="öngól",AD71,AE71)</f>
        <v>nevek.18</v>
      </c>
      <c r="AF72" s="325"/>
      <c r="AG72" s="485">
        <v>1</v>
      </c>
      <c r="AH72" s="488" t="b">
        <f ca="1">AND(W74,X75,D72="",AG72&lt;=W80)</f>
        <v>0</v>
      </c>
      <c r="AI72" s="488" t="b">
        <f ca="1">AND(W74,X75,E72="",AG72&lt;=W80)</f>
        <v>0</v>
      </c>
      <c r="AJ72" s="488" t="b">
        <f ca="1">AND(W74,X75,F72="",AG72&lt;=X80)</f>
        <v>0</v>
      </c>
      <c r="AK72" s="488" t="b">
        <f ca="1">AND(W74,X75,G72="",AG72&lt;=X80)</f>
        <v>0</v>
      </c>
      <c r="AL72" s="488" t="b">
        <f ca="1">AND(Y74,Z75,K72="",AG72&lt;=Y80)</f>
        <v>0</v>
      </c>
      <c r="AM72" s="488" t="b">
        <f ca="1">AND(Y74,Z75,L72="",AG72&lt;=Y80)</f>
        <v>0</v>
      </c>
      <c r="AN72" s="488" t="b">
        <f ca="1">AND(Y74,Z75,M72="",AG72&lt;=Z80)</f>
        <v>0</v>
      </c>
      <c r="AO72" s="488" t="b">
        <f ca="1">AND(Y74,Z75,N72="",AG72&lt;=Z80)</f>
        <v>0</v>
      </c>
      <c r="AQ72" s="326" t="str">
        <f>IF(OR(NOT(Góllista!$E$6),D72=""),"",IF(C72="öngól","ö"&amp;G71&amp;D72,D71&amp;D72))</f>
        <v/>
      </c>
      <c r="AR72" s="326" t="str">
        <f>IF(OR(NOT(Góllista!$E$6),G72=""),"",IF(H72="öngól","ö"&amp;D71&amp;G72,G71&amp;G72))</f>
        <v/>
      </c>
      <c r="AS72" s="326" t="str">
        <f>IF(OR(NOT(Góllista!$E$6),K72=""),"",IF(J72="öngól","ö"&amp;N71&amp;K72,K71&amp;K72))</f>
        <v/>
      </c>
      <c r="AT72" s="326" t="str">
        <f>IF(OR(NOT(Góllista!$E$6),N72=""),"",IF(O72="öngól","ö"&amp;K71&amp;N72,N71&amp;N72))</f>
        <v/>
      </c>
      <c r="AY72" s="323"/>
      <c r="BA72" s="323"/>
      <c r="BC72" s="323"/>
      <c r="BE72" s="323"/>
      <c r="BG72" s="323"/>
      <c r="BI72" s="323"/>
      <c r="BK72" s="323"/>
      <c r="BM72" s="323"/>
      <c r="BO72" s="323"/>
      <c r="BQ72" s="323"/>
      <c r="BS72" s="323"/>
      <c r="BU72" s="323"/>
      <c r="BW72" s="323"/>
      <c r="BY72" s="323"/>
      <c r="CA72" s="323"/>
      <c r="CC72" s="323"/>
      <c r="CE72" s="323"/>
      <c r="CG72" s="323"/>
      <c r="CI72" s="323"/>
      <c r="CK72" s="323"/>
      <c r="CM72" s="323"/>
      <c r="CO72" s="323"/>
      <c r="CQ72" s="323"/>
      <c r="CS72" s="323"/>
      <c r="CU72" s="323"/>
      <c r="CW72" s="323"/>
      <c r="CY72" s="323"/>
      <c r="DA72" s="323"/>
      <c r="DC72" s="323"/>
      <c r="DE72" s="323"/>
      <c r="DG72" s="323"/>
      <c r="DI72" s="323"/>
    </row>
    <row r="73" spans="1:115" ht="12" customHeight="1" x14ac:dyDescent="0.3">
      <c r="A73" s="765"/>
      <c r="C73" s="219"/>
      <c r="D73" s="220"/>
      <c r="E73" s="224"/>
      <c r="F73" s="222"/>
      <c r="G73" s="223"/>
      <c r="H73" s="219"/>
      <c r="J73" s="219"/>
      <c r="K73" s="220"/>
      <c r="L73" s="224"/>
      <c r="M73" s="222"/>
      <c r="N73" s="223"/>
      <c r="O73" s="219"/>
      <c r="V73" s="487" t="s">
        <v>711</v>
      </c>
      <c r="W73" s="327">
        <f>MATCH(W72,n.er.index,0)</f>
        <v>21</v>
      </c>
      <c r="X73" s="485" t="str">
        <f>""</f>
        <v/>
      </c>
      <c r="Y73" s="327">
        <f>MATCH(Y72,n.er.index,0)</f>
        <v>22</v>
      </c>
      <c r="AB73" s="327" t="str">
        <f>IF(C73="öngól",AC71,AB71)</f>
        <v>nevek.19</v>
      </c>
      <c r="AC73" s="327" t="str">
        <f>IF(H73="öngól",AB71,AC71)</f>
        <v>nevek.20</v>
      </c>
      <c r="AD73" s="327" t="str">
        <f>IF(J73="öngól",AE71,AD71)</f>
        <v>nevek.17</v>
      </c>
      <c r="AE73" s="327" t="str">
        <f>IF(O73="öngól",AD71,AE71)</f>
        <v>nevek.18</v>
      </c>
      <c r="AF73" s="325"/>
      <c r="AG73" s="485">
        <v>2</v>
      </c>
      <c r="AH73" s="488" t="b">
        <f ca="1">AND(W74,X75,D73="",AG73&lt;=W80)</f>
        <v>0</v>
      </c>
      <c r="AI73" s="488" t="b">
        <f ca="1">AND(W74,X75,E73="",AG73&lt;=W80)</f>
        <v>0</v>
      </c>
      <c r="AJ73" s="488" t="b">
        <f ca="1">AND(W74,X75,F73="",AG73&lt;=X80)</f>
        <v>0</v>
      </c>
      <c r="AK73" s="488" t="b">
        <f ca="1">AND(W74,X75,G73="",AG73&lt;=X80)</f>
        <v>0</v>
      </c>
      <c r="AL73" s="488" t="b">
        <f ca="1">AND(Y74,Z75,K73="",AG73&lt;=Y80)</f>
        <v>0</v>
      </c>
      <c r="AM73" s="488" t="b">
        <f ca="1">AND(Y74,Z75,L73="",AG73&lt;=Y80)</f>
        <v>0</v>
      </c>
      <c r="AN73" s="488" t="b">
        <f ca="1">AND(Y74,Z75,M73="",AG73&lt;=Z80)</f>
        <v>0</v>
      </c>
      <c r="AO73" s="488" t="b">
        <f ca="1">AND(Y74,Z75,N73="",AG73&lt;=Z80)</f>
        <v>0</v>
      </c>
      <c r="AQ73" s="326" t="str">
        <f>IF(OR(NOT(Góllista!$E$6),D73=""),"",IF(C73="öngól","ö"&amp;G71&amp;D73,D71&amp;D73))</f>
        <v/>
      </c>
      <c r="AR73" s="326" t="str">
        <f>IF(OR(NOT(Góllista!$E$6),G73=""),"",IF(H73="öngól","ö"&amp;D71&amp;G73,G71&amp;G73))</f>
        <v/>
      </c>
      <c r="AS73" s="326" t="str">
        <f>IF(OR(NOT(Góllista!$E$6),K73=""),"",IF(J73="öngól","ö"&amp;N71&amp;K73,K71&amp;K73))</f>
        <v/>
      </c>
      <c r="AT73" s="326" t="str">
        <f>IF(OR(NOT(Góllista!$E$6),N73=""),"",IF(O73="öngól","ö"&amp;K71&amp;N73,N71&amp;N73))</f>
        <v/>
      </c>
      <c r="AY73" s="323"/>
      <c r="BA73" s="323"/>
      <c r="BC73" s="323"/>
      <c r="BE73" s="323"/>
      <c r="BG73" s="323"/>
      <c r="BI73" s="323"/>
      <c r="BK73" s="323"/>
      <c r="BM73" s="323"/>
      <c r="BO73" s="323"/>
      <c r="BQ73" s="323"/>
      <c r="BS73" s="323"/>
      <c r="BU73" s="323"/>
      <c r="BW73" s="323"/>
      <c r="BY73" s="323"/>
      <c r="CA73" s="323"/>
      <c r="CC73" s="323"/>
      <c r="CE73" s="323"/>
      <c r="CG73" s="323"/>
      <c r="CI73" s="323"/>
      <c r="CK73" s="323"/>
      <c r="CM73" s="323"/>
      <c r="CO73" s="323"/>
      <c r="CQ73" s="323"/>
      <c r="CS73" s="323"/>
      <c r="CU73" s="323"/>
      <c r="CW73" s="323"/>
      <c r="CY73" s="323"/>
      <c r="DA73" s="323"/>
      <c r="DC73" s="323"/>
      <c r="DE73" s="323"/>
      <c r="DG73" s="323"/>
      <c r="DI73" s="323"/>
    </row>
    <row r="74" spans="1:115" ht="12" customHeight="1" x14ac:dyDescent="0.3">
      <c r="A74" s="765"/>
      <c r="C74" s="219"/>
      <c r="D74" s="220"/>
      <c r="E74" s="224"/>
      <c r="F74" s="222"/>
      <c r="G74" s="223"/>
      <c r="H74" s="219"/>
      <c r="J74" s="219"/>
      <c r="K74" s="220"/>
      <c r="L74" s="224"/>
      <c r="M74" s="222"/>
      <c r="N74" s="223"/>
      <c r="O74" s="219"/>
      <c r="V74" s="487" t="s">
        <v>710</v>
      </c>
      <c r="W74" s="489" t="b">
        <f>INDEX(n.er,W73,3)</f>
        <v>0</v>
      </c>
      <c r="X74" s="485" t="str">
        <f>""</f>
        <v/>
      </c>
      <c r="Y74" s="489" t="b">
        <f>INDEX(n.er,Y73,3)</f>
        <v>0</v>
      </c>
      <c r="AB74" s="327" t="str">
        <f>IF(C74="öngól",AC71,AB71)</f>
        <v>nevek.19</v>
      </c>
      <c r="AC74" s="327" t="str">
        <f>IF(H74="öngól",AB71,AC71)</f>
        <v>nevek.20</v>
      </c>
      <c r="AD74" s="327" t="str">
        <f>IF(J74="öngól",AE71,AD71)</f>
        <v>nevek.17</v>
      </c>
      <c r="AE74" s="327" t="str">
        <f>IF(O74="öngól",AD71,AE71)</f>
        <v>nevek.18</v>
      </c>
      <c r="AF74" s="325"/>
      <c r="AG74" s="485">
        <v>3</v>
      </c>
      <c r="AH74" s="488" t="b">
        <f ca="1">AND(W74,X75,D74="",AG74&lt;=W80)</f>
        <v>0</v>
      </c>
      <c r="AI74" s="488" t="b">
        <f ca="1">AND(W74,X75,E74="",AG74&lt;=W80)</f>
        <v>0</v>
      </c>
      <c r="AJ74" s="488" t="b">
        <f ca="1">AND(W74,X75,F74="",AG74&lt;=X80)</f>
        <v>0</v>
      </c>
      <c r="AK74" s="488" t="b">
        <f ca="1">AND(W74,X75,G74="",AG74&lt;=X80)</f>
        <v>0</v>
      </c>
      <c r="AL74" s="488" t="b">
        <f ca="1">AND(Y74,Z75,K74="",AG74&lt;=Y80)</f>
        <v>0</v>
      </c>
      <c r="AM74" s="488" t="b">
        <f ca="1">AND(Y74,Z75,L74="",AG74&lt;=Y80)</f>
        <v>0</v>
      </c>
      <c r="AN74" s="488" t="b">
        <f ca="1">AND(Y74,Z75,M74="",AG74&lt;=Z80)</f>
        <v>0</v>
      </c>
      <c r="AO74" s="488" t="b">
        <f ca="1">AND(Y74,Z75,N74="",AG74&lt;=Z80)</f>
        <v>0</v>
      </c>
      <c r="AQ74" s="326" t="str">
        <f>IF(OR(NOT(Góllista!$E$6),D74=""),"",IF(C74="öngól","ö"&amp;G71&amp;D74,D71&amp;D74))</f>
        <v/>
      </c>
      <c r="AR74" s="326" t="str">
        <f>IF(OR(NOT(Góllista!$E$6),G74=""),"",IF(H74="öngól","ö"&amp;D71&amp;G74,G71&amp;G74))</f>
        <v/>
      </c>
      <c r="AS74" s="326" t="str">
        <f>IF(OR(NOT(Góllista!$E$6),K74=""),"",IF(J74="öngól","ö"&amp;N71&amp;K74,K71&amp;K74))</f>
        <v/>
      </c>
      <c r="AT74" s="326" t="str">
        <f>IF(OR(NOT(Góllista!$E$6),N74=""),"",IF(O74="öngól","ö"&amp;K71&amp;N74,N71&amp;N74))</f>
        <v/>
      </c>
      <c r="AY74" s="323"/>
      <c r="BA74" s="323"/>
      <c r="BC74" s="323"/>
      <c r="BE74" s="323"/>
      <c r="BG74" s="323"/>
      <c r="BI74" s="323"/>
      <c r="BK74" s="323"/>
      <c r="BM74" s="323"/>
      <c r="BO74" s="323"/>
      <c r="BQ74" s="323"/>
      <c r="BS74" s="323"/>
      <c r="BU74" s="323"/>
      <c r="BW74" s="323"/>
      <c r="BY74" s="323"/>
      <c r="CA74" s="323"/>
      <c r="CC74" s="323"/>
      <c r="CE74" s="323"/>
      <c r="CG74" s="323"/>
      <c r="CI74" s="323"/>
      <c r="CK74" s="323"/>
      <c r="CM74" s="323"/>
      <c r="CO74" s="323"/>
      <c r="CQ74" s="323"/>
      <c r="CS74" s="323"/>
      <c r="CU74" s="323"/>
      <c r="CW74" s="323"/>
      <c r="CY74" s="323"/>
      <c r="DA74" s="323"/>
      <c r="DC74" s="323"/>
      <c r="DE74" s="323"/>
      <c r="DG74" s="323"/>
      <c r="DI74" s="323"/>
    </row>
    <row r="75" spans="1:115" ht="12" customHeight="1" x14ac:dyDescent="0.3">
      <c r="A75" s="765"/>
      <c r="C75" s="219"/>
      <c r="D75" s="220"/>
      <c r="E75" s="224"/>
      <c r="F75" s="222"/>
      <c r="G75" s="223"/>
      <c r="H75" s="219"/>
      <c r="J75" s="219"/>
      <c r="K75" s="220"/>
      <c r="L75" s="224"/>
      <c r="M75" s="222"/>
      <c r="N75" s="223"/>
      <c r="O75" s="219"/>
      <c r="V75" s="487" t="s">
        <v>705</v>
      </c>
      <c r="W75" s="490" t="str">
        <f>VLOOKUP(W72,schedule,18,FALSE)</f>
        <v>JÚNIUS 14. – HÉTFŐ 18:00</v>
      </c>
      <c r="X75" s="489" t="b">
        <f ca="1">VLOOKUP(W72,schedule,14,FALSE)&lt;=NOW()</f>
        <v>0</v>
      </c>
      <c r="Y75" s="490" t="str">
        <f>VLOOKUP(Y72,schedule,18,FALSE)</f>
        <v>JÚNIUS 14. – HÉTFŐ 21:00</v>
      </c>
      <c r="Z75" s="489" t="b">
        <f ca="1">VLOOKUP(Y72,schedule,14,FALSE)&lt;=NOW()</f>
        <v>0</v>
      </c>
      <c r="AB75" s="327" t="str">
        <f>IF(C75="öngól",AC71,AB71)</f>
        <v>nevek.19</v>
      </c>
      <c r="AC75" s="327" t="str">
        <f>IF(H75="öngól",AB71,AC71)</f>
        <v>nevek.20</v>
      </c>
      <c r="AD75" s="327" t="str">
        <f>IF(J75="öngól",AE71,AD71)</f>
        <v>nevek.17</v>
      </c>
      <c r="AE75" s="327" t="str">
        <f>IF(O75="öngól",AD71,AE71)</f>
        <v>nevek.18</v>
      </c>
      <c r="AF75" s="325"/>
      <c r="AG75" s="485">
        <v>4</v>
      </c>
      <c r="AH75" s="488" t="b">
        <f ca="1">AND(W74,X75,D75="",AG75&lt;=W80)</f>
        <v>0</v>
      </c>
      <c r="AI75" s="488" t="b">
        <f ca="1">AND(W74,X75,E75="",AG75&lt;=W80)</f>
        <v>0</v>
      </c>
      <c r="AJ75" s="488" t="b">
        <f ca="1">AND(W74,X75,F75="",AG75&lt;=X80)</f>
        <v>0</v>
      </c>
      <c r="AK75" s="488" t="b">
        <f ca="1">AND(W74,X75,G75="",AG75&lt;=X80)</f>
        <v>0</v>
      </c>
      <c r="AL75" s="488" t="b">
        <f ca="1">AND(Y74,Z75,K75="",AG75&lt;=Y80)</f>
        <v>0</v>
      </c>
      <c r="AM75" s="488" t="b">
        <f ca="1">AND(Y74,Z75,L75="",AG75&lt;=Y80)</f>
        <v>0</v>
      </c>
      <c r="AN75" s="488" t="b">
        <f ca="1">AND(Y74,Z75,M75="",AG75&lt;=Z80)</f>
        <v>0</v>
      </c>
      <c r="AO75" s="488" t="b">
        <f ca="1">AND(Y74,Z75,N75="",AG75&lt;=Z80)</f>
        <v>0</v>
      </c>
      <c r="AQ75" s="326" t="str">
        <f>IF(OR(NOT(Góllista!$E$6),D75=""),"",IF(C75="öngól","ö"&amp;G71&amp;D75,D71&amp;D75))</f>
        <v/>
      </c>
      <c r="AR75" s="326" t="str">
        <f>IF(OR(NOT(Góllista!$E$6),G75=""),"",IF(H75="öngól","ö"&amp;D71&amp;G75,G71&amp;G75))</f>
        <v/>
      </c>
      <c r="AS75" s="326" t="str">
        <f>IF(OR(NOT(Góllista!$E$6),K75=""),"",IF(J75="öngól","ö"&amp;N71&amp;K75,K71&amp;K75))</f>
        <v/>
      </c>
      <c r="AT75" s="326" t="str">
        <f>IF(OR(NOT(Góllista!$E$6),N75=""),"",IF(O75="öngól","ö"&amp;K71&amp;N75,N71&amp;N75))</f>
        <v/>
      </c>
      <c r="AY75" s="323"/>
      <c r="BA75" s="323"/>
      <c r="BC75" s="323"/>
      <c r="BE75" s="323"/>
      <c r="BG75" s="323"/>
      <c r="BI75" s="323"/>
      <c r="BK75" s="323"/>
      <c r="BM75" s="323"/>
      <c r="BO75" s="323"/>
      <c r="BQ75" s="323"/>
      <c r="BS75" s="323"/>
      <c r="BU75" s="323"/>
      <c r="BW75" s="323"/>
      <c r="BY75" s="323"/>
      <c r="CA75" s="323"/>
      <c r="CC75" s="323"/>
      <c r="CE75" s="323"/>
      <c r="CG75" s="323"/>
      <c r="CI75" s="323"/>
      <c r="CK75" s="323"/>
      <c r="CM75" s="323"/>
      <c r="CO75" s="323"/>
      <c r="CQ75" s="323"/>
      <c r="CS75" s="323"/>
      <c r="CU75" s="323"/>
      <c r="CW75" s="323"/>
      <c r="CY75" s="323"/>
      <c r="DA75" s="323"/>
      <c r="DC75" s="323"/>
      <c r="DE75" s="323"/>
      <c r="DG75" s="323"/>
      <c r="DI75" s="323"/>
    </row>
    <row r="76" spans="1:115" ht="12" customHeight="1" x14ac:dyDescent="0.3">
      <c r="A76" s="765"/>
      <c r="C76" s="219"/>
      <c r="D76" s="220"/>
      <c r="E76" s="224"/>
      <c r="F76" s="222"/>
      <c r="G76" s="223"/>
      <c r="H76" s="219"/>
      <c r="J76" s="219"/>
      <c r="K76" s="220"/>
      <c r="L76" s="224"/>
      <c r="M76" s="222"/>
      <c r="N76" s="223"/>
      <c r="O76" s="219"/>
      <c r="V76" s="487" t="s">
        <v>1265</v>
      </c>
      <c r="W76" s="491" t="str">
        <f>VLOOKUP(W72,schedule,12,FALSE)</f>
        <v>1. CSOPORTMÉRKŐZÉS</v>
      </c>
      <c r="X76" s="485" t="str">
        <f>""</f>
        <v/>
      </c>
      <c r="Y76" s="491" t="str">
        <f>VLOOKUP(Y72,schedule,12,FALSE)</f>
        <v>1. CSOPORTMÉRKŐZÉS</v>
      </c>
      <c r="AB76" s="327" t="str">
        <f>IF(C76="öngól",AC71,AB71)</f>
        <v>nevek.19</v>
      </c>
      <c r="AC76" s="327" t="str">
        <f>IF(H76="öngól",AB71,AC71)</f>
        <v>nevek.20</v>
      </c>
      <c r="AD76" s="327" t="str">
        <f>IF(J76="öngól",AE71,AD71)</f>
        <v>nevek.17</v>
      </c>
      <c r="AE76" s="327" t="str">
        <f>IF(O76="öngól",AD71,AE71)</f>
        <v>nevek.18</v>
      </c>
      <c r="AF76" s="325"/>
      <c r="AG76" s="485">
        <v>5</v>
      </c>
      <c r="AH76" s="488" t="b">
        <f ca="1">AND(W74,X75,D76="",AG76&lt;=W80)</f>
        <v>0</v>
      </c>
      <c r="AI76" s="488" t="b">
        <f ca="1">AND(W74,X75,E76="",AG76&lt;=W80)</f>
        <v>0</v>
      </c>
      <c r="AJ76" s="488" t="b">
        <f ca="1">AND(W74,X75,F76="",AG76&lt;=X80)</f>
        <v>0</v>
      </c>
      <c r="AK76" s="488" t="b">
        <f ca="1">AND(W74,X75,G76="",AG76&lt;=X80)</f>
        <v>0</v>
      </c>
      <c r="AL76" s="488" t="b">
        <f ca="1">AND(Y74,Z75,K76="",AG76&lt;=Y80)</f>
        <v>0</v>
      </c>
      <c r="AM76" s="488" t="b">
        <f ca="1">AND(Y74,Z75,L76="",AG76&lt;=Y80)</f>
        <v>0</v>
      </c>
      <c r="AN76" s="488" t="b">
        <f ca="1">AND(Y74,Z75,M76="",AG76&lt;=Z80)</f>
        <v>0</v>
      </c>
      <c r="AO76" s="488" t="b">
        <f ca="1">AND(Y74,Z75,N76="",AG76&lt;=Z80)</f>
        <v>0</v>
      </c>
      <c r="AQ76" s="326" t="str">
        <f>IF(OR(NOT(Góllista!$E$6),D76=""),"",IF(C76="öngól","ö"&amp;G71&amp;D76,D71&amp;D76))</f>
        <v/>
      </c>
      <c r="AR76" s="326" t="str">
        <f>IF(OR(NOT(Góllista!$E$6),G76=""),"",IF(H76="öngól","ö"&amp;D71&amp;G76,G71&amp;G76))</f>
        <v/>
      </c>
      <c r="AS76" s="326" t="str">
        <f>IF(OR(NOT(Góllista!$E$6),K76=""),"",IF(J76="öngól","ö"&amp;N71&amp;K76,K71&amp;K76))</f>
        <v/>
      </c>
      <c r="AT76" s="326" t="str">
        <f>IF(OR(NOT(Góllista!$E$6),N76=""),"",IF(O76="öngól","ö"&amp;K71&amp;N76,N71&amp;N76))</f>
        <v/>
      </c>
      <c r="AY76" s="323"/>
      <c r="BA76" s="323"/>
      <c r="BC76" s="323"/>
      <c r="BE76" s="323"/>
      <c r="BG76" s="323"/>
      <c r="BI76" s="323"/>
      <c r="BK76" s="323"/>
      <c r="BM76" s="323"/>
      <c r="BO76" s="323"/>
      <c r="BQ76" s="323"/>
      <c r="BS76" s="323"/>
      <c r="BU76" s="323"/>
      <c r="BW76" s="323"/>
      <c r="BY76" s="323"/>
      <c r="CA76" s="323"/>
      <c r="CC76" s="323"/>
      <c r="CE76" s="323"/>
      <c r="CG76" s="323"/>
      <c r="CI76" s="323"/>
      <c r="CK76" s="323"/>
      <c r="CM76" s="323"/>
      <c r="CO76" s="323"/>
      <c r="CQ76" s="323"/>
      <c r="CS76" s="323"/>
      <c r="CU76" s="323"/>
      <c r="CW76" s="323"/>
      <c r="CY76" s="323"/>
      <c r="DA76" s="323"/>
      <c r="DC76" s="323"/>
      <c r="DE76" s="323"/>
      <c r="DG76" s="323"/>
      <c r="DI76" s="323"/>
    </row>
    <row r="77" spans="1:115" ht="12" customHeight="1" x14ac:dyDescent="0.3">
      <c r="A77" s="765"/>
      <c r="C77" s="219"/>
      <c r="D77" s="220"/>
      <c r="E77" s="224"/>
      <c r="F77" s="222"/>
      <c r="G77" s="223"/>
      <c r="H77" s="219"/>
      <c r="J77" s="219"/>
      <c r="K77" s="220"/>
      <c r="L77" s="224"/>
      <c r="M77" s="222"/>
      <c r="N77" s="223"/>
      <c r="O77" s="219"/>
      <c r="V77" s="487" t="s">
        <v>1264</v>
      </c>
      <c r="W77" s="327" t="str">
        <f>VLOOKUP(W72,schedule,3,FALSE)</f>
        <v>E</v>
      </c>
      <c r="X77" s="485" t="str">
        <f>""</f>
        <v/>
      </c>
      <c r="Y77" s="327" t="str">
        <f>VLOOKUP(Y72,schedule,3,FALSE)</f>
        <v>E</v>
      </c>
      <c r="AB77" s="327" t="str">
        <f>IF(C77="öngól",AC71,AB71)</f>
        <v>nevek.19</v>
      </c>
      <c r="AC77" s="327" t="str">
        <f>IF(H77="öngól",AB71,AC71)</f>
        <v>nevek.20</v>
      </c>
      <c r="AD77" s="327" t="str">
        <f>IF(J77="öngól",AE71,AD71)</f>
        <v>nevek.17</v>
      </c>
      <c r="AE77" s="327" t="str">
        <f>IF(O77="öngól",AD71,AE71)</f>
        <v>nevek.18</v>
      </c>
      <c r="AF77" s="325"/>
      <c r="AG77" s="485">
        <v>6</v>
      </c>
      <c r="AH77" s="488" t="b">
        <f ca="1">AND(W74,X75,D77="",AG77&lt;=W80)</f>
        <v>0</v>
      </c>
      <c r="AI77" s="488" t="b">
        <f ca="1">AND(W74,X75,E77="",AG77&lt;=W80)</f>
        <v>0</v>
      </c>
      <c r="AJ77" s="488" t="b">
        <f ca="1">AND(W74,X75,F77="",AG77&lt;=X80)</f>
        <v>0</v>
      </c>
      <c r="AK77" s="488" t="b">
        <f ca="1">AND(W74,X75,G77="",AG77&lt;=X80)</f>
        <v>0</v>
      </c>
      <c r="AL77" s="488" t="b">
        <f ca="1">AND(Y74,Z75,K77="",AG77&lt;=Y80)</f>
        <v>0</v>
      </c>
      <c r="AM77" s="488" t="b">
        <f ca="1">AND(Y74,Z75,L77="",AG77&lt;=Y80)</f>
        <v>0</v>
      </c>
      <c r="AN77" s="488" t="b">
        <f ca="1">AND(Y74,Z75,M77="",AG77&lt;=Z80)</f>
        <v>0</v>
      </c>
      <c r="AO77" s="488" t="b">
        <f ca="1">AND(Y74,Z75,N77="",AG77&lt;=Z80)</f>
        <v>0</v>
      </c>
      <c r="AQ77" s="326" t="str">
        <f>IF(OR(NOT(Góllista!$E$6),D77=""),"",IF(C77="öngól","ö"&amp;G71&amp;D77,D71&amp;D77))</f>
        <v/>
      </c>
      <c r="AR77" s="326" t="str">
        <f>IF(OR(NOT(Góllista!$E$6),G77=""),"",IF(H77="öngól","ö"&amp;D71&amp;G77,G71&amp;G77))</f>
        <v/>
      </c>
      <c r="AS77" s="326" t="str">
        <f>IF(OR(NOT(Góllista!$E$6),K77=""),"",IF(J77="öngól","ö"&amp;N71&amp;K77,K71&amp;K77))</f>
        <v/>
      </c>
      <c r="AT77" s="326" t="str">
        <f>IF(OR(NOT(Góllista!$E$6),N77=""),"",IF(O77="öngól","ö"&amp;K71&amp;N77,N71&amp;N77))</f>
        <v/>
      </c>
      <c r="AY77" s="323"/>
      <c r="BA77" s="323"/>
      <c r="BC77" s="323"/>
      <c r="BE77" s="323"/>
      <c r="BG77" s="323"/>
      <c r="BI77" s="323"/>
      <c r="BK77" s="323"/>
      <c r="BM77" s="323"/>
      <c r="BO77" s="323"/>
      <c r="BQ77" s="323"/>
      <c r="BS77" s="323"/>
      <c r="BU77" s="323"/>
      <c r="BW77" s="323"/>
      <c r="BY77" s="323"/>
      <c r="CA77" s="323"/>
      <c r="CC77" s="323"/>
      <c r="CE77" s="323"/>
      <c r="CG77" s="323"/>
      <c r="CI77" s="323"/>
      <c r="CK77" s="323"/>
      <c r="CM77" s="323"/>
      <c r="CO77" s="323"/>
      <c r="CQ77" s="323"/>
      <c r="CS77" s="323"/>
      <c r="CU77" s="323"/>
      <c r="CW77" s="323"/>
      <c r="CY77" s="323"/>
      <c r="DA77" s="323"/>
      <c r="DC77" s="323"/>
      <c r="DE77" s="323"/>
      <c r="DG77" s="323"/>
      <c r="DI77" s="323"/>
    </row>
    <row r="78" spans="1:115" ht="12" customHeight="1" x14ac:dyDescent="0.3">
      <c r="A78" s="765"/>
      <c r="C78" s="219"/>
      <c r="D78" s="220"/>
      <c r="E78" s="224"/>
      <c r="F78" s="222"/>
      <c r="G78" s="223"/>
      <c r="H78" s="219"/>
      <c r="J78" s="219"/>
      <c r="K78" s="220"/>
      <c r="L78" s="224"/>
      <c r="M78" s="222"/>
      <c r="N78" s="223"/>
      <c r="O78" s="219"/>
      <c r="V78" s="485" t="s">
        <v>707</v>
      </c>
      <c r="W78" s="327">
        <f>IF(NOT(W74),0,E71-9+COUNTBLANK(D72:D80))</f>
        <v>0</v>
      </c>
      <c r="X78" s="327">
        <f>IF(NOT(W74),0,F71-9+COUNTBLANK(G72:G80))</f>
        <v>0</v>
      </c>
      <c r="Y78" s="327">
        <f>IF(NOT(Y74),0,L71-9+COUNTBLANK(K72:K80))</f>
        <v>0</v>
      </c>
      <c r="Z78" s="327">
        <f>IF(NOT(Y74),0,M71-9+COUNTBLANK(N72:N80))</f>
        <v>0</v>
      </c>
      <c r="AB78" s="327" t="str">
        <f>IF(C78="öngól",AC71,AB71)</f>
        <v>nevek.19</v>
      </c>
      <c r="AC78" s="327" t="str">
        <f>IF(H78="öngól",AB71,AC71)</f>
        <v>nevek.20</v>
      </c>
      <c r="AD78" s="327" t="str">
        <f>IF(J78="öngól",AE71,AD71)</f>
        <v>nevek.17</v>
      </c>
      <c r="AE78" s="327" t="str">
        <f>IF(O78="öngól",AD71,AE71)</f>
        <v>nevek.18</v>
      </c>
      <c r="AF78" s="325"/>
      <c r="AG78" s="485">
        <v>7</v>
      </c>
      <c r="AH78" s="488" t="b">
        <f ca="1">AND(W74,X75,D78="",AG78&lt;=W80)</f>
        <v>0</v>
      </c>
      <c r="AI78" s="488" t="b">
        <f ca="1">AND(W74,X75,E78="",AG78&lt;=W80)</f>
        <v>0</v>
      </c>
      <c r="AJ78" s="488" t="b">
        <f ca="1">AND(W74,X75,F78="",AG78&lt;=X80)</f>
        <v>0</v>
      </c>
      <c r="AK78" s="488" t="b">
        <f ca="1">AND(W74,X75,G78="",AG78&lt;=X80)</f>
        <v>0</v>
      </c>
      <c r="AL78" s="488" t="b">
        <f ca="1">AND(Y74,Z75,K78="",AG78&lt;=Y80)</f>
        <v>0</v>
      </c>
      <c r="AM78" s="488" t="b">
        <f ca="1">AND(Y74,Z75,L78="",AG78&lt;=Y80)</f>
        <v>0</v>
      </c>
      <c r="AN78" s="488" t="b">
        <f ca="1">AND(Y74,Z75,M78="",AG78&lt;=Z80)</f>
        <v>0</v>
      </c>
      <c r="AO78" s="488" t="b">
        <f ca="1">AND(Y74,Z75,N78="",AG78&lt;=Z80)</f>
        <v>0</v>
      </c>
      <c r="AQ78" s="326" t="str">
        <f>IF(OR(NOT(Góllista!$E$6),D78=""),"",IF(C78="öngól","ö"&amp;G71&amp;D78,D71&amp;D78))</f>
        <v/>
      </c>
      <c r="AR78" s="326" t="str">
        <f>IF(OR(NOT(Góllista!$E$6),G78=""),"",IF(H78="öngól","ö"&amp;D71&amp;G78,G71&amp;G78))</f>
        <v/>
      </c>
      <c r="AS78" s="326" t="str">
        <f>IF(OR(NOT(Góllista!$E$6),K78=""),"",IF(J78="öngól","ö"&amp;N71&amp;K78,K71&amp;K78))</f>
        <v/>
      </c>
      <c r="AT78" s="326" t="str">
        <f>IF(OR(NOT(Góllista!$E$6),N78=""),"",IF(O78="öngól","ö"&amp;K71&amp;N78,N71&amp;N78))</f>
        <v/>
      </c>
      <c r="AY78" s="323"/>
      <c r="BA78" s="323"/>
      <c r="BC78" s="323"/>
      <c r="BE78" s="323"/>
      <c r="BG78" s="323"/>
      <c r="BI78" s="323"/>
      <c r="BK78" s="323"/>
      <c r="BM78" s="323"/>
      <c r="BO78" s="323"/>
      <c r="BQ78" s="323"/>
      <c r="BS78" s="323"/>
      <c r="BU78" s="323"/>
      <c r="BW78" s="323"/>
      <c r="BY78" s="323"/>
      <c r="CA78" s="323"/>
      <c r="CC78" s="323"/>
      <c r="CE78" s="323"/>
      <c r="CG78" s="323"/>
      <c r="CI78" s="323"/>
      <c r="CK78" s="323"/>
      <c r="CM78" s="323"/>
      <c r="CO78" s="323"/>
      <c r="CQ78" s="323"/>
      <c r="CS78" s="323"/>
      <c r="CU78" s="323"/>
      <c r="CW78" s="323"/>
      <c r="CY78" s="323"/>
      <c r="DA78" s="323"/>
      <c r="DC78" s="323"/>
      <c r="DE78" s="323"/>
      <c r="DG78" s="323"/>
      <c r="DI78" s="323"/>
    </row>
    <row r="79" spans="1:115" ht="12" customHeight="1" x14ac:dyDescent="0.3">
      <c r="A79" s="765"/>
      <c r="C79" s="219"/>
      <c r="D79" s="220"/>
      <c r="E79" s="224"/>
      <c r="F79" s="222"/>
      <c r="G79" s="223"/>
      <c r="H79" s="219"/>
      <c r="J79" s="219"/>
      <c r="K79" s="220"/>
      <c r="L79" s="224"/>
      <c r="M79" s="222"/>
      <c r="N79" s="223"/>
      <c r="O79" s="219"/>
      <c r="V79" s="485" t="s">
        <v>708</v>
      </c>
      <c r="W79" s="411" t="str">
        <f>VLOOKUP(W72,schedule,8,FALSE)</f>
        <v>Lengyelország</v>
      </c>
      <c r="X79" s="411" t="str">
        <f>VLOOKUP(W72,schedule,9,FALSE)</f>
        <v>Szlovákia</v>
      </c>
      <c r="Y79" s="411" t="str">
        <f>VLOOKUP(Y72,schedule,8,FALSE)</f>
        <v>Spanyolország</v>
      </c>
      <c r="Z79" s="491" t="str">
        <f>VLOOKUP(Y72,schedule,9,FALSE)</f>
        <v>Svédország</v>
      </c>
      <c r="AB79" s="327" t="str">
        <f>IF(C79="öngól",AC71,AB71)</f>
        <v>nevek.19</v>
      </c>
      <c r="AC79" s="327" t="str">
        <f>IF(H79="öngól",AB71,AC71)</f>
        <v>nevek.20</v>
      </c>
      <c r="AD79" s="327" t="str">
        <f>IF(J79="öngól",AE71,AD71)</f>
        <v>nevek.17</v>
      </c>
      <c r="AE79" s="327" t="str">
        <f>IF(O79="öngól",AD71,AE71)</f>
        <v>nevek.18</v>
      </c>
      <c r="AF79" s="325"/>
      <c r="AG79" s="485">
        <v>8</v>
      </c>
      <c r="AH79" s="488" t="b">
        <f ca="1">AND(W74,X75,D79="",AG79&lt;=W80)</f>
        <v>0</v>
      </c>
      <c r="AI79" s="488" t="b">
        <f ca="1">AND(W74,X75,E79="",AG79&lt;=W80)</f>
        <v>0</v>
      </c>
      <c r="AJ79" s="488" t="b">
        <f ca="1">AND(W74,X75,F79="",AG79&lt;=X80)</f>
        <v>0</v>
      </c>
      <c r="AK79" s="488" t="b">
        <f ca="1">AND(W74,X75,G79="",AG79&lt;=X80)</f>
        <v>0</v>
      </c>
      <c r="AL79" s="488" t="b">
        <f ca="1">AND(Y74,Z75,K79="",AG79&lt;=Y80)</f>
        <v>0</v>
      </c>
      <c r="AM79" s="488" t="b">
        <f ca="1">AND(Y74,Z75,L79="",AG79&lt;=Y80)</f>
        <v>0</v>
      </c>
      <c r="AN79" s="488" t="b">
        <f ca="1">AND(Y74,Z75,M79="",AG79&lt;=Z80)</f>
        <v>0</v>
      </c>
      <c r="AO79" s="488" t="b">
        <f ca="1">AND(Y74,Z75,N79="",AG79&lt;=Z80)</f>
        <v>0</v>
      </c>
      <c r="AQ79" s="326" t="str">
        <f>IF(OR(NOT(Góllista!$E$6),D79=""),"",IF(C79="öngól","ö"&amp;G71&amp;D79,D71&amp;D79))</f>
        <v/>
      </c>
      <c r="AR79" s="326" t="str">
        <f>IF(OR(NOT(Góllista!$E$6),G79=""),"",IF(H79="öngól","ö"&amp;D71&amp;G79,G71&amp;G79))</f>
        <v/>
      </c>
      <c r="AS79" s="326" t="str">
        <f>IF(OR(NOT(Góllista!$E$6),K79=""),"",IF(J79="öngól","ö"&amp;N71&amp;K79,K71&amp;K79))</f>
        <v/>
      </c>
      <c r="AT79" s="326" t="str">
        <f>IF(OR(NOT(Góllista!$E$6),N79=""),"",IF(O79="öngól","ö"&amp;K71&amp;N79,N71&amp;N79))</f>
        <v/>
      </c>
      <c r="AY79" s="323"/>
      <c r="BA79" s="323"/>
      <c r="BC79" s="323"/>
      <c r="BE79" s="323"/>
      <c r="BG79" s="323"/>
      <c r="BI79" s="323"/>
      <c r="BK79" s="323"/>
      <c r="BM79" s="323"/>
      <c r="BO79" s="323"/>
      <c r="BQ79" s="323"/>
      <c r="BS79" s="323"/>
      <c r="BU79" s="323"/>
      <c r="BW79" s="323"/>
      <c r="BY79" s="323"/>
      <c r="CA79" s="323"/>
      <c r="CC79" s="323"/>
      <c r="CE79" s="323"/>
      <c r="CG79" s="323"/>
      <c r="CI79" s="323"/>
      <c r="CK79" s="323"/>
      <c r="CM79" s="323"/>
      <c r="CO79" s="323"/>
      <c r="CQ79" s="323"/>
      <c r="CS79" s="323"/>
      <c r="CU79" s="323"/>
      <c r="CW79" s="323"/>
      <c r="CY79" s="323"/>
      <c r="DA79" s="323"/>
      <c r="DC79" s="323"/>
      <c r="DE79" s="323"/>
      <c r="DG79" s="323"/>
      <c r="DI79" s="323"/>
    </row>
    <row r="80" spans="1:115" ht="12" customHeight="1" x14ac:dyDescent="0.3">
      <c r="A80" s="765"/>
      <c r="C80" s="219"/>
      <c r="D80" s="220"/>
      <c r="E80" s="225"/>
      <c r="F80" s="222"/>
      <c r="G80" s="223"/>
      <c r="H80" s="219"/>
      <c r="J80" s="219"/>
      <c r="K80" s="220"/>
      <c r="L80" s="225"/>
      <c r="M80" s="222"/>
      <c r="N80" s="223"/>
      <c r="O80" s="219"/>
      <c r="V80" s="485" t="s">
        <v>709</v>
      </c>
      <c r="W80" s="492" t="str">
        <f>INDEX(n.er,W73,9)</f>
        <v/>
      </c>
      <c r="X80" s="493" t="str">
        <f>INDEX(n.er,W73,10)</f>
        <v/>
      </c>
      <c r="Y80" s="492" t="str">
        <f>INDEX(n.er,Y73,9)</f>
        <v/>
      </c>
      <c r="Z80" s="493" t="str">
        <f>INDEX(n.er,Y73,10)</f>
        <v/>
      </c>
      <c r="AB80" s="327" t="str">
        <f>IF(C80="öngól",AC71,AB71)</f>
        <v>nevek.19</v>
      </c>
      <c r="AC80" s="327" t="str">
        <f>IF(H80="öngól",AB71,AC71)</f>
        <v>nevek.20</v>
      </c>
      <c r="AD80" s="327" t="str">
        <f>IF(J80="öngól",AE71,AD71)</f>
        <v>nevek.17</v>
      </c>
      <c r="AE80" s="327" t="str">
        <f>IF(O80="öngól",AD71,AE71)</f>
        <v>nevek.18</v>
      </c>
      <c r="AF80" s="325"/>
      <c r="AG80" s="485">
        <v>9</v>
      </c>
      <c r="AH80" s="488" t="b">
        <f ca="1">AND(W74,X75,D80="",AG80&lt;=W80)</f>
        <v>0</v>
      </c>
      <c r="AI80" s="488" t="b">
        <f ca="1">AND(W74,X75,E80="",AG80&lt;=W80)</f>
        <v>0</v>
      </c>
      <c r="AJ80" s="488" t="b">
        <f ca="1">AND(W74,X75,F80="",AG80&lt;=X80)</f>
        <v>0</v>
      </c>
      <c r="AK80" s="488" t="b">
        <f ca="1">AND(W74,X75,G80="",AG80&lt;=X80)</f>
        <v>0</v>
      </c>
      <c r="AL80" s="488" t="b">
        <f ca="1">AND(Y74,Z75,K80="",AG80&lt;=Y80)</f>
        <v>0</v>
      </c>
      <c r="AM80" s="488" t="b">
        <f ca="1">AND(Y74,Z75,L80="",AG80&lt;=Y80)</f>
        <v>0</v>
      </c>
      <c r="AN80" s="488" t="b">
        <f ca="1">AND(Y74,Z75,M80="",AG80&lt;=Z80)</f>
        <v>0</v>
      </c>
      <c r="AO80" s="488" t="b">
        <f ca="1">AND(Y74,Z75,N80="",AG80&lt;=Z80)</f>
        <v>0</v>
      </c>
      <c r="AQ80" s="326" t="str">
        <f>IF(OR(NOT(Góllista!$E$6),D80=""),"",IF(C80="öngól","ö"&amp;G71&amp;D80,D71&amp;D80))</f>
        <v/>
      </c>
      <c r="AR80" s="326" t="str">
        <f>IF(OR(NOT(Góllista!$E$6),G80=""),"",IF(H80="öngól","ö"&amp;D71&amp;G80,G71&amp;G80))</f>
        <v/>
      </c>
      <c r="AS80" s="326" t="str">
        <f>IF(OR(NOT(Góllista!$E$6),K80=""),"",IF(J80="öngól","ö"&amp;N71&amp;K80,K71&amp;K80))</f>
        <v/>
      </c>
      <c r="AT80" s="326" t="str">
        <f>IF(OR(NOT(Góllista!$E$6),N80=""),"",IF(O80="öngól","ö"&amp;K71&amp;N80,N71&amp;N80))</f>
        <v/>
      </c>
      <c r="AY80" s="323"/>
      <c r="BA80" s="323"/>
      <c r="BC80" s="323"/>
      <c r="BE80" s="323"/>
      <c r="BG80" s="323"/>
      <c r="BI80" s="323"/>
      <c r="BK80" s="323"/>
      <c r="BM80" s="323"/>
      <c r="BO80" s="323"/>
      <c r="BQ80" s="323"/>
      <c r="BS80" s="323"/>
      <c r="BU80" s="323"/>
      <c r="BW80" s="323"/>
      <c r="BY80" s="323"/>
      <c r="CA80" s="323"/>
      <c r="CC80" s="323"/>
      <c r="CE80" s="323"/>
      <c r="CG80" s="323"/>
      <c r="CI80" s="323"/>
      <c r="CK80" s="323"/>
      <c r="CM80" s="323"/>
      <c r="CO80" s="323"/>
      <c r="CQ80" s="323"/>
      <c r="CS80" s="323"/>
      <c r="CU80" s="323"/>
      <c r="CW80" s="323"/>
      <c r="CY80" s="323"/>
      <c r="DA80" s="323"/>
      <c r="DC80" s="323"/>
      <c r="DE80" s="323"/>
      <c r="DG80" s="323"/>
      <c r="DI80" s="323"/>
    </row>
    <row r="81" spans="1:115" ht="12" customHeight="1" x14ac:dyDescent="0.3">
      <c r="A81" s="765"/>
      <c r="C81" s="768"/>
      <c r="D81" s="768"/>
      <c r="E81" s="768"/>
      <c r="F81" s="768"/>
      <c r="G81" s="768"/>
      <c r="H81" s="768"/>
      <c r="J81" s="768"/>
      <c r="K81" s="768"/>
      <c r="L81" s="768"/>
      <c r="M81" s="768"/>
      <c r="N81" s="768"/>
      <c r="O81" s="768"/>
      <c r="AY81" s="323"/>
      <c r="BA81" s="323"/>
      <c r="BC81" s="323"/>
      <c r="BE81" s="323"/>
      <c r="BG81" s="323"/>
      <c r="BI81" s="323"/>
      <c r="BK81" s="323"/>
      <c r="BM81" s="323"/>
      <c r="BO81" s="323"/>
      <c r="BQ81" s="323"/>
      <c r="BS81" s="323"/>
      <c r="BU81" s="323"/>
      <c r="BW81" s="323"/>
      <c r="BY81" s="323"/>
      <c r="CA81" s="323"/>
      <c r="CC81" s="323"/>
      <c r="CE81" s="323"/>
      <c r="CG81" s="323"/>
      <c r="CI81" s="323"/>
      <c r="CK81" s="323"/>
      <c r="CM81" s="323"/>
      <c r="CO81" s="323"/>
      <c r="CQ81" s="323"/>
      <c r="CS81" s="323"/>
      <c r="CU81" s="323"/>
      <c r="CW81" s="323"/>
      <c r="CY81" s="323"/>
      <c r="DA81" s="323"/>
      <c r="DC81" s="323"/>
      <c r="DE81" s="323"/>
      <c r="DG81" s="323"/>
      <c r="DI81" s="323"/>
    </row>
    <row r="82" spans="1:115" ht="12" hidden="1" customHeight="1" x14ac:dyDescent="0.3">
      <c r="A82" s="765"/>
      <c r="C82" s="767"/>
      <c r="D82" s="767"/>
      <c r="E82" s="767"/>
      <c r="F82" s="767"/>
      <c r="G82" s="767"/>
      <c r="H82" s="767"/>
      <c r="J82" s="767"/>
      <c r="K82" s="767"/>
      <c r="L82" s="767"/>
      <c r="M82" s="767"/>
      <c r="N82" s="767"/>
      <c r="O82" s="767"/>
      <c r="AY82" s="323"/>
      <c r="BA82" s="323"/>
      <c r="BC82" s="323"/>
      <c r="BE82" s="323"/>
      <c r="BG82" s="323"/>
      <c r="BI82" s="323"/>
      <c r="BK82" s="323"/>
      <c r="BM82" s="323"/>
      <c r="BO82" s="323"/>
      <c r="BQ82" s="323"/>
      <c r="BS82" s="323"/>
      <c r="BU82" s="323"/>
      <c r="BW82" s="323"/>
      <c r="BY82" s="323"/>
      <c r="CA82" s="323"/>
      <c r="CC82" s="323"/>
      <c r="CE82" s="323"/>
      <c r="CG82" s="323"/>
      <c r="CI82" s="323"/>
      <c r="CK82" s="323"/>
      <c r="CM82" s="323"/>
      <c r="CO82" s="323"/>
      <c r="CQ82" s="323"/>
      <c r="CS82" s="323"/>
      <c r="CU82" s="323"/>
      <c r="CW82" s="323"/>
      <c r="CY82" s="323"/>
      <c r="DA82" s="323"/>
      <c r="DC82" s="323"/>
      <c r="DE82" s="323"/>
      <c r="DG82" s="323"/>
      <c r="DI82" s="323"/>
    </row>
    <row r="83" spans="1:115" ht="12" hidden="1" customHeight="1" x14ac:dyDescent="0.3">
      <c r="A83" s="765"/>
      <c r="C83" s="767"/>
      <c r="D83" s="767"/>
      <c r="E83" s="767"/>
      <c r="F83" s="767"/>
      <c r="G83" s="767"/>
      <c r="H83" s="767"/>
      <c r="J83" s="767"/>
      <c r="K83" s="767"/>
      <c r="L83" s="767"/>
      <c r="M83" s="767"/>
      <c r="N83" s="767"/>
      <c r="O83" s="767"/>
      <c r="AY83" s="323"/>
      <c r="BA83" s="323"/>
      <c r="BC83" s="323"/>
      <c r="BE83" s="323"/>
      <c r="BG83" s="323"/>
      <c r="BI83" s="323"/>
      <c r="BK83" s="323"/>
      <c r="BM83" s="323"/>
      <c r="BO83" s="323"/>
      <c r="BQ83" s="323"/>
      <c r="BS83" s="323"/>
      <c r="BU83" s="323"/>
      <c r="BW83" s="323"/>
      <c r="BY83" s="323"/>
      <c r="CA83" s="323"/>
      <c r="CC83" s="323"/>
      <c r="CE83" s="323"/>
      <c r="CG83" s="323"/>
      <c r="CI83" s="323"/>
      <c r="CK83" s="323"/>
      <c r="CM83" s="323"/>
      <c r="CO83" s="323"/>
      <c r="CQ83" s="323"/>
      <c r="CS83" s="323"/>
      <c r="CU83" s="323"/>
      <c r="CW83" s="323"/>
      <c r="CY83" s="323"/>
      <c r="DA83" s="323"/>
      <c r="DC83" s="323"/>
      <c r="DE83" s="323"/>
      <c r="DG83" s="323"/>
      <c r="DI83" s="323"/>
    </row>
    <row r="84" spans="1:115" ht="10.5" customHeight="1" x14ac:dyDescent="0.3">
      <c r="A84" s="765"/>
      <c r="AY84" s="323"/>
      <c r="BA84" s="323"/>
      <c r="BC84" s="323"/>
      <c r="BE84" s="323"/>
      <c r="BG84" s="323"/>
      <c r="BI84" s="323"/>
      <c r="BK84" s="323"/>
      <c r="BM84" s="323"/>
      <c r="BO84" s="323"/>
      <c r="BQ84" s="323"/>
      <c r="BS84" s="323"/>
      <c r="BU84" s="323"/>
      <c r="BW84" s="323"/>
      <c r="BY84" s="323"/>
      <c r="CA84" s="323"/>
      <c r="CC84" s="323"/>
      <c r="CE84" s="323"/>
      <c r="CG84" s="323"/>
      <c r="CI84" s="323"/>
      <c r="CK84" s="323"/>
      <c r="CM84" s="323"/>
      <c r="CO84" s="323"/>
      <c r="CQ84" s="323"/>
      <c r="CS84" s="323"/>
      <c r="CU84" s="323"/>
      <c r="CW84" s="323"/>
      <c r="CY84" s="323"/>
      <c r="DA84" s="323"/>
      <c r="DC84" s="323"/>
      <c r="DE84" s="323"/>
      <c r="DG84" s="323"/>
      <c r="DI84" s="323"/>
    </row>
    <row r="85" spans="1:115" ht="6" customHeight="1" x14ac:dyDescent="0.3">
      <c r="A85" s="765"/>
      <c r="AQ85" s="323"/>
      <c r="AR85" s="323"/>
      <c r="AS85" s="323"/>
      <c r="AT85" s="323"/>
      <c r="AY85" s="323"/>
      <c r="BA85" s="323"/>
      <c r="BC85" s="323"/>
      <c r="BE85" s="323"/>
      <c r="BG85" s="323"/>
      <c r="BI85" s="323"/>
      <c r="BK85" s="323"/>
      <c r="BM85" s="323"/>
      <c r="BO85" s="323"/>
      <c r="BQ85" s="323"/>
      <c r="BS85" s="323"/>
      <c r="BU85" s="323"/>
      <c r="BW85" s="323"/>
      <c r="BY85" s="323"/>
      <c r="CA85" s="323"/>
      <c r="CC85" s="323"/>
      <c r="CE85" s="323"/>
      <c r="CG85" s="323"/>
      <c r="CI85" s="323"/>
      <c r="CK85" s="323"/>
      <c r="CM85" s="323"/>
      <c r="CO85" s="323"/>
      <c r="CQ85" s="323"/>
      <c r="CS85" s="323"/>
      <c r="CU85" s="323"/>
      <c r="CW85" s="323"/>
      <c r="CY85" s="323"/>
      <c r="DA85" s="323"/>
      <c r="DC85" s="323"/>
      <c r="DE85" s="323"/>
      <c r="DG85" s="323"/>
      <c r="DI85" s="323"/>
    </row>
    <row r="86" spans="1:115" ht="12" customHeight="1" x14ac:dyDescent="0.3">
      <c r="A86" s="765"/>
      <c r="C86" s="247" t="str">
        <f>W91</f>
        <v>JÚNIUS 15. – KEDD 18:00</v>
      </c>
      <c r="D86" s="227"/>
      <c r="E86" s="228"/>
      <c r="F86" s="229"/>
      <c r="G86" s="230"/>
      <c r="H86" s="231" t="str">
        <f>W92</f>
        <v>1. CSOPORTMÉRKŐZÉS</v>
      </c>
      <c r="I86" s="138"/>
      <c r="J86" s="246" t="str">
        <f>Y91</f>
        <v>JÚNIUS 15. – KEDD 21:00</v>
      </c>
      <c r="K86" s="227"/>
      <c r="L86" s="228"/>
      <c r="M86" s="229"/>
      <c r="N86" s="230"/>
      <c r="O86" s="226" t="str">
        <f>Y92</f>
        <v>1. CSOPORTMÉRKŐZÉS</v>
      </c>
      <c r="AQ86" s="323"/>
      <c r="AR86" s="323"/>
      <c r="AS86" s="323"/>
      <c r="AT86" s="323"/>
      <c r="AY86" s="323"/>
      <c r="BA86" s="323"/>
      <c r="BC86" s="323"/>
      <c r="BE86" s="323"/>
      <c r="BG86" s="323"/>
      <c r="BI86" s="323"/>
      <c r="BK86" s="323"/>
      <c r="BM86" s="323"/>
      <c r="BO86" s="323"/>
      <c r="BQ86" s="323"/>
      <c r="BS86" s="323"/>
      <c r="BU86" s="323"/>
      <c r="BW86" s="323"/>
      <c r="BY86" s="323"/>
      <c r="CA86" s="323"/>
      <c r="CC86" s="323"/>
      <c r="CE86" s="323"/>
      <c r="CG86" s="323"/>
      <c r="CI86" s="323"/>
      <c r="CK86" s="323"/>
      <c r="CM86" s="323"/>
      <c r="CO86" s="323"/>
      <c r="CQ86" s="323"/>
      <c r="CS86" s="323"/>
      <c r="CU86" s="323"/>
      <c r="CW86" s="323"/>
      <c r="CY86" s="323"/>
      <c r="DA86" s="323"/>
      <c r="DC86" s="323"/>
      <c r="DE86" s="323"/>
      <c r="DG86" s="323"/>
      <c r="DI86" s="323"/>
    </row>
    <row r="87" spans="1:115" s="138" customFormat="1" ht="14.25" customHeight="1" x14ac:dyDescent="0.3">
      <c r="A87" s="765"/>
      <c r="B87" s="137"/>
      <c r="C87" s="233" t="str">
        <f>IF(W94=0,"",IF(W94&gt;0,CONCATENATE("még ",W94," gól"),CONCATENATE("túl sok (",W94," gól)")))</f>
        <v/>
      </c>
      <c r="D87" s="714" t="str">
        <f>W95</f>
        <v>MAGYARORSZÁG</v>
      </c>
      <c r="E87" s="716" t="str">
        <f>W96</f>
        <v/>
      </c>
      <c r="F87" s="717" t="str">
        <f>X96</f>
        <v/>
      </c>
      <c r="G87" s="715" t="str">
        <f>X95</f>
        <v>Portugália</v>
      </c>
      <c r="H87" s="232" t="str">
        <f>IF(X94=0,"",IF(X94&gt;0,CONCATENATE("még ",X94," gól"),CONCATENATE("túl sok (",X94," gól)")))</f>
        <v/>
      </c>
      <c r="I87" s="127"/>
      <c r="J87" s="233" t="str">
        <f>IF(Y94=0,"",IF(Y94&gt;0,CONCATENATE("még ",Y94," gól"),CONCATENATE("túl sok (",Y94," gól)")))</f>
        <v/>
      </c>
      <c r="K87" s="714" t="str">
        <f>Y95</f>
        <v>Franciaország</v>
      </c>
      <c r="L87" s="716" t="str">
        <f>Y96</f>
        <v/>
      </c>
      <c r="M87" s="717" t="str">
        <f>Z96</f>
        <v/>
      </c>
      <c r="N87" s="715" t="str">
        <f>Z95</f>
        <v>Németország</v>
      </c>
      <c r="O87" s="232" t="str">
        <f>IF(Z94=0,"",IF(Z94&gt;0,CONCATENATE("még ",Z94," gól"),CONCATENATE("túl sok (",Z94," gól)")))</f>
        <v/>
      </c>
      <c r="P87" s="140"/>
      <c r="Q87" s="140"/>
      <c r="R87" s="141"/>
      <c r="S87" s="141"/>
      <c r="T87" s="484"/>
      <c r="U87" s="485"/>
      <c r="V87" s="485"/>
      <c r="W87" s="485"/>
      <c r="X87" s="485"/>
      <c r="Y87" s="485"/>
      <c r="Z87" s="485"/>
      <c r="AA87" s="485"/>
      <c r="AB87" s="242" t="str">
        <f>HLOOKUP(D87,nevek.li,2,FALSE)</f>
        <v>nevek.21</v>
      </c>
      <c r="AC87" s="242" t="str">
        <f>HLOOKUP(G87,nevek.li,2,FALSE)</f>
        <v>nevek.22</v>
      </c>
      <c r="AD87" s="242" t="str">
        <f>HLOOKUP(K87,nevek.li,2,FALSE)</f>
        <v>nevek.23</v>
      </c>
      <c r="AE87" s="242" t="str">
        <f>HLOOKUP(N87,nevek.li,2,FALSE)</f>
        <v>nevek.24</v>
      </c>
      <c r="AF87" s="485"/>
      <c r="AG87" s="485"/>
      <c r="AH87" s="485"/>
      <c r="AI87" s="485"/>
      <c r="AJ87" s="485"/>
      <c r="AK87" s="485"/>
      <c r="AL87" s="485"/>
      <c r="AM87" s="485"/>
      <c r="AN87" s="485"/>
      <c r="AO87" s="485"/>
      <c r="AP87" s="485"/>
      <c r="AQ87" s="485"/>
      <c r="AR87" s="485"/>
      <c r="AS87" s="485"/>
      <c r="AT87" s="485"/>
      <c r="AU87" s="485"/>
      <c r="AV87" s="500"/>
      <c r="AW87" s="323"/>
      <c r="AX87" s="323"/>
      <c r="AY87" s="323"/>
      <c r="AZ87" s="323"/>
      <c r="BA87" s="323"/>
      <c r="BB87" s="323"/>
      <c r="BC87" s="323"/>
      <c r="BD87" s="323"/>
      <c r="BE87" s="323"/>
      <c r="BF87" s="323"/>
      <c r="BG87" s="323"/>
      <c r="BH87" s="323"/>
      <c r="BI87" s="323"/>
      <c r="BJ87" s="323"/>
      <c r="BK87" s="323"/>
      <c r="BL87" s="323"/>
      <c r="BM87" s="323"/>
      <c r="BN87" s="323"/>
      <c r="BO87" s="323"/>
      <c r="BP87" s="323"/>
      <c r="BQ87" s="323"/>
      <c r="BR87" s="323"/>
      <c r="BS87" s="323"/>
      <c r="BT87" s="323"/>
      <c r="BU87" s="323"/>
      <c r="BV87" s="323"/>
      <c r="BW87" s="323"/>
      <c r="BX87" s="323"/>
      <c r="BY87" s="323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  <c r="CR87" s="323"/>
      <c r="CS87" s="323"/>
      <c r="CT87" s="323"/>
      <c r="CU87" s="323"/>
      <c r="CV87" s="323"/>
      <c r="CW87" s="323"/>
      <c r="CX87" s="323"/>
      <c r="CY87" s="323"/>
      <c r="CZ87" s="323"/>
      <c r="DA87" s="323"/>
      <c r="DB87" s="323"/>
      <c r="DC87" s="323"/>
      <c r="DD87" s="323"/>
      <c r="DE87" s="323"/>
      <c r="DF87" s="323"/>
      <c r="DG87" s="323"/>
      <c r="DH87" s="323"/>
      <c r="DI87" s="323"/>
      <c r="DJ87" s="323"/>
      <c r="DK87" s="500"/>
    </row>
    <row r="88" spans="1:115" ht="12" customHeight="1" x14ac:dyDescent="0.3">
      <c r="A88" s="765"/>
      <c r="C88" s="218"/>
      <c r="D88" s="220"/>
      <c r="E88" s="221"/>
      <c r="F88" s="222"/>
      <c r="G88" s="223"/>
      <c r="H88" s="218"/>
      <c r="J88" s="218"/>
      <c r="K88" s="220"/>
      <c r="L88" s="221"/>
      <c r="M88" s="222"/>
      <c r="N88" s="223"/>
      <c r="O88" s="218"/>
      <c r="V88" s="487" t="s">
        <v>706</v>
      </c>
      <c r="W88" s="242">
        <v>11</v>
      </c>
      <c r="X88" s="485" t="str">
        <f>""</f>
        <v/>
      </c>
      <c r="Y88" s="242">
        <v>12</v>
      </c>
      <c r="AB88" s="327" t="str">
        <f>IF(C88="öngól",AC87,AB87)</f>
        <v>nevek.21</v>
      </c>
      <c r="AC88" s="327" t="str">
        <f>IF(H88="öngól",AB87,AC87)</f>
        <v>nevek.22</v>
      </c>
      <c r="AD88" s="327" t="str">
        <f>IF(J88="öngól",AE87,AD87)</f>
        <v>nevek.23</v>
      </c>
      <c r="AE88" s="327" t="str">
        <f>IF(O88="öngól",AD87,AE87)</f>
        <v>nevek.24</v>
      </c>
      <c r="AF88" s="325"/>
      <c r="AG88" s="485">
        <v>1</v>
      </c>
      <c r="AH88" s="488" t="b">
        <f ca="1">AND(W90,X91,D88="",AG88&lt;=W96)</f>
        <v>0</v>
      </c>
      <c r="AI88" s="488" t="b">
        <f ca="1">AND(W90,X91,E88="",AG88&lt;=W96)</f>
        <v>0</v>
      </c>
      <c r="AJ88" s="488" t="b">
        <f ca="1">AND(W90,X91,F88="",AG88&lt;=X96)</f>
        <v>0</v>
      </c>
      <c r="AK88" s="488" t="b">
        <f ca="1">AND(W90,X91,G88="",AG88&lt;=X96)</f>
        <v>0</v>
      </c>
      <c r="AL88" s="488" t="b">
        <f ca="1">AND(Y90,Z91,K88="",AG88&lt;=Y96)</f>
        <v>0</v>
      </c>
      <c r="AM88" s="488" t="b">
        <f ca="1">AND(Y90,Z91,L88="",AG88&lt;=Y96)</f>
        <v>0</v>
      </c>
      <c r="AN88" s="488" t="b">
        <f ca="1">AND(Y90,Z91,M88="",AG88&lt;=Z96)</f>
        <v>0</v>
      </c>
      <c r="AO88" s="488" t="b">
        <f ca="1">AND(Y90,Z91,N88="",AG88&lt;=Z96)</f>
        <v>0</v>
      </c>
      <c r="AQ88" s="326" t="str">
        <f>IF(OR(NOT(Góllista!$E$6),D88=""),"",IF(C88="öngól","ö"&amp;G87&amp;D88,D87&amp;D88))</f>
        <v/>
      </c>
      <c r="AR88" s="326" t="str">
        <f>IF(OR(NOT(Góllista!$E$6),G88=""),"",IF(H88="öngól","ö"&amp;D87&amp;G88,G87&amp;G88))</f>
        <v/>
      </c>
      <c r="AS88" s="326" t="str">
        <f>IF(OR(NOT(Góllista!$E$6),K88=""),"",IF(J88="öngól","ö"&amp;N87&amp;K88,K87&amp;K88))</f>
        <v/>
      </c>
      <c r="AT88" s="326" t="str">
        <f>IF(OR(NOT(Góllista!$E$6),N88=""),"",IF(O88="öngól","ö"&amp;K87&amp;N88,N87&amp;N88))</f>
        <v/>
      </c>
      <c r="AY88" s="323"/>
      <c r="BA88" s="323"/>
      <c r="BC88" s="323"/>
      <c r="BE88" s="323"/>
      <c r="BG88" s="323"/>
      <c r="BI88" s="323"/>
      <c r="BK88" s="323"/>
      <c r="BM88" s="323"/>
      <c r="BO88" s="323"/>
      <c r="BQ88" s="323"/>
      <c r="BS88" s="323"/>
      <c r="BU88" s="323"/>
      <c r="BW88" s="323"/>
      <c r="BY88" s="323"/>
      <c r="CA88" s="323"/>
      <c r="CC88" s="323"/>
      <c r="CE88" s="323"/>
      <c r="CG88" s="323"/>
      <c r="CI88" s="323"/>
      <c r="CK88" s="323"/>
      <c r="CM88" s="323"/>
      <c r="CO88" s="323"/>
      <c r="CQ88" s="323"/>
      <c r="CS88" s="323"/>
      <c r="CU88" s="323"/>
      <c r="CW88" s="323"/>
      <c r="CY88" s="323"/>
      <c r="DA88" s="323"/>
      <c r="DC88" s="323"/>
      <c r="DE88" s="323"/>
      <c r="DG88" s="323"/>
      <c r="DI88" s="323"/>
    </row>
    <row r="89" spans="1:115" ht="12" customHeight="1" x14ac:dyDescent="0.3">
      <c r="A89" s="765"/>
      <c r="C89" s="219"/>
      <c r="D89" s="220"/>
      <c r="E89" s="224"/>
      <c r="F89" s="222"/>
      <c r="G89" s="223"/>
      <c r="H89" s="219"/>
      <c r="J89" s="219"/>
      <c r="K89" s="220"/>
      <c r="L89" s="224"/>
      <c r="M89" s="222"/>
      <c r="N89" s="223"/>
      <c r="O89" s="219"/>
      <c r="V89" s="487" t="s">
        <v>711</v>
      </c>
      <c r="W89" s="327">
        <f>MATCH(W88,n.er.index,0)</f>
        <v>27</v>
      </c>
      <c r="X89" s="485" t="str">
        <f>""</f>
        <v/>
      </c>
      <c r="Y89" s="327">
        <f>MATCH(Y88,n.er.index,0)</f>
        <v>28</v>
      </c>
      <c r="AB89" s="327" t="str">
        <f>IF(C89="öngól",AC87,AB87)</f>
        <v>nevek.21</v>
      </c>
      <c r="AC89" s="327" t="str">
        <f>IF(H89="öngól",AB87,AC87)</f>
        <v>nevek.22</v>
      </c>
      <c r="AD89" s="327" t="str">
        <f>IF(J89="öngól",AE87,AD87)</f>
        <v>nevek.23</v>
      </c>
      <c r="AE89" s="327" t="str">
        <f>IF(O89="öngól",AD87,AE87)</f>
        <v>nevek.24</v>
      </c>
      <c r="AF89" s="325"/>
      <c r="AG89" s="485">
        <v>2</v>
      </c>
      <c r="AH89" s="488" t="b">
        <f ca="1">AND(W90,X91,D89="",AG89&lt;=W96)</f>
        <v>0</v>
      </c>
      <c r="AI89" s="488" t="b">
        <f ca="1">AND(W90,X91,E89="",AG89&lt;=W96)</f>
        <v>0</v>
      </c>
      <c r="AJ89" s="488" t="b">
        <f ca="1">AND(W90,X91,F89="",AG89&lt;=X96)</f>
        <v>0</v>
      </c>
      <c r="AK89" s="488" t="b">
        <f ca="1">AND(W90,X91,G89="",AG89&lt;=X96)</f>
        <v>0</v>
      </c>
      <c r="AL89" s="488" t="b">
        <f ca="1">AND(Y90,Z91,K89="",AG89&lt;=Y96)</f>
        <v>0</v>
      </c>
      <c r="AM89" s="488" t="b">
        <f ca="1">AND(Y90,Z91,L89="",AG89&lt;=Y96)</f>
        <v>0</v>
      </c>
      <c r="AN89" s="488" t="b">
        <f ca="1">AND(Y90,Z91,M89="",AG89&lt;=Z96)</f>
        <v>0</v>
      </c>
      <c r="AO89" s="488" t="b">
        <f ca="1">AND(Y90,Z91,N89="",AG89&lt;=Z96)</f>
        <v>0</v>
      </c>
      <c r="AQ89" s="326" t="str">
        <f>IF(OR(NOT(Góllista!$E$6),D89=""),"",IF(C89="öngól","ö"&amp;G87&amp;D89,D87&amp;D89))</f>
        <v/>
      </c>
      <c r="AR89" s="326" t="str">
        <f>IF(OR(NOT(Góllista!$E$6),G89=""),"",IF(H89="öngól","ö"&amp;D87&amp;G89,G87&amp;G89))</f>
        <v/>
      </c>
      <c r="AS89" s="326" t="str">
        <f>IF(OR(NOT(Góllista!$E$6),K89=""),"",IF(J89="öngól","ö"&amp;N87&amp;K89,K87&amp;K89))</f>
        <v/>
      </c>
      <c r="AT89" s="326" t="str">
        <f>IF(OR(NOT(Góllista!$E$6),N89=""),"",IF(O89="öngól","ö"&amp;K87&amp;N89,N87&amp;N89))</f>
        <v/>
      </c>
      <c r="AY89" s="323"/>
      <c r="BA89" s="323"/>
      <c r="BC89" s="323"/>
      <c r="BE89" s="323"/>
      <c r="BG89" s="323"/>
      <c r="BI89" s="323"/>
      <c r="BK89" s="323"/>
      <c r="BM89" s="323"/>
      <c r="BO89" s="323"/>
      <c r="BQ89" s="323"/>
      <c r="BS89" s="323"/>
      <c r="BU89" s="323"/>
      <c r="BW89" s="323"/>
      <c r="BY89" s="323"/>
      <c r="CA89" s="323"/>
      <c r="CC89" s="323"/>
      <c r="CE89" s="323"/>
      <c r="CG89" s="323"/>
      <c r="CI89" s="323"/>
      <c r="CK89" s="323"/>
      <c r="CM89" s="323"/>
      <c r="CO89" s="323"/>
      <c r="CQ89" s="323"/>
      <c r="CS89" s="323"/>
      <c r="CU89" s="323"/>
      <c r="CW89" s="323"/>
      <c r="CY89" s="323"/>
      <c r="DA89" s="323"/>
      <c r="DC89" s="323"/>
      <c r="DE89" s="323"/>
      <c r="DG89" s="323"/>
      <c r="DI89" s="323"/>
    </row>
    <row r="90" spans="1:115" ht="12" customHeight="1" x14ac:dyDescent="0.3">
      <c r="A90" s="765"/>
      <c r="C90" s="219"/>
      <c r="D90" s="220"/>
      <c r="E90" s="224"/>
      <c r="F90" s="222"/>
      <c r="G90" s="223"/>
      <c r="H90" s="219"/>
      <c r="J90" s="219"/>
      <c r="K90" s="220"/>
      <c r="L90" s="224"/>
      <c r="M90" s="222"/>
      <c r="N90" s="223"/>
      <c r="O90" s="219"/>
      <c r="V90" s="487" t="s">
        <v>710</v>
      </c>
      <c r="W90" s="489" t="b">
        <f>INDEX(n.er,W89,3)</f>
        <v>0</v>
      </c>
      <c r="X90" s="485" t="str">
        <f>""</f>
        <v/>
      </c>
      <c r="Y90" s="489" t="b">
        <f>INDEX(n.er,Y89,3)</f>
        <v>0</v>
      </c>
      <c r="AB90" s="327" t="str">
        <f>IF(C90="öngól",AC87,AB87)</f>
        <v>nevek.21</v>
      </c>
      <c r="AC90" s="327" t="str">
        <f>IF(H90="öngól",AB87,AC87)</f>
        <v>nevek.22</v>
      </c>
      <c r="AD90" s="327" t="str">
        <f>IF(J90="öngól",AE87,AD87)</f>
        <v>nevek.23</v>
      </c>
      <c r="AE90" s="327" t="str">
        <f>IF(O90="öngól",AD87,AE87)</f>
        <v>nevek.24</v>
      </c>
      <c r="AF90" s="325"/>
      <c r="AG90" s="485">
        <v>3</v>
      </c>
      <c r="AH90" s="488" t="b">
        <f ca="1">AND(W90,X91,D90="",AG90&lt;=W96)</f>
        <v>0</v>
      </c>
      <c r="AI90" s="488" t="b">
        <f ca="1">AND(W90,X91,E90="",AG90&lt;=W96)</f>
        <v>0</v>
      </c>
      <c r="AJ90" s="488" t="b">
        <f ca="1">AND(W90,X91,F90="",AG90&lt;=X96)</f>
        <v>0</v>
      </c>
      <c r="AK90" s="488" t="b">
        <f ca="1">AND(W90,X91,G90="",AG90&lt;=X96)</f>
        <v>0</v>
      </c>
      <c r="AL90" s="488" t="b">
        <f ca="1">AND(Y90,Z91,K90="",AG90&lt;=Y96)</f>
        <v>0</v>
      </c>
      <c r="AM90" s="488" t="b">
        <f ca="1">AND(Y90,Z91,L90="",AG90&lt;=Y96)</f>
        <v>0</v>
      </c>
      <c r="AN90" s="488" t="b">
        <f ca="1">AND(Y90,Z91,M90="",AG90&lt;=Z96)</f>
        <v>0</v>
      </c>
      <c r="AO90" s="488" t="b">
        <f ca="1">AND(Y90,Z91,N90="",AG90&lt;=Z96)</f>
        <v>0</v>
      </c>
      <c r="AQ90" s="326" t="str">
        <f>IF(OR(NOT(Góllista!$E$6),D90=""),"",IF(C90="öngól","ö"&amp;G87&amp;D90,D87&amp;D90))</f>
        <v/>
      </c>
      <c r="AR90" s="326" t="str">
        <f>IF(OR(NOT(Góllista!$E$6),G90=""),"",IF(H90="öngól","ö"&amp;D87&amp;G90,G87&amp;G90))</f>
        <v/>
      </c>
      <c r="AS90" s="326" t="str">
        <f>IF(OR(NOT(Góllista!$E$6),K90=""),"",IF(J90="öngól","ö"&amp;N87&amp;K90,K87&amp;K90))</f>
        <v/>
      </c>
      <c r="AT90" s="326" t="str">
        <f>IF(OR(NOT(Góllista!$E$6),N90=""),"",IF(O90="öngól","ö"&amp;K87&amp;N90,N87&amp;N90))</f>
        <v/>
      </c>
      <c r="AY90" s="323"/>
      <c r="BA90" s="323"/>
      <c r="BC90" s="323"/>
      <c r="BE90" s="323"/>
      <c r="BG90" s="323"/>
      <c r="BI90" s="323"/>
      <c r="BK90" s="323"/>
      <c r="BM90" s="323"/>
      <c r="BO90" s="323"/>
      <c r="BQ90" s="323"/>
      <c r="BS90" s="323"/>
      <c r="BU90" s="323"/>
      <c r="BW90" s="323"/>
      <c r="BY90" s="323"/>
      <c r="CA90" s="323"/>
      <c r="CC90" s="323"/>
      <c r="CE90" s="323"/>
      <c r="CG90" s="323"/>
      <c r="CI90" s="323"/>
      <c r="CK90" s="323"/>
      <c r="CM90" s="323"/>
      <c r="CO90" s="323"/>
      <c r="CQ90" s="323"/>
      <c r="CS90" s="323"/>
      <c r="CU90" s="323"/>
      <c r="CW90" s="323"/>
      <c r="CY90" s="323"/>
      <c r="DA90" s="323"/>
      <c r="DC90" s="323"/>
      <c r="DE90" s="323"/>
      <c r="DG90" s="323"/>
      <c r="DI90" s="323"/>
    </row>
    <row r="91" spans="1:115" ht="12" customHeight="1" x14ac:dyDescent="0.3">
      <c r="A91" s="765"/>
      <c r="C91" s="219"/>
      <c r="D91" s="220"/>
      <c r="E91" s="224"/>
      <c r="F91" s="222"/>
      <c r="G91" s="223"/>
      <c r="H91" s="219"/>
      <c r="J91" s="219"/>
      <c r="K91" s="220"/>
      <c r="L91" s="224"/>
      <c r="M91" s="222"/>
      <c r="N91" s="223"/>
      <c r="O91" s="219"/>
      <c r="V91" s="487" t="s">
        <v>705</v>
      </c>
      <c r="W91" s="490" t="str">
        <f>VLOOKUP(W88,schedule,18,FALSE)</f>
        <v>JÚNIUS 15. – KEDD 18:00</v>
      </c>
      <c r="X91" s="489" t="b">
        <f ca="1">VLOOKUP(W88,schedule,14,FALSE)&lt;=NOW()</f>
        <v>0</v>
      </c>
      <c r="Y91" s="490" t="str">
        <f>VLOOKUP(Y88,schedule,18,FALSE)</f>
        <v>JÚNIUS 15. – KEDD 21:00</v>
      </c>
      <c r="Z91" s="489" t="b">
        <f ca="1">VLOOKUP(Y88,schedule,14,FALSE)&lt;=NOW()</f>
        <v>0</v>
      </c>
      <c r="AB91" s="327" t="str">
        <f>IF(C91="öngól",AC87,AB87)</f>
        <v>nevek.21</v>
      </c>
      <c r="AC91" s="327" t="str">
        <f>IF(H91="öngól",AB87,AC87)</f>
        <v>nevek.22</v>
      </c>
      <c r="AD91" s="327" t="str">
        <f>IF(J91="öngól",AE87,AD87)</f>
        <v>nevek.23</v>
      </c>
      <c r="AE91" s="327" t="str">
        <f>IF(O91="öngól",AD87,AE87)</f>
        <v>nevek.24</v>
      </c>
      <c r="AF91" s="325"/>
      <c r="AG91" s="485">
        <v>4</v>
      </c>
      <c r="AH91" s="488" t="b">
        <f ca="1">AND(W90,X91,D91="",AG91&lt;=W96)</f>
        <v>0</v>
      </c>
      <c r="AI91" s="488" t="b">
        <f ca="1">AND(W90,X91,E91="",AG91&lt;=W96)</f>
        <v>0</v>
      </c>
      <c r="AJ91" s="488" t="b">
        <f ca="1">AND(W90,X91,F91="",AG91&lt;=X96)</f>
        <v>0</v>
      </c>
      <c r="AK91" s="488" t="b">
        <f ca="1">AND(W90,X91,G91="",AG91&lt;=X96)</f>
        <v>0</v>
      </c>
      <c r="AL91" s="488" t="b">
        <f ca="1">AND(Y90,Z91,K91="",AG91&lt;=Y96)</f>
        <v>0</v>
      </c>
      <c r="AM91" s="488" t="b">
        <f ca="1">AND(Y90,Z91,L91="",AG91&lt;=Y96)</f>
        <v>0</v>
      </c>
      <c r="AN91" s="488" t="b">
        <f ca="1">AND(Y90,Z91,M91="",AG91&lt;=Z96)</f>
        <v>0</v>
      </c>
      <c r="AO91" s="488" t="b">
        <f ca="1">AND(Y90,Z91,N91="",AG91&lt;=Z96)</f>
        <v>0</v>
      </c>
      <c r="AQ91" s="326" t="str">
        <f>IF(OR(NOT(Góllista!$E$6),D91=""),"",IF(C91="öngól","ö"&amp;G87&amp;D91,D87&amp;D91))</f>
        <v/>
      </c>
      <c r="AR91" s="326" t="str">
        <f>IF(OR(NOT(Góllista!$E$6),G91=""),"",IF(H91="öngól","ö"&amp;D87&amp;G91,G87&amp;G91))</f>
        <v/>
      </c>
      <c r="AS91" s="326" t="str">
        <f>IF(OR(NOT(Góllista!$E$6),K91=""),"",IF(J91="öngól","ö"&amp;N87&amp;K91,K87&amp;K91))</f>
        <v/>
      </c>
      <c r="AT91" s="326" t="str">
        <f>IF(OR(NOT(Góllista!$E$6),N91=""),"",IF(O91="öngól","ö"&amp;K87&amp;N91,N87&amp;N91))</f>
        <v/>
      </c>
      <c r="AY91" s="323"/>
      <c r="BA91" s="323"/>
      <c r="BC91" s="323"/>
      <c r="BE91" s="323"/>
      <c r="BG91" s="323"/>
      <c r="BI91" s="323"/>
      <c r="BK91" s="323"/>
      <c r="BM91" s="323"/>
      <c r="BO91" s="323"/>
      <c r="BQ91" s="323"/>
      <c r="BS91" s="323"/>
      <c r="BU91" s="323"/>
      <c r="BW91" s="323"/>
      <c r="BY91" s="323"/>
      <c r="CA91" s="323"/>
      <c r="CC91" s="323"/>
      <c r="CE91" s="323"/>
      <c r="CG91" s="323"/>
      <c r="CI91" s="323"/>
      <c r="CK91" s="323"/>
      <c r="CM91" s="323"/>
      <c r="CO91" s="323"/>
      <c r="CQ91" s="323"/>
      <c r="CS91" s="323"/>
      <c r="CU91" s="323"/>
      <c r="CW91" s="323"/>
      <c r="CY91" s="323"/>
      <c r="DA91" s="323"/>
      <c r="DC91" s="323"/>
      <c r="DE91" s="323"/>
      <c r="DG91" s="323"/>
      <c r="DI91" s="323"/>
    </row>
    <row r="92" spans="1:115" ht="12" customHeight="1" x14ac:dyDescent="0.3">
      <c r="A92" s="765"/>
      <c r="C92" s="219"/>
      <c r="D92" s="220"/>
      <c r="E92" s="224"/>
      <c r="F92" s="222"/>
      <c r="G92" s="223"/>
      <c r="H92" s="219"/>
      <c r="J92" s="219"/>
      <c r="K92" s="220"/>
      <c r="L92" s="224"/>
      <c r="M92" s="222"/>
      <c r="N92" s="223"/>
      <c r="O92" s="219"/>
      <c r="V92" s="487" t="s">
        <v>1265</v>
      </c>
      <c r="W92" s="491" t="str">
        <f>VLOOKUP(W88,schedule,12,FALSE)</f>
        <v>1. CSOPORTMÉRKŐZÉS</v>
      </c>
      <c r="X92" s="485" t="str">
        <f>""</f>
        <v/>
      </c>
      <c r="Y92" s="491" t="str">
        <f>VLOOKUP(Y88,schedule,12,FALSE)</f>
        <v>1. CSOPORTMÉRKŐZÉS</v>
      </c>
      <c r="AB92" s="327" t="str">
        <f>IF(C92="öngól",AC87,AB87)</f>
        <v>nevek.21</v>
      </c>
      <c r="AC92" s="327" t="str">
        <f>IF(H92="öngól",AB87,AC87)</f>
        <v>nevek.22</v>
      </c>
      <c r="AD92" s="327" t="str">
        <f>IF(J92="öngól",AE87,AD87)</f>
        <v>nevek.23</v>
      </c>
      <c r="AE92" s="327" t="str">
        <f>IF(O92="öngól",AD87,AE87)</f>
        <v>nevek.24</v>
      </c>
      <c r="AF92" s="325"/>
      <c r="AG92" s="485">
        <v>5</v>
      </c>
      <c r="AH92" s="488" t="b">
        <f ca="1">AND(W90,X91,D92="",AG92&lt;=W96)</f>
        <v>0</v>
      </c>
      <c r="AI92" s="488" t="b">
        <f ca="1">AND(W90,X91,E92="",AG92&lt;=W96)</f>
        <v>0</v>
      </c>
      <c r="AJ92" s="488" t="b">
        <f ca="1">AND(W90,X91,F92="",AG92&lt;=X96)</f>
        <v>0</v>
      </c>
      <c r="AK92" s="488" t="b">
        <f ca="1">AND(W90,X91,G92="",AG92&lt;=X96)</f>
        <v>0</v>
      </c>
      <c r="AL92" s="488" t="b">
        <f ca="1">AND(Y90,Z91,K92="",AG92&lt;=Y96)</f>
        <v>0</v>
      </c>
      <c r="AM92" s="488" t="b">
        <f ca="1">AND(Y90,Z91,L92="",AG92&lt;=Y96)</f>
        <v>0</v>
      </c>
      <c r="AN92" s="488" t="b">
        <f ca="1">AND(Y90,Z91,M92="",AG92&lt;=Z96)</f>
        <v>0</v>
      </c>
      <c r="AO92" s="488" t="b">
        <f ca="1">AND(Y90,Z91,N92="",AG92&lt;=Z96)</f>
        <v>0</v>
      </c>
      <c r="AQ92" s="326" t="str">
        <f>IF(OR(NOT(Góllista!$E$6),D92=""),"",IF(C92="öngól","ö"&amp;G87&amp;D92,D87&amp;D92))</f>
        <v/>
      </c>
      <c r="AR92" s="326" t="str">
        <f>IF(OR(NOT(Góllista!$E$6),G92=""),"",IF(H92="öngól","ö"&amp;D87&amp;G92,G87&amp;G92))</f>
        <v/>
      </c>
      <c r="AS92" s="326" t="str">
        <f>IF(OR(NOT(Góllista!$E$6),K92=""),"",IF(J92="öngól","ö"&amp;N87&amp;K92,K87&amp;K92))</f>
        <v/>
      </c>
      <c r="AT92" s="326" t="str">
        <f>IF(OR(NOT(Góllista!$E$6),N92=""),"",IF(O92="öngól","ö"&amp;K87&amp;N92,N87&amp;N92))</f>
        <v/>
      </c>
      <c r="AY92" s="323"/>
      <c r="BA92" s="323"/>
      <c r="BC92" s="323"/>
      <c r="BE92" s="323"/>
      <c r="BG92" s="323"/>
      <c r="BI92" s="323"/>
      <c r="BK92" s="323"/>
      <c r="BM92" s="323"/>
      <c r="BO92" s="323"/>
      <c r="BQ92" s="323"/>
      <c r="BS92" s="323"/>
      <c r="BU92" s="323"/>
      <c r="BW92" s="323"/>
      <c r="BY92" s="323"/>
      <c r="CA92" s="323"/>
      <c r="CC92" s="323"/>
      <c r="CE92" s="323"/>
      <c r="CG92" s="323"/>
      <c r="CI92" s="323"/>
      <c r="CK92" s="323"/>
      <c r="CM92" s="323"/>
      <c r="CO92" s="323"/>
      <c r="CQ92" s="323"/>
      <c r="CS92" s="323"/>
      <c r="CU92" s="323"/>
      <c r="CW92" s="323"/>
      <c r="CY92" s="323"/>
      <c r="DA92" s="323"/>
      <c r="DC92" s="323"/>
      <c r="DE92" s="323"/>
      <c r="DG92" s="323"/>
      <c r="DI92" s="323"/>
    </row>
    <row r="93" spans="1:115" ht="12" customHeight="1" x14ac:dyDescent="0.3">
      <c r="A93" s="765"/>
      <c r="C93" s="219"/>
      <c r="D93" s="220"/>
      <c r="E93" s="224"/>
      <c r="F93" s="222"/>
      <c r="G93" s="223"/>
      <c r="H93" s="219"/>
      <c r="J93" s="219"/>
      <c r="K93" s="220"/>
      <c r="L93" s="224"/>
      <c r="M93" s="222"/>
      <c r="N93" s="223"/>
      <c r="O93" s="219"/>
      <c r="V93" s="487" t="s">
        <v>1264</v>
      </c>
      <c r="W93" s="327" t="str">
        <f>VLOOKUP(W88,schedule,3,FALSE)</f>
        <v>F</v>
      </c>
      <c r="X93" s="485" t="str">
        <f>""</f>
        <v/>
      </c>
      <c r="Y93" s="327" t="str">
        <f>VLOOKUP(Y88,schedule,3,FALSE)</f>
        <v>F</v>
      </c>
      <c r="AB93" s="327" t="str">
        <f>IF(C93="öngól",AC87,AB87)</f>
        <v>nevek.21</v>
      </c>
      <c r="AC93" s="327" t="str">
        <f>IF(H93="öngól",AB87,AC87)</f>
        <v>nevek.22</v>
      </c>
      <c r="AD93" s="327" t="str">
        <f>IF(J93="öngól",AE87,AD87)</f>
        <v>nevek.23</v>
      </c>
      <c r="AE93" s="327" t="str">
        <f>IF(O93="öngól",AD87,AE87)</f>
        <v>nevek.24</v>
      </c>
      <c r="AF93" s="325"/>
      <c r="AG93" s="485">
        <v>6</v>
      </c>
      <c r="AH93" s="488" t="b">
        <f ca="1">AND(W90,X91,D93="",AG93&lt;=W96)</f>
        <v>0</v>
      </c>
      <c r="AI93" s="488" t="b">
        <f ca="1">AND(W90,X91,E93="",AG93&lt;=W96)</f>
        <v>0</v>
      </c>
      <c r="AJ93" s="488" t="b">
        <f ca="1">AND(W90,X91,F93="",AG93&lt;=X96)</f>
        <v>0</v>
      </c>
      <c r="AK93" s="488" t="b">
        <f ca="1">AND(W90,X91,G93="",AG93&lt;=X96)</f>
        <v>0</v>
      </c>
      <c r="AL93" s="488" t="b">
        <f ca="1">AND(Y90,Z91,K93="",AG93&lt;=Y96)</f>
        <v>0</v>
      </c>
      <c r="AM93" s="488" t="b">
        <f ca="1">AND(Y90,Z91,L93="",AG93&lt;=Y96)</f>
        <v>0</v>
      </c>
      <c r="AN93" s="488" t="b">
        <f ca="1">AND(Y90,Z91,M93="",AG93&lt;=Z96)</f>
        <v>0</v>
      </c>
      <c r="AO93" s="488" t="b">
        <f ca="1">AND(Y90,Z91,N93="",AG93&lt;=Z96)</f>
        <v>0</v>
      </c>
      <c r="AQ93" s="326" t="str">
        <f>IF(OR(NOT(Góllista!$E$6),D93=""),"",IF(C93="öngól","ö"&amp;G87&amp;D93,D87&amp;D93))</f>
        <v/>
      </c>
      <c r="AR93" s="326" t="str">
        <f>IF(OR(NOT(Góllista!$E$6),G93=""),"",IF(H93="öngól","ö"&amp;D87&amp;G93,G87&amp;G93))</f>
        <v/>
      </c>
      <c r="AS93" s="326" t="str">
        <f>IF(OR(NOT(Góllista!$E$6),K93=""),"",IF(J93="öngól","ö"&amp;N87&amp;K93,K87&amp;K93))</f>
        <v/>
      </c>
      <c r="AT93" s="326" t="str">
        <f>IF(OR(NOT(Góllista!$E$6),N93=""),"",IF(O93="öngól","ö"&amp;K87&amp;N93,N87&amp;N93))</f>
        <v/>
      </c>
      <c r="AY93" s="323"/>
      <c r="BA93" s="323"/>
      <c r="BC93" s="323"/>
      <c r="BE93" s="323"/>
      <c r="BG93" s="323"/>
      <c r="BI93" s="323"/>
      <c r="BK93" s="323"/>
      <c r="BM93" s="323"/>
      <c r="BO93" s="323"/>
      <c r="BQ93" s="323"/>
      <c r="BS93" s="323"/>
      <c r="BU93" s="323"/>
      <c r="BW93" s="323"/>
      <c r="BY93" s="323"/>
      <c r="CA93" s="323"/>
      <c r="CC93" s="323"/>
      <c r="CE93" s="323"/>
      <c r="CG93" s="323"/>
      <c r="CI93" s="323"/>
      <c r="CK93" s="323"/>
      <c r="CM93" s="323"/>
      <c r="CO93" s="323"/>
      <c r="CQ93" s="323"/>
      <c r="CS93" s="323"/>
      <c r="CU93" s="323"/>
      <c r="CW93" s="323"/>
      <c r="CY93" s="323"/>
      <c r="DA93" s="323"/>
      <c r="DC93" s="323"/>
      <c r="DE93" s="323"/>
      <c r="DG93" s="323"/>
      <c r="DI93" s="323"/>
    </row>
    <row r="94" spans="1:115" ht="12" customHeight="1" x14ac:dyDescent="0.3">
      <c r="A94" s="765"/>
      <c r="C94" s="219"/>
      <c r="D94" s="220"/>
      <c r="E94" s="224"/>
      <c r="F94" s="222"/>
      <c r="G94" s="223"/>
      <c r="H94" s="219"/>
      <c r="J94" s="219"/>
      <c r="K94" s="220"/>
      <c r="L94" s="224"/>
      <c r="M94" s="222"/>
      <c r="N94" s="223"/>
      <c r="O94" s="219"/>
      <c r="V94" s="485" t="s">
        <v>707</v>
      </c>
      <c r="W94" s="327">
        <f>IF(NOT(W90),0,E87-9+COUNTBLANK(D88:D96))</f>
        <v>0</v>
      </c>
      <c r="X94" s="327">
        <f>IF(NOT(W90),0,F87-9+COUNTBLANK(G88:G96))</f>
        <v>0</v>
      </c>
      <c r="Y94" s="327">
        <f>IF(NOT(Y90),0,L87-9+COUNTBLANK(K88:K96))</f>
        <v>0</v>
      </c>
      <c r="Z94" s="327">
        <f>IF(NOT(Y90),0,M87-9+COUNTBLANK(N88:N96))</f>
        <v>0</v>
      </c>
      <c r="AB94" s="327" t="str">
        <f>IF(C94="öngól",AC87,AB87)</f>
        <v>nevek.21</v>
      </c>
      <c r="AC94" s="327" t="str">
        <f>IF(H94="öngól",AB87,AC87)</f>
        <v>nevek.22</v>
      </c>
      <c r="AD94" s="327" t="str">
        <f>IF(J94="öngól",AE87,AD87)</f>
        <v>nevek.23</v>
      </c>
      <c r="AE94" s="327" t="str">
        <f>IF(O94="öngól",AD87,AE87)</f>
        <v>nevek.24</v>
      </c>
      <c r="AF94" s="325"/>
      <c r="AG94" s="485">
        <v>7</v>
      </c>
      <c r="AH94" s="488" t="b">
        <f ca="1">AND(W90,X91,D94="",AG94&lt;=W96)</f>
        <v>0</v>
      </c>
      <c r="AI94" s="488" t="b">
        <f ca="1">AND(W90,X91,E94="",AG94&lt;=W96)</f>
        <v>0</v>
      </c>
      <c r="AJ94" s="488" t="b">
        <f ca="1">AND(W90,X91,F94="",AG94&lt;=X96)</f>
        <v>0</v>
      </c>
      <c r="AK94" s="488" t="b">
        <f ca="1">AND(W90,X91,G94="",AG94&lt;=X96)</f>
        <v>0</v>
      </c>
      <c r="AL94" s="488" t="b">
        <f ca="1">AND(Y90,Z91,K94="",AG94&lt;=Y96)</f>
        <v>0</v>
      </c>
      <c r="AM94" s="488" t="b">
        <f ca="1">AND(Y90,Z91,L94="",AG94&lt;=Y96)</f>
        <v>0</v>
      </c>
      <c r="AN94" s="488" t="b">
        <f ca="1">AND(Y90,Z91,M94="",AG94&lt;=Z96)</f>
        <v>0</v>
      </c>
      <c r="AO94" s="488" t="b">
        <f ca="1">AND(Y90,Z91,N94="",AG94&lt;=Z96)</f>
        <v>0</v>
      </c>
      <c r="AQ94" s="326" t="str">
        <f>IF(OR(NOT(Góllista!$E$6),D94=""),"",IF(C94="öngól","ö"&amp;G87&amp;D94,D87&amp;D94))</f>
        <v/>
      </c>
      <c r="AR94" s="326" t="str">
        <f>IF(OR(NOT(Góllista!$E$6),G94=""),"",IF(H94="öngól","ö"&amp;D87&amp;G94,G87&amp;G94))</f>
        <v/>
      </c>
      <c r="AS94" s="326" t="str">
        <f>IF(OR(NOT(Góllista!$E$6),K94=""),"",IF(J94="öngól","ö"&amp;N87&amp;K94,K87&amp;K94))</f>
        <v/>
      </c>
      <c r="AT94" s="326" t="str">
        <f>IF(OR(NOT(Góllista!$E$6),N94=""),"",IF(O94="öngól","ö"&amp;K87&amp;N94,N87&amp;N94))</f>
        <v/>
      </c>
      <c r="AY94" s="323"/>
      <c r="BA94" s="323"/>
      <c r="BC94" s="323"/>
      <c r="BE94" s="323"/>
      <c r="BG94" s="323"/>
      <c r="BI94" s="323"/>
      <c r="BK94" s="323"/>
      <c r="BM94" s="323"/>
      <c r="BO94" s="323"/>
      <c r="BQ94" s="323"/>
      <c r="BS94" s="323"/>
      <c r="BU94" s="323"/>
      <c r="BW94" s="323"/>
      <c r="BY94" s="323"/>
      <c r="CA94" s="323"/>
      <c r="CC94" s="323"/>
      <c r="CE94" s="323"/>
      <c r="CG94" s="323"/>
      <c r="CI94" s="323"/>
      <c r="CK94" s="323"/>
      <c r="CM94" s="323"/>
      <c r="CO94" s="323"/>
      <c r="CQ94" s="323"/>
      <c r="CS94" s="323"/>
      <c r="CU94" s="323"/>
      <c r="CW94" s="323"/>
      <c r="CY94" s="323"/>
      <c r="DA94" s="323"/>
      <c r="DC94" s="323"/>
      <c r="DE94" s="323"/>
      <c r="DG94" s="323"/>
      <c r="DI94" s="323"/>
    </row>
    <row r="95" spans="1:115" ht="12" customHeight="1" x14ac:dyDescent="0.3">
      <c r="A95" s="765"/>
      <c r="C95" s="219"/>
      <c r="D95" s="220"/>
      <c r="E95" s="224"/>
      <c r="F95" s="222"/>
      <c r="G95" s="223"/>
      <c r="H95" s="219"/>
      <c r="J95" s="219"/>
      <c r="K95" s="220"/>
      <c r="L95" s="224"/>
      <c r="M95" s="222"/>
      <c r="N95" s="223"/>
      <c r="O95" s="219"/>
      <c r="V95" s="485" t="s">
        <v>708</v>
      </c>
      <c r="W95" s="411" t="str">
        <f>VLOOKUP(W88,schedule,8,FALSE)</f>
        <v>MAGYARORSZÁG</v>
      </c>
      <c r="X95" s="411" t="str">
        <f>VLOOKUP(W88,schedule,9,FALSE)</f>
        <v>Portugália</v>
      </c>
      <c r="Y95" s="411" t="str">
        <f>VLOOKUP(Y88,schedule,8,FALSE)</f>
        <v>Franciaország</v>
      </c>
      <c r="Z95" s="491" t="str">
        <f>VLOOKUP(Y88,schedule,9,FALSE)</f>
        <v>Németország</v>
      </c>
      <c r="AB95" s="327" t="str">
        <f>IF(C95="öngól",AC87,AB87)</f>
        <v>nevek.21</v>
      </c>
      <c r="AC95" s="327" t="str">
        <f>IF(H95="öngól",AB87,AC87)</f>
        <v>nevek.22</v>
      </c>
      <c r="AD95" s="327" t="str">
        <f>IF(J95="öngól",AE87,AD87)</f>
        <v>nevek.23</v>
      </c>
      <c r="AE95" s="327" t="str">
        <f>IF(O95="öngól",AD87,AE87)</f>
        <v>nevek.24</v>
      </c>
      <c r="AF95" s="325"/>
      <c r="AG95" s="485">
        <v>8</v>
      </c>
      <c r="AH95" s="488" t="b">
        <f ca="1">AND(W90,X91,D95="",AG95&lt;=W96)</f>
        <v>0</v>
      </c>
      <c r="AI95" s="488" t="b">
        <f ca="1">AND(W90,X91,E95="",AG95&lt;=W96)</f>
        <v>0</v>
      </c>
      <c r="AJ95" s="488" t="b">
        <f ca="1">AND(W90,X91,F95="",AG95&lt;=X96)</f>
        <v>0</v>
      </c>
      <c r="AK95" s="488" t="b">
        <f ca="1">AND(W90,X91,G95="",AG95&lt;=X96)</f>
        <v>0</v>
      </c>
      <c r="AL95" s="488" t="b">
        <f ca="1">AND(Y90,Z91,K95="",AG95&lt;=Y96)</f>
        <v>0</v>
      </c>
      <c r="AM95" s="488" t="b">
        <f ca="1">AND(Y90,Z91,L95="",AG95&lt;=Y96)</f>
        <v>0</v>
      </c>
      <c r="AN95" s="488" t="b">
        <f ca="1">AND(Y90,Z91,M95="",AG95&lt;=Z96)</f>
        <v>0</v>
      </c>
      <c r="AO95" s="488" t="b">
        <f ca="1">AND(Y90,Z91,N95="",AG95&lt;=Z96)</f>
        <v>0</v>
      </c>
      <c r="AQ95" s="326" t="str">
        <f>IF(OR(NOT(Góllista!$E$6),D95=""),"",IF(C95="öngól","ö"&amp;G87&amp;D95,D87&amp;D95))</f>
        <v/>
      </c>
      <c r="AR95" s="326" t="str">
        <f>IF(OR(NOT(Góllista!$E$6),G95=""),"",IF(H95="öngól","ö"&amp;D87&amp;G95,G87&amp;G95))</f>
        <v/>
      </c>
      <c r="AS95" s="326" t="str">
        <f>IF(OR(NOT(Góllista!$E$6),K95=""),"",IF(J95="öngól","ö"&amp;N87&amp;K95,K87&amp;K95))</f>
        <v/>
      </c>
      <c r="AT95" s="326" t="str">
        <f>IF(OR(NOT(Góllista!$E$6),N95=""),"",IF(O95="öngól","ö"&amp;K87&amp;N95,N87&amp;N95))</f>
        <v/>
      </c>
      <c r="AY95" s="323"/>
      <c r="BA95" s="323"/>
      <c r="BC95" s="323"/>
      <c r="BE95" s="323"/>
      <c r="BG95" s="323"/>
      <c r="BI95" s="323"/>
      <c r="BK95" s="323"/>
      <c r="BM95" s="323"/>
      <c r="BO95" s="323"/>
      <c r="BQ95" s="323"/>
      <c r="BS95" s="323"/>
      <c r="BU95" s="323"/>
      <c r="BW95" s="323"/>
      <c r="BY95" s="323"/>
      <c r="CA95" s="323"/>
      <c r="CC95" s="323"/>
      <c r="CE95" s="323"/>
      <c r="CG95" s="323"/>
      <c r="CI95" s="323"/>
      <c r="CK95" s="323"/>
      <c r="CM95" s="323"/>
      <c r="CO95" s="323"/>
      <c r="CQ95" s="323"/>
      <c r="CS95" s="323"/>
      <c r="CU95" s="323"/>
      <c r="CW95" s="323"/>
      <c r="CY95" s="323"/>
      <c r="DA95" s="323"/>
      <c r="DC95" s="323"/>
      <c r="DE95" s="323"/>
      <c r="DG95" s="323"/>
      <c r="DI95" s="323"/>
    </row>
    <row r="96" spans="1:115" ht="12" customHeight="1" x14ac:dyDescent="0.3">
      <c r="A96" s="765"/>
      <c r="C96" s="219"/>
      <c r="D96" s="220"/>
      <c r="E96" s="225"/>
      <c r="F96" s="222"/>
      <c r="G96" s="223"/>
      <c r="H96" s="219"/>
      <c r="J96" s="219"/>
      <c r="K96" s="220"/>
      <c r="L96" s="225"/>
      <c r="M96" s="222"/>
      <c r="N96" s="223"/>
      <c r="O96" s="219"/>
      <c r="V96" s="485" t="s">
        <v>709</v>
      </c>
      <c r="W96" s="492" t="str">
        <f>INDEX(n.er,W89,9)</f>
        <v/>
      </c>
      <c r="X96" s="493" t="str">
        <f>INDEX(n.er,W89,10)</f>
        <v/>
      </c>
      <c r="Y96" s="492" t="str">
        <f>INDEX(n.er,Y89,9)</f>
        <v/>
      </c>
      <c r="Z96" s="493" t="str">
        <f>INDEX(n.er,Y89,10)</f>
        <v/>
      </c>
      <c r="AB96" s="327" t="str">
        <f>IF(C96="öngól",AC87,AB87)</f>
        <v>nevek.21</v>
      </c>
      <c r="AC96" s="327" t="str">
        <f>IF(H96="öngól",AB87,AC87)</f>
        <v>nevek.22</v>
      </c>
      <c r="AD96" s="327" t="str">
        <f>IF(J96="öngól",AE87,AD87)</f>
        <v>nevek.23</v>
      </c>
      <c r="AE96" s="327" t="str">
        <f>IF(O96="öngól",AD87,AE87)</f>
        <v>nevek.24</v>
      </c>
      <c r="AF96" s="325"/>
      <c r="AG96" s="485">
        <v>9</v>
      </c>
      <c r="AH96" s="488" t="b">
        <f ca="1">AND(W90,X91,D96="",AG96&lt;=W96)</f>
        <v>0</v>
      </c>
      <c r="AI96" s="488" t="b">
        <f ca="1">AND(W90,X91,E96="",AG96&lt;=W96)</f>
        <v>0</v>
      </c>
      <c r="AJ96" s="488" t="b">
        <f ca="1">AND(W90,X91,F96="",AG96&lt;=X96)</f>
        <v>0</v>
      </c>
      <c r="AK96" s="488" t="b">
        <f ca="1">AND(W90,X91,G96="",AG96&lt;=X96)</f>
        <v>0</v>
      </c>
      <c r="AL96" s="488" t="b">
        <f ca="1">AND(Y90,Z91,K96="",AG96&lt;=Y96)</f>
        <v>0</v>
      </c>
      <c r="AM96" s="488" t="b">
        <f ca="1">AND(Y90,Z91,L96="",AG96&lt;=Y96)</f>
        <v>0</v>
      </c>
      <c r="AN96" s="488" t="b">
        <f ca="1">AND(Y90,Z91,M96="",AG96&lt;=Z96)</f>
        <v>0</v>
      </c>
      <c r="AO96" s="488" t="b">
        <f ca="1">AND(Y90,Z91,N96="",AG96&lt;=Z96)</f>
        <v>0</v>
      </c>
      <c r="AQ96" s="326" t="str">
        <f>IF(OR(NOT(Góllista!$E$6),D96=""),"",IF(C96="öngól","ö"&amp;G87&amp;D96,D87&amp;D96))</f>
        <v/>
      </c>
      <c r="AR96" s="326" t="str">
        <f>IF(OR(NOT(Góllista!$E$6),G96=""),"",IF(H96="öngól","ö"&amp;D87&amp;G96,G87&amp;G96))</f>
        <v/>
      </c>
      <c r="AS96" s="326" t="str">
        <f>IF(OR(NOT(Góllista!$E$6),K96=""),"",IF(J96="öngól","ö"&amp;N87&amp;K96,K87&amp;K96))</f>
        <v/>
      </c>
      <c r="AT96" s="326" t="str">
        <f>IF(OR(NOT(Góllista!$E$6),N96=""),"",IF(O96="öngól","ö"&amp;K87&amp;N96,N87&amp;N96))</f>
        <v/>
      </c>
      <c r="AY96" s="323"/>
      <c r="BA96" s="323"/>
      <c r="BC96" s="323"/>
      <c r="BE96" s="323"/>
      <c r="BG96" s="323"/>
      <c r="BI96" s="323"/>
      <c r="BK96" s="323"/>
      <c r="BM96" s="323"/>
      <c r="BO96" s="323"/>
      <c r="BQ96" s="323"/>
      <c r="BS96" s="323"/>
      <c r="BU96" s="323"/>
      <c r="BW96" s="323"/>
      <c r="BY96" s="323"/>
      <c r="CA96" s="323"/>
      <c r="CC96" s="323"/>
      <c r="CE96" s="323"/>
      <c r="CG96" s="323"/>
      <c r="CI96" s="323"/>
      <c r="CK96" s="323"/>
      <c r="CM96" s="323"/>
      <c r="CO96" s="323"/>
      <c r="CQ96" s="323"/>
      <c r="CS96" s="323"/>
      <c r="CU96" s="323"/>
      <c r="CW96" s="323"/>
      <c r="CY96" s="323"/>
      <c r="DA96" s="323"/>
      <c r="DC96" s="323"/>
      <c r="DE96" s="323"/>
      <c r="DG96" s="323"/>
      <c r="DI96" s="323"/>
    </row>
    <row r="97" spans="1:115" ht="12" customHeight="1" x14ac:dyDescent="0.3">
      <c r="A97" s="765"/>
      <c r="C97" s="768"/>
      <c r="D97" s="768"/>
      <c r="E97" s="768"/>
      <c r="F97" s="768"/>
      <c r="G97" s="768"/>
      <c r="H97" s="768"/>
      <c r="J97" s="768"/>
      <c r="K97" s="768"/>
      <c r="L97" s="768"/>
      <c r="M97" s="768"/>
      <c r="N97" s="768"/>
      <c r="O97" s="768"/>
      <c r="AY97" s="323"/>
      <c r="BA97" s="323"/>
      <c r="BC97" s="323"/>
      <c r="BE97" s="323"/>
      <c r="BG97" s="323"/>
      <c r="BI97" s="323"/>
      <c r="BK97" s="323"/>
      <c r="BM97" s="323"/>
      <c r="BO97" s="323"/>
      <c r="BQ97" s="323"/>
      <c r="BS97" s="323"/>
      <c r="BU97" s="323"/>
      <c r="BW97" s="323"/>
      <c r="BY97" s="323"/>
      <c r="CA97" s="323"/>
      <c r="CC97" s="323"/>
      <c r="CE97" s="323"/>
      <c r="CG97" s="323"/>
      <c r="CI97" s="323"/>
      <c r="CK97" s="323"/>
      <c r="CM97" s="323"/>
      <c r="CO97" s="323"/>
      <c r="CQ97" s="323"/>
      <c r="CS97" s="323"/>
      <c r="CU97" s="323"/>
      <c r="CW97" s="323"/>
      <c r="CY97" s="323"/>
      <c r="DA97" s="323"/>
      <c r="DC97" s="323"/>
      <c r="DE97" s="323"/>
      <c r="DG97" s="323"/>
      <c r="DI97" s="323"/>
    </row>
    <row r="98" spans="1:115" ht="12" hidden="1" customHeight="1" x14ac:dyDescent="0.3">
      <c r="A98" s="765"/>
      <c r="C98" s="767"/>
      <c r="D98" s="767"/>
      <c r="E98" s="767"/>
      <c r="F98" s="767"/>
      <c r="G98" s="767"/>
      <c r="H98" s="767"/>
      <c r="J98" s="767"/>
      <c r="K98" s="767"/>
      <c r="L98" s="767"/>
      <c r="M98" s="767"/>
      <c r="N98" s="767"/>
      <c r="O98" s="767"/>
      <c r="AY98" s="323"/>
      <c r="BA98" s="323"/>
      <c r="BC98" s="323"/>
      <c r="BE98" s="323"/>
      <c r="BG98" s="323"/>
      <c r="BI98" s="323"/>
      <c r="BK98" s="323"/>
      <c r="BM98" s="323"/>
      <c r="BO98" s="323"/>
      <c r="BQ98" s="323"/>
      <c r="BS98" s="323"/>
      <c r="BU98" s="323"/>
      <c r="BW98" s="323"/>
      <c r="BY98" s="323"/>
      <c r="CA98" s="323"/>
      <c r="CC98" s="323"/>
      <c r="CE98" s="323"/>
      <c r="CG98" s="323"/>
      <c r="CI98" s="323"/>
      <c r="CK98" s="323"/>
      <c r="CM98" s="323"/>
      <c r="CO98" s="323"/>
      <c r="CQ98" s="323"/>
      <c r="CS98" s="323"/>
      <c r="CU98" s="323"/>
      <c r="CW98" s="323"/>
      <c r="CY98" s="323"/>
      <c r="DA98" s="323"/>
      <c r="DC98" s="323"/>
      <c r="DE98" s="323"/>
      <c r="DG98" s="323"/>
      <c r="DI98" s="323"/>
    </row>
    <row r="99" spans="1:115" ht="12" hidden="1" customHeight="1" x14ac:dyDescent="0.3">
      <c r="A99" s="765"/>
      <c r="C99" s="767"/>
      <c r="D99" s="767"/>
      <c r="E99" s="767"/>
      <c r="F99" s="767"/>
      <c r="G99" s="767"/>
      <c r="H99" s="767"/>
      <c r="J99" s="767"/>
      <c r="K99" s="767"/>
      <c r="L99" s="767"/>
      <c r="M99" s="767"/>
      <c r="N99" s="767"/>
      <c r="O99" s="767"/>
      <c r="AY99" s="323"/>
      <c r="BA99" s="323"/>
      <c r="BC99" s="323"/>
      <c r="BE99" s="323"/>
      <c r="BG99" s="323"/>
      <c r="BI99" s="323"/>
      <c r="BK99" s="323"/>
      <c r="BM99" s="323"/>
      <c r="BO99" s="323"/>
      <c r="BQ99" s="323"/>
      <c r="BS99" s="323"/>
      <c r="BU99" s="323"/>
      <c r="BW99" s="323"/>
      <c r="BY99" s="323"/>
      <c r="CA99" s="323"/>
      <c r="CC99" s="323"/>
      <c r="CE99" s="323"/>
      <c r="CG99" s="323"/>
      <c r="CI99" s="323"/>
      <c r="CK99" s="323"/>
      <c r="CM99" s="323"/>
      <c r="CO99" s="323"/>
      <c r="CQ99" s="323"/>
      <c r="CS99" s="323"/>
      <c r="CU99" s="323"/>
      <c r="CW99" s="323"/>
      <c r="CY99" s="323"/>
      <c r="DA99" s="323"/>
      <c r="DC99" s="323"/>
      <c r="DE99" s="323"/>
      <c r="DG99" s="323"/>
      <c r="DI99" s="323"/>
    </row>
    <row r="100" spans="1:115" ht="10.5" customHeight="1" x14ac:dyDescent="0.3">
      <c r="A100" s="765"/>
      <c r="AY100" s="323"/>
      <c r="BA100" s="323"/>
      <c r="BC100" s="323"/>
      <c r="BE100" s="323"/>
      <c r="BG100" s="323"/>
      <c r="BI100" s="323"/>
      <c r="BK100" s="323"/>
      <c r="BM100" s="323"/>
      <c r="BO100" s="323"/>
      <c r="BQ100" s="323"/>
      <c r="BS100" s="323"/>
      <c r="BU100" s="323"/>
      <c r="BW100" s="323"/>
      <c r="BY100" s="323"/>
      <c r="CA100" s="323"/>
      <c r="CC100" s="323"/>
      <c r="CE100" s="323"/>
      <c r="CG100" s="323"/>
      <c r="CI100" s="323"/>
      <c r="CK100" s="323"/>
      <c r="CM100" s="323"/>
      <c r="CO100" s="323"/>
      <c r="CQ100" s="323"/>
      <c r="CS100" s="323"/>
      <c r="CU100" s="323"/>
      <c r="CW100" s="323"/>
      <c r="CY100" s="323"/>
      <c r="DA100" s="323"/>
      <c r="DC100" s="323"/>
      <c r="DE100" s="323"/>
      <c r="DG100" s="323"/>
      <c r="DI100" s="323"/>
    </row>
    <row r="101" spans="1:115" ht="6" customHeight="1" x14ac:dyDescent="0.3">
      <c r="A101" s="765"/>
      <c r="AQ101" s="323"/>
      <c r="AR101" s="323"/>
      <c r="AS101" s="323"/>
      <c r="AT101" s="323"/>
      <c r="AY101" s="323"/>
      <c r="BA101" s="323"/>
      <c r="BC101" s="323"/>
      <c r="BE101" s="323"/>
      <c r="BG101" s="323"/>
      <c r="BI101" s="323"/>
      <c r="BK101" s="323"/>
      <c r="BM101" s="323"/>
      <c r="BO101" s="323"/>
      <c r="BQ101" s="323"/>
      <c r="BS101" s="323"/>
      <c r="BU101" s="323"/>
      <c r="BW101" s="323"/>
      <c r="BY101" s="323"/>
      <c r="CA101" s="323"/>
      <c r="CC101" s="323"/>
      <c r="CE101" s="323"/>
      <c r="CG101" s="323"/>
      <c r="CI101" s="323"/>
      <c r="CK101" s="323"/>
      <c r="CM101" s="323"/>
      <c r="CO101" s="323"/>
      <c r="CQ101" s="323"/>
      <c r="CS101" s="323"/>
      <c r="CU101" s="323"/>
      <c r="CW101" s="323"/>
      <c r="CY101" s="323"/>
      <c r="DA101" s="323"/>
      <c r="DC101" s="323"/>
      <c r="DE101" s="323"/>
      <c r="DG101" s="323"/>
      <c r="DI101" s="323"/>
    </row>
    <row r="102" spans="1:115" ht="12" customHeight="1" x14ac:dyDescent="0.3">
      <c r="A102" s="765"/>
      <c r="C102" s="247" t="str">
        <f>W107</f>
        <v>JÚNIUS 16. – SZERDA 15:00</v>
      </c>
      <c r="D102" s="227"/>
      <c r="E102" s="228"/>
      <c r="F102" s="229"/>
      <c r="G102" s="230"/>
      <c r="H102" s="231" t="str">
        <f>W108</f>
        <v>2. CSOPORTMÉRKŐZÉS</v>
      </c>
      <c r="I102" s="138"/>
      <c r="J102" s="246" t="str">
        <f>Y107</f>
        <v>JÚNIUS 16. – SZERDA 18:00</v>
      </c>
      <c r="K102" s="227"/>
      <c r="L102" s="228"/>
      <c r="M102" s="229"/>
      <c r="N102" s="230"/>
      <c r="O102" s="226" t="str">
        <f>Y108</f>
        <v>2. CSOPORTMÉRKŐZÉS</v>
      </c>
      <c r="AQ102" s="323"/>
      <c r="AR102" s="323"/>
      <c r="AS102" s="323"/>
      <c r="AT102" s="323"/>
      <c r="AY102" s="323"/>
      <c r="BA102" s="323"/>
      <c r="BC102" s="323"/>
      <c r="BE102" s="323"/>
      <c r="BG102" s="323"/>
      <c r="BI102" s="323"/>
      <c r="BK102" s="323"/>
      <c r="BM102" s="323"/>
      <c r="BO102" s="323"/>
      <c r="BQ102" s="323"/>
      <c r="BS102" s="323"/>
      <c r="BU102" s="323"/>
      <c r="BW102" s="323"/>
      <c r="BY102" s="323"/>
      <c r="CA102" s="323"/>
      <c r="CC102" s="323"/>
      <c r="CE102" s="323"/>
      <c r="CG102" s="323"/>
      <c r="CI102" s="323"/>
      <c r="CK102" s="323"/>
      <c r="CM102" s="323"/>
      <c r="CO102" s="323"/>
      <c r="CQ102" s="323"/>
      <c r="CS102" s="323"/>
      <c r="CU102" s="323"/>
      <c r="CW102" s="323"/>
      <c r="CY102" s="323"/>
      <c r="DA102" s="323"/>
      <c r="DC102" s="323"/>
      <c r="DE102" s="323"/>
      <c r="DG102" s="323"/>
      <c r="DI102" s="323"/>
    </row>
    <row r="103" spans="1:115" s="138" customFormat="1" ht="14.25" customHeight="1" x14ac:dyDescent="0.3">
      <c r="A103" s="765"/>
      <c r="B103" s="137"/>
      <c r="C103" s="233" t="str">
        <f>IF(W110=0,"",IF(W110&gt;0,CONCATENATE("még ",W110," gól"),CONCATENATE("túl sok (",W110," gól)")))</f>
        <v/>
      </c>
      <c r="D103" s="714" t="str">
        <f>W111</f>
        <v>Finnország</v>
      </c>
      <c r="E103" s="716" t="str">
        <f>W112</f>
        <v/>
      </c>
      <c r="F103" s="717" t="str">
        <f>X112</f>
        <v/>
      </c>
      <c r="G103" s="715" t="str">
        <f>X111</f>
        <v>Oroszország</v>
      </c>
      <c r="H103" s="232" t="str">
        <f>IF(X110=0,"",IF(X110&gt;0,CONCATENATE("még ",X110," gól"),CONCATENATE("túl sok (",X110," gól)")))</f>
        <v/>
      </c>
      <c r="I103" s="127"/>
      <c r="J103" s="233" t="str">
        <f>IF(Y110=0,"",IF(Y110&gt;0,CONCATENATE("még ",Y110," gól"),CONCATENATE("túl sok (",Y110," gól)")))</f>
        <v/>
      </c>
      <c r="K103" s="714" t="str">
        <f>Y111</f>
        <v>Törökország</v>
      </c>
      <c r="L103" s="716" t="str">
        <f>Y112</f>
        <v/>
      </c>
      <c r="M103" s="717" t="str">
        <f>Z112</f>
        <v/>
      </c>
      <c r="N103" s="715" t="str">
        <f>Z111</f>
        <v>Wales</v>
      </c>
      <c r="O103" s="232" t="str">
        <f>IF(Z110=0,"",IF(Z110&gt;0,CONCATENATE("még ",Z110," gól"),CONCATENATE("túl sok (",Z110," gól)")))</f>
        <v/>
      </c>
      <c r="P103" s="10"/>
      <c r="Q103" s="140"/>
      <c r="R103" s="141"/>
      <c r="S103" s="141"/>
      <c r="T103" s="484"/>
      <c r="U103" s="485"/>
      <c r="V103" s="485"/>
      <c r="W103" s="485"/>
      <c r="X103" s="485"/>
      <c r="Y103" s="485"/>
      <c r="Z103" s="485"/>
      <c r="AA103" s="485"/>
      <c r="AB103" s="242" t="str">
        <f>HLOOKUP(D103,nevek.li,2,FALSE)</f>
        <v>nevek.06</v>
      </c>
      <c r="AC103" s="242" t="str">
        <f>HLOOKUP(G103,nevek.li,2,FALSE)</f>
        <v>nevek.08</v>
      </c>
      <c r="AD103" s="242" t="str">
        <f>HLOOKUP(K103,nevek.li,2,FALSE)</f>
        <v>nevek.01</v>
      </c>
      <c r="AE103" s="242" t="str">
        <f>HLOOKUP(N103,nevek.li,2,FALSE)</f>
        <v>nevek.03</v>
      </c>
      <c r="AF103" s="485"/>
      <c r="AG103" s="485"/>
      <c r="AH103" s="485"/>
      <c r="AI103" s="485"/>
      <c r="AJ103" s="485"/>
      <c r="AK103" s="485"/>
      <c r="AL103" s="485"/>
      <c r="AM103" s="485"/>
      <c r="AN103" s="485"/>
      <c r="AO103" s="485"/>
      <c r="AP103" s="485"/>
      <c r="AQ103" s="485"/>
      <c r="AR103" s="485"/>
      <c r="AS103" s="485"/>
      <c r="AT103" s="485"/>
      <c r="AU103" s="485"/>
      <c r="AV103" s="500"/>
      <c r="AW103" s="323"/>
      <c r="AX103" s="323"/>
      <c r="AY103" s="323"/>
      <c r="AZ103" s="323"/>
      <c r="BA103" s="323"/>
      <c r="BB103" s="323"/>
      <c r="BC103" s="323"/>
      <c r="BD103" s="323"/>
      <c r="BE103" s="323"/>
      <c r="BF103" s="323"/>
      <c r="BG103" s="323"/>
      <c r="BH103" s="323"/>
      <c r="BI103" s="323"/>
      <c r="BJ103" s="323"/>
      <c r="BK103" s="323"/>
      <c r="BL103" s="323"/>
      <c r="BM103" s="323"/>
      <c r="BN103" s="323"/>
      <c r="BO103" s="323"/>
      <c r="BP103" s="323"/>
      <c r="BQ103" s="323"/>
      <c r="BR103" s="323"/>
      <c r="BS103" s="323"/>
      <c r="BT103" s="323"/>
      <c r="BU103" s="323"/>
      <c r="BV103" s="323"/>
      <c r="BW103" s="323"/>
      <c r="BX103" s="323"/>
      <c r="BY103" s="323"/>
      <c r="BZ103" s="323"/>
      <c r="CA103" s="323"/>
      <c r="CB103" s="323"/>
      <c r="CC103" s="323"/>
      <c r="CD103" s="323"/>
      <c r="CE103" s="323"/>
      <c r="CF103" s="323"/>
      <c r="CG103" s="323"/>
      <c r="CH103" s="323"/>
      <c r="CI103" s="323"/>
      <c r="CJ103" s="323"/>
      <c r="CK103" s="323"/>
      <c r="CL103" s="323"/>
      <c r="CM103" s="323"/>
      <c r="CN103" s="323"/>
      <c r="CO103" s="323"/>
      <c r="CP103" s="323"/>
      <c r="CQ103" s="323"/>
      <c r="CR103" s="323"/>
      <c r="CS103" s="323"/>
      <c r="CT103" s="323"/>
      <c r="CU103" s="323"/>
      <c r="CV103" s="323"/>
      <c r="CW103" s="323"/>
      <c r="CX103" s="323"/>
      <c r="CY103" s="323"/>
      <c r="CZ103" s="323"/>
      <c r="DA103" s="323"/>
      <c r="DB103" s="323"/>
      <c r="DC103" s="323"/>
      <c r="DD103" s="323"/>
      <c r="DE103" s="323"/>
      <c r="DF103" s="323"/>
      <c r="DG103" s="323"/>
      <c r="DH103" s="323"/>
      <c r="DI103" s="323"/>
      <c r="DJ103" s="323"/>
      <c r="DK103" s="500"/>
    </row>
    <row r="104" spans="1:115" ht="12" customHeight="1" x14ac:dyDescent="0.3">
      <c r="A104" s="765"/>
      <c r="C104" s="218"/>
      <c r="D104" s="220"/>
      <c r="E104" s="221"/>
      <c r="F104" s="222"/>
      <c r="G104" s="223"/>
      <c r="H104" s="218"/>
      <c r="J104" s="218"/>
      <c r="K104" s="220"/>
      <c r="L104" s="221"/>
      <c r="M104" s="222"/>
      <c r="N104" s="223"/>
      <c r="O104" s="218"/>
      <c r="V104" s="487" t="s">
        <v>706</v>
      </c>
      <c r="W104" s="242">
        <v>13</v>
      </c>
      <c r="X104" s="485" t="str">
        <f>""</f>
        <v/>
      </c>
      <c r="Y104" s="242">
        <v>14</v>
      </c>
      <c r="AB104" s="327" t="str">
        <f>IF(C104="öngól",AC103,AB103)</f>
        <v>nevek.06</v>
      </c>
      <c r="AC104" s="327" t="str">
        <f>IF(H104="öngól",AB103,AC103)</f>
        <v>nevek.08</v>
      </c>
      <c r="AD104" s="327" t="str">
        <f>IF(J104="öngól",AE103,AD103)</f>
        <v>nevek.01</v>
      </c>
      <c r="AE104" s="327" t="str">
        <f>IF(O104="öngól",AD103,AE103)</f>
        <v>nevek.03</v>
      </c>
      <c r="AF104" s="325"/>
      <c r="AG104" s="485">
        <v>1</v>
      </c>
      <c r="AH104" s="488" t="b">
        <f ca="1">AND(W106,X107,D104="",AG104&lt;=W112)</f>
        <v>0</v>
      </c>
      <c r="AI104" s="488" t="b">
        <f ca="1">AND(W106,X107,E104="",AG104&lt;=W112)</f>
        <v>0</v>
      </c>
      <c r="AJ104" s="488" t="b">
        <f ca="1">AND(W106,X107,F104="",AG104&lt;=X112)</f>
        <v>0</v>
      </c>
      <c r="AK104" s="488" t="b">
        <f ca="1">AND(W106,X107,G104="",AG104&lt;=X112)</f>
        <v>0</v>
      </c>
      <c r="AL104" s="488" t="b">
        <f ca="1">AND(Y106,Z107,K104="",AG104&lt;=Y112)</f>
        <v>0</v>
      </c>
      <c r="AM104" s="488" t="b">
        <f ca="1">AND(Y106,Z107,L104="",AG104&lt;=Y112)</f>
        <v>0</v>
      </c>
      <c r="AN104" s="488" t="b">
        <f ca="1">AND(Y106,Z107,M104="",AG104&lt;=Z112)</f>
        <v>0</v>
      </c>
      <c r="AO104" s="488" t="b">
        <f ca="1">AND(Y106,Z107,N104="",AG104&lt;=Z112)</f>
        <v>0</v>
      </c>
      <c r="AQ104" s="326" t="str">
        <f>IF(OR(NOT(Góllista!$E$6),D104=""),"",IF(C104="öngól","ö"&amp;G103&amp;D104,D103&amp;D104))</f>
        <v/>
      </c>
      <c r="AR104" s="326" t="str">
        <f>IF(OR(NOT(Góllista!$E$6),G104=""),"",IF(H104="öngól","ö"&amp;D103&amp;G104,G103&amp;G104))</f>
        <v/>
      </c>
      <c r="AS104" s="326" t="str">
        <f>IF(OR(NOT(Góllista!$E$6),K104=""),"",IF(J104="öngól","ö"&amp;N103&amp;K104,K103&amp;K104))</f>
        <v/>
      </c>
      <c r="AT104" s="326" t="str">
        <f>IF(OR(NOT(Góllista!$E$6),N104=""),"",IF(O104="öngól","ö"&amp;K103&amp;N104,N103&amp;N104))</f>
        <v/>
      </c>
      <c r="AY104" s="323"/>
      <c r="BA104" s="323"/>
      <c r="BC104" s="323"/>
      <c r="BE104" s="323"/>
      <c r="BG104" s="323"/>
      <c r="BI104" s="323"/>
      <c r="BK104" s="323"/>
      <c r="BM104" s="323"/>
      <c r="BO104" s="323"/>
      <c r="BQ104" s="323"/>
      <c r="BS104" s="323"/>
      <c r="BU104" s="323"/>
      <c r="BW104" s="323"/>
      <c r="BY104" s="323"/>
      <c r="CA104" s="323"/>
      <c r="CC104" s="323"/>
      <c r="CE104" s="323"/>
      <c r="CG104" s="323"/>
      <c r="CI104" s="323"/>
      <c r="CK104" s="323"/>
      <c r="CM104" s="323"/>
      <c r="CO104" s="323"/>
      <c r="CQ104" s="323"/>
      <c r="CS104" s="323"/>
      <c r="CU104" s="323"/>
      <c r="CW104" s="323"/>
      <c r="CY104" s="323"/>
      <c r="DA104" s="323"/>
      <c r="DC104" s="323"/>
      <c r="DE104" s="323"/>
      <c r="DG104" s="323"/>
      <c r="DI104" s="323"/>
    </row>
    <row r="105" spans="1:115" ht="12" customHeight="1" x14ac:dyDescent="0.3">
      <c r="A105" s="765"/>
      <c r="C105" s="219"/>
      <c r="D105" s="220"/>
      <c r="E105" s="224"/>
      <c r="F105" s="222"/>
      <c r="G105" s="223"/>
      <c r="H105" s="219"/>
      <c r="J105" s="219"/>
      <c r="K105" s="220"/>
      <c r="L105" s="224"/>
      <c r="M105" s="222"/>
      <c r="N105" s="223"/>
      <c r="O105" s="219"/>
      <c r="V105" s="487" t="s">
        <v>711</v>
      </c>
      <c r="W105" s="327">
        <f>MATCH(W104,n.er.index,0)</f>
        <v>33</v>
      </c>
      <c r="X105" s="485" t="str">
        <f>""</f>
        <v/>
      </c>
      <c r="Y105" s="327">
        <f>MATCH(Y104,n.er.index,0)</f>
        <v>34</v>
      </c>
      <c r="AB105" s="327" t="str">
        <f>IF(C105="öngól",AC103,AB103)</f>
        <v>nevek.06</v>
      </c>
      <c r="AC105" s="327" t="str">
        <f>IF(H105="öngól",AB103,AC103)</f>
        <v>nevek.08</v>
      </c>
      <c r="AD105" s="327" t="str">
        <f>IF(J105="öngól",AE103,AD103)</f>
        <v>nevek.01</v>
      </c>
      <c r="AE105" s="327" t="str">
        <f>IF(O105="öngól",AD103,AE103)</f>
        <v>nevek.03</v>
      </c>
      <c r="AF105" s="325"/>
      <c r="AG105" s="485">
        <v>2</v>
      </c>
      <c r="AH105" s="488" t="b">
        <f ca="1">AND(W106,X107,D105="",AG105&lt;=W112)</f>
        <v>0</v>
      </c>
      <c r="AI105" s="488" t="b">
        <f ca="1">AND(W106,X107,E105="",AG105&lt;=W112)</f>
        <v>0</v>
      </c>
      <c r="AJ105" s="488" t="b">
        <f ca="1">AND(W106,X107,F105="",AG105&lt;=X112)</f>
        <v>0</v>
      </c>
      <c r="AK105" s="488" t="b">
        <f ca="1">AND(W106,X107,G105="",AG105&lt;=X112)</f>
        <v>0</v>
      </c>
      <c r="AL105" s="488" t="b">
        <f ca="1">AND(Y106,Z107,K105="",AG105&lt;=Y112)</f>
        <v>0</v>
      </c>
      <c r="AM105" s="488" t="b">
        <f ca="1">AND(Y106,Z107,L105="",AG105&lt;=Y112)</f>
        <v>0</v>
      </c>
      <c r="AN105" s="488" t="b">
        <f ca="1">AND(Y106,Z107,M105="",AG105&lt;=Z112)</f>
        <v>0</v>
      </c>
      <c r="AO105" s="488" t="b">
        <f ca="1">AND(Y106,Z107,N105="",AG105&lt;=Z112)</f>
        <v>0</v>
      </c>
      <c r="AQ105" s="326" t="str">
        <f>IF(OR(NOT(Góllista!$E$6),D105=""),"",IF(C105="öngól","ö"&amp;G103&amp;D105,D103&amp;D105))</f>
        <v/>
      </c>
      <c r="AR105" s="326" t="str">
        <f>IF(OR(NOT(Góllista!$E$6),G105=""),"",IF(H105="öngól","ö"&amp;D103&amp;G105,G103&amp;G105))</f>
        <v/>
      </c>
      <c r="AS105" s="326" t="str">
        <f>IF(OR(NOT(Góllista!$E$6),K105=""),"",IF(J105="öngól","ö"&amp;N103&amp;K105,K103&amp;K105))</f>
        <v/>
      </c>
      <c r="AT105" s="326" t="str">
        <f>IF(OR(NOT(Góllista!$E$6),N105=""),"",IF(O105="öngól","ö"&amp;K103&amp;N105,N103&amp;N105))</f>
        <v/>
      </c>
      <c r="AY105" s="323"/>
      <c r="BA105" s="323"/>
      <c r="BC105" s="323"/>
      <c r="BE105" s="323"/>
      <c r="BG105" s="323"/>
      <c r="BI105" s="323"/>
      <c r="BK105" s="323"/>
      <c r="BM105" s="323"/>
      <c r="BO105" s="323"/>
      <c r="BQ105" s="323"/>
      <c r="BS105" s="323"/>
      <c r="BU105" s="323"/>
      <c r="BW105" s="323"/>
      <c r="BY105" s="323"/>
      <c r="CA105" s="323"/>
      <c r="CC105" s="323"/>
      <c r="CE105" s="323"/>
      <c r="CG105" s="323"/>
      <c r="CI105" s="323"/>
      <c r="CK105" s="323"/>
      <c r="CM105" s="323"/>
      <c r="CO105" s="323"/>
      <c r="CQ105" s="323"/>
      <c r="CS105" s="323"/>
      <c r="CU105" s="323"/>
      <c r="CW105" s="323"/>
      <c r="CY105" s="323"/>
      <c r="DA105" s="323"/>
      <c r="DC105" s="323"/>
      <c r="DE105" s="323"/>
      <c r="DG105" s="323"/>
      <c r="DI105" s="323"/>
    </row>
    <row r="106" spans="1:115" ht="12" customHeight="1" x14ac:dyDescent="0.3">
      <c r="A106" s="765"/>
      <c r="C106" s="219"/>
      <c r="D106" s="220"/>
      <c r="E106" s="224"/>
      <c r="F106" s="222"/>
      <c r="G106" s="223"/>
      <c r="H106" s="219"/>
      <c r="J106" s="219"/>
      <c r="K106" s="220"/>
      <c r="L106" s="224"/>
      <c r="M106" s="222"/>
      <c r="N106" s="223"/>
      <c r="O106" s="219"/>
      <c r="V106" s="487" t="s">
        <v>710</v>
      </c>
      <c r="W106" s="489" t="b">
        <f>INDEX(n.er,W105,3)</f>
        <v>0</v>
      </c>
      <c r="X106" s="485" t="str">
        <f>""</f>
        <v/>
      </c>
      <c r="Y106" s="489" t="b">
        <f>INDEX(n.er,Y105,3)</f>
        <v>0</v>
      </c>
      <c r="AB106" s="327" t="str">
        <f>IF(C106="öngól",AC103,AB103)</f>
        <v>nevek.06</v>
      </c>
      <c r="AC106" s="327" t="str">
        <f>IF(H106="öngól",AB103,AC103)</f>
        <v>nevek.08</v>
      </c>
      <c r="AD106" s="327" t="str">
        <f>IF(J106="öngól",AE103,AD103)</f>
        <v>nevek.01</v>
      </c>
      <c r="AE106" s="327" t="str">
        <f>IF(O106="öngól",AD103,AE103)</f>
        <v>nevek.03</v>
      </c>
      <c r="AF106" s="325"/>
      <c r="AG106" s="485">
        <v>3</v>
      </c>
      <c r="AH106" s="488" t="b">
        <f ca="1">AND(W106,X107,D106="",AG106&lt;=W112)</f>
        <v>0</v>
      </c>
      <c r="AI106" s="488" t="b">
        <f ca="1">AND(W106,X107,E106="",AG106&lt;=W112)</f>
        <v>0</v>
      </c>
      <c r="AJ106" s="488" t="b">
        <f ca="1">AND(W106,X107,F106="",AG106&lt;=X112)</f>
        <v>0</v>
      </c>
      <c r="AK106" s="488" t="b">
        <f ca="1">AND(W106,X107,G106="",AG106&lt;=X112)</f>
        <v>0</v>
      </c>
      <c r="AL106" s="488" t="b">
        <f ca="1">AND(Y106,Z107,K106="",AG106&lt;=Y112)</f>
        <v>0</v>
      </c>
      <c r="AM106" s="488" t="b">
        <f ca="1">AND(Y106,Z107,L106="",AG106&lt;=Y112)</f>
        <v>0</v>
      </c>
      <c r="AN106" s="488" t="b">
        <f ca="1">AND(Y106,Z107,M106="",AG106&lt;=Z112)</f>
        <v>0</v>
      </c>
      <c r="AO106" s="488" t="b">
        <f ca="1">AND(Y106,Z107,N106="",AG106&lt;=Z112)</f>
        <v>0</v>
      </c>
      <c r="AQ106" s="326" t="str">
        <f>IF(OR(NOT(Góllista!$E$6),D106=""),"",IF(C106="öngól","ö"&amp;G103&amp;D106,D103&amp;D106))</f>
        <v/>
      </c>
      <c r="AR106" s="326" t="str">
        <f>IF(OR(NOT(Góllista!$E$6),G106=""),"",IF(H106="öngól","ö"&amp;D103&amp;G106,G103&amp;G106))</f>
        <v/>
      </c>
      <c r="AS106" s="326" t="str">
        <f>IF(OR(NOT(Góllista!$E$6),K106=""),"",IF(J106="öngól","ö"&amp;N103&amp;K106,K103&amp;K106))</f>
        <v/>
      </c>
      <c r="AT106" s="326" t="str">
        <f>IF(OR(NOT(Góllista!$E$6),N106=""),"",IF(O106="öngól","ö"&amp;K103&amp;N106,N103&amp;N106))</f>
        <v/>
      </c>
      <c r="AY106" s="323"/>
      <c r="BA106" s="323"/>
      <c r="BC106" s="323"/>
      <c r="BE106" s="323"/>
      <c r="BG106" s="323"/>
      <c r="BI106" s="323"/>
      <c r="BK106" s="323"/>
      <c r="BM106" s="323"/>
      <c r="BO106" s="323"/>
      <c r="BQ106" s="323"/>
      <c r="BS106" s="323"/>
      <c r="BU106" s="323"/>
      <c r="BW106" s="323"/>
      <c r="BY106" s="323"/>
      <c r="CA106" s="323"/>
      <c r="CC106" s="323"/>
      <c r="CE106" s="323"/>
      <c r="CG106" s="323"/>
      <c r="CI106" s="323"/>
      <c r="CK106" s="323"/>
      <c r="CM106" s="323"/>
      <c r="CO106" s="323"/>
      <c r="CQ106" s="323"/>
      <c r="CS106" s="323"/>
      <c r="CU106" s="323"/>
      <c r="CW106" s="323"/>
      <c r="CY106" s="323"/>
      <c r="DA106" s="323"/>
      <c r="DC106" s="323"/>
      <c r="DE106" s="323"/>
      <c r="DG106" s="323"/>
      <c r="DI106" s="323"/>
    </row>
    <row r="107" spans="1:115" ht="12" customHeight="1" x14ac:dyDescent="0.3">
      <c r="A107" s="765"/>
      <c r="C107" s="219"/>
      <c r="D107" s="220"/>
      <c r="E107" s="224"/>
      <c r="F107" s="222"/>
      <c r="G107" s="223"/>
      <c r="H107" s="219"/>
      <c r="J107" s="219"/>
      <c r="K107" s="220"/>
      <c r="L107" s="224"/>
      <c r="M107" s="222"/>
      <c r="N107" s="223"/>
      <c r="O107" s="219"/>
      <c r="V107" s="487" t="s">
        <v>705</v>
      </c>
      <c r="W107" s="490" t="str">
        <f>VLOOKUP(W104,schedule,18,FALSE)</f>
        <v>JÚNIUS 16. – SZERDA 15:00</v>
      </c>
      <c r="X107" s="489" t="b">
        <f ca="1">VLOOKUP(W104,schedule,14,FALSE)&lt;=NOW()</f>
        <v>0</v>
      </c>
      <c r="Y107" s="490" t="str">
        <f>VLOOKUP(Y104,schedule,18,FALSE)</f>
        <v>JÚNIUS 16. – SZERDA 18:00</v>
      </c>
      <c r="Z107" s="489" t="b">
        <f ca="1">VLOOKUP(Y104,schedule,14,FALSE)&lt;=NOW()</f>
        <v>0</v>
      </c>
      <c r="AB107" s="327" t="str">
        <f>IF(C107="öngól",AC103,AB103)</f>
        <v>nevek.06</v>
      </c>
      <c r="AC107" s="327" t="str">
        <f>IF(H107="öngól",AB103,AC103)</f>
        <v>nevek.08</v>
      </c>
      <c r="AD107" s="327" t="str">
        <f>IF(J107="öngól",AE103,AD103)</f>
        <v>nevek.01</v>
      </c>
      <c r="AE107" s="327" t="str">
        <f>IF(O107="öngól",AD103,AE103)</f>
        <v>nevek.03</v>
      </c>
      <c r="AF107" s="325"/>
      <c r="AG107" s="485">
        <v>4</v>
      </c>
      <c r="AH107" s="488" t="b">
        <f ca="1">AND(W106,X107,D107="",AG107&lt;=W112)</f>
        <v>0</v>
      </c>
      <c r="AI107" s="488" t="b">
        <f ca="1">AND(W106,X107,E107="",AG107&lt;=W112)</f>
        <v>0</v>
      </c>
      <c r="AJ107" s="488" t="b">
        <f ca="1">AND(W106,X107,F107="",AG107&lt;=X112)</f>
        <v>0</v>
      </c>
      <c r="AK107" s="488" t="b">
        <f ca="1">AND(W106,X107,G107="",AG107&lt;=X112)</f>
        <v>0</v>
      </c>
      <c r="AL107" s="488" t="b">
        <f ca="1">AND(Y106,Z107,K107="",AG107&lt;=Y112)</f>
        <v>0</v>
      </c>
      <c r="AM107" s="488" t="b">
        <f ca="1">AND(Y106,Z107,L107="",AG107&lt;=Y112)</f>
        <v>0</v>
      </c>
      <c r="AN107" s="488" t="b">
        <f ca="1">AND(Y106,Z107,M107="",AG107&lt;=Z112)</f>
        <v>0</v>
      </c>
      <c r="AO107" s="488" t="b">
        <f ca="1">AND(Y106,Z107,N107="",AG107&lt;=Z112)</f>
        <v>0</v>
      </c>
      <c r="AQ107" s="326" t="str">
        <f>IF(OR(NOT(Góllista!$E$6),D107=""),"",IF(C107="öngól","ö"&amp;G103&amp;D107,D103&amp;D107))</f>
        <v/>
      </c>
      <c r="AR107" s="326" t="str">
        <f>IF(OR(NOT(Góllista!$E$6),G107=""),"",IF(H107="öngól","ö"&amp;D103&amp;G107,G103&amp;G107))</f>
        <v/>
      </c>
      <c r="AS107" s="326" t="str">
        <f>IF(OR(NOT(Góllista!$E$6),K107=""),"",IF(J107="öngól","ö"&amp;N103&amp;K107,K103&amp;K107))</f>
        <v/>
      </c>
      <c r="AT107" s="326" t="str">
        <f>IF(OR(NOT(Góllista!$E$6),N107=""),"",IF(O107="öngól","ö"&amp;K103&amp;N107,N103&amp;N107))</f>
        <v/>
      </c>
      <c r="AY107" s="323"/>
      <c r="BA107" s="323"/>
      <c r="BC107" s="323"/>
      <c r="BE107" s="323"/>
      <c r="BG107" s="323"/>
      <c r="BI107" s="323"/>
      <c r="BK107" s="323"/>
      <c r="BM107" s="323"/>
      <c r="BO107" s="323"/>
      <c r="BQ107" s="323"/>
      <c r="BS107" s="323"/>
      <c r="BU107" s="323"/>
      <c r="BW107" s="323"/>
      <c r="BY107" s="323"/>
      <c r="CA107" s="323"/>
      <c r="CC107" s="323"/>
      <c r="CE107" s="323"/>
      <c r="CG107" s="323"/>
      <c r="CI107" s="323"/>
      <c r="CK107" s="323"/>
      <c r="CM107" s="323"/>
      <c r="CO107" s="323"/>
      <c r="CQ107" s="323"/>
      <c r="CS107" s="323"/>
      <c r="CU107" s="323"/>
      <c r="CW107" s="323"/>
      <c r="CY107" s="323"/>
      <c r="DA107" s="323"/>
      <c r="DC107" s="323"/>
      <c r="DE107" s="323"/>
      <c r="DG107" s="323"/>
      <c r="DI107" s="323"/>
    </row>
    <row r="108" spans="1:115" ht="12" customHeight="1" x14ac:dyDescent="0.3">
      <c r="A108" s="765"/>
      <c r="C108" s="219"/>
      <c r="D108" s="220"/>
      <c r="E108" s="224"/>
      <c r="F108" s="222"/>
      <c r="G108" s="223"/>
      <c r="H108" s="219"/>
      <c r="J108" s="219"/>
      <c r="K108" s="220"/>
      <c r="L108" s="224"/>
      <c r="M108" s="222"/>
      <c r="N108" s="223"/>
      <c r="O108" s="219"/>
      <c r="V108" s="487" t="s">
        <v>1265</v>
      </c>
      <c r="W108" s="491" t="str">
        <f>VLOOKUP(W104,schedule,12,FALSE)</f>
        <v>2. CSOPORTMÉRKŐZÉS</v>
      </c>
      <c r="X108" s="485" t="str">
        <f>""</f>
        <v/>
      </c>
      <c r="Y108" s="491" t="str">
        <f>VLOOKUP(Y104,schedule,12,FALSE)</f>
        <v>2. CSOPORTMÉRKŐZÉS</v>
      </c>
      <c r="AB108" s="327" t="str">
        <f>IF(C108="öngól",AC103,AB103)</f>
        <v>nevek.06</v>
      </c>
      <c r="AC108" s="327" t="str">
        <f>IF(H108="öngól",AB103,AC103)</f>
        <v>nevek.08</v>
      </c>
      <c r="AD108" s="327" t="str">
        <f>IF(J108="öngól",AE103,AD103)</f>
        <v>nevek.01</v>
      </c>
      <c r="AE108" s="327" t="str">
        <f>IF(O108="öngól",AD103,AE103)</f>
        <v>nevek.03</v>
      </c>
      <c r="AF108" s="325"/>
      <c r="AG108" s="485">
        <v>5</v>
      </c>
      <c r="AH108" s="488" t="b">
        <f ca="1">AND(W106,X107,D108="",AG108&lt;=W112)</f>
        <v>0</v>
      </c>
      <c r="AI108" s="488" t="b">
        <f ca="1">AND(W106,X107,E108="",AG108&lt;=W112)</f>
        <v>0</v>
      </c>
      <c r="AJ108" s="488" t="b">
        <f ca="1">AND(W106,X107,F108="",AG108&lt;=X112)</f>
        <v>0</v>
      </c>
      <c r="AK108" s="488" t="b">
        <f ca="1">AND(W106,X107,G108="",AG108&lt;=X112)</f>
        <v>0</v>
      </c>
      <c r="AL108" s="488" t="b">
        <f ca="1">AND(Y106,Z107,K108="",AG108&lt;=Y112)</f>
        <v>0</v>
      </c>
      <c r="AM108" s="488" t="b">
        <f ca="1">AND(Y106,Z107,L108="",AG108&lt;=Y112)</f>
        <v>0</v>
      </c>
      <c r="AN108" s="488" t="b">
        <f ca="1">AND(Y106,Z107,M108="",AG108&lt;=Z112)</f>
        <v>0</v>
      </c>
      <c r="AO108" s="488" t="b">
        <f ca="1">AND(Y106,Z107,N108="",AG108&lt;=Z112)</f>
        <v>0</v>
      </c>
      <c r="AQ108" s="326" t="str">
        <f>IF(OR(NOT(Góllista!$E$6),D108=""),"",IF(C108="öngól","ö"&amp;G103&amp;D108,D103&amp;D108))</f>
        <v/>
      </c>
      <c r="AR108" s="326" t="str">
        <f>IF(OR(NOT(Góllista!$E$6),G108=""),"",IF(H108="öngól","ö"&amp;D103&amp;G108,G103&amp;G108))</f>
        <v/>
      </c>
      <c r="AS108" s="326" t="str">
        <f>IF(OR(NOT(Góllista!$E$6),K108=""),"",IF(J108="öngól","ö"&amp;N103&amp;K108,K103&amp;K108))</f>
        <v/>
      </c>
      <c r="AT108" s="326" t="str">
        <f>IF(OR(NOT(Góllista!$E$6),N108=""),"",IF(O108="öngól","ö"&amp;K103&amp;N108,N103&amp;N108))</f>
        <v/>
      </c>
      <c r="AY108" s="323"/>
      <c r="BA108" s="323"/>
      <c r="BC108" s="323"/>
      <c r="BE108" s="323"/>
      <c r="BG108" s="323"/>
      <c r="BI108" s="323"/>
      <c r="BK108" s="323"/>
      <c r="BM108" s="323"/>
      <c r="BO108" s="323"/>
      <c r="BQ108" s="323"/>
      <c r="BS108" s="323"/>
      <c r="BU108" s="323"/>
      <c r="BW108" s="323"/>
      <c r="BY108" s="323"/>
      <c r="CA108" s="323"/>
      <c r="CC108" s="323"/>
      <c r="CE108" s="323"/>
      <c r="CG108" s="323"/>
      <c r="CI108" s="323"/>
      <c r="CK108" s="323"/>
      <c r="CM108" s="323"/>
      <c r="CO108" s="323"/>
      <c r="CQ108" s="323"/>
      <c r="CS108" s="323"/>
      <c r="CU108" s="323"/>
      <c r="CW108" s="323"/>
      <c r="CY108" s="323"/>
      <c r="DA108" s="323"/>
      <c r="DC108" s="323"/>
      <c r="DE108" s="323"/>
      <c r="DG108" s="323"/>
      <c r="DI108" s="323"/>
    </row>
    <row r="109" spans="1:115" ht="12" customHeight="1" x14ac:dyDescent="0.3">
      <c r="A109" s="765"/>
      <c r="C109" s="219"/>
      <c r="D109" s="220"/>
      <c r="E109" s="224"/>
      <c r="F109" s="222"/>
      <c r="G109" s="223"/>
      <c r="H109" s="219"/>
      <c r="J109" s="219"/>
      <c r="K109" s="220"/>
      <c r="L109" s="224"/>
      <c r="M109" s="222"/>
      <c r="N109" s="223"/>
      <c r="O109" s="219"/>
      <c r="V109" s="487" t="s">
        <v>1264</v>
      </c>
      <c r="W109" s="327" t="str">
        <f>VLOOKUP(W104,schedule,3,FALSE)</f>
        <v>B</v>
      </c>
      <c r="X109" s="485" t="str">
        <f>""</f>
        <v/>
      </c>
      <c r="Y109" s="327" t="str">
        <f>VLOOKUP(Y104,schedule,3,FALSE)</f>
        <v>A</v>
      </c>
      <c r="AB109" s="327" t="str">
        <f>IF(C109="öngól",AC103,AB103)</f>
        <v>nevek.06</v>
      </c>
      <c r="AC109" s="327" t="str">
        <f>IF(H109="öngól",AB103,AC103)</f>
        <v>nevek.08</v>
      </c>
      <c r="AD109" s="327" t="str">
        <f>IF(J109="öngól",AE103,AD103)</f>
        <v>nevek.01</v>
      </c>
      <c r="AE109" s="327" t="str">
        <f>IF(O109="öngól",AD103,AE103)</f>
        <v>nevek.03</v>
      </c>
      <c r="AF109" s="325"/>
      <c r="AG109" s="485">
        <v>6</v>
      </c>
      <c r="AH109" s="488" t="b">
        <f ca="1">AND(W106,X107,D109="",AG109&lt;=W112)</f>
        <v>0</v>
      </c>
      <c r="AI109" s="488" t="b">
        <f ca="1">AND(W106,X107,E109="",AG109&lt;=W112)</f>
        <v>0</v>
      </c>
      <c r="AJ109" s="488" t="b">
        <f ca="1">AND(W106,X107,F109="",AG109&lt;=X112)</f>
        <v>0</v>
      </c>
      <c r="AK109" s="488" t="b">
        <f ca="1">AND(W106,X107,G109="",AG109&lt;=X112)</f>
        <v>0</v>
      </c>
      <c r="AL109" s="488" t="b">
        <f ca="1">AND(Y106,Z107,K109="",AG109&lt;=Y112)</f>
        <v>0</v>
      </c>
      <c r="AM109" s="488" t="b">
        <f ca="1">AND(Y106,Z107,L109="",AG109&lt;=Y112)</f>
        <v>0</v>
      </c>
      <c r="AN109" s="488" t="b">
        <f ca="1">AND(Y106,Z107,M109="",AG109&lt;=Z112)</f>
        <v>0</v>
      </c>
      <c r="AO109" s="488" t="b">
        <f ca="1">AND(Y106,Z107,N109="",AG109&lt;=Z112)</f>
        <v>0</v>
      </c>
      <c r="AQ109" s="326" t="str">
        <f>IF(OR(NOT(Góllista!$E$6),D109=""),"",IF(C109="öngól","ö"&amp;G103&amp;D109,D103&amp;D109))</f>
        <v/>
      </c>
      <c r="AR109" s="326" t="str">
        <f>IF(OR(NOT(Góllista!$E$6),G109=""),"",IF(H109="öngól","ö"&amp;D103&amp;G109,G103&amp;G109))</f>
        <v/>
      </c>
      <c r="AS109" s="326" t="str">
        <f>IF(OR(NOT(Góllista!$E$6),K109=""),"",IF(J109="öngól","ö"&amp;N103&amp;K109,K103&amp;K109))</f>
        <v/>
      </c>
      <c r="AT109" s="326" t="str">
        <f>IF(OR(NOT(Góllista!$E$6),N109=""),"",IF(O109="öngól","ö"&amp;K103&amp;N109,N103&amp;N109))</f>
        <v/>
      </c>
      <c r="AY109" s="323"/>
      <c r="BA109" s="323"/>
      <c r="BC109" s="323"/>
      <c r="BE109" s="323"/>
      <c r="BG109" s="323"/>
      <c r="BI109" s="323"/>
      <c r="BK109" s="323"/>
      <c r="BM109" s="323"/>
      <c r="BO109" s="323"/>
      <c r="BQ109" s="323"/>
      <c r="BS109" s="323"/>
      <c r="BU109" s="323"/>
      <c r="BW109" s="323"/>
      <c r="BY109" s="323"/>
      <c r="CA109" s="323"/>
      <c r="CC109" s="323"/>
      <c r="CE109" s="323"/>
      <c r="CG109" s="323"/>
      <c r="CI109" s="323"/>
      <c r="CK109" s="323"/>
      <c r="CM109" s="323"/>
      <c r="CO109" s="323"/>
      <c r="CQ109" s="323"/>
      <c r="CS109" s="323"/>
      <c r="CU109" s="323"/>
      <c r="CW109" s="323"/>
      <c r="CY109" s="323"/>
      <c r="DA109" s="323"/>
      <c r="DC109" s="323"/>
      <c r="DE109" s="323"/>
      <c r="DG109" s="323"/>
      <c r="DI109" s="323"/>
    </row>
    <row r="110" spans="1:115" ht="12" customHeight="1" x14ac:dyDescent="0.3">
      <c r="A110" s="765"/>
      <c r="C110" s="219"/>
      <c r="D110" s="220"/>
      <c r="E110" s="224"/>
      <c r="F110" s="222"/>
      <c r="G110" s="223"/>
      <c r="H110" s="219"/>
      <c r="J110" s="219"/>
      <c r="K110" s="220"/>
      <c r="L110" s="224"/>
      <c r="M110" s="222"/>
      <c r="N110" s="223"/>
      <c r="O110" s="219"/>
      <c r="V110" s="485" t="s">
        <v>707</v>
      </c>
      <c r="W110" s="327">
        <f>IF(NOT(W106),0,E103-9+COUNTBLANK(D104:D112))</f>
        <v>0</v>
      </c>
      <c r="X110" s="327">
        <f>IF(NOT(W106),0,F103-9+COUNTBLANK(G104:G112))</f>
        <v>0</v>
      </c>
      <c r="Y110" s="327">
        <f>IF(NOT(Y106),0,L103-9+COUNTBLANK(K104:K112))</f>
        <v>0</v>
      </c>
      <c r="Z110" s="327">
        <f>IF(NOT(Y106),0,M103-9+COUNTBLANK(N104:N112))</f>
        <v>0</v>
      </c>
      <c r="AB110" s="327" t="str">
        <f>IF(C110="öngól",AC103,AB103)</f>
        <v>nevek.06</v>
      </c>
      <c r="AC110" s="327" t="str">
        <f>IF(H110="öngól",AB103,AC103)</f>
        <v>nevek.08</v>
      </c>
      <c r="AD110" s="327" t="str">
        <f>IF(J110="öngól",AE103,AD103)</f>
        <v>nevek.01</v>
      </c>
      <c r="AE110" s="327" t="str">
        <f>IF(O110="öngól",AD103,AE103)</f>
        <v>nevek.03</v>
      </c>
      <c r="AF110" s="325"/>
      <c r="AG110" s="485">
        <v>7</v>
      </c>
      <c r="AH110" s="488" t="b">
        <f ca="1">AND(W106,X107,D110="",AG110&lt;=W112)</f>
        <v>0</v>
      </c>
      <c r="AI110" s="488" t="b">
        <f ca="1">AND(W106,X107,E110="",AG110&lt;=W112)</f>
        <v>0</v>
      </c>
      <c r="AJ110" s="488" t="b">
        <f ca="1">AND(W106,X107,F110="",AG110&lt;=X112)</f>
        <v>0</v>
      </c>
      <c r="AK110" s="488" t="b">
        <f ca="1">AND(W106,X107,G110="",AG110&lt;=X112)</f>
        <v>0</v>
      </c>
      <c r="AL110" s="488" t="b">
        <f ca="1">AND(Y106,Z107,K110="",AG110&lt;=Y112)</f>
        <v>0</v>
      </c>
      <c r="AM110" s="488" t="b">
        <f ca="1">AND(Y106,Z107,L110="",AG110&lt;=Y112)</f>
        <v>0</v>
      </c>
      <c r="AN110" s="488" t="b">
        <f ca="1">AND(Y106,Z107,M110="",AG110&lt;=Z112)</f>
        <v>0</v>
      </c>
      <c r="AO110" s="488" t="b">
        <f ca="1">AND(Y106,Z107,N110="",AG110&lt;=Z112)</f>
        <v>0</v>
      </c>
      <c r="AQ110" s="326" t="str">
        <f>IF(OR(NOT(Góllista!$E$6),D110=""),"",IF(C110="öngól","ö"&amp;G103&amp;D110,D103&amp;D110))</f>
        <v/>
      </c>
      <c r="AR110" s="326" t="str">
        <f>IF(OR(NOT(Góllista!$E$6),G110=""),"",IF(H110="öngól","ö"&amp;D103&amp;G110,G103&amp;G110))</f>
        <v/>
      </c>
      <c r="AS110" s="326" t="str">
        <f>IF(OR(NOT(Góllista!$E$6),K110=""),"",IF(J110="öngól","ö"&amp;N103&amp;K110,K103&amp;K110))</f>
        <v/>
      </c>
      <c r="AT110" s="326" t="str">
        <f>IF(OR(NOT(Góllista!$E$6),N110=""),"",IF(O110="öngól","ö"&amp;K103&amp;N110,N103&amp;N110))</f>
        <v/>
      </c>
      <c r="AY110" s="323"/>
      <c r="BA110" s="323"/>
      <c r="BC110" s="323"/>
      <c r="BE110" s="323"/>
      <c r="BG110" s="323"/>
      <c r="BI110" s="323"/>
      <c r="BK110" s="323"/>
      <c r="BM110" s="323"/>
      <c r="BO110" s="323"/>
      <c r="BQ110" s="323"/>
      <c r="BS110" s="323"/>
      <c r="BU110" s="323"/>
      <c r="BW110" s="323"/>
      <c r="BY110" s="323"/>
      <c r="CA110" s="323"/>
      <c r="CC110" s="323"/>
      <c r="CE110" s="323"/>
      <c r="CG110" s="323"/>
      <c r="CI110" s="323"/>
      <c r="CK110" s="323"/>
      <c r="CM110" s="323"/>
      <c r="CO110" s="323"/>
      <c r="CQ110" s="323"/>
      <c r="CS110" s="323"/>
      <c r="CU110" s="323"/>
      <c r="CW110" s="323"/>
      <c r="CY110" s="323"/>
      <c r="DA110" s="323"/>
      <c r="DC110" s="323"/>
      <c r="DE110" s="323"/>
      <c r="DG110" s="323"/>
      <c r="DI110" s="323"/>
    </row>
    <row r="111" spans="1:115" ht="12" customHeight="1" x14ac:dyDescent="0.3">
      <c r="A111" s="765"/>
      <c r="C111" s="219"/>
      <c r="D111" s="220"/>
      <c r="E111" s="224"/>
      <c r="F111" s="222"/>
      <c r="G111" s="223"/>
      <c r="H111" s="219"/>
      <c r="J111" s="219"/>
      <c r="K111" s="220"/>
      <c r="L111" s="224"/>
      <c r="M111" s="222"/>
      <c r="N111" s="223"/>
      <c r="O111" s="219"/>
      <c r="V111" s="485" t="s">
        <v>708</v>
      </c>
      <c r="W111" s="411" t="str">
        <f>VLOOKUP(W104,schedule,8,FALSE)</f>
        <v>Finnország</v>
      </c>
      <c r="X111" s="411" t="str">
        <f>VLOOKUP(W104,schedule,9,FALSE)</f>
        <v>Oroszország</v>
      </c>
      <c r="Y111" s="411" t="str">
        <f>VLOOKUP(Y104,schedule,8,FALSE)</f>
        <v>Törökország</v>
      </c>
      <c r="Z111" s="491" t="str">
        <f>VLOOKUP(Y104,schedule,9,FALSE)</f>
        <v>Wales</v>
      </c>
      <c r="AB111" s="327" t="str">
        <f>IF(C111="öngól",AC103,AB103)</f>
        <v>nevek.06</v>
      </c>
      <c r="AC111" s="327" t="str">
        <f>IF(H111="öngól",AB103,AC103)</f>
        <v>nevek.08</v>
      </c>
      <c r="AD111" s="327" t="str">
        <f>IF(J111="öngól",AE103,AD103)</f>
        <v>nevek.01</v>
      </c>
      <c r="AE111" s="327" t="str">
        <f>IF(O111="öngól",AD103,AE103)</f>
        <v>nevek.03</v>
      </c>
      <c r="AF111" s="325"/>
      <c r="AG111" s="485">
        <v>8</v>
      </c>
      <c r="AH111" s="488" t="b">
        <f ca="1">AND(W106,X107,D111="",AG111&lt;=W112)</f>
        <v>0</v>
      </c>
      <c r="AI111" s="488" t="b">
        <f ca="1">AND(W106,X107,E111="",AG111&lt;=W112)</f>
        <v>0</v>
      </c>
      <c r="AJ111" s="488" t="b">
        <f ca="1">AND(W106,X107,F111="",AG111&lt;=X112)</f>
        <v>0</v>
      </c>
      <c r="AK111" s="488" t="b">
        <f ca="1">AND(W106,X107,G111="",AG111&lt;=X112)</f>
        <v>0</v>
      </c>
      <c r="AL111" s="488" t="b">
        <f ca="1">AND(Y106,Z107,K111="",AG111&lt;=Y112)</f>
        <v>0</v>
      </c>
      <c r="AM111" s="488" t="b">
        <f ca="1">AND(Y106,Z107,L111="",AG111&lt;=Y112)</f>
        <v>0</v>
      </c>
      <c r="AN111" s="488" t="b">
        <f ca="1">AND(Y106,Z107,M111="",AG111&lt;=Z112)</f>
        <v>0</v>
      </c>
      <c r="AO111" s="488" t="b">
        <f ca="1">AND(Y106,Z107,N111="",AG111&lt;=Z112)</f>
        <v>0</v>
      </c>
      <c r="AQ111" s="326" t="str">
        <f>IF(OR(NOT(Góllista!$E$6),D111=""),"",IF(C111="öngól","ö"&amp;G103&amp;D111,D103&amp;D111))</f>
        <v/>
      </c>
      <c r="AR111" s="326" t="str">
        <f>IF(OR(NOT(Góllista!$E$6),G111=""),"",IF(H111="öngól","ö"&amp;D103&amp;G111,G103&amp;G111))</f>
        <v/>
      </c>
      <c r="AS111" s="326" t="str">
        <f>IF(OR(NOT(Góllista!$E$6),K111=""),"",IF(J111="öngól","ö"&amp;N103&amp;K111,K103&amp;K111))</f>
        <v/>
      </c>
      <c r="AT111" s="326" t="str">
        <f>IF(OR(NOT(Góllista!$E$6),N111=""),"",IF(O111="öngól","ö"&amp;K103&amp;N111,N103&amp;N111))</f>
        <v/>
      </c>
      <c r="AY111" s="323"/>
      <c r="BA111" s="323"/>
      <c r="BC111" s="323"/>
      <c r="BE111" s="323"/>
      <c r="BG111" s="323"/>
      <c r="BI111" s="323"/>
      <c r="BK111" s="323"/>
      <c r="BM111" s="323"/>
      <c r="BO111" s="323"/>
      <c r="BQ111" s="323"/>
      <c r="BS111" s="323"/>
      <c r="BU111" s="323"/>
      <c r="BW111" s="323"/>
      <c r="BY111" s="323"/>
      <c r="CA111" s="323"/>
      <c r="CC111" s="323"/>
      <c r="CE111" s="323"/>
      <c r="CG111" s="323"/>
      <c r="CI111" s="323"/>
      <c r="CK111" s="323"/>
      <c r="CM111" s="323"/>
      <c r="CO111" s="323"/>
      <c r="CQ111" s="323"/>
      <c r="CS111" s="323"/>
      <c r="CU111" s="323"/>
      <c r="CW111" s="323"/>
      <c r="CY111" s="323"/>
      <c r="DA111" s="323"/>
      <c r="DC111" s="323"/>
      <c r="DE111" s="323"/>
      <c r="DG111" s="323"/>
      <c r="DI111" s="323"/>
    </row>
    <row r="112" spans="1:115" ht="12" customHeight="1" x14ac:dyDescent="0.3">
      <c r="A112" s="765"/>
      <c r="C112" s="219"/>
      <c r="D112" s="220"/>
      <c r="E112" s="225"/>
      <c r="F112" s="222"/>
      <c r="G112" s="223"/>
      <c r="H112" s="219"/>
      <c r="J112" s="219"/>
      <c r="K112" s="220"/>
      <c r="L112" s="225"/>
      <c r="M112" s="222"/>
      <c r="N112" s="223"/>
      <c r="O112" s="219"/>
      <c r="V112" s="485" t="s">
        <v>709</v>
      </c>
      <c r="W112" s="492" t="str">
        <f>INDEX(n.er,W105,9)</f>
        <v/>
      </c>
      <c r="X112" s="493" t="str">
        <f>INDEX(n.er,W105,10)</f>
        <v/>
      </c>
      <c r="Y112" s="492" t="str">
        <f>INDEX(n.er,Y105,9)</f>
        <v/>
      </c>
      <c r="Z112" s="493" t="str">
        <f>INDEX(n.er,Y105,10)</f>
        <v/>
      </c>
      <c r="AB112" s="327" t="str">
        <f>IF(C112="öngól",AC103,AB103)</f>
        <v>nevek.06</v>
      </c>
      <c r="AC112" s="327" t="str">
        <f>IF(H112="öngól",AB103,AC103)</f>
        <v>nevek.08</v>
      </c>
      <c r="AD112" s="327" t="str">
        <f>IF(J112="öngól",AE103,AD103)</f>
        <v>nevek.01</v>
      </c>
      <c r="AE112" s="327" t="str">
        <f>IF(O112="öngól",AD103,AE103)</f>
        <v>nevek.03</v>
      </c>
      <c r="AF112" s="325"/>
      <c r="AG112" s="485">
        <v>9</v>
      </c>
      <c r="AH112" s="488" t="b">
        <f ca="1">AND(W106,X107,D112="",AG112&lt;=W112)</f>
        <v>0</v>
      </c>
      <c r="AI112" s="488" t="b">
        <f ca="1">AND(W106,X107,E112="",AG112&lt;=W112)</f>
        <v>0</v>
      </c>
      <c r="AJ112" s="488" t="b">
        <f ca="1">AND(W106,X107,F112="",AG112&lt;=X112)</f>
        <v>0</v>
      </c>
      <c r="AK112" s="488" t="b">
        <f ca="1">AND(W106,X107,G112="",AG112&lt;=X112)</f>
        <v>0</v>
      </c>
      <c r="AL112" s="488" t="b">
        <f ca="1">AND(Y106,Z107,K112="",AG112&lt;=Y112)</f>
        <v>0</v>
      </c>
      <c r="AM112" s="488" t="b">
        <f ca="1">AND(Y106,Z107,L112="",AG112&lt;=Y112)</f>
        <v>0</v>
      </c>
      <c r="AN112" s="488" t="b">
        <f ca="1">AND(Y106,Z107,M112="",AG112&lt;=Z112)</f>
        <v>0</v>
      </c>
      <c r="AO112" s="488" t="b">
        <f ca="1">AND(Y106,Z107,N112="",AG112&lt;=Z112)</f>
        <v>0</v>
      </c>
      <c r="AQ112" s="326" t="str">
        <f>IF(OR(NOT(Góllista!$E$6),D112=""),"",IF(C112="öngól","ö"&amp;G103&amp;D112,D103&amp;D112))</f>
        <v/>
      </c>
      <c r="AR112" s="326" t="str">
        <f>IF(OR(NOT(Góllista!$E$6),G112=""),"",IF(H112="öngól","ö"&amp;D103&amp;G112,G103&amp;G112))</f>
        <v/>
      </c>
      <c r="AS112" s="326" t="str">
        <f>IF(OR(NOT(Góllista!$E$6),K112=""),"",IF(J112="öngól","ö"&amp;N103&amp;K112,K103&amp;K112))</f>
        <v/>
      </c>
      <c r="AT112" s="326" t="str">
        <f>IF(OR(NOT(Góllista!$E$6),N112=""),"",IF(O112="öngól","ö"&amp;K103&amp;N112,N103&amp;N112))</f>
        <v/>
      </c>
      <c r="AY112" s="323"/>
      <c r="BA112" s="323"/>
      <c r="BC112" s="323"/>
      <c r="BE112" s="323"/>
      <c r="BG112" s="323"/>
      <c r="BI112" s="323"/>
      <c r="BK112" s="323"/>
      <c r="BM112" s="323"/>
      <c r="BO112" s="323"/>
      <c r="BQ112" s="323"/>
      <c r="BS112" s="323"/>
      <c r="BU112" s="323"/>
      <c r="BW112" s="323"/>
      <c r="BY112" s="323"/>
      <c r="CA112" s="323"/>
      <c r="CC112" s="323"/>
      <c r="CE112" s="323"/>
      <c r="CG112" s="323"/>
      <c r="CI112" s="323"/>
      <c r="CK112" s="323"/>
      <c r="CM112" s="323"/>
      <c r="CO112" s="323"/>
      <c r="CQ112" s="323"/>
      <c r="CS112" s="323"/>
      <c r="CU112" s="323"/>
      <c r="CW112" s="323"/>
      <c r="CY112" s="323"/>
      <c r="DA112" s="323"/>
      <c r="DC112" s="323"/>
      <c r="DE112" s="323"/>
      <c r="DG112" s="323"/>
      <c r="DI112" s="323"/>
    </row>
    <row r="113" spans="1:115" ht="12" customHeight="1" x14ac:dyDescent="0.3">
      <c r="A113" s="765"/>
      <c r="C113" s="768"/>
      <c r="D113" s="768"/>
      <c r="E113" s="768"/>
      <c r="F113" s="768"/>
      <c r="G113" s="768"/>
      <c r="H113" s="768"/>
      <c r="J113" s="768"/>
      <c r="K113" s="768"/>
      <c r="L113" s="768"/>
      <c r="M113" s="768"/>
      <c r="N113" s="768"/>
      <c r="O113" s="768"/>
      <c r="AY113" s="323"/>
      <c r="BA113" s="323"/>
      <c r="BC113" s="323"/>
      <c r="BE113" s="323"/>
      <c r="BG113" s="323"/>
      <c r="BI113" s="323"/>
      <c r="BK113" s="323"/>
      <c r="BM113" s="323"/>
      <c r="BO113" s="323"/>
      <c r="BQ113" s="323"/>
      <c r="BS113" s="323"/>
      <c r="BU113" s="323"/>
      <c r="BW113" s="323"/>
      <c r="BY113" s="323"/>
      <c r="CA113" s="323"/>
      <c r="CC113" s="323"/>
      <c r="CE113" s="323"/>
      <c r="CG113" s="323"/>
      <c r="CI113" s="323"/>
      <c r="CK113" s="323"/>
      <c r="CM113" s="323"/>
      <c r="CO113" s="323"/>
      <c r="CQ113" s="323"/>
      <c r="CS113" s="323"/>
      <c r="CU113" s="323"/>
      <c r="CW113" s="323"/>
      <c r="CY113" s="323"/>
      <c r="DA113" s="323"/>
      <c r="DC113" s="323"/>
      <c r="DE113" s="323"/>
      <c r="DG113" s="323"/>
      <c r="DI113" s="323"/>
    </row>
    <row r="114" spans="1:115" ht="12" hidden="1" customHeight="1" x14ac:dyDescent="0.3">
      <c r="A114" s="765"/>
      <c r="C114" s="767"/>
      <c r="D114" s="767"/>
      <c r="E114" s="767"/>
      <c r="F114" s="767"/>
      <c r="G114" s="767"/>
      <c r="H114" s="767"/>
      <c r="J114" s="767"/>
      <c r="K114" s="767"/>
      <c r="L114" s="767"/>
      <c r="M114" s="767"/>
      <c r="N114" s="767"/>
      <c r="O114" s="767"/>
      <c r="AY114" s="323"/>
      <c r="BA114" s="323"/>
      <c r="BC114" s="323"/>
      <c r="BE114" s="323"/>
      <c r="BG114" s="323"/>
      <c r="BI114" s="323"/>
      <c r="BK114" s="323"/>
      <c r="BM114" s="323"/>
      <c r="BO114" s="323"/>
      <c r="BQ114" s="323"/>
      <c r="BS114" s="323"/>
      <c r="BU114" s="323"/>
      <c r="BW114" s="323"/>
      <c r="BY114" s="323"/>
      <c r="CA114" s="323"/>
      <c r="CC114" s="323"/>
      <c r="CE114" s="323"/>
      <c r="CG114" s="323"/>
      <c r="CI114" s="323"/>
      <c r="CK114" s="323"/>
      <c r="CM114" s="323"/>
      <c r="CO114" s="323"/>
      <c r="CQ114" s="323"/>
      <c r="CS114" s="323"/>
      <c r="CU114" s="323"/>
      <c r="CW114" s="323"/>
      <c r="CY114" s="323"/>
      <c r="DA114" s="323"/>
      <c r="DC114" s="323"/>
      <c r="DE114" s="323"/>
      <c r="DG114" s="323"/>
      <c r="DI114" s="323"/>
    </row>
    <row r="115" spans="1:115" ht="12" hidden="1" customHeight="1" x14ac:dyDescent="0.3">
      <c r="A115" s="765"/>
      <c r="C115" s="767"/>
      <c r="D115" s="767"/>
      <c r="E115" s="767"/>
      <c r="F115" s="767"/>
      <c r="G115" s="767"/>
      <c r="H115" s="767"/>
      <c r="J115" s="767"/>
      <c r="K115" s="767"/>
      <c r="L115" s="767"/>
      <c r="M115" s="767"/>
      <c r="N115" s="767"/>
      <c r="O115" s="767"/>
      <c r="AY115" s="323"/>
      <c r="BA115" s="323"/>
      <c r="BC115" s="323"/>
      <c r="BE115" s="323"/>
      <c r="BG115" s="323"/>
      <c r="BI115" s="323"/>
      <c r="BK115" s="323"/>
      <c r="BM115" s="323"/>
      <c r="BO115" s="323"/>
      <c r="BQ115" s="323"/>
      <c r="BS115" s="323"/>
      <c r="BU115" s="323"/>
      <c r="BW115" s="323"/>
      <c r="BY115" s="323"/>
      <c r="CA115" s="323"/>
      <c r="CC115" s="323"/>
      <c r="CE115" s="323"/>
      <c r="CG115" s="323"/>
      <c r="CI115" s="323"/>
      <c r="CK115" s="323"/>
      <c r="CM115" s="323"/>
      <c r="CO115" s="323"/>
      <c r="CQ115" s="323"/>
      <c r="CS115" s="323"/>
      <c r="CU115" s="323"/>
      <c r="CW115" s="323"/>
      <c r="CY115" s="323"/>
      <c r="DA115" s="323"/>
      <c r="DC115" s="323"/>
      <c r="DE115" s="323"/>
      <c r="DG115" s="323"/>
      <c r="DI115" s="323"/>
    </row>
    <row r="116" spans="1:115" ht="10.5" customHeight="1" x14ac:dyDescent="0.3">
      <c r="A116" s="765"/>
      <c r="AY116" s="323"/>
      <c r="BA116" s="323"/>
      <c r="BC116" s="323"/>
      <c r="BE116" s="323"/>
      <c r="BG116" s="323"/>
      <c r="BI116" s="323"/>
      <c r="BK116" s="323"/>
      <c r="BM116" s="323"/>
      <c r="BO116" s="323"/>
      <c r="BQ116" s="323"/>
      <c r="BS116" s="323"/>
      <c r="BU116" s="323"/>
      <c r="BW116" s="323"/>
      <c r="BY116" s="323"/>
      <c r="CA116" s="323"/>
      <c r="CC116" s="323"/>
      <c r="CE116" s="323"/>
      <c r="CG116" s="323"/>
      <c r="CI116" s="323"/>
      <c r="CK116" s="323"/>
      <c r="CM116" s="323"/>
      <c r="CO116" s="323"/>
      <c r="CQ116" s="323"/>
      <c r="CS116" s="323"/>
      <c r="CU116" s="323"/>
      <c r="CW116" s="323"/>
      <c r="CY116" s="323"/>
      <c r="DA116" s="323"/>
      <c r="DC116" s="323"/>
      <c r="DE116" s="323"/>
      <c r="DG116" s="323"/>
      <c r="DI116" s="323"/>
    </row>
    <row r="117" spans="1:115" ht="6" customHeight="1" x14ac:dyDescent="0.3">
      <c r="A117" s="765"/>
      <c r="AQ117" s="323"/>
      <c r="AR117" s="323"/>
      <c r="AS117" s="323"/>
      <c r="AT117" s="323"/>
      <c r="AY117" s="323"/>
      <c r="BA117" s="323"/>
      <c r="BC117" s="323"/>
      <c r="BE117" s="323"/>
      <c r="BG117" s="323"/>
      <c r="BI117" s="323"/>
      <c r="BK117" s="323"/>
      <c r="BM117" s="323"/>
      <c r="BO117" s="323"/>
      <c r="BQ117" s="323"/>
      <c r="BS117" s="323"/>
      <c r="BU117" s="323"/>
      <c r="BW117" s="323"/>
      <c r="BY117" s="323"/>
      <c r="CA117" s="323"/>
      <c r="CC117" s="323"/>
      <c r="CE117" s="323"/>
      <c r="CG117" s="323"/>
      <c r="CI117" s="323"/>
      <c r="CK117" s="323"/>
      <c r="CM117" s="323"/>
      <c r="CO117" s="323"/>
      <c r="CQ117" s="323"/>
      <c r="CS117" s="323"/>
      <c r="CU117" s="323"/>
      <c r="CW117" s="323"/>
      <c r="CY117" s="323"/>
      <c r="DA117" s="323"/>
      <c r="DC117" s="323"/>
      <c r="DE117" s="323"/>
      <c r="DG117" s="323"/>
      <c r="DI117" s="323"/>
    </row>
    <row r="118" spans="1:115" ht="12" customHeight="1" x14ac:dyDescent="0.3">
      <c r="A118" s="765"/>
      <c r="C118" s="247" t="str">
        <f>W123</f>
        <v>JÚNIUS 16. – SZERDA 21:00</v>
      </c>
      <c r="D118" s="227"/>
      <c r="E118" s="228"/>
      <c r="F118" s="229"/>
      <c r="G118" s="230"/>
      <c r="H118" s="231" t="str">
        <f>W124</f>
        <v>2. CSOPORTMÉRKŐZÉS</v>
      </c>
      <c r="I118" s="138"/>
      <c r="J118" s="246" t="str">
        <f>Y123</f>
        <v>JÚNIUS 17. – CSÜTÖRTÖK 15:00</v>
      </c>
      <c r="K118" s="227"/>
      <c r="L118" s="228"/>
      <c r="M118" s="229"/>
      <c r="N118" s="230"/>
      <c r="O118" s="226" t="str">
        <f>Y124</f>
        <v>2. CSOPORTMÉRKŐZÉS</v>
      </c>
      <c r="AQ118" s="323"/>
      <c r="AR118" s="323"/>
      <c r="AS118" s="323"/>
      <c r="AT118" s="323"/>
      <c r="AY118" s="323"/>
      <c r="BA118" s="323"/>
      <c r="BC118" s="323"/>
      <c r="BE118" s="323"/>
      <c r="BG118" s="323"/>
      <c r="BI118" s="323"/>
      <c r="BK118" s="323"/>
      <c r="BM118" s="323"/>
      <c r="BO118" s="323"/>
      <c r="BQ118" s="323"/>
      <c r="BS118" s="323"/>
      <c r="BU118" s="323"/>
      <c r="BW118" s="323"/>
      <c r="BY118" s="323"/>
      <c r="CA118" s="323"/>
      <c r="CC118" s="323"/>
      <c r="CE118" s="323"/>
      <c r="CG118" s="323"/>
      <c r="CI118" s="323"/>
      <c r="CK118" s="323"/>
      <c r="CM118" s="323"/>
      <c r="CO118" s="323"/>
      <c r="CQ118" s="323"/>
      <c r="CS118" s="323"/>
      <c r="CU118" s="323"/>
      <c r="CW118" s="323"/>
      <c r="CY118" s="323"/>
      <c r="DA118" s="323"/>
      <c r="DC118" s="323"/>
      <c r="DE118" s="323"/>
      <c r="DG118" s="323"/>
      <c r="DI118" s="323"/>
    </row>
    <row r="119" spans="1:115" s="138" customFormat="1" ht="14.25" customHeight="1" x14ac:dyDescent="0.3">
      <c r="A119" s="765"/>
      <c r="B119" s="137"/>
      <c r="C119" s="233" t="str">
        <f>IF(W126=0,"",IF(W126&gt;0,CONCATENATE("még ",W126," gól"),CONCATENATE("túl sok (",W126," gól)")))</f>
        <v/>
      </c>
      <c r="D119" s="714" t="str">
        <f>W127</f>
        <v>Olaszország</v>
      </c>
      <c r="E119" s="716" t="str">
        <f>W128</f>
        <v/>
      </c>
      <c r="F119" s="717" t="str">
        <f>X128</f>
        <v/>
      </c>
      <c r="G119" s="715" t="str">
        <f>X127</f>
        <v>Svájc</v>
      </c>
      <c r="H119" s="232" t="str">
        <f>IF(X126=0,"",IF(X126&gt;0,CONCATENATE("még ",X126," gól"),CONCATENATE("túl sok (",X126," gól)")))</f>
        <v/>
      </c>
      <c r="I119" s="127"/>
      <c r="J119" s="233" t="str">
        <f>IF(Y126=0,"",IF(Y126&gt;0,CONCATENATE("még ",Y126," gól"),CONCATENATE("túl sok (",Y126," gól)")))</f>
        <v/>
      </c>
      <c r="K119" s="714" t="str">
        <f>Y127</f>
        <v>Ukrajna</v>
      </c>
      <c r="L119" s="716" t="str">
        <f>Y128</f>
        <v/>
      </c>
      <c r="M119" s="717" t="str">
        <f>Z128</f>
        <v/>
      </c>
      <c r="N119" s="715" t="str">
        <f>Z127</f>
        <v>Észak-Macedónia</v>
      </c>
      <c r="O119" s="232" t="str">
        <f>IF(Z126=0,"",IF(Z126&gt;0,CONCATENATE("még ",Z126," gól"),CONCATENATE("túl sok (",Z126," gól)")))</f>
        <v/>
      </c>
      <c r="P119" s="139"/>
      <c r="Q119" s="140"/>
      <c r="R119" s="141"/>
      <c r="S119" s="141"/>
      <c r="T119" s="484"/>
      <c r="U119" s="485"/>
      <c r="V119" s="485"/>
      <c r="W119" s="485"/>
      <c r="X119" s="485"/>
      <c r="Y119" s="485"/>
      <c r="Z119" s="485"/>
      <c r="AA119" s="485"/>
      <c r="AB119" s="242" t="str">
        <f>HLOOKUP(D119,nevek.li,2,FALSE)</f>
        <v>nevek.02</v>
      </c>
      <c r="AC119" s="242" t="str">
        <f>HLOOKUP(G119,nevek.li,2,FALSE)</f>
        <v>nevek.04</v>
      </c>
      <c r="AD119" s="242" t="str">
        <f>HLOOKUP(K119,nevek.li,2,FALSE)</f>
        <v>nevek.10</v>
      </c>
      <c r="AE119" s="242" t="str">
        <f>HLOOKUP(N119,nevek.li,2,FALSE)</f>
        <v>nevek.12</v>
      </c>
      <c r="AF119" s="485"/>
      <c r="AG119" s="485"/>
      <c r="AH119" s="485"/>
      <c r="AI119" s="485"/>
      <c r="AJ119" s="485"/>
      <c r="AK119" s="485"/>
      <c r="AL119" s="485"/>
      <c r="AM119" s="485"/>
      <c r="AN119" s="485"/>
      <c r="AO119" s="485"/>
      <c r="AP119" s="485"/>
      <c r="AQ119" s="485"/>
      <c r="AR119" s="485"/>
      <c r="AS119" s="485"/>
      <c r="AT119" s="485"/>
      <c r="AU119" s="485"/>
      <c r="AV119" s="500"/>
      <c r="AW119" s="323"/>
      <c r="AX119" s="323"/>
      <c r="AY119" s="323"/>
      <c r="AZ119" s="323"/>
      <c r="BA119" s="323"/>
      <c r="BB119" s="323"/>
      <c r="BC119" s="323"/>
      <c r="BD119" s="323"/>
      <c r="BE119" s="323"/>
      <c r="BF119" s="323"/>
      <c r="BG119" s="323"/>
      <c r="BH119" s="323"/>
      <c r="BI119" s="323"/>
      <c r="BJ119" s="323"/>
      <c r="BK119" s="323"/>
      <c r="BL119" s="323"/>
      <c r="BM119" s="323"/>
      <c r="BN119" s="323"/>
      <c r="BO119" s="323"/>
      <c r="BP119" s="323"/>
      <c r="BQ119" s="323"/>
      <c r="BR119" s="323"/>
      <c r="BS119" s="323"/>
      <c r="BT119" s="323"/>
      <c r="BU119" s="323"/>
      <c r="BV119" s="323"/>
      <c r="BW119" s="323"/>
      <c r="BX119" s="323"/>
      <c r="BY119" s="323"/>
      <c r="BZ119" s="323"/>
      <c r="CA119" s="323"/>
      <c r="CB119" s="323"/>
      <c r="CC119" s="323"/>
      <c r="CD119" s="323"/>
      <c r="CE119" s="323"/>
      <c r="CF119" s="323"/>
      <c r="CG119" s="323"/>
      <c r="CH119" s="323"/>
      <c r="CI119" s="323"/>
      <c r="CJ119" s="323"/>
      <c r="CK119" s="323"/>
      <c r="CL119" s="323"/>
      <c r="CM119" s="323"/>
      <c r="CN119" s="323"/>
      <c r="CO119" s="323"/>
      <c r="CP119" s="323"/>
      <c r="CQ119" s="323"/>
      <c r="CR119" s="323"/>
      <c r="CS119" s="323"/>
      <c r="CT119" s="323"/>
      <c r="CU119" s="323"/>
      <c r="CV119" s="323"/>
      <c r="CW119" s="323"/>
      <c r="CX119" s="323"/>
      <c r="CY119" s="323"/>
      <c r="CZ119" s="323"/>
      <c r="DA119" s="323"/>
      <c r="DB119" s="323"/>
      <c r="DC119" s="323"/>
      <c r="DD119" s="323"/>
      <c r="DE119" s="323"/>
      <c r="DF119" s="323"/>
      <c r="DG119" s="323"/>
      <c r="DH119" s="323"/>
      <c r="DI119" s="323"/>
      <c r="DJ119" s="323"/>
      <c r="DK119" s="500"/>
    </row>
    <row r="120" spans="1:115" ht="12" customHeight="1" x14ac:dyDescent="0.3">
      <c r="A120" s="765"/>
      <c r="C120" s="218"/>
      <c r="D120" s="220"/>
      <c r="E120" s="221"/>
      <c r="F120" s="222"/>
      <c r="G120" s="223"/>
      <c r="H120" s="218"/>
      <c r="J120" s="218"/>
      <c r="K120" s="220"/>
      <c r="L120" s="221"/>
      <c r="M120" s="222"/>
      <c r="N120" s="223"/>
      <c r="O120" s="218"/>
      <c r="V120" s="487" t="s">
        <v>706</v>
      </c>
      <c r="W120" s="242">
        <v>15</v>
      </c>
      <c r="X120" s="485" t="str">
        <f>""</f>
        <v/>
      </c>
      <c r="Y120" s="242">
        <v>16</v>
      </c>
      <c r="AB120" s="327" t="str">
        <f>IF(C120="öngól",AC119,AB119)</f>
        <v>nevek.02</v>
      </c>
      <c r="AC120" s="327" t="str">
        <f>IF(H120="öngól",AB119,AC119)</f>
        <v>nevek.04</v>
      </c>
      <c r="AD120" s="327" t="str">
        <f>IF(J120="öngól",AE119,AD119)</f>
        <v>nevek.10</v>
      </c>
      <c r="AE120" s="327" t="str">
        <f>IF(O120="öngól",AD119,AE119)</f>
        <v>nevek.12</v>
      </c>
      <c r="AF120" s="325"/>
      <c r="AG120" s="485">
        <v>1</v>
      </c>
      <c r="AH120" s="488" t="b">
        <f ca="1">AND(W122,X123,D120="",AG120&lt;=W128)</f>
        <v>0</v>
      </c>
      <c r="AI120" s="488" t="b">
        <f ca="1">AND(W122,X123,E120="",AG120&lt;=W128)</f>
        <v>0</v>
      </c>
      <c r="AJ120" s="488" t="b">
        <f ca="1">AND(W122,X123,F120="",AG120&lt;=X128)</f>
        <v>0</v>
      </c>
      <c r="AK120" s="488" t="b">
        <f ca="1">AND(W122,X123,G120="",AG120&lt;=X128)</f>
        <v>0</v>
      </c>
      <c r="AL120" s="488" t="b">
        <f ca="1">AND(Y122,Z123,K120="",AG120&lt;=Y128)</f>
        <v>0</v>
      </c>
      <c r="AM120" s="488" t="b">
        <f ca="1">AND(Y122,Z123,L120="",AG120&lt;=Y128)</f>
        <v>0</v>
      </c>
      <c r="AN120" s="488" t="b">
        <f ca="1">AND(Y122,Z123,M120="",AG120&lt;=Z128)</f>
        <v>0</v>
      </c>
      <c r="AO120" s="488" t="b">
        <f ca="1">AND(Y122,Z123,N120="",AG120&lt;=Z128)</f>
        <v>0</v>
      </c>
      <c r="AQ120" s="326" t="str">
        <f>IF(OR(NOT(Góllista!$E$6),D120=""),"",IF(C120="öngól","ö"&amp;G119&amp;D120,D119&amp;D120))</f>
        <v/>
      </c>
      <c r="AR120" s="326" t="str">
        <f>IF(OR(NOT(Góllista!$E$6),G120=""),"",IF(H120="öngól","ö"&amp;D119&amp;G120,G119&amp;G120))</f>
        <v/>
      </c>
      <c r="AS120" s="326" t="str">
        <f>IF(OR(NOT(Góllista!$E$6),K120=""),"",IF(J120="öngól","ö"&amp;N119&amp;K120,K119&amp;K120))</f>
        <v/>
      </c>
      <c r="AT120" s="326" t="str">
        <f>IF(OR(NOT(Góllista!$E$6),N120=""),"",IF(O120="öngól","ö"&amp;K119&amp;N120,N119&amp;N120))</f>
        <v/>
      </c>
      <c r="AY120" s="323"/>
      <c r="BA120" s="323"/>
      <c r="BC120" s="323"/>
      <c r="BE120" s="323"/>
      <c r="BG120" s="323"/>
      <c r="BI120" s="323"/>
      <c r="BK120" s="323"/>
      <c r="BM120" s="323"/>
      <c r="BO120" s="323"/>
      <c r="BQ120" s="323"/>
      <c r="BS120" s="323"/>
      <c r="BU120" s="323"/>
      <c r="BW120" s="323"/>
      <c r="BY120" s="323"/>
      <c r="CA120" s="323"/>
      <c r="CC120" s="323"/>
      <c r="CE120" s="323"/>
      <c r="CG120" s="323"/>
      <c r="CI120" s="323"/>
      <c r="CK120" s="323"/>
      <c r="CM120" s="323"/>
      <c r="CO120" s="323"/>
      <c r="CQ120" s="323"/>
      <c r="CS120" s="323"/>
      <c r="CU120" s="323"/>
      <c r="CW120" s="323"/>
      <c r="CY120" s="323"/>
      <c r="DA120" s="323"/>
      <c r="DC120" s="323"/>
      <c r="DE120" s="323"/>
      <c r="DG120" s="323"/>
      <c r="DI120" s="323"/>
    </row>
    <row r="121" spans="1:115" ht="12" customHeight="1" x14ac:dyDescent="0.3">
      <c r="A121" s="765"/>
      <c r="C121" s="219"/>
      <c r="D121" s="220"/>
      <c r="E121" s="224"/>
      <c r="F121" s="222"/>
      <c r="G121" s="223"/>
      <c r="H121" s="219"/>
      <c r="J121" s="219"/>
      <c r="K121" s="220"/>
      <c r="L121" s="224"/>
      <c r="M121" s="222"/>
      <c r="N121" s="223"/>
      <c r="O121" s="219"/>
      <c r="V121" s="487" t="s">
        <v>711</v>
      </c>
      <c r="W121" s="327">
        <f>MATCH(W120,n.er.index,0)</f>
        <v>35</v>
      </c>
      <c r="X121" s="485" t="str">
        <f>""</f>
        <v/>
      </c>
      <c r="Y121" s="327">
        <f>MATCH(Y120,n.er.index,0)</f>
        <v>40</v>
      </c>
      <c r="AB121" s="327" t="str">
        <f>IF(C121="öngól",AC119,AB119)</f>
        <v>nevek.02</v>
      </c>
      <c r="AC121" s="327" t="str">
        <f>IF(H121="öngól",AB119,AC119)</f>
        <v>nevek.04</v>
      </c>
      <c r="AD121" s="327" t="str">
        <f>IF(J121="öngól",AE119,AD119)</f>
        <v>nevek.10</v>
      </c>
      <c r="AE121" s="327" t="str">
        <f>IF(O121="öngól",AD119,AE119)</f>
        <v>nevek.12</v>
      </c>
      <c r="AF121" s="325"/>
      <c r="AG121" s="485">
        <v>2</v>
      </c>
      <c r="AH121" s="488" t="b">
        <f ca="1">AND(W122,X123,D121="",AG121&lt;=W128)</f>
        <v>0</v>
      </c>
      <c r="AI121" s="488" t="b">
        <f ca="1">AND(W122,X123,E121="",AG121&lt;=W128)</f>
        <v>0</v>
      </c>
      <c r="AJ121" s="488" t="b">
        <f ca="1">AND(W122,X123,F121="",AG121&lt;=X128)</f>
        <v>0</v>
      </c>
      <c r="AK121" s="488" t="b">
        <f ca="1">AND(W122,X123,G121="",AG121&lt;=X128)</f>
        <v>0</v>
      </c>
      <c r="AL121" s="488" t="b">
        <f ca="1">AND(Y122,Z123,K121="",AG121&lt;=Y128)</f>
        <v>0</v>
      </c>
      <c r="AM121" s="488" t="b">
        <f ca="1">AND(Y122,Z123,L121="",AG121&lt;=Y128)</f>
        <v>0</v>
      </c>
      <c r="AN121" s="488" t="b">
        <f ca="1">AND(Y122,Z123,M121="",AG121&lt;=Z128)</f>
        <v>0</v>
      </c>
      <c r="AO121" s="488" t="b">
        <f ca="1">AND(Y122,Z123,N121="",AG121&lt;=Z128)</f>
        <v>0</v>
      </c>
      <c r="AQ121" s="326" t="str">
        <f>IF(OR(NOT(Góllista!$E$6),D121=""),"",IF(C121="öngól","ö"&amp;G119&amp;D121,D119&amp;D121))</f>
        <v/>
      </c>
      <c r="AR121" s="326" t="str">
        <f>IF(OR(NOT(Góllista!$E$6),G121=""),"",IF(H121="öngól","ö"&amp;D119&amp;G121,G119&amp;G121))</f>
        <v/>
      </c>
      <c r="AS121" s="326" t="str">
        <f>IF(OR(NOT(Góllista!$E$6),K121=""),"",IF(J121="öngól","ö"&amp;N119&amp;K121,K119&amp;K121))</f>
        <v/>
      </c>
      <c r="AT121" s="326" t="str">
        <f>IF(OR(NOT(Góllista!$E$6),N121=""),"",IF(O121="öngól","ö"&amp;K119&amp;N121,N119&amp;N121))</f>
        <v/>
      </c>
      <c r="AY121" s="323"/>
      <c r="BA121" s="323"/>
      <c r="BC121" s="323"/>
      <c r="BE121" s="323"/>
      <c r="BG121" s="323"/>
      <c r="BI121" s="323"/>
      <c r="BK121" s="323"/>
      <c r="BM121" s="323"/>
      <c r="BO121" s="323"/>
      <c r="BQ121" s="323"/>
      <c r="BS121" s="323"/>
      <c r="BU121" s="323"/>
      <c r="BW121" s="323"/>
      <c r="BY121" s="323"/>
      <c r="CA121" s="323"/>
      <c r="CC121" s="323"/>
      <c r="CE121" s="323"/>
      <c r="CG121" s="323"/>
      <c r="CI121" s="323"/>
      <c r="CK121" s="323"/>
      <c r="CM121" s="323"/>
      <c r="CO121" s="323"/>
      <c r="CQ121" s="323"/>
      <c r="CS121" s="323"/>
      <c r="CU121" s="323"/>
      <c r="CW121" s="323"/>
      <c r="CY121" s="323"/>
      <c r="DA121" s="323"/>
      <c r="DC121" s="323"/>
      <c r="DE121" s="323"/>
      <c r="DG121" s="323"/>
      <c r="DI121" s="323"/>
    </row>
    <row r="122" spans="1:115" ht="12" customHeight="1" x14ac:dyDescent="0.3">
      <c r="A122" s="765"/>
      <c r="C122" s="219"/>
      <c r="D122" s="220"/>
      <c r="E122" s="224"/>
      <c r="F122" s="222"/>
      <c r="G122" s="223"/>
      <c r="H122" s="219"/>
      <c r="J122" s="219"/>
      <c r="K122" s="220"/>
      <c r="L122" s="224"/>
      <c r="M122" s="222"/>
      <c r="N122" s="223"/>
      <c r="O122" s="219"/>
      <c r="V122" s="487" t="s">
        <v>710</v>
      </c>
      <c r="W122" s="489" t="b">
        <f>INDEX(n.er,W121,3)</f>
        <v>0</v>
      </c>
      <c r="X122" s="485" t="str">
        <f>""</f>
        <v/>
      </c>
      <c r="Y122" s="489" t="b">
        <f>INDEX(n.er,Y121,3)</f>
        <v>0</v>
      </c>
      <c r="AB122" s="327" t="str">
        <f>IF(C122="öngól",AC119,AB119)</f>
        <v>nevek.02</v>
      </c>
      <c r="AC122" s="327" t="str">
        <f>IF(H122="öngól",AB119,AC119)</f>
        <v>nevek.04</v>
      </c>
      <c r="AD122" s="327" t="str">
        <f>IF(J122="öngól",AE119,AD119)</f>
        <v>nevek.10</v>
      </c>
      <c r="AE122" s="327" t="str">
        <f>IF(O122="öngól",AD119,AE119)</f>
        <v>nevek.12</v>
      </c>
      <c r="AF122" s="325"/>
      <c r="AG122" s="485">
        <v>3</v>
      </c>
      <c r="AH122" s="488" t="b">
        <f ca="1">AND(W122,X123,D122="",AG122&lt;=W128)</f>
        <v>0</v>
      </c>
      <c r="AI122" s="488" t="b">
        <f ca="1">AND(W122,X123,E122="",AG122&lt;=W128)</f>
        <v>0</v>
      </c>
      <c r="AJ122" s="488" t="b">
        <f ca="1">AND(W122,X123,F122="",AG122&lt;=X128)</f>
        <v>0</v>
      </c>
      <c r="AK122" s="488" t="b">
        <f ca="1">AND(W122,X123,G122="",AG122&lt;=X128)</f>
        <v>0</v>
      </c>
      <c r="AL122" s="488" t="b">
        <f ca="1">AND(Y122,Z123,K122="",AG122&lt;=Y128)</f>
        <v>0</v>
      </c>
      <c r="AM122" s="488" t="b">
        <f ca="1">AND(Y122,Z123,L122="",AG122&lt;=Y128)</f>
        <v>0</v>
      </c>
      <c r="AN122" s="488" t="b">
        <f ca="1">AND(Y122,Z123,M122="",AG122&lt;=Z128)</f>
        <v>0</v>
      </c>
      <c r="AO122" s="488" t="b">
        <f ca="1">AND(Y122,Z123,N122="",AG122&lt;=Z128)</f>
        <v>0</v>
      </c>
      <c r="AQ122" s="326" t="str">
        <f>IF(OR(NOT(Góllista!$E$6),D122=""),"",IF(C122="öngól","ö"&amp;G119&amp;D122,D119&amp;D122))</f>
        <v/>
      </c>
      <c r="AR122" s="326" t="str">
        <f>IF(OR(NOT(Góllista!$E$6),G122=""),"",IF(H122="öngól","ö"&amp;D119&amp;G122,G119&amp;G122))</f>
        <v/>
      </c>
      <c r="AS122" s="326" t="str">
        <f>IF(OR(NOT(Góllista!$E$6),K122=""),"",IF(J122="öngól","ö"&amp;N119&amp;K122,K119&amp;K122))</f>
        <v/>
      </c>
      <c r="AT122" s="326" t="str">
        <f>IF(OR(NOT(Góllista!$E$6),N122=""),"",IF(O122="öngól","ö"&amp;K119&amp;N122,N119&amp;N122))</f>
        <v/>
      </c>
      <c r="AY122" s="323"/>
      <c r="BA122" s="323"/>
      <c r="BC122" s="323"/>
      <c r="BE122" s="323"/>
      <c r="BG122" s="323"/>
      <c r="BI122" s="323"/>
      <c r="BK122" s="323"/>
      <c r="BM122" s="323"/>
      <c r="BO122" s="323"/>
      <c r="BQ122" s="323"/>
      <c r="BS122" s="323"/>
      <c r="BU122" s="323"/>
      <c r="BW122" s="323"/>
      <c r="BY122" s="323"/>
      <c r="CA122" s="323"/>
      <c r="CC122" s="323"/>
      <c r="CE122" s="323"/>
      <c r="CG122" s="323"/>
      <c r="CI122" s="323"/>
      <c r="CK122" s="323"/>
      <c r="CM122" s="323"/>
      <c r="CO122" s="323"/>
      <c r="CQ122" s="323"/>
      <c r="CS122" s="323"/>
      <c r="CU122" s="323"/>
      <c r="CW122" s="323"/>
      <c r="CY122" s="323"/>
      <c r="DA122" s="323"/>
      <c r="DC122" s="323"/>
      <c r="DE122" s="323"/>
      <c r="DG122" s="323"/>
      <c r="DI122" s="323"/>
    </row>
    <row r="123" spans="1:115" ht="12" customHeight="1" x14ac:dyDescent="0.3">
      <c r="A123" s="765"/>
      <c r="C123" s="219"/>
      <c r="D123" s="220"/>
      <c r="E123" s="224"/>
      <c r="F123" s="222"/>
      <c r="G123" s="223"/>
      <c r="H123" s="219"/>
      <c r="J123" s="219"/>
      <c r="K123" s="220"/>
      <c r="L123" s="224"/>
      <c r="M123" s="222"/>
      <c r="N123" s="223"/>
      <c r="O123" s="219"/>
      <c r="V123" s="487" t="s">
        <v>705</v>
      </c>
      <c r="W123" s="490" t="str">
        <f>VLOOKUP(W120,schedule,18,FALSE)</f>
        <v>JÚNIUS 16. – SZERDA 21:00</v>
      </c>
      <c r="X123" s="489" t="b">
        <f ca="1">VLOOKUP(W120,schedule,14,FALSE)&lt;=NOW()</f>
        <v>0</v>
      </c>
      <c r="Y123" s="490" t="str">
        <f>VLOOKUP(Y120,schedule,18,FALSE)</f>
        <v>JÚNIUS 17. – CSÜTÖRTÖK 15:00</v>
      </c>
      <c r="Z123" s="489" t="b">
        <f ca="1">VLOOKUP(Y120,schedule,14,FALSE)&lt;=NOW()</f>
        <v>0</v>
      </c>
      <c r="AB123" s="327" t="str">
        <f>IF(C123="öngól",AC119,AB119)</f>
        <v>nevek.02</v>
      </c>
      <c r="AC123" s="327" t="str">
        <f>IF(H123="öngól",AB119,AC119)</f>
        <v>nevek.04</v>
      </c>
      <c r="AD123" s="327" t="str">
        <f>IF(J123="öngól",AE119,AD119)</f>
        <v>nevek.10</v>
      </c>
      <c r="AE123" s="327" t="str">
        <f>IF(O123="öngól",AD119,AE119)</f>
        <v>nevek.12</v>
      </c>
      <c r="AF123" s="325"/>
      <c r="AG123" s="485">
        <v>4</v>
      </c>
      <c r="AH123" s="488" t="b">
        <f ca="1">AND(W122,X123,D123="",AG123&lt;=W128)</f>
        <v>0</v>
      </c>
      <c r="AI123" s="488" t="b">
        <f ca="1">AND(W122,X123,E123="",AG123&lt;=W128)</f>
        <v>0</v>
      </c>
      <c r="AJ123" s="488" t="b">
        <f ca="1">AND(W122,X123,F123="",AG123&lt;=X128)</f>
        <v>0</v>
      </c>
      <c r="AK123" s="488" t="b">
        <f ca="1">AND(W122,X123,G123="",AG123&lt;=X128)</f>
        <v>0</v>
      </c>
      <c r="AL123" s="488" t="b">
        <f ca="1">AND(Y122,Z123,K123="",AG123&lt;=Y128)</f>
        <v>0</v>
      </c>
      <c r="AM123" s="488" t="b">
        <f ca="1">AND(Y122,Z123,L123="",AG123&lt;=Y128)</f>
        <v>0</v>
      </c>
      <c r="AN123" s="488" t="b">
        <f ca="1">AND(Y122,Z123,M123="",AG123&lt;=Z128)</f>
        <v>0</v>
      </c>
      <c r="AO123" s="488" t="b">
        <f ca="1">AND(Y122,Z123,N123="",AG123&lt;=Z128)</f>
        <v>0</v>
      </c>
      <c r="AQ123" s="326" t="str">
        <f>IF(OR(NOT(Góllista!$E$6),D123=""),"",IF(C123="öngól","ö"&amp;G119&amp;D123,D119&amp;D123))</f>
        <v/>
      </c>
      <c r="AR123" s="326" t="str">
        <f>IF(OR(NOT(Góllista!$E$6),G123=""),"",IF(H123="öngól","ö"&amp;D119&amp;G123,G119&amp;G123))</f>
        <v/>
      </c>
      <c r="AS123" s="326" t="str">
        <f>IF(OR(NOT(Góllista!$E$6),K123=""),"",IF(J123="öngól","ö"&amp;N119&amp;K123,K119&amp;K123))</f>
        <v/>
      </c>
      <c r="AT123" s="326" t="str">
        <f>IF(OR(NOT(Góllista!$E$6),N123=""),"",IF(O123="öngól","ö"&amp;K119&amp;N123,N119&amp;N123))</f>
        <v/>
      </c>
      <c r="AY123" s="323"/>
      <c r="BA123" s="323"/>
      <c r="BC123" s="323"/>
      <c r="BE123" s="323"/>
      <c r="BG123" s="323"/>
      <c r="BI123" s="323"/>
      <c r="BK123" s="323"/>
      <c r="BM123" s="323"/>
      <c r="BO123" s="323"/>
      <c r="BQ123" s="323"/>
      <c r="BS123" s="323"/>
      <c r="BU123" s="323"/>
      <c r="BW123" s="323"/>
      <c r="BY123" s="323"/>
      <c r="CA123" s="323"/>
      <c r="CC123" s="323"/>
      <c r="CE123" s="323"/>
      <c r="CG123" s="323"/>
      <c r="CI123" s="323"/>
      <c r="CK123" s="323"/>
      <c r="CM123" s="323"/>
      <c r="CO123" s="323"/>
      <c r="CQ123" s="323"/>
      <c r="CS123" s="323"/>
      <c r="CU123" s="323"/>
      <c r="CW123" s="323"/>
      <c r="CY123" s="323"/>
      <c r="DA123" s="323"/>
      <c r="DC123" s="323"/>
      <c r="DE123" s="323"/>
      <c r="DG123" s="323"/>
      <c r="DI123" s="323"/>
    </row>
    <row r="124" spans="1:115" ht="12" customHeight="1" x14ac:dyDescent="0.3">
      <c r="A124" s="765"/>
      <c r="C124" s="219"/>
      <c r="D124" s="220"/>
      <c r="E124" s="224"/>
      <c r="F124" s="222"/>
      <c r="G124" s="223"/>
      <c r="H124" s="219"/>
      <c r="J124" s="219"/>
      <c r="K124" s="220"/>
      <c r="L124" s="224"/>
      <c r="M124" s="222"/>
      <c r="N124" s="223"/>
      <c r="O124" s="219"/>
      <c r="V124" s="487" t="s">
        <v>1265</v>
      </c>
      <c r="W124" s="491" t="str">
        <f>VLOOKUP(W120,schedule,12,FALSE)</f>
        <v>2. CSOPORTMÉRKŐZÉS</v>
      </c>
      <c r="X124" s="485" t="str">
        <f>""</f>
        <v/>
      </c>
      <c r="Y124" s="491" t="str">
        <f>VLOOKUP(Y120,schedule,12,FALSE)</f>
        <v>2. CSOPORTMÉRKŐZÉS</v>
      </c>
      <c r="AB124" s="327" t="str">
        <f>IF(C124="öngól",AC119,AB119)</f>
        <v>nevek.02</v>
      </c>
      <c r="AC124" s="327" t="str">
        <f>IF(H124="öngól",AB119,AC119)</f>
        <v>nevek.04</v>
      </c>
      <c r="AD124" s="327" t="str">
        <f>IF(J124="öngól",AE119,AD119)</f>
        <v>nevek.10</v>
      </c>
      <c r="AE124" s="327" t="str">
        <f>IF(O124="öngól",AD119,AE119)</f>
        <v>nevek.12</v>
      </c>
      <c r="AF124" s="325"/>
      <c r="AG124" s="485">
        <v>5</v>
      </c>
      <c r="AH124" s="488" t="b">
        <f ca="1">AND(W122,X123,D124="",AG124&lt;=W128)</f>
        <v>0</v>
      </c>
      <c r="AI124" s="488" t="b">
        <f ca="1">AND(W122,X123,E124="",AG124&lt;=W128)</f>
        <v>0</v>
      </c>
      <c r="AJ124" s="488" t="b">
        <f ca="1">AND(W122,X123,F124="",AG124&lt;=X128)</f>
        <v>0</v>
      </c>
      <c r="AK124" s="488" t="b">
        <f ca="1">AND(W122,X123,G124="",AG124&lt;=X128)</f>
        <v>0</v>
      </c>
      <c r="AL124" s="488" t="b">
        <f ca="1">AND(Y122,Z123,K124="",AG124&lt;=Y128)</f>
        <v>0</v>
      </c>
      <c r="AM124" s="488" t="b">
        <f ca="1">AND(Y122,Z123,L124="",AG124&lt;=Y128)</f>
        <v>0</v>
      </c>
      <c r="AN124" s="488" t="b">
        <f ca="1">AND(Y122,Z123,M124="",AG124&lt;=Z128)</f>
        <v>0</v>
      </c>
      <c r="AO124" s="488" t="b">
        <f ca="1">AND(Y122,Z123,N124="",AG124&lt;=Z128)</f>
        <v>0</v>
      </c>
      <c r="AQ124" s="326" t="str">
        <f>IF(OR(NOT(Góllista!$E$6),D124=""),"",IF(C124="öngól","ö"&amp;G119&amp;D124,D119&amp;D124))</f>
        <v/>
      </c>
      <c r="AR124" s="326" t="str">
        <f>IF(OR(NOT(Góllista!$E$6),G124=""),"",IF(H124="öngól","ö"&amp;D119&amp;G124,G119&amp;G124))</f>
        <v/>
      </c>
      <c r="AS124" s="326" t="str">
        <f>IF(OR(NOT(Góllista!$E$6),K124=""),"",IF(J124="öngól","ö"&amp;N119&amp;K124,K119&amp;K124))</f>
        <v/>
      </c>
      <c r="AT124" s="326" t="str">
        <f>IF(OR(NOT(Góllista!$E$6),N124=""),"",IF(O124="öngól","ö"&amp;K119&amp;N124,N119&amp;N124))</f>
        <v/>
      </c>
      <c r="AY124" s="323"/>
      <c r="BA124" s="323"/>
      <c r="BC124" s="323"/>
      <c r="BE124" s="323"/>
      <c r="BG124" s="323"/>
      <c r="BI124" s="323"/>
      <c r="BK124" s="323"/>
      <c r="BM124" s="323"/>
      <c r="BO124" s="323"/>
      <c r="BQ124" s="323"/>
      <c r="BS124" s="323"/>
      <c r="BU124" s="323"/>
      <c r="BW124" s="323"/>
      <c r="BY124" s="323"/>
      <c r="CA124" s="323"/>
      <c r="CC124" s="323"/>
      <c r="CE124" s="323"/>
      <c r="CG124" s="323"/>
      <c r="CI124" s="323"/>
      <c r="CK124" s="323"/>
      <c r="CM124" s="323"/>
      <c r="CO124" s="323"/>
      <c r="CQ124" s="323"/>
      <c r="CS124" s="323"/>
      <c r="CU124" s="323"/>
      <c r="CW124" s="323"/>
      <c r="CY124" s="323"/>
      <c r="DA124" s="323"/>
      <c r="DC124" s="323"/>
      <c r="DE124" s="323"/>
      <c r="DG124" s="323"/>
      <c r="DI124" s="323"/>
    </row>
    <row r="125" spans="1:115" ht="12" customHeight="1" x14ac:dyDescent="0.3">
      <c r="A125" s="765"/>
      <c r="C125" s="219"/>
      <c r="D125" s="220"/>
      <c r="E125" s="224"/>
      <c r="F125" s="222"/>
      <c r="G125" s="223"/>
      <c r="H125" s="219"/>
      <c r="J125" s="219"/>
      <c r="K125" s="220"/>
      <c r="L125" s="224"/>
      <c r="M125" s="222"/>
      <c r="N125" s="223"/>
      <c r="O125" s="219"/>
      <c r="V125" s="487" t="s">
        <v>1264</v>
      </c>
      <c r="W125" s="327" t="str">
        <f>VLOOKUP(W120,schedule,3,FALSE)</f>
        <v>A</v>
      </c>
      <c r="X125" s="485" t="str">
        <f>""</f>
        <v/>
      </c>
      <c r="Y125" s="327" t="str">
        <f>VLOOKUP(Y120,schedule,3,FALSE)</f>
        <v>C</v>
      </c>
      <c r="AB125" s="327" t="str">
        <f>IF(C125="öngól",AC119,AB119)</f>
        <v>nevek.02</v>
      </c>
      <c r="AC125" s="327" t="str">
        <f>IF(H125="öngól",AB119,AC119)</f>
        <v>nevek.04</v>
      </c>
      <c r="AD125" s="327" t="str">
        <f>IF(J125="öngól",AE119,AD119)</f>
        <v>nevek.10</v>
      </c>
      <c r="AE125" s="327" t="str">
        <f>IF(O125="öngól",AD119,AE119)</f>
        <v>nevek.12</v>
      </c>
      <c r="AF125" s="325"/>
      <c r="AG125" s="485">
        <v>6</v>
      </c>
      <c r="AH125" s="488" t="b">
        <f ca="1">AND(W122,X123,D125="",AG125&lt;=W128)</f>
        <v>0</v>
      </c>
      <c r="AI125" s="488" t="b">
        <f ca="1">AND(W122,X123,E125="",AG125&lt;=W128)</f>
        <v>0</v>
      </c>
      <c r="AJ125" s="488" t="b">
        <f ca="1">AND(W122,X123,F125="",AG125&lt;=X128)</f>
        <v>0</v>
      </c>
      <c r="AK125" s="488" t="b">
        <f ca="1">AND(W122,X123,G125="",AG125&lt;=X128)</f>
        <v>0</v>
      </c>
      <c r="AL125" s="488" t="b">
        <f ca="1">AND(Y122,Z123,K125="",AG125&lt;=Y128)</f>
        <v>0</v>
      </c>
      <c r="AM125" s="488" t="b">
        <f ca="1">AND(Y122,Z123,L125="",AG125&lt;=Y128)</f>
        <v>0</v>
      </c>
      <c r="AN125" s="488" t="b">
        <f ca="1">AND(Y122,Z123,M125="",AG125&lt;=Z128)</f>
        <v>0</v>
      </c>
      <c r="AO125" s="488" t="b">
        <f ca="1">AND(Y122,Z123,N125="",AG125&lt;=Z128)</f>
        <v>0</v>
      </c>
      <c r="AQ125" s="326" t="str">
        <f>IF(OR(NOT(Góllista!$E$6),D125=""),"",IF(C125="öngól","ö"&amp;G119&amp;D125,D119&amp;D125))</f>
        <v/>
      </c>
      <c r="AR125" s="326" t="str">
        <f>IF(OR(NOT(Góllista!$E$6),G125=""),"",IF(H125="öngól","ö"&amp;D119&amp;G125,G119&amp;G125))</f>
        <v/>
      </c>
      <c r="AS125" s="326" t="str">
        <f>IF(OR(NOT(Góllista!$E$6),K125=""),"",IF(J125="öngól","ö"&amp;N119&amp;K125,K119&amp;K125))</f>
        <v/>
      </c>
      <c r="AT125" s="326" t="str">
        <f>IF(OR(NOT(Góllista!$E$6),N125=""),"",IF(O125="öngól","ö"&amp;K119&amp;N125,N119&amp;N125))</f>
        <v/>
      </c>
      <c r="AY125" s="323"/>
      <c r="BA125" s="323"/>
      <c r="BC125" s="323"/>
      <c r="BE125" s="323"/>
      <c r="BG125" s="323"/>
      <c r="BI125" s="323"/>
      <c r="BK125" s="323"/>
      <c r="BM125" s="323"/>
      <c r="BO125" s="323"/>
      <c r="BQ125" s="323"/>
      <c r="BS125" s="323"/>
      <c r="BU125" s="323"/>
      <c r="BW125" s="323"/>
      <c r="BY125" s="323"/>
      <c r="CA125" s="323"/>
      <c r="CC125" s="323"/>
      <c r="CE125" s="323"/>
      <c r="CG125" s="323"/>
      <c r="CI125" s="323"/>
      <c r="CK125" s="323"/>
      <c r="CM125" s="323"/>
      <c r="CO125" s="323"/>
      <c r="CQ125" s="323"/>
      <c r="CS125" s="323"/>
      <c r="CU125" s="323"/>
      <c r="CW125" s="323"/>
      <c r="CY125" s="323"/>
      <c r="DA125" s="323"/>
      <c r="DC125" s="323"/>
      <c r="DE125" s="323"/>
      <c r="DG125" s="323"/>
      <c r="DI125" s="323"/>
    </row>
    <row r="126" spans="1:115" ht="12" customHeight="1" x14ac:dyDescent="0.3">
      <c r="A126" s="765"/>
      <c r="C126" s="219"/>
      <c r="D126" s="220"/>
      <c r="E126" s="224"/>
      <c r="F126" s="222"/>
      <c r="G126" s="223"/>
      <c r="H126" s="219"/>
      <c r="J126" s="219"/>
      <c r="K126" s="220"/>
      <c r="L126" s="224"/>
      <c r="M126" s="222"/>
      <c r="N126" s="223"/>
      <c r="O126" s="219"/>
      <c r="V126" s="485" t="s">
        <v>707</v>
      </c>
      <c r="W126" s="327">
        <f>IF(NOT(W122),0,E119-9+COUNTBLANK(D120:D128))</f>
        <v>0</v>
      </c>
      <c r="X126" s="327">
        <f>IF(NOT(W122),0,F119-9+COUNTBLANK(G120:G128))</f>
        <v>0</v>
      </c>
      <c r="Y126" s="327">
        <f>IF(NOT(Y122),0,L119-9+COUNTBLANK(K120:K128))</f>
        <v>0</v>
      </c>
      <c r="Z126" s="327">
        <f>IF(NOT(Y122),0,M119-9+COUNTBLANK(N120:N128))</f>
        <v>0</v>
      </c>
      <c r="AB126" s="327" t="str">
        <f>IF(C126="öngól",AC119,AB119)</f>
        <v>nevek.02</v>
      </c>
      <c r="AC126" s="327" t="str">
        <f>IF(H126="öngól",AB119,AC119)</f>
        <v>nevek.04</v>
      </c>
      <c r="AD126" s="327" t="str">
        <f>IF(J126="öngól",AE119,AD119)</f>
        <v>nevek.10</v>
      </c>
      <c r="AE126" s="327" t="str">
        <f>IF(O126="öngól",AD119,AE119)</f>
        <v>nevek.12</v>
      </c>
      <c r="AF126" s="325"/>
      <c r="AG126" s="485">
        <v>7</v>
      </c>
      <c r="AH126" s="488" t="b">
        <f ca="1">AND(W122,X123,D126="",AG126&lt;=W128)</f>
        <v>0</v>
      </c>
      <c r="AI126" s="488" t="b">
        <f ca="1">AND(W122,X123,E126="",AG126&lt;=W128)</f>
        <v>0</v>
      </c>
      <c r="AJ126" s="488" t="b">
        <f ca="1">AND(W122,X123,F126="",AG126&lt;=X128)</f>
        <v>0</v>
      </c>
      <c r="AK126" s="488" t="b">
        <f ca="1">AND(W122,X123,G126="",AG126&lt;=X128)</f>
        <v>0</v>
      </c>
      <c r="AL126" s="488" t="b">
        <f ca="1">AND(Y122,Z123,K126="",AG126&lt;=Y128)</f>
        <v>0</v>
      </c>
      <c r="AM126" s="488" t="b">
        <f ca="1">AND(Y122,Z123,L126="",AG126&lt;=Y128)</f>
        <v>0</v>
      </c>
      <c r="AN126" s="488" t="b">
        <f ca="1">AND(Y122,Z123,M126="",AG126&lt;=Z128)</f>
        <v>0</v>
      </c>
      <c r="AO126" s="488" t="b">
        <f ca="1">AND(Y122,Z123,N126="",AG126&lt;=Z128)</f>
        <v>0</v>
      </c>
      <c r="AQ126" s="326" t="str">
        <f>IF(OR(NOT(Góllista!$E$6),D126=""),"",IF(C126="öngól","ö"&amp;G119&amp;D126,D119&amp;D126))</f>
        <v/>
      </c>
      <c r="AR126" s="326" t="str">
        <f>IF(OR(NOT(Góllista!$E$6),G126=""),"",IF(H126="öngól","ö"&amp;D119&amp;G126,G119&amp;G126))</f>
        <v/>
      </c>
      <c r="AS126" s="326" t="str">
        <f>IF(OR(NOT(Góllista!$E$6),K126=""),"",IF(J126="öngól","ö"&amp;N119&amp;K126,K119&amp;K126))</f>
        <v/>
      </c>
      <c r="AT126" s="326" t="str">
        <f>IF(OR(NOT(Góllista!$E$6),N126=""),"",IF(O126="öngól","ö"&amp;K119&amp;N126,N119&amp;N126))</f>
        <v/>
      </c>
      <c r="AY126" s="323"/>
      <c r="BA126" s="323"/>
      <c r="BC126" s="323"/>
      <c r="BE126" s="323"/>
      <c r="BG126" s="323"/>
      <c r="BI126" s="323"/>
      <c r="BK126" s="323"/>
      <c r="BM126" s="323"/>
      <c r="BO126" s="323"/>
      <c r="BQ126" s="323"/>
      <c r="BS126" s="323"/>
      <c r="BU126" s="323"/>
      <c r="BW126" s="323"/>
      <c r="BY126" s="323"/>
      <c r="CA126" s="323"/>
      <c r="CC126" s="323"/>
      <c r="CE126" s="323"/>
      <c r="CG126" s="323"/>
      <c r="CI126" s="323"/>
      <c r="CK126" s="323"/>
      <c r="CM126" s="323"/>
      <c r="CO126" s="323"/>
      <c r="CQ126" s="323"/>
      <c r="CS126" s="323"/>
      <c r="CU126" s="323"/>
      <c r="CW126" s="323"/>
      <c r="CY126" s="323"/>
      <c r="DA126" s="323"/>
      <c r="DC126" s="323"/>
      <c r="DE126" s="323"/>
      <c r="DG126" s="323"/>
      <c r="DI126" s="323"/>
    </row>
    <row r="127" spans="1:115" ht="12" customHeight="1" x14ac:dyDescent="0.3">
      <c r="A127" s="765"/>
      <c r="C127" s="219"/>
      <c r="D127" s="220"/>
      <c r="E127" s="224"/>
      <c r="F127" s="222"/>
      <c r="G127" s="223"/>
      <c r="H127" s="219"/>
      <c r="J127" s="219"/>
      <c r="K127" s="220"/>
      <c r="L127" s="224"/>
      <c r="M127" s="222"/>
      <c r="N127" s="223"/>
      <c r="O127" s="219"/>
      <c r="V127" s="485" t="s">
        <v>708</v>
      </c>
      <c r="W127" s="411" t="str">
        <f>VLOOKUP(W120,schedule,8,FALSE)</f>
        <v>Olaszország</v>
      </c>
      <c r="X127" s="411" t="str">
        <f>VLOOKUP(W120,schedule,9,FALSE)</f>
        <v>Svájc</v>
      </c>
      <c r="Y127" s="411" t="str">
        <f>VLOOKUP(Y120,schedule,8,FALSE)</f>
        <v>Ukrajna</v>
      </c>
      <c r="Z127" s="491" t="str">
        <f>VLOOKUP(Y120,schedule,9,FALSE)</f>
        <v>Észak-Macedónia</v>
      </c>
      <c r="AB127" s="327" t="str">
        <f>IF(C127="öngól",AC119,AB119)</f>
        <v>nevek.02</v>
      </c>
      <c r="AC127" s="327" t="str">
        <f>IF(H127="öngól",AB119,AC119)</f>
        <v>nevek.04</v>
      </c>
      <c r="AD127" s="327" t="str">
        <f>IF(J127="öngól",AE119,AD119)</f>
        <v>nevek.10</v>
      </c>
      <c r="AE127" s="327" t="str">
        <f>IF(O127="öngól",AD119,AE119)</f>
        <v>nevek.12</v>
      </c>
      <c r="AF127" s="325"/>
      <c r="AG127" s="485">
        <v>8</v>
      </c>
      <c r="AH127" s="488" t="b">
        <f ca="1">AND(W122,X123,D127="",AG127&lt;=W128)</f>
        <v>0</v>
      </c>
      <c r="AI127" s="488" t="b">
        <f ca="1">AND(W122,X123,E127="",AG127&lt;=W128)</f>
        <v>0</v>
      </c>
      <c r="AJ127" s="488" t="b">
        <f ca="1">AND(W122,X123,F127="",AG127&lt;=X128)</f>
        <v>0</v>
      </c>
      <c r="AK127" s="488" t="b">
        <f ca="1">AND(W122,X123,G127="",AG127&lt;=X128)</f>
        <v>0</v>
      </c>
      <c r="AL127" s="488" t="b">
        <f ca="1">AND(Y122,Z123,K127="",AG127&lt;=Y128)</f>
        <v>0</v>
      </c>
      <c r="AM127" s="488" t="b">
        <f ca="1">AND(Y122,Z123,L127="",AG127&lt;=Y128)</f>
        <v>0</v>
      </c>
      <c r="AN127" s="488" t="b">
        <f ca="1">AND(Y122,Z123,M127="",AG127&lt;=Z128)</f>
        <v>0</v>
      </c>
      <c r="AO127" s="488" t="b">
        <f ca="1">AND(Y122,Z123,N127="",AG127&lt;=Z128)</f>
        <v>0</v>
      </c>
      <c r="AQ127" s="326" t="str">
        <f>IF(OR(NOT(Góllista!$E$6),D127=""),"",IF(C127="öngól","ö"&amp;G119&amp;D127,D119&amp;D127))</f>
        <v/>
      </c>
      <c r="AR127" s="326" t="str">
        <f>IF(OR(NOT(Góllista!$E$6),G127=""),"",IF(H127="öngól","ö"&amp;D119&amp;G127,G119&amp;G127))</f>
        <v/>
      </c>
      <c r="AS127" s="326" t="str">
        <f>IF(OR(NOT(Góllista!$E$6),K127=""),"",IF(J127="öngól","ö"&amp;N119&amp;K127,K119&amp;K127))</f>
        <v/>
      </c>
      <c r="AT127" s="326" t="str">
        <f>IF(OR(NOT(Góllista!$E$6),N127=""),"",IF(O127="öngól","ö"&amp;K119&amp;N127,N119&amp;N127))</f>
        <v/>
      </c>
      <c r="AY127" s="323"/>
      <c r="BA127" s="323"/>
      <c r="BC127" s="323"/>
      <c r="BE127" s="323"/>
      <c r="BG127" s="323"/>
      <c r="BI127" s="323"/>
      <c r="BK127" s="323"/>
      <c r="BM127" s="323"/>
      <c r="BO127" s="323"/>
      <c r="BQ127" s="323"/>
      <c r="BS127" s="323"/>
      <c r="BU127" s="323"/>
      <c r="BW127" s="323"/>
      <c r="BY127" s="323"/>
      <c r="CA127" s="323"/>
      <c r="CC127" s="323"/>
      <c r="CE127" s="323"/>
      <c r="CG127" s="323"/>
      <c r="CI127" s="323"/>
      <c r="CK127" s="323"/>
      <c r="CM127" s="323"/>
      <c r="CO127" s="323"/>
      <c r="CQ127" s="323"/>
      <c r="CS127" s="323"/>
      <c r="CU127" s="323"/>
      <c r="CW127" s="323"/>
      <c r="CY127" s="323"/>
      <c r="DA127" s="323"/>
      <c r="DC127" s="323"/>
      <c r="DE127" s="323"/>
      <c r="DG127" s="323"/>
      <c r="DI127" s="323"/>
    </row>
    <row r="128" spans="1:115" ht="12" customHeight="1" x14ac:dyDescent="0.3">
      <c r="A128" s="765"/>
      <c r="C128" s="219"/>
      <c r="D128" s="220"/>
      <c r="E128" s="225"/>
      <c r="F128" s="222"/>
      <c r="G128" s="223"/>
      <c r="H128" s="219"/>
      <c r="J128" s="219"/>
      <c r="K128" s="220"/>
      <c r="L128" s="225"/>
      <c r="M128" s="222"/>
      <c r="N128" s="223"/>
      <c r="O128" s="219"/>
      <c r="V128" s="485" t="s">
        <v>709</v>
      </c>
      <c r="W128" s="492" t="str">
        <f>INDEX(n.er,W121,9)</f>
        <v/>
      </c>
      <c r="X128" s="493" t="str">
        <f>INDEX(n.er,W121,10)</f>
        <v/>
      </c>
      <c r="Y128" s="492" t="str">
        <f>INDEX(n.er,Y121,9)</f>
        <v/>
      </c>
      <c r="Z128" s="493" t="str">
        <f>INDEX(n.er,Y121,10)</f>
        <v/>
      </c>
      <c r="AB128" s="327" t="str">
        <f>IF(C128="öngól",AC119,AB119)</f>
        <v>nevek.02</v>
      </c>
      <c r="AC128" s="327" t="str">
        <f>IF(H128="öngól",AB119,AC119)</f>
        <v>nevek.04</v>
      </c>
      <c r="AD128" s="327" t="str">
        <f>IF(J128="öngól",AE119,AD119)</f>
        <v>nevek.10</v>
      </c>
      <c r="AE128" s="327" t="str">
        <f>IF(O128="öngól",AD119,AE119)</f>
        <v>nevek.12</v>
      </c>
      <c r="AF128" s="325"/>
      <c r="AG128" s="485">
        <v>9</v>
      </c>
      <c r="AH128" s="488" t="b">
        <f ca="1">AND(W122,X123,D128="",AG128&lt;=W128)</f>
        <v>0</v>
      </c>
      <c r="AI128" s="488" t="b">
        <f ca="1">AND(W122,X123,E128="",AG128&lt;=W128)</f>
        <v>0</v>
      </c>
      <c r="AJ128" s="488" t="b">
        <f ca="1">AND(W122,X123,F128="",AG128&lt;=X128)</f>
        <v>0</v>
      </c>
      <c r="AK128" s="488" t="b">
        <f ca="1">AND(W122,X123,G128="",AG128&lt;=X128)</f>
        <v>0</v>
      </c>
      <c r="AL128" s="488" t="b">
        <f ca="1">AND(Y122,Z123,K128="",AG128&lt;=Y128)</f>
        <v>0</v>
      </c>
      <c r="AM128" s="488" t="b">
        <f ca="1">AND(Y122,Z123,L128="",AG128&lt;=Y128)</f>
        <v>0</v>
      </c>
      <c r="AN128" s="488" t="b">
        <f ca="1">AND(Y122,Z123,M128="",AG128&lt;=Z128)</f>
        <v>0</v>
      </c>
      <c r="AO128" s="488" t="b">
        <f ca="1">AND(Y122,Z123,N128="",AG128&lt;=Z128)</f>
        <v>0</v>
      </c>
      <c r="AQ128" s="326" t="str">
        <f>IF(OR(NOT(Góllista!$E$6),D128=""),"",IF(C128="öngól","ö"&amp;G119&amp;D128,D119&amp;D128))</f>
        <v/>
      </c>
      <c r="AR128" s="326" t="str">
        <f>IF(OR(NOT(Góllista!$E$6),G128=""),"",IF(H128="öngól","ö"&amp;D119&amp;G128,G119&amp;G128))</f>
        <v/>
      </c>
      <c r="AS128" s="326" t="str">
        <f>IF(OR(NOT(Góllista!$E$6),K128=""),"",IF(J128="öngól","ö"&amp;N119&amp;K128,K119&amp;K128))</f>
        <v/>
      </c>
      <c r="AT128" s="326" t="str">
        <f>IF(OR(NOT(Góllista!$E$6),N128=""),"",IF(O128="öngól","ö"&amp;K119&amp;N128,N119&amp;N128))</f>
        <v/>
      </c>
      <c r="AY128" s="323"/>
      <c r="BA128" s="323"/>
      <c r="BC128" s="323"/>
      <c r="BE128" s="323"/>
      <c r="BG128" s="323"/>
      <c r="BI128" s="323"/>
      <c r="BK128" s="323"/>
      <c r="BM128" s="323"/>
      <c r="BO128" s="323"/>
      <c r="BQ128" s="323"/>
      <c r="BS128" s="323"/>
      <c r="BU128" s="323"/>
      <c r="BW128" s="323"/>
      <c r="BY128" s="323"/>
      <c r="CA128" s="323"/>
      <c r="CC128" s="323"/>
      <c r="CE128" s="323"/>
      <c r="CG128" s="323"/>
      <c r="CI128" s="323"/>
      <c r="CK128" s="323"/>
      <c r="CM128" s="323"/>
      <c r="CO128" s="323"/>
      <c r="CQ128" s="323"/>
      <c r="CS128" s="323"/>
      <c r="CU128" s="323"/>
      <c r="CW128" s="323"/>
      <c r="CY128" s="323"/>
      <c r="DA128" s="323"/>
      <c r="DC128" s="323"/>
      <c r="DE128" s="323"/>
      <c r="DG128" s="323"/>
      <c r="DI128" s="323"/>
    </row>
    <row r="129" spans="1:115" ht="12" customHeight="1" x14ac:dyDescent="0.3">
      <c r="A129" s="765"/>
      <c r="C129" s="768"/>
      <c r="D129" s="768"/>
      <c r="E129" s="768"/>
      <c r="F129" s="768"/>
      <c r="G129" s="768"/>
      <c r="H129" s="768"/>
      <c r="J129" s="768"/>
      <c r="K129" s="768"/>
      <c r="L129" s="768"/>
      <c r="M129" s="768"/>
      <c r="N129" s="768"/>
      <c r="O129" s="768"/>
      <c r="AY129" s="323"/>
      <c r="BA129" s="323"/>
      <c r="BC129" s="323"/>
      <c r="BE129" s="323"/>
      <c r="BG129" s="323"/>
      <c r="BI129" s="323"/>
      <c r="BK129" s="323"/>
      <c r="BM129" s="323"/>
      <c r="BO129" s="323"/>
      <c r="BQ129" s="323"/>
      <c r="BS129" s="323"/>
      <c r="BU129" s="323"/>
      <c r="BW129" s="323"/>
      <c r="BY129" s="323"/>
      <c r="CA129" s="323"/>
      <c r="CC129" s="323"/>
      <c r="CE129" s="323"/>
      <c r="CG129" s="323"/>
      <c r="CI129" s="323"/>
      <c r="CK129" s="323"/>
      <c r="CM129" s="323"/>
      <c r="CO129" s="323"/>
      <c r="CQ129" s="323"/>
      <c r="CS129" s="323"/>
      <c r="CU129" s="323"/>
      <c r="CW129" s="323"/>
      <c r="CY129" s="323"/>
      <c r="DA129" s="323"/>
      <c r="DC129" s="323"/>
      <c r="DE129" s="323"/>
      <c r="DG129" s="323"/>
      <c r="DI129" s="323"/>
    </row>
    <row r="130" spans="1:115" ht="12" hidden="1" customHeight="1" x14ac:dyDescent="0.3">
      <c r="A130" s="765"/>
      <c r="C130" s="767"/>
      <c r="D130" s="767"/>
      <c r="E130" s="767"/>
      <c r="F130" s="767"/>
      <c r="G130" s="767"/>
      <c r="H130" s="767"/>
      <c r="J130" s="767"/>
      <c r="K130" s="767"/>
      <c r="L130" s="767"/>
      <c r="M130" s="767"/>
      <c r="N130" s="767"/>
      <c r="O130" s="767"/>
      <c r="AY130" s="323"/>
      <c r="BA130" s="323"/>
      <c r="BC130" s="323"/>
      <c r="BE130" s="323"/>
      <c r="BG130" s="323"/>
      <c r="BI130" s="323"/>
      <c r="BK130" s="323"/>
      <c r="BM130" s="323"/>
      <c r="BO130" s="323"/>
      <c r="BQ130" s="323"/>
      <c r="BS130" s="323"/>
      <c r="BU130" s="323"/>
      <c r="BW130" s="323"/>
      <c r="BY130" s="323"/>
      <c r="CA130" s="323"/>
      <c r="CC130" s="323"/>
      <c r="CE130" s="323"/>
      <c r="CG130" s="323"/>
      <c r="CI130" s="323"/>
      <c r="CK130" s="323"/>
      <c r="CM130" s="323"/>
      <c r="CO130" s="323"/>
      <c r="CQ130" s="323"/>
      <c r="CS130" s="323"/>
      <c r="CU130" s="323"/>
      <c r="CW130" s="323"/>
      <c r="CY130" s="323"/>
      <c r="DA130" s="323"/>
      <c r="DC130" s="323"/>
      <c r="DE130" s="323"/>
      <c r="DG130" s="323"/>
      <c r="DI130" s="323"/>
    </row>
    <row r="131" spans="1:115" ht="12" hidden="1" customHeight="1" x14ac:dyDescent="0.3">
      <c r="A131" s="765"/>
      <c r="C131" s="767"/>
      <c r="D131" s="767"/>
      <c r="E131" s="767"/>
      <c r="F131" s="767"/>
      <c r="G131" s="767"/>
      <c r="H131" s="767"/>
      <c r="J131" s="767"/>
      <c r="K131" s="767"/>
      <c r="L131" s="767"/>
      <c r="M131" s="767"/>
      <c r="N131" s="767"/>
      <c r="O131" s="767"/>
      <c r="AY131" s="323"/>
      <c r="BA131" s="323"/>
      <c r="BC131" s="323"/>
      <c r="BE131" s="323"/>
      <c r="BG131" s="323"/>
      <c r="BI131" s="323"/>
      <c r="BK131" s="323"/>
      <c r="BM131" s="323"/>
      <c r="BO131" s="323"/>
      <c r="BQ131" s="323"/>
      <c r="BS131" s="323"/>
      <c r="BU131" s="323"/>
      <c r="BW131" s="323"/>
      <c r="BY131" s="323"/>
      <c r="CA131" s="323"/>
      <c r="CC131" s="323"/>
      <c r="CE131" s="323"/>
      <c r="CG131" s="323"/>
      <c r="CI131" s="323"/>
      <c r="CK131" s="323"/>
      <c r="CM131" s="323"/>
      <c r="CO131" s="323"/>
      <c r="CQ131" s="323"/>
      <c r="CS131" s="323"/>
      <c r="CU131" s="323"/>
      <c r="CW131" s="323"/>
      <c r="CY131" s="323"/>
      <c r="DA131" s="323"/>
      <c r="DC131" s="323"/>
      <c r="DE131" s="323"/>
      <c r="DG131" s="323"/>
      <c r="DI131" s="323"/>
    </row>
    <row r="132" spans="1:115" ht="10.5" customHeight="1" x14ac:dyDescent="0.3">
      <c r="A132" s="765"/>
      <c r="AY132" s="323"/>
      <c r="BA132" s="323"/>
      <c r="BC132" s="323"/>
      <c r="BE132" s="323"/>
      <c r="BG132" s="323"/>
      <c r="BI132" s="323"/>
      <c r="BK132" s="323"/>
      <c r="BM132" s="323"/>
      <c r="BO132" s="323"/>
      <c r="BQ132" s="323"/>
      <c r="BS132" s="323"/>
      <c r="BU132" s="323"/>
      <c r="BW132" s="323"/>
      <c r="BY132" s="323"/>
      <c r="CA132" s="323"/>
      <c r="CC132" s="323"/>
      <c r="CE132" s="323"/>
      <c r="CG132" s="323"/>
      <c r="CI132" s="323"/>
      <c r="CK132" s="323"/>
      <c r="CM132" s="323"/>
      <c r="CO132" s="323"/>
      <c r="CQ132" s="323"/>
      <c r="CS132" s="323"/>
      <c r="CU132" s="323"/>
      <c r="CW132" s="323"/>
      <c r="CY132" s="323"/>
      <c r="DA132" s="323"/>
      <c r="DC132" s="323"/>
      <c r="DE132" s="323"/>
      <c r="DG132" s="323"/>
      <c r="DI132" s="323"/>
    </row>
    <row r="133" spans="1:115" ht="6" customHeight="1" x14ac:dyDescent="0.3">
      <c r="A133" s="765"/>
      <c r="AQ133" s="323"/>
      <c r="AR133" s="323"/>
      <c r="AS133" s="323"/>
      <c r="AT133" s="323"/>
      <c r="AY133" s="323"/>
      <c r="BA133" s="323"/>
      <c r="BC133" s="323"/>
      <c r="BE133" s="323"/>
      <c r="BG133" s="323"/>
      <c r="BI133" s="323"/>
      <c r="BK133" s="323"/>
      <c r="BM133" s="323"/>
      <c r="BO133" s="323"/>
      <c r="BQ133" s="323"/>
      <c r="BS133" s="323"/>
      <c r="BU133" s="323"/>
      <c r="BW133" s="323"/>
      <c r="BY133" s="323"/>
      <c r="CA133" s="323"/>
      <c r="CC133" s="323"/>
      <c r="CE133" s="323"/>
      <c r="CG133" s="323"/>
      <c r="CI133" s="323"/>
      <c r="CK133" s="323"/>
      <c r="CM133" s="323"/>
      <c r="CO133" s="323"/>
      <c r="CQ133" s="323"/>
      <c r="CS133" s="323"/>
      <c r="CU133" s="323"/>
      <c r="CW133" s="323"/>
      <c r="CY133" s="323"/>
      <c r="DA133" s="323"/>
      <c r="DC133" s="323"/>
      <c r="DE133" s="323"/>
      <c r="DG133" s="323"/>
      <c r="DI133" s="323"/>
    </row>
    <row r="134" spans="1:115" ht="12" customHeight="1" x14ac:dyDescent="0.3">
      <c r="A134" s="765"/>
      <c r="C134" s="247" t="str">
        <f>W139</f>
        <v>JÚNIUS 17. – CSÜTÖRTÖK 18:00</v>
      </c>
      <c r="D134" s="227"/>
      <c r="E134" s="228"/>
      <c r="F134" s="229"/>
      <c r="G134" s="230"/>
      <c r="H134" s="231" t="str">
        <f>W140</f>
        <v>2. CSOPORTMÉRKŐZÉS</v>
      </c>
      <c r="I134" s="138"/>
      <c r="J134" s="246" t="str">
        <f>Y139</f>
        <v>JÚNIUS 17. – CSÜTÖRTÖK 21:00</v>
      </c>
      <c r="K134" s="227"/>
      <c r="L134" s="228"/>
      <c r="M134" s="229"/>
      <c r="N134" s="230"/>
      <c r="O134" s="226" t="str">
        <f>Y140</f>
        <v>2. CSOPORTMÉRKŐZÉS</v>
      </c>
      <c r="AQ134" s="323"/>
      <c r="AR134" s="323"/>
      <c r="AS134" s="323"/>
      <c r="AT134" s="323"/>
      <c r="AY134" s="323"/>
      <c r="BA134" s="323"/>
      <c r="BC134" s="323"/>
      <c r="BE134" s="323"/>
      <c r="BG134" s="323"/>
      <c r="BI134" s="323"/>
      <c r="BK134" s="323"/>
      <c r="BM134" s="323"/>
      <c r="BO134" s="323"/>
      <c r="BQ134" s="323"/>
      <c r="BS134" s="323"/>
      <c r="BU134" s="323"/>
      <c r="BW134" s="323"/>
      <c r="BY134" s="323"/>
      <c r="CA134" s="323"/>
      <c r="CC134" s="323"/>
      <c r="CE134" s="323"/>
      <c r="CG134" s="323"/>
      <c r="CI134" s="323"/>
      <c r="CK134" s="323"/>
      <c r="CM134" s="323"/>
      <c r="CO134" s="323"/>
      <c r="CQ134" s="323"/>
      <c r="CS134" s="323"/>
      <c r="CU134" s="323"/>
      <c r="CW134" s="323"/>
      <c r="CY134" s="323"/>
      <c r="DA134" s="323"/>
      <c r="DC134" s="323"/>
      <c r="DE134" s="323"/>
      <c r="DG134" s="323"/>
      <c r="DI134" s="323"/>
    </row>
    <row r="135" spans="1:115" s="138" customFormat="1" ht="14.25" customHeight="1" x14ac:dyDescent="0.3">
      <c r="A135" s="765"/>
      <c r="B135" s="137"/>
      <c r="C135" s="233" t="str">
        <f>IF(W142=0,"",IF(W142&gt;0,CONCATENATE("még ",W142," gól"),CONCATENATE("túl sok (",W142," gól)")))</f>
        <v/>
      </c>
      <c r="D135" s="714" t="str">
        <f>W143</f>
        <v>Dánia</v>
      </c>
      <c r="E135" s="716" t="str">
        <f>W144</f>
        <v/>
      </c>
      <c r="F135" s="717" t="str">
        <f>X144</f>
        <v/>
      </c>
      <c r="G135" s="715" t="str">
        <f>X143</f>
        <v>Belgium</v>
      </c>
      <c r="H135" s="232" t="str">
        <f>IF(X142=0,"",IF(X142&gt;0,CONCATENATE("még ",X142," gól"),CONCATENATE("túl sok (",X142," gól)")))</f>
        <v/>
      </c>
      <c r="I135" s="127"/>
      <c r="J135" s="233" t="str">
        <f>IF(Y142=0,"",IF(Y142&gt;0,CONCATENATE("még ",Y142," gól"),CONCATENATE("túl sok (",Y142," gól)")))</f>
        <v/>
      </c>
      <c r="K135" s="714" t="str">
        <f>Y143</f>
        <v>Hollandia</v>
      </c>
      <c r="L135" s="716" t="str">
        <f>Y144</f>
        <v/>
      </c>
      <c r="M135" s="717" t="str">
        <f>Z144</f>
        <v/>
      </c>
      <c r="N135" s="715" t="str">
        <f>Z143</f>
        <v>Ausztria</v>
      </c>
      <c r="O135" s="232" t="str">
        <f>IF(Z142=0,"",IF(Z142&gt;0,CONCATENATE("még ",Z142," gól"),CONCATENATE("túl sok (",Z142," gól)")))</f>
        <v/>
      </c>
      <c r="P135" s="10"/>
      <c r="Q135" s="140"/>
      <c r="R135" s="141"/>
      <c r="S135" s="141"/>
      <c r="T135" s="484"/>
      <c r="U135" s="485"/>
      <c r="V135" s="485"/>
      <c r="W135" s="485"/>
      <c r="X135" s="485"/>
      <c r="Y135" s="485"/>
      <c r="Z135" s="485"/>
      <c r="AA135" s="485"/>
      <c r="AB135" s="242" t="str">
        <f>HLOOKUP(D135,nevek.li,2,FALSE)</f>
        <v>nevek.05</v>
      </c>
      <c r="AC135" s="242" t="str">
        <f>HLOOKUP(G135,nevek.li,2,FALSE)</f>
        <v>nevek.07</v>
      </c>
      <c r="AD135" s="242" t="str">
        <f>HLOOKUP(K135,nevek.li,2,FALSE)</f>
        <v>nevek.09</v>
      </c>
      <c r="AE135" s="242" t="str">
        <f>HLOOKUP(N135,nevek.li,2,FALSE)</f>
        <v>nevek.11</v>
      </c>
      <c r="AF135" s="485"/>
      <c r="AG135" s="485"/>
      <c r="AH135" s="485"/>
      <c r="AI135" s="485"/>
      <c r="AJ135" s="485"/>
      <c r="AK135" s="485"/>
      <c r="AL135" s="485"/>
      <c r="AM135" s="485"/>
      <c r="AN135" s="485"/>
      <c r="AO135" s="485"/>
      <c r="AP135" s="485"/>
      <c r="AQ135" s="485"/>
      <c r="AR135" s="485"/>
      <c r="AS135" s="485"/>
      <c r="AT135" s="485"/>
      <c r="AU135" s="485"/>
      <c r="AV135" s="500"/>
      <c r="AW135" s="323"/>
      <c r="AX135" s="323"/>
      <c r="AY135" s="323"/>
      <c r="AZ135" s="323"/>
      <c r="BA135" s="323"/>
      <c r="BB135" s="323"/>
      <c r="BC135" s="323"/>
      <c r="BD135" s="323"/>
      <c r="BE135" s="323"/>
      <c r="BF135" s="323"/>
      <c r="BG135" s="323"/>
      <c r="BH135" s="323"/>
      <c r="BI135" s="323"/>
      <c r="BJ135" s="323"/>
      <c r="BK135" s="323"/>
      <c r="BL135" s="323"/>
      <c r="BM135" s="323"/>
      <c r="BN135" s="323"/>
      <c r="BO135" s="323"/>
      <c r="BP135" s="323"/>
      <c r="BQ135" s="323"/>
      <c r="BR135" s="323"/>
      <c r="BS135" s="323"/>
      <c r="BT135" s="323"/>
      <c r="BU135" s="323"/>
      <c r="BV135" s="323"/>
      <c r="BW135" s="323"/>
      <c r="BX135" s="323"/>
      <c r="BY135" s="323"/>
      <c r="BZ135" s="323"/>
      <c r="CA135" s="323"/>
      <c r="CB135" s="323"/>
      <c r="CC135" s="323"/>
      <c r="CD135" s="323"/>
      <c r="CE135" s="323"/>
      <c r="CF135" s="323"/>
      <c r="CG135" s="323"/>
      <c r="CH135" s="323"/>
      <c r="CI135" s="323"/>
      <c r="CJ135" s="323"/>
      <c r="CK135" s="323"/>
      <c r="CL135" s="323"/>
      <c r="CM135" s="323"/>
      <c r="CN135" s="323"/>
      <c r="CO135" s="323"/>
      <c r="CP135" s="323"/>
      <c r="CQ135" s="323"/>
      <c r="CR135" s="323"/>
      <c r="CS135" s="323"/>
      <c r="CT135" s="323"/>
      <c r="CU135" s="323"/>
      <c r="CV135" s="323"/>
      <c r="CW135" s="323"/>
      <c r="CX135" s="323"/>
      <c r="CY135" s="323"/>
      <c r="CZ135" s="323"/>
      <c r="DA135" s="323"/>
      <c r="DB135" s="323"/>
      <c r="DC135" s="323"/>
      <c r="DD135" s="323"/>
      <c r="DE135" s="323"/>
      <c r="DF135" s="323"/>
      <c r="DG135" s="323"/>
      <c r="DH135" s="323"/>
      <c r="DI135" s="323"/>
      <c r="DJ135" s="323"/>
      <c r="DK135" s="500"/>
    </row>
    <row r="136" spans="1:115" ht="12" customHeight="1" x14ac:dyDescent="0.3">
      <c r="A136" s="765"/>
      <c r="C136" s="218"/>
      <c r="D136" s="220"/>
      <c r="E136" s="221"/>
      <c r="F136" s="222"/>
      <c r="G136" s="223"/>
      <c r="H136" s="218"/>
      <c r="J136" s="218"/>
      <c r="K136" s="220"/>
      <c r="L136" s="221"/>
      <c r="M136" s="222"/>
      <c r="N136" s="223"/>
      <c r="O136" s="218"/>
      <c r="V136" s="487" t="s">
        <v>706</v>
      </c>
      <c r="W136" s="242">
        <v>17</v>
      </c>
      <c r="X136" s="485" t="str">
        <f>""</f>
        <v/>
      </c>
      <c r="Y136" s="242">
        <v>18</v>
      </c>
      <c r="AB136" s="327" t="str">
        <f>IF(C136="öngól",AC135,AB135)</f>
        <v>nevek.05</v>
      </c>
      <c r="AC136" s="327" t="str">
        <f>IF(H136="öngól",AB135,AC135)</f>
        <v>nevek.07</v>
      </c>
      <c r="AD136" s="327" t="str">
        <f>IF(J136="öngól",AE135,AD135)</f>
        <v>nevek.09</v>
      </c>
      <c r="AE136" s="327" t="str">
        <f>IF(O136="öngól",AD135,AE135)</f>
        <v>nevek.11</v>
      </c>
      <c r="AF136" s="325"/>
      <c r="AG136" s="485">
        <v>1</v>
      </c>
      <c r="AH136" s="488" t="b">
        <f ca="1">AND(W138,X139,D136="",AG136&lt;=W144)</f>
        <v>0</v>
      </c>
      <c r="AI136" s="488" t="b">
        <f ca="1">AND(W138,X139,E136="",AG136&lt;=W144)</f>
        <v>0</v>
      </c>
      <c r="AJ136" s="488" t="b">
        <f ca="1">AND(W138,X139,F136="",AG136&lt;=X144)</f>
        <v>0</v>
      </c>
      <c r="AK136" s="488" t="b">
        <f ca="1">AND(W138,X139,G136="",AG136&lt;=X144)</f>
        <v>0</v>
      </c>
      <c r="AL136" s="488" t="b">
        <f ca="1">AND(Y138,Z139,K136="",AG136&lt;=Y144)</f>
        <v>0</v>
      </c>
      <c r="AM136" s="488" t="b">
        <f ca="1">AND(Y138,Z139,L136="",AG136&lt;=Y144)</f>
        <v>0</v>
      </c>
      <c r="AN136" s="488" t="b">
        <f ca="1">AND(Y138,Z139,M136="",AG136&lt;=Z144)</f>
        <v>0</v>
      </c>
      <c r="AO136" s="488" t="b">
        <f ca="1">AND(Y138,Z139,N136="",AG136&lt;=Z144)</f>
        <v>0</v>
      </c>
      <c r="AQ136" s="326" t="str">
        <f>IF(OR(NOT(Góllista!$E$6),D136=""),"",IF(C136="öngól","ö"&amp;G135&amp;D136,D135&amp;D136))</f>
        <v/>
      </c>
      <c r="AR136" s="326" t="str">
        <f>IF(OR(NOT(Góllista!$E$6),G136=""),"",IF(H136="öngól","ö"&amp;D135&amp;G136,G135&amp;G136))</f>
        <v/>
      </c>
      <c r="AS136" s="326" t="str">
        <f>IF(OR(NOT(Góllista!$E$6),K136=""),"",IF(J136="öngól","ö"&amp;N135&amp;K136,K135&amp;K136))</f>
        <v/>
      </c>
      <c r="AT136" s="326" t="str">
        <f>IF(OR(NOT(Góllista!$E$6),N136=""),"",IF(O136="öngól","ö"&amp;K135&amp;N136,N135&amp;N136))</f>
        <v/>
      </c>
      <c r="AY136" s="323"/>
      <c r="BA136" s="323"/>
      <c r="BC136" s="323"/>
      <c r="BE136" s="323"/>
      <c r="BG136" s="323"/>
      <c r="BI136" s="323"/>
      <c r="BK136" s="323"/>
      <c r="BM136" s="323"/>
      <c r="BO136" s="323"/>
      <c r="BQ136" s="323"/>
      <c r="BS136" s="323"/>
      <c r="BU136" s="323"/>
      <c r="BW136" s="323"/>
      <c r="BY136" s="323"/>
      <c r="CA136" s="323"/>
      <c r="CC136" s="323"/>
      <c r="CE136" s="323"/>
      <c r="CG136" s="323"/>
      <c r="CI136" s="323"/>
      <c r="CK136" s="323"/>
      <c r="CM136" s="323"/>
      <c r="CO136" s="323"/>
      <c r="CQ136" s="323"/>
      <c r="CS136" s="323"/>
      <c r="CU136" s="323"/>
      <c r="CW136" s="323"/>
      <c r="CY136" s="323"/>
      <c r="DA136" s="323"/>
      <c r="DC136" s="323"/>
      <c r="DE136" s="323"/>
      <c r="DG136" s="323"/>
      <c r="DI136" s="323"/>
    </row>
    <row r="137" spans="1:115" ht="12" customHeight="1" x14ac:dyDescent="0.3">
      <c r="A137" s="765"/>
      <c r="C137" s="219"/>
      <c r="D137" s="220"/>
      <c r="E137" s="224"/>
      <c r="F137" s="222"/>
      <c r="G137" s="223"/>
      <c r="H137" s="219"/>
      <c r="J137" s="219"/>
      <c r="K137" s="220"/>
      <c r="L137" s="224"/>
      <c r="M137" s="222"/>
      <c r="N137" s="223"/>
      <c r="O137" s="219"/>
      <c r="V137" s="487" t="s">
        <v>711</v>
      </c>
      <c r="W137" s="327">
        <f>MATCH(W136,n.er.index,0)</f>
        <v>41</v>
      </c>
      <c r="X137" s="485" t="str">
        <f>""</f>
        <v/>
      </c>
      <c r="Y137" s="327">
        <f>MATCH(Y136,n.er.index,0)</f>
        <v>42</v>
      </c>
      <c r="AB137" s="327" t="str">
        <f>IF(C137="öngól",AC135,AB135)</f>
        <v>nevek.05</v>
      </c>
      <c r="AC137" s="327" t="str">
        <f>IF(H137="öngól",AB135,AC135)</f>
        <v>nevek.07</v>
      </c>
      <c r="AD137" s="327" t="str">
        <f>IF(J137="öngól",AE135,AD135)</f>
        <v>nevek.09</v>
      </c>
      <c r="AE137" s="327" t="str">
        <f>IF(O137="öngól",AD135,AE135)</f>
        <v>nevek.11</v>
      </c>
      <c r="AF137" s="325"/>
      <c r="AG137" s="485">
        <v>2</v>
      </c>
      <c r="AH137" s="488" t="b">
        <f ca="1">AND(W138,X139,D137="",AG137&lt;=W144)</f>
        <v>0</v>
      </c>
      <c r="AI137" s="488" t="b">
        <f ca="1">AND(W138,X139,E137="",AG137&lt;=W144)</f>
        <v>0</v>
      </c>
      <c r="AJ137" s="488" t="b">
        <f ca="1">AND(W138,X139,F137="",AG137&lt;=X144)</f>
        <v>0</v>
      </c>
      <c r="AK137" s="488" t="b">
        <f ca="1">AND(W138,X139,G137="",AG137&lt;=X144)</f>
        <v>0</v>
      </c>
      <c r="AL137" s="488" t="b">
        <f ca="1">AND(Y138,Z139,K137="",AG137&lt;=Y144)</f>
        <v>0</v>
      </c>
      <c r="AM137" s="488" t="b">
        <f ca="1">AND(Y138,Z139,L137="",AG137&lt;=Y144)</f>
        <v>0</v>
      </c>
      <c r="AN137" s="488" t="b">
        <f ca="1">AND(Y138,Z139,M137="",AG137&lt;=Z144)</f>
        <v>0</v>
      </c>
      <c r="AO137" s="488" t="b">
        <f ca="1">AND(Y138,Z139,N137="",AG137&lt;=Z144)</f>
        <v>0</v>
      </c>
      <c r="AQ137" s="326" t="str">
        <f>IF(OR(NOT(Góllista!$E$6),D137=""),"",IF(C137="öngól","ö"&amp;G135&amp;D137,D135&amp;D137))</f>
        <v/>
      </c>
      <c r="AR137" s="326" t="str">
        <f>IF(OR(NOT(Góllista!$E$6),G137=""),"",IF(H137="öngól","ö"&amp;D135&amp;G137,G135&amp;G137))</f>
        <v/>
      </c>
      <c r="AS137" s="326" t="str">
        <f>IF(OR(NOT(Góllista!$E$6),K137=""),"",IF(J137="öngól","ö"&amp;N135&amp;K137,K135&amp;K137))</f>
        <v/>
      </c>
      <c r="AT137" s="326" t="str">
        <f>IF(OR(NOT(Góllista!$E$6),N137=""),"",IF(O137="öngól","ö"&amp;K135&amp;N137,N135&amp;N137))</f>
        <v/>
      </c>
      <c r="AY137" s="323"/>
      <c r="BA137" s="323"/>
      <c r="BC137" s="323"/>
      <c r="BE137" s="323"/>
      <c r="BG137" s="323"/>
      <c r="BI137" s="323"/>
      <c r="BK137" s="323"/>
      <c r="BM137" s="323"/>
      <c r="BO137" s="323"/>
      <c r="BQ137" s="323"/>
      <c r="BS137" s="323"/>
      <c r="BU137" s="323"/>
      <c r="BW137" s="323"/>
      <c r="BY137" s="323"/>
      <c r="CA137" s="323"/>
      <c r="CC137" s="323"/>
      <c r="CE137" s="323"/>
      <c r="CG137" s="323"/>
      <c r="CI137" s="323"/>
      <c r="CK137" s="323"/>
      <c r="CM137" s="323"/>
      <c r="CO137" s="323"/>
      <c r="CQ137" s="323"/>
      <c r="CS137" s="323"/>
      <c r="CU137" s="323"/>
      <c r="CW137" s="323"/>
      <c r="CY137" s="323"/>
      <c r="DA137" s="323"/>
      <c r="DC137" s="323"/>
      <c r="DE137" s="323"/>
      <c r="DG137" s="323"/>
      <c r="DI137" s="323"/>
    </row>
    <row r="138" spans="1:115" ht="12" customHeight="1" x14ac:dyDescent="0.3">
      <c r="A138" s="765"/>
      <c r="C138" s="219"/>
      <c r="D138" s="220"/>
      <c r="E138" s="224"/>
      <c r="F138" s="222"/>
      <c r="G138" s="223"/>
      <c r="H138" s="219"/>
      <c r="J138" s="219"/>
      <c r="K138" s="220"/>
      <c r="L138" s="224"/>
      <c r="M138" s="222"/>
      <c r="N138" s="223"/>
      <c r="O138" s="219"/>
      <c r="V138" s="487" t="s">
        <v>710</v>
      </c>
      <c r="W138" s="489" t="b">
        <f>INDEX(n.er,W137,3)</f>
        <v>0</v>
      </c>
      <c r="X138" s="485" t="str">
        <f>""</f>
        <v/>
      </c>
      <c r="Y138" s="489" t="b">
        <f>INDEX(n.er,Y137,3)</f>
        <v>0</v>
      </c>
      <c r="AB138" s="327" t="str">
        <f>IF(C138="öngól",AC135,AB135)</f>
        <v>nevek.05</v>
      </c>
      <c r="AC138" s="327" t="str">
        <f>IF(H138="öngól",AB135,AC135)</f>
        <v>nevek.07</v>
      </c>
      <c r="AD138" s="327" t="str">
        <f>IF(J138="öngól",AE135,AD135)</f>
        <v>nevek.09</v>
      </c>
      <c r="AE138" s="327" t="str">
        <f>IF(O138="öngól",AD135,AE135)</f>
        <v>nevek.11</v>
      </c>
      <c r="AF138" s="325"/>
      <c r="AG138" s="485">
        <v>3</v>
      </c>
      <c r="AH138" s="488" t="b">
        <f ca="1">AND(W138,X139,D138="",AG138&lt;=W144)</f>
        <v>0</v>
      </c>
      <c r="AI138" s="488" t="b">
        <f ca="1">AND(W138,X139,E138="",AG138&lt;=W144)</f>
        <v>0</v>
      </c>
      <c r="AJ138" s="488" t="b">
        <f ca="1">AND(W138,X139,F138="",AG138&lt;=X144)</f>
        <v>0</v>
      </c>
      <c r="AK138" s="488" t="b">
        <f ca="1">AND(W138,X139,G138="",AG138&lt;=X144)</f>
        <v>0</v>
      </c>
      <c r="AL138" s="488" t="b">
        <f ca="1">AND(Y138,Z139,K138="",AG138&lt;=Y144)</f>
        <v>0</v>
      </c>
      <c r="AM138" s="488" t="b">
        <f ca="1">AND(Y138,Z139,L138="",AG138&lt;=Y144)</f>
        <v>0</v>
      </c>
      <c r="AN138" s="488" t="b">
        <f ca="1">AND(Y138,Z139,M138="",AG138&lt;=Z144)</f>
        <v>0</v>
      </c>
      <c r="AO138" s="488" t="b">
        <f ca="1">AND(Y138,Z139,N138="",AG138&lt;=Z144)</f>
        <v>0</v>
      </c>
      <c r="AQ138" s="326" t="str">
        <f>IF(OR(NOT(Góllista!$E$6),D138=""),"",IF(C138="öngól","ö"&amp;G135&amp;D138,D135&amp;D138))</f>
        <v/>
      </c>
      <c r="AR138" s="326" t="str">
        <f>IF(OR(NOT(Góllista!$E$6),G138=""),"",IF(H138="öngól","ö"&amp;D135&amp;G138,G135&amp;G138))</f>
        <v/>
      </c>
      <c r="AS138" s="326" t="str">
        <f>IF(OR(NOT(Góllista!$E$6),K138=""),"",IF(J138="öngól","ö"&amp;N135&amp;K138,K135&amp;K138))</f>
        <v/>
      </c>
      <c r="AT138" s="326" t="str">
        <f>IF(OR(NOT(Góllista!$E$6),N138=""),"",IF(O138="öngól","ö"&amp;K135&amp;N138,N135&amp;N138))</f>
        <v/>
      </c>
      <c r="AY138" s="323"/>
      <c r="BA138" s="323"/>
      <c r="BC138" s="323"/>
      <c r="BE138" s="323"/>
      <c r="BG138" s="323"/>
      <c r="BI138" s="323"/>
      <c r="BK138" s="323"/>
      <c r="BM138" s="323"/>
      <c r="BO138" s="323"/>
      <c r="BQ138" s="323"/>
      <c r="BS138" s="323"/>
      <c r="BU138" s="323"/>
      <c r="BW138" s="323"/>
      <c r="BY138" s="323"/>
      <c r="CA138" s="323"/>
      <c r="CC138" s="323"/>
      <c r="CE138" s="323"/>
      <c r="CG138" s="323"/>
      <c r="CI138" s="323"/>
      <c r="CK138" s="323"/>
      <c r="CM138" s="323"/>
      <c r="CO138" s="323"/>
      <c r="CQ138" s="323"/>
      <c r="CS138" s="323"/>
      <c r="CU138" s="323"/>
      <c r="CW138" s="323"/>
      <c r="CY138" s="323"/>
      <c r="DA138" s="323"/>
      <c r="DC138" s="323"/>
      <c r="DE138" s="323"/>
      <c r="DG138" s="323"/>
      <c r="DI138" s="323"/>
    </row>
    <row r="139" spans="1:115" ht="12" customHeight="1" x14ac:dyDescent="0.3">
      <c r="A139" s="765"/>
      <c r="C139" s="219"/>
      <c r="D139" s="220"/>
      <c r="E139" s="224"/>
      <c r="F139" s="222"/>
      <c r="G139" s="223"/>
      <c r="H139" s="219"/>
      <c r="J139" s="219"/>
      <c r="K139" s="220"/>
      <c r="L139" s="224"/>
      <c r="M139" s="222"/>
      <c r="N139" s="223"/>
      <c r="O139" s="219"/>
      <c r="V139" s="487" t="s">
        <v>705</v>
      </c>
      <c r="W139" s="490" t="str">
        <f>VLOOKUP(W136,schedule,18,FALSE)</f>
        <v>JÚNIUS 17. – CSÜTÖRTÖK 18:00</v>
      </c>
      <c r="X139" s="489" t="b">
        <f ca="1">VLOOKUP(W136,schedule,14,FALSE)&lt;=NOW()</f>
        <v>0</v>
      </c>
      <c r="Y139" s="490" t="str">
        <f>VLOOKUP(Y136,schedule,18,FALSE)</f>
        <v>JÚNIUS 17. – CSÜTÖRTÖK 21:00</v>
      </c>
      <c r="Z139" s="489" t="b">
        <f ca="1">VLOOKUP(Y136,schedule,14,FALSE)&lt;=NOW()</f>
        <v>0</v>
      </c>
      <c r="AB139" s="327" t="str">
        <f>IF(C139="öngól",AC135,AB135)</f>
        <v>nevek.05</v>
      </c>
      <c r="AC139" s="327" t="str">
        <f>IF(H139="öngól",AB135,AC135)</f>
        <v>nevek.07</v>
      </c>
      <c r="AD139" s="327" t="str">
        <f>IF(J139="öngól",AE135,AD135)</f>
        <v>nevek.09</v>
      </c>
      <c r="AE139" s="327" t="str">
        <f>IF(O139="öngól",AD135,AE135)</f>
        <v>nevek.11</v>
      </c>
      <c r="AF139" s="325"/>
      <c r="AG139" s="485">
        <v>4</v>
      </c>
      <c r="AH139" s="488" t="b">
        <f ca="1">AND(W138,X139,D139="",AG139&lt;=W144)</f>
        <v>0</v>
      </c>
      <c r="AI139" s="488" t="b">
        <f ca="1">AND(W138,X139,E139="",AG139&lt;=W144)</f>
        <v>0</v>
      </c>
      <c r="AJ139" s="488" t="b">
        <f ca="1">AND(W138,X139,F139="",AG139&lt;=X144)</f>
        <v>0</v>
      </c>
      <c r="AK139" s="488" t="b">
        <f ca="1">AND(W138,X139,G139="",AG139&lt;=X144)</f>
        <v>0</v>
      </c>
      <c r="AL139" s="488" t="b">
        <f ca="1">AND(Y138,Z139,K139="",AG139&lt;=Y144)</f>
        <v>0</v>
      </c>
      <c r="AM139" s="488" t="b">
        <f ca="1">AND(Y138,Z139,L139="",AG139&lt;=Y144)</f>
        <v>0</v>
      </c>
      <c r="AN139" s="488" t="b">
        <f ca="1">AND(Y138,Z139,M139="",AG139&lt;=Z144)</f>
        <v>0</v>
      </c>
      <c r="AO139" s="488" t="b">
        <f ca="1">AND(Y138,Z139,N139="",AG139&lt;=Z144)</f>
        <v>0</v>
      </c>
      <c r="AQ139" s="326" t="str">
        <f>IF(OR(NOT(Góllista!$E$6),D139=""),"",IF(C139="öngól","ö"&amp;G135&amp;D139,D135&amp;D139))</f>
        <v/>
      </c>
      <c r="AR139" s="326" t="str">
        <f>IF(OR(NOT(Góllista!$E$6),G139=""),"",IF(H139="öngól","ö"&amp;D135&amp;G139,G135&amp;G139))</f>
        <v/>
      </c>
      <c r="AS139" s="326" t="str">
        <f>IF(OR(NOT(Góllista!$E$6),K139=""),"",IF(J139="öngól","ö"&amp;N135&amp;K139,K135&amp;K139))</f>
        <v/>
      </c>
      <c r="AT139" s="326" t="str">
        <f>IF(OR(NOT(Góllista!$E$6),N139=""),"",IF(O139="öngól","ö"&amp;K135&amp;N139,N135&amp;N139))</f>
        <v/>
      </c>
      <c r="AY139" s="323"/>
      <c r="BA139" s="323"/>
      <c r="BC139" s="323"/>
      <c r="BE139" s="323"/>
      <c r="BG139" s="323"/>
      <c r="BI139" s="323"/>
      <c r="BK139" s="323"/>
      <c r="BM139" s="323"/>
      <c r="BO139" s="323"/>
      <c r="BQ139" s="323"/>
      <c r="BS139" s="323"/>
      <c r="BU139" s="323"/>
      <c r="BW139" s="323"/>
      <c r="BY139" s="323"/>
      <c r="CA139" s="323"/>
      <c r="CC139" s="323"/>
      <c r="CE139" s="323"/>
      <c r="CG139" s="323"/>
      <c r="CI139" s="323"/>
      <c r="CK139" s="323"/>
      <c r="CM139" s="323"/>
      <c r="CO139" s="323"/>
      <c r="CQ139" s="323"/>
      <c r="CS139" s="323"/>
      <c r="CU139" s="323"/>
      <c r="CW139" s="323"/>
      <c r="CY139" s="323"/>
      <c r="DA139" s="323"/>
      <c r="DC139" s="323"/>
      <c r="DE139" s="323"/>
      <c r="DG139" s="323"/>
      <c r="DI139" s="323"/>
    </row>
    <row r="140" spans="1:115" ht="12" customHeight="1" x14ac:dyDescent="0.3">
      <c r="A140" s="765"/>
      <c r="C140" s="219"/>
      <c r="D140" s="220"/>
      <c r="E140" s="224"/>
      <c r="F140" s="222"/>
      <c r="G140" s="223"/>
      <c r="H140" s="219"/>
      <c r="J140" s="219"/>
      <c r="K140" s="220"/>
      <c r="L140" s="224"/>
      <c r="M140" s="222"/>
      <c r="N140" s="223"/>
      <c r="O140" s="219"/>
      <c r="V140" s="487" t="s">
        <v>1265</v>
      </c>
      <c r="W140" s="491" t="str">
        <f>VLOOKUP(W136,schedule,12,FALSE)</f>
        <v>2. CSOPORTMÉRKŐZÉS</v>
      </c>
      <c r="X140" s="485" t="str">
        <f>""</f>
        <v/>
      </c>
      <c r="Y140" s="491" t="str">
        <f>VLOOKUP(Y136,schedule,12,FALSE)</f>
        <v>2. CSOPORTMÉRKŐZÉS</v>
      </c>
      <c r="AB140" s="327" t="str">
        <f>IF(C140="öngól",AC135,AB135)</f>
        <v>nevek.05</v>
      </c>
      <c r="AC140" s="327" t="str">
        <f>IF(H140="öngól",AB135,AC135)</f>
        <v>nevek.07</v>
      </c>
      <c r="AD140" s="327" t="str">
        <f>IF(J140="öngól",AE135,AD135)</f>
        <v>nevek.09</v>
      </c>
      <c r="AE140" s="327" t="str">
        <f>IF(O140="öngól",AD135,AE135)</f>
        <v>nevek.11</v>
      </c>
      <c r="AF140" s="325"/>
      <c r="AG140" s="485">
        <v>5</v>
      </c>
      <c r="AH140" s="488" t="b">
        <f ca="1">AND(W138,X139,D140="",AG140&lt;=W144)</f>
        <v>0</v>
      </c>
      <c r="AI140" s="488" t="b">
        <f ca="1">AND(W138,X139,E140="",AG140&lt;=W144)</f>
        <v>0</v>
      </c>
      <c r="AJ140" s="488" t="b">
        <f ca="1">AND(W138,X139,F140="",AG140&lt;=X144)</f>
        <v>0</v>
      </c>
      <c r="AK140" s="488" t="b">
        <f ca="1">AND(W138,X139,G140="",AG140&lt;=X144)</f>
        <v>0</v>
      </c>
      <c r="AL140" s="488" t="b">
        <f ca="1">AND(Y138,Z139,K140="",AG140&lt;=Y144)</f>
        <v>0</v>
      </c>
      <c r="AM140" s="488" t="b">
        <f ca="1">AND(Y138,Z139,L140="",AG140&lt;=Y144)</f>
        <v>0</v>
      </c>
      <c r="AN140" s="488" t="b">
        <f ca="1">AND(Y138,Z139,M140="",AG140&lt;=Z144)</f>
        <v>0</v>
      </c>
      <c r="AO140" s="488" t="b">
        <f ca="1">AND(Y138,Z139,N140="",AG140&lt;=Z144)</f>
        <v>0</v>
      </c>
      <c r="AQ140" s="326" t="str">
        <f>IF(OR(NOT(Góllista!$E$6),D140=""),"",IF(C140="öngól","ö"&amp;G135&amp;D140,D135&amp;D140))</f>
        <v/>
      </c>
      <c r="AR140" s="326" t="str">
        <f>IF(OR(NOT(Góllista!$E$6),G140=""),"",IF(H140="öngól","ö"&amp;D135&amp;G140,G135&amp;G140))</f>
        <v/>
      </c>
      <c r="AS140" s="326" t="str">
        <f>IF(OR(NOT(Góllista!$E$6),K140=""),"",IF(J140="öngól","ö"&amp;N135&amp;K140,K135&amp;K140))</f>
        <v/>
      </c>
      <c r="AT140" s="326" t="str">
        <f>IF(OR(NOT(Góllista!$E$6),N140=""),"",IF(O140="öngól","ö"&amp;K135&amp;N140,N135&amp;N140))</f>
        <v/>
      </c>
      <c r="AY140" s="323"/>
      <c r="BA140" s="323"/>
      <c r="BC140" s="323"/>
      <c r="BE140" s="323"/>
      <c r="BG140" s="323"/>
      <c r="BI140" s="323"/>
      <c r="BK140" s="323"/>
      <c r="BM140" s="323"/>
      <c r="BO140" s="323"/>
      <c r="BQ140" s="323"/>
      <c r="BS140" s="323"/>
      <c r="BU140" s="323"/>
      <c r="BW140" s="323"/>
      <c r="BY140" s="323"/>
      <c r="CA140" s="323"/>
      <c r="CC140" s="323"/>
      <c r="CE140" s="323"/>
      <c r="CG140" s="323"/>
      <c r="CI140" s="323"/>
      <c r="CK140" s="323"/>
      <c r="CM140" s="323"/>
      <c r="CO140" s="323"/>
      <c r="CQ140" s="323"/>
      <c r="CS140" s="323"/>
      <c r="CU140" s="323"/>
      <c r="CW140" s="323"/>
      <c r="CY140" s="323"/>
      <c r="DA140" s="323"/>
      <c r="DC140" s="323"/>
      <c r="DE140" s="323"/>
      <c r="DG140" s="323"/>
      <c r="DI140" s="323"/>
    </row>
    <row r="141" spans="1:115" ht="12" customHeight="1" x14ac:dyDescent="0.3">
      <c r="A141" s="765"/>
      <c r="C141" s="219"/>
      <c r="D141" s="220"/>
      <c r="E141" s="224"/>
      <c r="F141" s="222"/>
      <c r="G141" s="223"/>
      <c r="H141" s="219"/>
      <c r="J141" s="219"/>
      <c r="K141" s="220"/>
      <c r="L141" s="224"/>
      <c r="M141" s="222"/>
      <c r="N141" s="223"/>
      <c r="O141" s="219"/>
      <c r="V141" s="487" t="s">
        <v>1264</v>
      </c>
      <c r="W141" s="327" t="str">
        <f>VLOOKUP(W136,schedule,3,FALSE)</f>
        <v>B</v>
      </c>
      <c r="X141" s="485" t="str">
        <f>""</f>
        <v/>
      </c>
      <c r="Y141" s="327" t="str">
        <f>VLOOKUP(Y136,schedule,3,FALSE)</f>
        <v>C</v>
      </c>
      <c r="AB141" s="327" t="str">
        <f>IF(C141="öngól",AC135,AB135)</f>
        <v>nevek.05</v>
      </c>
      <c r="AC141" s="327" t="str">
        <f>IF(H141="öngól",AB135,AC135)</f>
        <v>nevek.07</v>
      </c>
      <c r="AD141" s="327" t="str">
        <f>IF(J141="öngól",AE135,AD135)</f>
        <v>nevek.09</v>
      </c>
      <c r="AE141" s="327" t="str">
        <f>IF(O141="öngól",AD135,AE135)</f>
        <v>nevek.11</v>
      </c>
      <c r="AF141" s="325"/>
      <c r="AG141" s="485">
        <v>6</v>
      </c>
      <c r="AH141" s="488" t="b">
        <f ca="1">AND(W138,X139,D141="",AG141&lt;=W144)</f>
        <v>0</v>
      </c>
      <c r="AI141" s="488" t="b">
        <f ca="1">AND(W138,X139,E141="",AG141&lt;=W144)</f>
        <v>0</v>
      </c>
      <c r="AJ141" s="488" t="b">
        <f ca="1">AND(W138,X139,F141="",AG141&lt;=X144)</f>
        <v>0</v>
      </c>
      <c r="AK141" s="488" t="b">
        <f ca="1">AND(W138,X139,G141="",AG141&lt;=X144)</f>
        <v>0</v>
      </c>
      <c r="AL141" s="488" t="b">
        <f ca="1">AND(Y138,Z139,K141="",AG141&lt;=Y144)</f>
        <v>0</v>
      </c>
      <c r="AM141" s="488" t="b">
        <f ca="1">AND(Y138,Z139,L141="",AG141&lt;=Y144)</f>
        <v>0</v>
      </c>
      <c r="AN141" s="488" t="b">
        <f ca="1">AND(Y138,Z139,M141="",AG141&lt;=Z144)</f>
        <v>0</v>
      </c>
      <c r="AO141" s="488" t="b">
        <f ca="1">AND(Y138,Z139,N141="",AG141&lt;=Z144)</f>
        <v>0</v>
      </c>
      <c r="AQ141" s="326" t="str">
        <f>IF(OR(NOT(Góllista!$E$6),D141=""),"",IF(C141="öngól","ö"&amp;G135&amp;D141,D135&amp;D141))</f>
        <v/>
      </c>
      <c r="AR141" s="326" t="str">
        <f>IF(OR(NOT(Góllista!$E$6),G141=""),"",IF(H141="öngól","ö"&amp;D135&amp;G141,G135&amp;G141))</f>
        <v/>
      </c>
      <c r="AS141" s="326" t="str">
        <f>IF(OR(NOT(Góllista!$E$6),K141=""),"",IF(J141="öngól","ö"&amp;N135&amp;K141,K135&amp;K141))</f>
        <v/>
      </c>
      <c r="AT141" s="326" t="str">
        <f>IF(OR(NOT(Góllista!$E$6),N141=""),"",IF(O141="öngól","ö"&amp;K135&amp;N141,N135&amp;N141))</f>
        <v/>
      </c>
      <c r="AY141" s="323"/>
      <c r="BA141" s="323"/>
      <c r="BC141" s="323"/>
      <c r="BE141" s="323"/>
      <c r="BG141" s="323"/>
      <c r="BI141" s="323"/>
      <c r="BK141" s="323"/>
      <c r="BM141" s="323"/>
      <c r="BO141" s="323"/>
      <c r="BQ141" s="323"/>
      <c r="BS141" s="323"/>
      <c r="BU141" s="323"/>
      <c r="BW141" s="323"/>
      <c r="BY141" s="323"/>
      <c r="CA141" s="323"/>
      <c r="CC141" s="323"/>
      <c r="CE141" s="323"/>
      <c r="CG141" s="323"/>
      <c r="CI141" s="323"/>
      <c r="CK141" s="323"/>
      <c r="CM141" s="323"/>
      <c r="CO141" s="323"/>
      <c r="CQ141" s="323"/>
      <c r="CS141" s="323"/>
      <c r="CU141" s="323"/>
      <c r="CW141" s="323"/>
      <c r="CY141" s="323"/>
      <c r="DA141" s="323"/>
      <c r="DC141" s="323"/>
      <c r="DE141" s="323"/>
      <c r="DG141" s="323"/>
      <c r="DI141" s="323"/>
    </row>
    <row r="142" spans="1:115" ht="12" customHeight="1" x14ac:dyDescent="0.3">
      <c r="A142" s="765"/>
      <c r="C142" s="219"/>
      <c r="D142" s="220"/>
      <c r="E142" s="224"/>
      <c r="F142" s="222"/>
      <c r="G142" s="223"/>
      <c r="H142" s="219"/>
      <c r="J142" s="219"/>
      <c r="K142" s="220"/>
      <c r="L142" s="224"/>
      <c r="M142" s="222"/>
      <c r="N142" s="223"/>
      <c r="O142" s="219"/>
      <c r="V142" s="485" t="s">
        <v>707</v>
      </c>
      <c r="W142" s="327">
        <f>IF(NOT(W138),0,E135-9+COUNTBLANK(D136:D144))</f>
        <v>0</v>
      </c>
      <c r="X142" s="327">
        <f>IF(NOT(W138),0,F135-9+COUNTBLANK(G136:G144))</f>
        <v>0</v>
      </c>
      <c r="Y142" s="327">
        <f>IF(NOT(Y138),0,L135-9+COUNTBLANK(K136:K144))</f>
        <v>0</v>
      </c>
      <c r="Z142" s="327">
        <f>IF(NOT(Y138),0,M135-9+COUNTBLANK(N136:N144))</f>
        <v>0</v>
      </c>
      <c r="AB142" s="327" t="str">
        <f>IF(C142="öngól",AC135,AB135)</f>
        <v>nevek.05</v>
      </c>
      <c r="AC142" s="327" t="str">
        <f>IF(H142="öngól",AB135,AC135)</f>
        <v>nevek.07</v>
      </c>
      <c r="AD142" s="327" t="str">
        <f>IF(J142="öngól",AE135,AD135)</f>
        <v>nevek.09</v>
      </c>
      <c r="AE142" s="327" t="str">
        <f>IF(O142="öngól",AD135,AE135)</f>
        <v>nevek.11</v>
      </c>
      <c r="AF142" s="325"/>
      <c r="AG142" s="485">
        <v>7</v>
      </c>
      <c r="AH142" s="488" t="b">
        <f ca="1">AND(W138,X139,D142="",AG142&lt;=W144)</f>
        <v>0</v>
      </c>
      <c r="AI142" s="488" t="b">
        <f ca="1">AND(W138,X139,E142="",AG142&lt;=W144)</f>
        <v>0</v>
      </c>
      <c r="AJ142" s="488" t="b">
        <f ca="1">AND(W138,X139,F142="",AG142&lt;=X144)</f>
        <v>0</v>
      </c>
      <c r="AK142" s="488" t="b">
        <f ca="1">AND(W138,X139,G142="",AG142&lt;=X144)</f>
        <v>0</v>
      </c>
      <c r="AL142" s="488" t="b">
        <f ca="1">AND(Y138,Z139,K142="",AG142&lt;=Y144)</f>
        <v>0</v>
      </c>
      <c r="AM142" s="488" t="b">
        <f ca="1">AND(Y138,Z139,L142="",AG142&lt;=Y144)</f>
        <v>0</v>
      </c>
      <c r="AN142" s="488" t="b">
        <f ca="1">AND(Y138,Z139,M142="",AG142&lt;=Z144)</f>
        <v>0</v>
      </c>
      <c r="AO142" s="488" t="b">
        <f ca="1">AND(Y138,Z139,N142="",AG142&lt;=Z144)</f>
        <v>0</v>
      </c>
      <c r="AQ142" s="326" t="str">
        <f>IF(OR(NOT(Góllista!$E$6),D142=""),"",IF(C142="öngól","ö"&amp;G135&amp;D142,D135&amp;D142))</f>
        <v/>
      </c>
      <c r="AR142" s="326" t="str">
        <f>IF(OR(NOT(Góllista!$E$6),G142=""),"",IF(H142="öngól","ö"&amp;D135&amp;G142,G135&amp;G142))</f>
        <v/>
      </c>
      <c r="AS142" s="326" t="str">
        <f>IF(OR(NOT(Góllista!$E$6),K142=""),"",IF(J142="öngól","ö"&amp;N135&amp;K142,K135&amp;K142))</f>
        <v/>
      </c>
      <c r="AT142" s="326" t="str">
        <f>IF(OR(NOT(Góllista!$E$6),N142=""),"",IF(O142="öngól","ö"&amp;K135&amp;N142,N135&amp;N142))</f>
        <v/>
      </c>
      <c r="AY142" s="323"/>
      <c r="BA142" s="323"/>
      <c r="BC142" s="323"/>
      <c r="BE142" s="323"/>
      <c r="BG142" s="323"/>
      <c r="BI142" s="323"/>
      <c r="BK142" s="323"/>
      <c r="BM142" s="323"/>
      <c r="BO142" s="323"/>
      <c r="BQ142" s="323"/>
      <c r="BS142" s="323"/>
      <c r="BU142" s="323"/>
      <c r="BW142" s="323"/>
      <c r="BY142" s="323"/>
      <c r="CA142" s="323"/>
      <c r="CC142" s="323"/>
      <c r="CE142" s="323"/>
      <c r="CG142" s="323"/>
      <c r="CI142" s="323"/>
      <c r="CK142" s="323"/>
      <c r="CM142" s="323"/>
      <c r="CO142" s="323"/>
      <c r="CQ142" s="323"/>
      <c r="CS142" s="323"/>
      <c r="CU142" s="323"/>
      <c r="CW142" s="323"/>
      <c r="CY142" s="323"/>
      <c r="DA142" s="323"/>
      <c r="DC142" s="323"/>
      <c r="DE142" s="323"/>
      <c r="DG142" s="323"/>
      <c r="DI142" s="323"/>
    </row>
    <row r="143" spans="1:115" ht="12" customHeight="1" x14ac:dyDescent="0.3">
      <c r="A143" s="765"/>
      <c r="C143" s="219"/>
      <c r="D143" s="220"/>
      <c r="E143" s="224"/>
      <c r="F143" s="222"/>
      <c r="G143" s="223"/>
      <c r="H143" s="219"/>
      <c r="J143" s="219"/>
      <c r="K143" s="220"/>
      <c r="L143" s="224"/>
      <c r="M143" s="222"/>
      <c r="N143" s="223"/>
      <c r="O143" s="219"/>
      <c r="V143" s="485" t="s">
        <v>708</v>
      </c>
      <c r="W143" s="411" t="str">
        <f>VLOOKUP(W136,schedule,8,FALSE)</f>
        <v>Dánia</v>
      </c>
      <c r="X143" s="411" t="str">
        <f>VLOOKUP(W136,schedule,9,FALSE)</f>
        <v>Belgium</v>
      </c>
      <c r="Y143" s="411" t="str">
        <f>VLOOKUP(Y136,schedule,8,FALSE)</f>
        <v>Hollandia</v>
      </c>
      <c r="Z143" s="491" t="str">
        <f>VLOOKUP(Y136,schedule,9,FALSE)</f>
        <v>Ausztria</v>
      </c>
      <c r="AB143" s="327" t="str">
        <f>IF(C143="öngól",AC135,AB135)</f>
        <v>nevek.05</v>
      </c>
      <c r="AC143" s="327" t="str">
        <f>IF(H143="öngól",AB135,AC135)</f>
        <v>nevek.07</v>
      </c>
      <c r="AD143" s="327" t="str">
        <f>IF(J143="öngól",AE135,AD135)</f>
        <v>nevek.09</v>
      </c>
      <c r="AE143" s="327" t="str">
        <f>IF(O143="öngól",AD135,AE135)</f>
        <v>nevek.11</v>
      </c>
      <c r="AF143" s="325"/>
      <c r="AG143" s="485">
        <v>8</v>
      </c>
      <c r="AH143" s="488" t="b">
        <f ca="1">AND(W138,X139,D143="",AG143&lt;=W144)</f>
        <v>0</v>
      </c>
      <c r="AI143" s="488" t="b">
        <f ca="1">AND(W138,X139,E143="",AG143&lt;=W144)</f>
        <v>0</v>
      </c>
      <c r="AJ143" s="488" t="b">
        <f ca="1">AND(W138,X139,F143="",AG143&lt;=X144)</f>
        <v>0</v>
      </c>
      <c r="AK143" s="488" t="b">
        <f ca="1">AND(W138,X139,G143="",AG143&lt;=X144)</f>
        <v>0</v>
      </c>
      <c r="AL143" s="488" t="b">
        <f ca="1">AND(Y138,Z139,K143="",AG143&lt;=Y144)</f>
        <v>0</v>
      </c>
      <c r="AM143" s="488" t="b">
        <f ca="1">AND(Y138,Z139,L143="",AG143&lt;=Y144)</f>
        <v>0</v>
      </c>
      <c r="AN143" s="488" t="b">
        <f ca="1">AND(Y138,Z139,M143="",AG143&lt;=Z144)</f>
        <v>0</v>
      </c>
      <c r="AO143" s="488" t="b">
        <f ca="1">AND(Y138,Z139,N143="",AG143&lt;=Z144)</f>
        <v>0</v>
      </c>
      <c r="AQ143" s="326" t="str">
        <f>IF(OR(NOT(Góllista!$E$6),D143=""),"",IF(C143="öngól","ö"&amp;G135&amp;D143,D135&amp;D143))</f>
        <v/>
      </c>
      <c r="AR143" s="326" t="str">
        <f>IF(OR(NOT(Góllista!$E$6),G143=""),"",IF(H143="öngól","ö"&amp;D135&amp;G143,G135&amp;G143))</f>
        <v/>
      </c>
      <c r="AS143" s="326" t="str">
        <f>IF(OR(NOT(Góllista!$E$6),K143=""),"",IF(J143="öngól","ö"&amp;N135&amp;K143,K135&amp;K143))</f>
        <v/>
      </c>
      <c r="AT143" s="326" t="str">
        <f>IF(OR(NOT(Góllista!$E$6),N143=""),"",IF(O143="öngól","ö"&amp;K135&amp;N143,N135&amp;N143))</f>
        <v/>
      </c>
      <c r="AY143" s="323"/>
      <c r="BA143" s="323"/>
      <c r="BC143" s="323"/>
      <c r="BE143" s="323"/>
      <c r="BG143" s="323"/>
      <c r="BI143" s="323"/>
      <c r="BK143" s="323"/>
      <c r="BM143" s="323"/>
      <c r="BO143" s="323"/>
      <c r="BQ143" s="323"/>
      <c r="BS143" s="323"/>
      <c r="BU143" s="323"/>
      <c r="BW143" s="323"/>
      <c r="BY143" s="323"/>
      <c r="CA143" s="323"/>
      <c r="CC143" s="323"/>
      <c r="CE143" s="323"/>
      <c r="CG143" s="323"/>
      <c r="CI143" s="323"/>
      <c r="CK143" s="323"/>
      <c r="CM143" s="323"/>
      <c r="CO143" s="323"/>
      <c r="CQ143" s="323"/>
      <c r="CS143" s="323"/>
      <c r="CU143" s="323"/>
      <c r="CW143" s="323"/>
      <c r="CY143" s="323"/>
      <c r="DA143" s="323"/>
      <c r="DC143" s="323"/>
      <c r="DE143" s="323"/>
      <c r="DG143" s="323"/>
      <c r="DI143" s="323"/>
    </row>
    <row r="144" spans="1:115" ht="12" customHeight="1" x14ac:dyDescent="0.3">
      <c r="A144" s="765"/>
      <c r="C144" s="219"/>
      <c r="D144" s="220"/>
      <c r="E144" s="225"/>
      <c r="F144" s="222"/>
      <c r="G144" s="223"/>
      <c r="H144" s="219"/>
      <c r="J144" s="219"/>
      <c r="K144" s="220"/>
      <c r="L144" s="225"/>
      <c r="M144" s="222"/>
      <c r="N144" s="223"/>
      <c r="O144" s="219"/>
      <c r="V144" s="485" t="s">
        <v>709</v>
      </c>
      <c r="W144" s="492" t="str">
        <f>INDEX(n.er,W137,9)</f>
        <v/>
      </c>
      <c r="X144" s="493" t="str">
        <f>INDEX(n.er,W137,10)</f>
        <v/>
      </c>
      <c r="Y144" s="492" t="str">
        <f>INDEX(n.er,Y137,9)</f>
        <v/>
      </c>
      <c r="Z144" s="493" t="str">
        <f>INDEX(n.er,Y137,10)</f>
        <v/>
      </c>
      <c r="AB144" s="327" t="str">
        <f>IF(C144="öngól",AC135,AB135)</f>
        <v>nevek.05</v>
      </c>
      <c r="AC144" s="327" t="str">
        <f>IF(H144="öngól",AB135,AC135)</f>
        <v>nevek.07</v>
      </c>
      <c r="AD144" s="327" t="str">
        <f>IF(J144="öngól",AE135,AD135)</f>
        <v>nevek.09</v>
      </c>
      <c r="AE144" s="327" t="str">
        <f>IF(O144="öngól",AD135,AE135)</f>
        <v>nevek.11</v>
      </c>
      <c r="AF144" s="325"/>
      <c r="AG144" s="485">
        <v>9</v>
      </c>
      <c r="AH144" s="488" t="b">
        <f ca="1">AND(W138,X139,D144="",AG144&lt;=W144)</f>
        <v>0</v>
      </c>
      <c r="AI144" s="488" t="b">
        <f ca="1">AND(W138,X139,E144="",AG144&lt;=W144)</f>
        <v>0</v>
      </c>
      <c r="AJ144" s="488" t="b">
        <f ca="1">AND(W138,X139,F144="",AG144&lt;=X144)</f>
        <v>0</v>
      </c>
      <c r="AK144" s="488" t="b">
        <f ca="1">AND(W138,X139,G144="",AG144&lt;=X144)</f>
        <v>0</v>
      </c>
      <c r="AL144" s="488" t="b">
        <f ca="1">AND(Y138,Z139,K144="",AG144&lt;=Y144)</f>
        <v>0</v>
      </c>
      <c r="AM144" s="488" t="b">
        <f ca="1">AND(Y138,Z139,L144="",AG144&lt;=Y144)</f>
        <v>0</v>
      </c>
      <c r="AN144" s="488" t="b">
        <f ca="1">AND(Y138,Z139,M144="",AG144&lt;=Z144)</f>
        <v>0</v>
      </c>
      <c r="AO144" s="488" t="b">
        <f ca="1">AND(Y138,Z139,N144="",AG144&lt;=Z144)</f>
        <v>0</v>
      </c>
      <c r="AQ144" s="326" t="str">
        <f>IF(OR(NOT(Góllista!$E$6),D144=""),"",IF(C144="öngól","ö"&amp;G135&amp;D144,D135&amp;D144))</f>
        <v/>
      </c>
      <c r="AR144" s="326" t="str">
        <f>IF(OR(NOT(Góllista!$E$6),G144=""),"",IF(H144="öngól","ö"&amp;D135&amp;G144,G135&amp;G144))</f>
        <v/>
      </c>
      <c r="AS144" s="326" t="str">
        <f>IF(OR(NOT(Góllista!$E$6),K144=""),"",IF(J144="öngól","ö"&amp;N135&amp;K144,K135&amp;K144))</f>
        <v/>
      </c>
      <c r="AT144" s="326" t="str">
        <f>IF(OR(NOT(Góllista!$E$6),N144=""),"",IF(O144="öngól","ö"&amp;K135&amp;N144,N135&amp;N144))</f>
        <v/>
      </c>
      <c r="AY144" s="323"/>
      <c r="BA144" s="323"/>
      <c r="BC144" s="323"/>
      <c r="BE144" s="323"/>
      <c r="BG144" s="323"/>
      <c r="BI144" s="323"/>
      <c r="BK144" s="323"/>
      <c r="BM144" s="323"/>
      <c r="BO144" s="323"/>
      <c r="BQ144" s="323"/>
      <c r="BS144" s="323"/>
      <c r="BU144" s="323"/>
      <c r="BW144" s="323"/>
      <c r="BY144" s="323"/>
      <c r="CA144" s="323"/>
      <c r="CC144" s="323"/>
      <c r="CE144" s="323"/>
      <c r="CG144" s="323"/>
      <c r="CI144" s="323"/>
      <c r="CK144" s="323"/>
      <c r="CM144" s="323"/>
      <c r="CO144" s="323"/>
      <c r="CQ144" s="323"/>
      <c r="CS144" s="323"/>
      <c r="CU144" s="323"/>
      <c r="CW144" s="323"/>
      <c r="CY144" s="323"/>
      <c r="DA144" s="323"/>
      <c r="DC144" s="323"/>
      <c r="DE144" s="323"/>
      <c r="DG144" s="323"/>
      <c r="DI144" s="323"/>
    </row>
    <row r="145" spans="1:115" ht="12" customHeight="1" x14ac:dyDescent="0.3">
      <c r="A145" s="765"/>
      <c r="C145" s="768"/>
      <c r="D145" s="768"/>
      <c r="E145" s="768"/>
      <c r="F145" s="768"/>
      <c r="G145" s="768"/>
      <c r="H145" s="768"/>
      <c r="J145" s="768"/>
      <c r="K145" s="768"/>
      <c r="L145" s="768"/>
      <c r="M145" s="768"/>
      <c r="N145" s="768"/>
      <c r="O145" s="768"/>
      <c r="AY145" s="323"/>
      <c r="BA145" s="323"/>
      <c r="BC145" s="323"/>
      <c r="BE145" s="323"/>
      <c r="BG145" s="323"/>
      <c r="BI145" s="323"/>
      <c r="BK145" s="323"/>
      <c r="BM145" s="323"/>
      <c r="BO145" s="323"/>
      <c r="BQ145" s="323"/>
      <c r="BS145" s="323"/>
      <c r="BU145" s="323"/>
      <c r="BW145" s="323"/>
      <c r="BY145" s="323"/>
      <c r="CA145" s="323"/>
      <c r="CC145" s="323"/>
      <c r="CE145" s="323"/>
      <c r="CG145" s="323"/>
      <c r="CI145" s="323"/>
      <c r="CK145" s="323"/>
      <c r="CM145" s="323"/>
      <c r="CO145" s="323"/>
      <c r="CQ145" s="323"/>
      <c r="CS145" s="323"/>
      <c r="CU145" s="323"/>
      <c r="CW145" s="323"/>
      <c r="CY145" s="323"/>
      <c r="DA145" s="323"/>
      <c r="DC145" s="323"/>
      <c r="DE145" s="323"/>
      <c r="DG145" s="323"/>
      <c r="DI145" s="323"/>
    </row>
    <row r="146" spans="1:115" ht="12" hidden="1" customHeight="1" x14ac:dyDescent="0.3">
      <c r="A146" s="765"/>
      <c r="C146" s="767"/>
      <c r="D146" s="767"/>
      <c r="E146" s="767"/>
      <c r="F146" s="767"/>
      <c r="G146" s="767"/>
      <c r="H146" s="767"/>
      <c r="J146" s="767"/>
      <c r="K146" s="767"/>
      <c r="L146" s="767"/>
      <c r="M146" s="767"/>
      <c r="N146" s="767"/>
      <c r="O146" s="767"/>
      <c r="AY146" s="323"/>
      <c r="BA146" s="323"/>
      <c r="BC146" s="323"/>
      <c r="BE146" s="323"/>
      <c r="BG146" s="323"/>
      <c r="BI146" s="323"/>
      <c r="BK146" s="323"/>
      <c r="BM146" s="323"/>
      <c r="BO146" s="323"/>
      <c r="BQ146" s="323"/>
      <c r="BS146" s="323"/>
      <c r="BU146" s="323"/>
      <c r="BW146" s="323"/>
      <c r="BY146" s="323"/>
      <c r="CA146" s="323"/>
      <c r="CC146" s="323"/>
      <c r="CE146" s="323"/>
      <c r="CG146" s="323"/>
      <c r="CI146" s="323"/>
      <c r="CK146" s="323"/>
      <c r="CM146" s="323"/>
      <c r="CO146" s="323"/>
      <c r="CQ146" s="323"/>
      <c r="CS146" s="323"/>
      <c r="CU146" s="323"/>
      <c r="CW146" s="323"/>
      <c r="CY146" s="323"/>
      <c r="DA146" s="323"/>
      <c r="DC146" s="323"/>
      <c r="DE146" s="323"/>
      <c r="DG146" s="323"/>
      <c r="DI146" s="323"/>
    </row>
    <row r="147" spans="1:115" ht="12" hidden="1" customHeight="1" x14ac:dyDescent="0.3">
      <c r="A147" s="765"/>
      <c r="C147" s="767"/>
      <c r="D147" s="767"/>
      <c r="E147" s="767"/>
      <c r="F147" s="767"/>
      <c r="G147" s="767"/>
      <c r="H147" s="767"/>
      <c r="J147" s="767"/>
      <c r="K147" s="767"/>
      <c r="L147" s="767"/>
      <c r="M147" s="767"/>
      <c r="N147" s="767"/>
      <c r="O147" s="767"/>
      <c r="AY147" s="323"/>
      <c r="BA147" s="323"/>
      <c r="BC147" s="323"/>
      <c r="BE147" s="323"/>
      <c r="BG147" s="323"/>
      <c r="BI147" s="323"/>
      <c r="BK147" s="323"/>
      <c r="BM147" s="323"/>
      <c r="BO147" s="323"/>
      <c r="BQ147" s="323"/>
      <c r="BS147" s="323"/>
      <c r="BU147" s="323"/>
      <c r="BW147" s="323"/>
      <c r="BY147" s="323"/>
      <c r="CA147" s="323"/>
      <c r="CC147" s="323"/>
      <c r="CE147" s="323"/>
      <c r="CG147" s="323"/>
      <c r="CI147" s="323"/>
      <c r="CK147" s="323"/>
      <c r="CM147" s="323"/>
      <c r="CO147" s="323"/>
      <c r="CQ147" s="323"/>
      <c r="CS147" s="323"/>
      <c r="CU147" s="323"/>
      <c r="CW147" s="323"/>
      <c r="CY147" s="323"/>
      <c r="DA147" s="323"/>
      <c r="DC147" s="323"/>
      <c r="DE147" s="323"/>
      <c r="DG147" s="323"/>
      <c r="DI147" s="323"/>
    </row>
    <row r="148" spans="1:115" ht="10.5" customHeight="1" x14ac:dyDescent="0.3">
      <c r="A148" s="765"/>
      <c r="AY148" s="323"/>
      <c r="BA148" s="323"/>
      <c r="BC148" s="323"/>
      <c r="BE148" s="323"/>
      <c r="BG148" s="323"/>
      <c r="BI148" s="323"/>
      <c r="BK148" s="323"/>
      <c r="BM148" s="323"/>
      <c r="BO148" s="323"/>
      <c r="BQ148" s="323"/>
      <c r="BS148" s="323"/>
      <c r="BU148" s="323"/>
      <c r="BW148" s="323"/>
      <c r="BY148" s="323"/>
      <c r="CA148" s="323"/>
      <c r="CC148" s="323"/>
      <c r="CE148" s="323"/>
      <c r="CG148" s="323"/>
      <c r="CI148" s="323"/>
      <c r="CK148" s="323"/>
      <c r="CM148" s="323"/>
      <c r="CO148" s="323"/>
      <c r="CQ148" s="323"/>
      <c r="CS148" s="323"/>
      <c r="CU148" s="323"/>
      <c r="CW148" s="323"/>
      <c r="CY148" s="323"/>
      <c r="DA148" s="323"/>
      <c r="DC148" s="323"/>
      <c r="DE148" s="323"/>
      <c r="DG148" s="323"/>
      <c r="DI148" s="323"/>
    </row>
    <row r="149" spans="1:115" ht="6" customHeight="1" x14ac:dyDescent="0.3">
      <c r="A149" s="765"/>
      <c r="AQ149" s="323"/>
      <c r="AR149" s="323"/>
      <c r="AS149" s="323"/>
      <c r="AT149" s="323"/>
      <c r="AY149" s="323"/>
      <c r="BA149" s="323"/>
      <c r="BC149" s="323"/>
      <c r="BE149" s="323"/>
      <c r="BG149" s="323"/>
      <c r="BI149" s="323"/>
      <c r="BK149" s="323"/>
      <c r="BM149" s="323"/>
      <c r="BO149" s="323"/>
      <c r="BQ149" s="323"/>
      <c r="BS149" s="323"/>
      <c r="BU149" s="323"/>
      <c r="BW149" s="323"/>
      <c r="BY149" s="323"/>
      <c r="CA149" s="323"/>
      <c r="CC149" s="323"/>
      <c r="CE149" s="323"/>
      <c r="CG149" s="323"/>
      <c r="CI149" s="323"/>
      <c r="CK149" s="323"/>
      <c r="CM149" s="323"/>
      <c r="CO149" s="323"/>
      <c r="CQ149" s="323"/>
      <c r="CS149" s="323"/>
      <c r="CU149" s="323"/>
      <c r="CW149" s="323"/>
      <c r="CY149" s="323"/>
      <c r="DA149" s="323"/>
      <c r="DC149" s="323"/>
      <c r="DE149" s="323"/>
      <c r="DG149" s="323"/>
      <c r="DI149" s="323"/>
    </row>
    <row r="150" spans="1:115" ht="12" customHeight="1" x14ac:dyDescent="0.3">
      <c r="A150" s="765"/>
      <c r="C150" s="247" t="str">
        <f>W155</f>
        <v>JÚNIUS 18. – PÉNTEK 15:00</v>
      </c>
      <c r="D150" s="227"/>
      <c r="E150" s="228"/>
      <c r="F150" s="229"/>
      <c r="G150" s="230"/>
      <c r="H150" s="231" t="str">
        <f>W156</f>
        <v>2. CSOPORTMÉRKŐZÉS</v>
      </c>
      <c r="I150" s="138"/>
      <c r="J150" s="246" t="str">
        <f>Y155</f>
        <v>JÚNIUS 18. – PÉNTEK 18:00</v>
      </c>
      <c r="K150" s="227"/>
      <c r="L150" s="228"/>
      <c r="M150" s="229"/>
      <c r="N150" s="230"/>
      <c r="O150" s="226" t="str">
        <f>Y156</f>
        <v>2. CSOPORTMÉRKŐZÉS</v>
      </c>
      <c r="AQ150" s="323"/>
      <c r="AR150" s="323"/>
      <c r="AS150" s="323"/>
      <c r="AT150" s="323"/>
      <c r="AY150" s="323"/>
      <c r="BA150" s="323"/>
      <c r="BC150" s="323"/>
      <c r="BE150" s="323"/>
      <c r="BG150" s="323"/>
      <c r="BI150" s="323"/>
      <c r="BK150" s="323"/>
      <c r="BM150" s="323"/>
      <c r="BO150" s="323"/>
      <c r="BQ150" s="323"/>
      <c r="BS150" s="323"/>
      <c r="BU150" s="323"/>
      <c r="BW150" s="323"/>
      <c r="BY150" s="323"/>
      <c r="CA150" s="323"/>
      <c r="CC150" s="323"/>
      <c r="CE150" s="323"/>
      <c r="CG150" s="323"/>
      <c r="CI150" s="323"/>
      <c r="CK150" s="323"/>
      <c r="CM150" s="323"/>
      <c r="CO150" s="323"/>
      <c r="CQ150" s="323"/>
      <c r="CS150" s="323"/>
      <c r="CU150" s="323"/>
      <c r="CW150" s="323"/>
      <c r="CY150" s="323"/>
      <c r="DA150" s="323"/>
      <c r="DC150" s="323"/>
      <c r="DE150" s="323"/>
      <c r="DG150" s="323"/>
      <c r="DI150" s="323"/>
    </row>
    <row r="151" spans="1:115" s="138" customFormat="1" ht="14.25" customHeight="1" x14ac:dyDescent="0.3">
      <c r="A151" s="765"/>
      <c r="B151" s="137"/>
      <c r="C151" s="233" t="str">
        <f>IF(W158=0,"",IF(W158&gt;0,CONCATENATE("még ",W158," gól"),CONCATENATE("túl sok (",W158," gól)")))</f>
        <v/>
      </c>
      <c r="D151" s="714" t="str">
        <f>W159</f>
        <v>Svédország</v>
      </c>
      <c r="E151" s="716" t="str">
        <f>W160</f>
        <v/>
      </c>
      <c r="F151" s="717" t="str">
        <f>X160</f>
        <v/>
      </c>
      <c r="G151" s="715" t="str">
        <f>X159</f>
        <v>Szlovákia</v>
      </c>
      <c r="H151" s="232" t="str">
        <f>IF(X158=0,"",IF(X158&gt;0,CONCATENATE("még ",X158," gól"),CONCATENATE("túl sok (",X158," gól)")))</f>
        <v/>
      </c>
      <c r="I151" s="127"/>
      <c r="J151" s="233" t="str">
        <f>IF(Y158=0,"",IF(Y158&gt;0,CONCATENATE("még ",Y158," gól"),CONCATENATE("túl sok (",Y158," gól)")))</f>
        <v/>
      </c>
      <c r="K151" s="714" t="str">
        <f>Y159</f>
        <v>Horvátország</v>
      </c>
      <c r="L151" s="716" t="str">
        <f>Y160</f>
        <v/>
      </c>
      <c r="M151" s="717" t="str">
        <f>Z160</f>
        <v/>
      </c>
      <c r="N151" s="715" t="str">
        <f>Z159</f>
        <v>Csehország</v>
      </c>
      <c r="O151" s="232" t="str">
        <f>IF(Z158=0,"",IF(Z158&gt;0,CONCATENATE("még ",Z158," gól"),CONCATENATE("túl sok (",Z158," gól)")))</f>
        <v/>
      </c>
      <c r="P151" s="139"/>
      <c r="Q151" s="140"/>
      <c r="R151" s="141"/>
      <c r="S151" s="141"/>
      <c r="T151" s="484"/>
      <c r="U151" s="485"/>
      <c r="V151" s="485"/>
      <c r="W151" s="485"/>
      <c r="X151" s="485"/>
      <c r="Y151" s="485"/>
      <c r="Z151" s="485"/>
      <c r="AA151" s="485"/>
      <c r="AB151" s="242" t="str">
        <f>HLOOKUP(D151,nevek.li,2,FALSE)</f>
        <v>nevek.18</v>
      </c>
      <c r="AC151" s="242" t="str">
        <f>HLOOKUP(G151,nevek.li,2,FALSE)</f>
        <v>nevek.20</v>
      </c>
      <c r="AD151" s="242" t="str">
        <f>HLOOKUP(K151,nevek.li,2,FALSE)</f>
        <v>nevek.14</v>
      </c>
      <c r="AE151" s="242" t="str">
        <f>HLOOKUP(N151,nevek.li,2,FALSE)</f>
        <v>nevek.16</v>
      </c>
      <c r="AF151" s="485"/>
      <c r="AG151" s="485"/>
      <c r="AH151" s="485"/>
      <c r="AI151" s="485"/>
      <c r="AJ151" s="485"/>
      <c r="AK151" s="485"/>
      <c r="AL151" s="485"/>
      <c r="AM151" s="485"/>
      <c r="AN151" s="485"/>
      <c r="AO151" s="485"/>
      <c r="AP151" s="485"/>
      <c r="AQ151" s="485"/>
      <c r="AR151" s="485"/>
      <c r="AS151" s="485"/>
      <c r="AT151" s="485"/>
      <c r="AU151" s="485"/>
      <c r="AV151" s="500"/>
      <c r="AW151" s="323"/>
      <c r="AX151" s="323"/>
      <c r="AY151" s="323"/>
      <c r="AZ151" s="323"/>
      <c r="BA151" s="323"/>
      <c r="BB151" s="323"/>
      <c r="BC151" s="323"/>
      <c r="BD151" s="323"/>
      <c r="BE151" s="323"/>
      <c r="BF151" s="323"/>
      <c r="BG151" s="323"/>
      <c r="BH151" s="323"/>
      <c r="BI151" s="323"/>
      <c r="BJ151" s="323"/>
      <c r="BK151" s="323"/>
      <c r="BL151" s="323"/>
      <c r="BM151" s="323"/>
      <c r="BN151" s="323"/>
      <c r="BO151" s="323"/>
      <c r="BP151" s="323"/>
      <c r="BQ151" s="323"/>
      <c r="BR151" s="323"/>
      <c r="BS151" s="323"/>
      <c r="BT151" s="323"/>
      <c r="BU151" s="323"/>
      <c r="BV151" s="323"/>
      <c r="BW151" s="323"/>
      <c r="BX151" s="323"/>
      <c r="BY151" s="323"/>
      <c r="BZ151" s="323"/>
      <c r="CA151" s="323"/>
      <c r="CB151" s="323"/>
      <c r="CC151" s="323"/>
      <c r="CD151" s="323"/>
      <c r="CE151" s="323"/>
      <c r="CF151" s="323"/>
      <c r="CG151" s="323"/>
      <c r="CH151" s="323"/>
      <c r="CI151" s="323"/>
      <c r="CJ151" s="323"/>
      <c r="CK151" s="323"/>
      <c r="CL151" s="323"/>
      <c r="CM151" s="323"/>
      <c r="CN151" s="323"/>
      <c r="CO151" s="323"/>
      <c r="CP151" s="323"/>
      <c r="CQ151" s="323"/>
      <c r="CR151" s="323"/>
      <c r="CS151" s="323"/>
      <c r="CT151" s="323"/>
      <c r="CU151" s="323"/>
      <c r="CV151" s="323"/>
      <c r="CW151" s="323"/>
      <c r="CX151" s="323"/>
      <c r="CY151" s="323"/>
      <c r="CZ151" s="323"/>
      <c r="DA151" s="323"/>
      <c r="DB151" s="323"/>
      <c r="DC151" s="323"/>
      <c r="DD151" s="323"/>
      <c r="DE151" s="323"/>
      <c r="DF151" s="323"/>
      <c r="DG151" s="323"/>
      <c r="DH151" s="323"/>
      <c r="DI151" s="323"/>
      <c r="DJ151" s="323"/>
      <c r="DK151" s="500"/>
    </row>
    <row r="152" spans="1:115" ht="12" customHeight="1" x14ac:dyDescent="0.3">
      <c r="A152" s="765"/>
      <c r="C152" s="218"/>
      <c r="D152" s="220"/>
      <c r="E152" s="221"/>
      <c r="F152" s="222"/>
      <c r="G152" s="223"/>
      <c r="H152" s="218"/>
      <c r="J152" s="218"/>
      <c r="K152" s="220"/>
      <c r="L152" s="221"/>
      <c r="M152" s="222"/>
      <c r="N152" s="223"/>
      <c r="O152" s="218"/>
      <c r="V152" s="487" t="s">
        <v>706</v>
      </c>
      <c r="W152" s="242">
        <v>19</v>
      </c>
      <c r="X152" s="485" t="str">
        <f>""</f>
        <v/>
      </c>
      <c r="Y152" s="242">
        <v>20</v>
      </c>
      <c r="AB152" s="327" t="str">
        <f>IF(C152="öngól",AC151,AB151)</f>
        <v>nevek.18</v>
      </c>
      <c r="AC152" s="327" t="str">
        <f>IF(H152="öngól",AB151,AC151)</f>
        <v>nevek.20</v>
      </c>
      <c r="AD152" s="327" t="str">
        <f>IF(J152="öngól",AE151,AD151)</f>
        <v>nevek.14</v>
      </c>
      <c r="AE152" s="327" t="str">
        <f>IF(O152="öngól",AD151,AE151)</f>
        <v>nevek.16</v>
      </c>
      <c r="AF152" s="325"/>
      <c r="AG152" s="485">
        <v>1</v>
      </c>
      <c r="AH152" s="488" t="b">
        <f ca="1">AND(W154,X155,D152="",AG152&lt;=W160)</f>
        <v>0</v>
      </c>
      <c r="AI152" s="488" t="b">
        <f ca="1">AND(W154,X155,E152="",AG152&lt;=W160)</f>
        <v>0</v>
      </c>
      <c r="AJ152" s="488" t="b">
        <f ca="1">AND(W154,X155,F152="",AG152&lt;=X160)</f>
        <v>0</v>
      </c>
      <c r="AK152" s="488" t="b">
        <f ca="1">AND(W154,X155,G152="",AG152&lt;=X160)</f>
        <v>0</v>
      </c>
      <c r="AL152" s="488" t="b">
        <f ca="1">AND(Y154,Z155,K152="",AG152&lt;=Y160)</f>
        <v>0</v>
      </c>
      <c r="AM152" s="488" t="b">
        <f ca="1">AND(Y154,Z155,L152="",AG152&lt;=Y160)</f>
        <v>0</v>
      </c>
      <c r="AN152" s="488" t="b">
        <f ca="1">AND(Y154,Z155,M152="",AG152&lt;=Z160)</f>
        <v>0</v>
      </c>
      <c r="AO152" s="488" t="b">
        <f ca="1">AND(Y154,Z155,N152="",AG152&lt;=Z160)</f>
        <v>0</v>
      </c>
      <c r="AQ152" s="326" t="str">
        <f>IF(OR(NOT(Góllista!$E$6),D152=""),"",IF(C152="öngól","ö"&amp;G151&amp;D152,D151&amp;D152))</f>
        <v/>
      </c>
      <c r="AR152" s="326" t="str">
        <f>IF(OR(NOT(Góllista!$E$6),G152=""),"",IF(H152="öngól","ö"&amp;D151&amp;G152,G151&amp;G152))</f>
        <v/>
      </c>
      <c r="AS152" s="326" t="str">
        <f>IF(OR(NOT(Góllista!$E$6),K152=""),"",IF(J152="öngól","ö"&amp;N151&amp;K152,K151&amp;K152))</f>
        <v/>
      </c>
      <c r="AT152" s="326" t="str">
        <f>IF(OR(NOT(Góllista!$E$6),N152=""),"",IF(O152="öngól","ö"&amp;K151&amp;N152,N151&amp;N152))</f>
        <v/>
      </c>
      <c r="AY152" s="323"/>
      <c r="BA152" s="323"/>
      <c r="BC152" s="323"/>
      <c r="BE152" s="323"/>
      <c r="BG152" s="323"/>
      <c r="BI152" s="323"/>
      <c r="BK152" s="323"/>
      <c r="BM152" s="323"/>
      <c r="BO152" s="323"/>
      <c r="BQ152" s="323"/>
      <c r="BS152" s="323"/>
      <c r="BU152" s="323"/>
      <c r="BW152" s="323"/>
      <c r="BY152" s="323"/>
      <c r="CA152" s="323"/>
      <c r="CC152" s="323"/>
      <c r="CE152" s="323"/>
      <c r="CG152" s="323"/>
      <c r="CI152" s="323"/>
      <c r="CK152" s="323"/>
      <c r="CM152" s="323"/>
      <c r="CO152" s="323"/>
      <c r="CQ152" s="323"/>
      <c r="CS152" s="323"/>
      <c r="CU152" s="323"/>
      <c r="CW152" s="323"/>
      <c r="CY152" s="323"/>
      <c r="DA152" s="323"/>
      <c r="DC152" s="323"/>
      <c r="DE152" s="323"/>
      <c r="DG152" s="323"/>
      <c r="DI152" s="323"/>
    </row>
    <row r="153" spans="1:115" ht="12" customHeight="1" x14ac:dyDescent="0.3">
      <c r="A153" s="765"/>
      <c r="C153" s="219"/>
      <c r="D153" s="220"/>
      <c r="E153" s="224"/>
      <c r="F153" s="222"/>
      <c r="G153" s="223"/>
      <c r="H153" s="219"/>
      <c r="J153" s="219"/>
      <c r="K153" s="220"/>
      <c r="L153" s="224"/>
      <c r="M153" s="222"/>
      <c r="N153" s="223"/>
      <c r="O153" s="219"/>
      <c r="V153" s="487" t="s">
        <v>711</v>
      </c>
      <c r="W153" s="327">
        <f>MATCH(W152,n.er.index,0)</f>
        <v>47</v>
      </c>
      <c r="X153" s="485" t="str">
        <f>""</f>
        <v/>
      </c>
      <c r="Y153" s="327">
        <f>MATCH(Y152,n.er.index,0)</f>
        <v>48</v>
      </c>
      <c r="AB153" s="327" t="str">
        <f>IF(C153="öngól",AC151,AB151)</f>
        <v>nevek.18</v>
      </c>
      <c r="AC153" s="327" t="str">
        <f>IF(H153="öngól",AB151,AC151)</f>
        <v>nevek.20</v>
      </c>
      <c r="AD153" s="327" t="str">
        <f>IF(J153="öngól",AE151,AD151)</f>
        <v>nevek.14</v>
      </c>
      <c r="AE153" s="327" t="str">
        <f>IF(O153="öngól",AD151,AE151)</f>
        <v>nevek.16</v>
      </c>
      <c r="AF153" s="325"/>
      <c r="AG153" s="485">
        <v>2</v>
      </c>
      <c r="AH153" s="488" t="b">
        <f ca="1">AND(W154,X155,D153="",AG153&lt;=W160)</f>
        <v>0</v>
      </c>
      <c r="AI153" s="488" t="b">
        <f ca="1">AND(W154,X155,E153="",AG153&lt;=W160)</f>
        <v>0</v>
      </c>
      <c r="AJ153" s="488" t="b">
        <f ca="1">AND(W154,X155,F153="",AG153&lt;=X160)</f>
        <v>0</v>
      </c>
      <c r="AK153" s="488" t="b">
        <f ca="1">AND(W154,X155,G153="",AG153&lt;=X160)</f>
        <v>0</v>
      </c>
      <c r="AL153" s="488" t="b">
        <f ca="1">AND(Y154,Z155,K153="",AG153&lt;=Y160)</f>
        <v>0</v>
      </c>
      <c r="AM153" s="488" t="b">
        <f ca="1">AND(Y154,Z155,L153="",AG153&lt;=Y160)</f>
        <v>0</v>
      </c>
      <c r="AN153" s="488" t="b">
        <f ca="1">AND(Y154,Z155,M153="",AG153&lt;=Z160)</f>
        <v>0</v>
      </c>
      <c r="AO153" s="488" t="b">
        <f ca="1">AND(Y154,Z155,N153="",AG153&lt;=Z160)</f>
        <v>0</v>
      </c>
      <c r="AQ153" s="326" t="str">
        <f>IF(OR(NOT(Góllista!$E$6),D153=""),"",IF(C153="öngól","ö"&amp;G151&amp;D153,D151&amp;D153))</f>
        <v/>
      </c>
      <c r="AR153" s="326" t="str">
        <f>IF(OR(NOT(Góllista!$E$6),G153=""),"",IF(H153="öngól","ö"&amp;D151&amp;G153,G151&amp;G153))</f>
        <v/>
      </c>
      <c r="AS153" s="326" t="str">
        <f>IF(OR(NOT(Góllista!$E$6),K153=""),"",IF(J153="öngól","ö"&amp;N151&amp;K153,K151&amp;K153))</f>
        <v/>
      </c>
      <c r="AT153" s="326" t="str">
        <f>IF(OR(NOT(Góllista!$E$6),N153=""),"",IF(O153="öngól","ö"&amp;K151&amp;N153,N151&amp;N153))</f>
        <v/>
      </c>
      <c r="AY153" s="323"/>
      <c r="BA153" s="323"/>
      <c r="BC153" s="323"/>
      <c r="BE153" s="323"/>
      <c r="BG153" s="323"/>
      <c r="BI153" s="323"/>
      <c r="BK153" s="323"/>
      <c r="BM153" s="323"/>
      <c r="BO153" s="323"/>
      <c r="BQ153" s="323"/>
      <c r="BS153" s="323"/>
      <c r="BU153" s="323"/>
      <c r="BW153" s="323"/>
      <c r="BY153" s="323"/>
      <c r="CA153" s="323"/>
      <c r="CC153" s="323"/>
      <c r="CE153" s="323"/>
      <c r="CG153" s="323"/>
      <c r="CI153" s="323"/>
      <c r="CK153" s="323"/>
      <c r="CM153" s="323"/>
      <c r="CO153" s="323"/>
      <c r="CQ153" s="323"/>
      <c r="CS153" s="323"/>
      <c r="CU153" s="323"/>
      <c r="CW153" s="323"/>
      <c r="CY153" s="323"/>
      <c r="DA153" s="323"/>
      <c r="DC153" s="323"/>
      <c r="DE153" s="323"/>
      <c r="DG153" s="323"/>
      <c r="DI153" s="323"/>
    </row>
    <row r="154" spans="1:115" ht="12" customHeight="1" x14ac:dyDescent="0.3">
      <c r="A154" s="765"/>
      <c r="C154" s="219"/>
      <c r="D154" s="220"/>
      <c r="E154" s="224"/>
      <c r="F154" s="222"/>
      <c r="G154" s="223"/>
      <c r="H154" s="219"/>
      <c r="J154" s="219"/>
      <c r="K154" s="220"/>
      <c r="L154" s="224"/>
      <c r="M154" s="222"/>
      <c r="N154" s="223"/>
      <c r="O154" s="219"/>
      <c r="V154" s="487" t="s">
        <v>710</v>
      </c>
      <c r="W154" s="489" t="b">
        <f>INDEX(n.er,W153,3)</f>
        <v>0</v>
      </c>
      <c r="X154" s="485" t="str">
        <f>""</f>
        <v/>
      </c>
      <c r="Y154" s="489" t="b">
        <f>INDEX(n.er,Y153,3)</f>
        <v>0</v>
      </c>
      <c r="AB154" s="327" t="str">
        <f>IF(C154="öngól",AC151,AB151)</f>
        <v>nevek.18</v>
      </c>
      <c r="AC154" s="327" t="str">
        <f>IF(H154="öngól",AB151,AC151)</f>
        <v>nevek.20</v>
      </c>
      <c r="AD154" s="327" t="str">
        <f>IF(J154="öngól",AE151,AD151)</f>
        <v>nevek.14</v>
      </c>
      <c r="AE154" s="327" t="str">
        <f>IF(O154="öngól",AD151,AE151)</f>
        <v>nevek.16</v>
      </c>
      <c r="AF154" s="325"/>
      <c r="AG154" s="485">
        <v>3</v>
      </c>
      <c r="AH154" s="488" t="b">
        <f ca="1">AND(W154,X155,D154="",AG154&lt;=W160)</f>
        <v>0</v>
      </c>
      <c r="AI154" s="488" t="b">
        <f ca="1">AND(W154,X155,E154="",AG154&lt;=W160)</f>
        <v>0</v>
      </c>
      <c r="AJ154" s="488" t="b">
        <f ca="1">AND(W154,X155,F154="",AG154&lt;=X160)</f>
        <v>0</v>
      </c>
      <c r="AK154" s="488" t="b">
        <f ca="1">AND(W154,X155,G154="",AG154&lt;=X160)</f>
        <v>0</v>
      </c>
      <c r="AL154" s="488" t="b">
        <f ca="1">AND(Y154,Z155,K154="",AG154&lt;=Y160)</f>
        <v>0</v>
      </c>
      <c r="AM154" s="488" t="b">
        <f ca="1">AND(Y154,Z155,L154="",AG154&lt;=Y160)</f>
        <v>0</v>
      </c>
      <c r="AN154" s="488" t="b">
        <f ca="1">AND(Y154,Z155,M154="",AG154&lt;=Z160)</f>
        <v>0</v>
      </c>
      <c r="AO154" s="488" t="b">
        <f ca="1">AND(Y154,Z155,N154="",AG154&lt;=Z160)</f>
        <v>0</v>
      </c>
      <c r="AQ154" s="326" t="str">
        <f>IF(OR(NOT(Góllista!$E$6),D154=""),"",IF(C154="öngól","ö"&amp;G151&amp;D154,D151&amp;D154))</f>
        <v/>
      </c>
      <c r="AR154" s="326" t="str">
        <f>IF(OR(NOT(Góllista!$E$6),G154=""),"",IF(H154="öngól","ö"&amp;D151&amp;G154,G151&amp;G154))</f>
        <v/>
      </c>
      <c r="AS154" s="326" t="str">
        <f>IF(OR(NOT(Góllista!$E$6),K154=""),"",IF(J154="öngól","ö"&amp;N151&amp;K154,K151&amp;K154))</f>
        <v/>
      </c>
      <c r="AT154" s="326" t="str">
        <f>IF(OR(NOT(Góllista!$E$6),N154=""),"",IF(O154="öngól","ö"&amp;K151&amp;N154,N151&amp;N154))</f>
        <v/>
      </c>
      <c r="AY154" s="323"/>
      <c r="BA154" s="323"/>
      <c r="BC154" s="323"/>
      <c r="BE154" s="323"/>
      <c r="BG154" s="323"/>
      <c r="BI154" s="323"/>
      <c r="BK154" s="323"/>
      <c r="BM154" s="323"/>
      <c r="BO154" s="323"/>
      <c r="BQ154" s="323"/>
      <c r="BS154" s="323"/>
      <c r="BU154" s="323"/>
      <c r="BW154" s="323"/>
      <c r="BY154" s="323"/>
      <c r="CA154" s="323"/>
      <c r="CC154" s="323"/>
      <c r="CE154" s="323"/>
      <c r="CG154" s="323"/>
      <c r="CI154" s="323"/>
      <c r="CK154" s="323"/>
      <c r="CM154" s="323"/>
      <c r="CO154" s="323"/>
      <c r="CQ154" s="323"/>
      <c r="CS154" s="323"/>
      <c r="CU154" s="323"/>
      <c r="CW154" s="323"/>
      <c r="CY154" s="323"/>
      <c r="DA154" s="323"/>
      <c r="DC154" s="323"/>
      <c r="DE154" s="323"/>
      <c r="DG154" s="323"/>
      <c r="DI154" s="323"/>
    </row>
    <row r="155" spans="1:115" ht="12" customHeight="1" x14ac:dyDescent="0.3">
      <c r="A155" s="765"/>
      <c r="C155" s="219"/>
      <c r="D155" s="220"/>
      <c r="E155" s="224"/>
      <c r="F155" s="222"/>
      <c r="G155" s="223"/>
      <c r="H155" s="219"/>
      <c r="J155" s="219"/>
      <c r="K155" s="220"/>
      <c r="L155" s="224"/>
      <c r="M155" s="222"/>
      <c r="N155" s="223"/>
      <c r="O155" s="219"/>
      <c r="V155" s="487" t="s">
        <v>705</v>
      </c>
      <c r="W155" s="490" t="str">
        <f>VLOOKUP(W152,schedule,18,FALSE)</f>
        <v>JÚNIUS 18. – PÉNTEK 15:00</v>
      </c>
      <c r="X155" s="489" t="b">
        <f ca="1">VLOOKUP(W152,schedule,14,FALSE)&lt;=NOW()</f>
        <v>0</v>
      </c>
      <c r="Y155" s="490" t="str">
        <f>VLOOKUP(Y152,schedule,18,FALSE)</f>
        <v>JÚNIUS 18. – PÉNTEK 18:00</v>
      </c>
      <c r="Z155" s="489" t="b">
        <f ca="1">VLOOKUP(Y152,schedule,14,FALSE)&lt;=NOW()</f>
        <v>0</v>
      </c>
      <c r="AB155" s="327" t="str">
        <f>IF(C155="öngól",AC151,AB151)</f>
        <v>nevek.18</v>
      </c>
      <c r="AC155" s="327" t="str">
        <f>IF(H155="öngól",AB151,AC151)</f>
        <v>nevek.20</v>
      </c>
      <c r="AD155" s="327" t="str">
        <f>IF(J155="öngól",AE151,AD151)</f>
        <v>nevek.14</v>
      </c>
      <c r="AE155" s="327" t="str">
        <f>IF(O155="öngól",AD151,AE151)</f>
        <v>nevek.16</v>
      </c>
      <c r="AF155" s="325"/>
      <c r="AG155" s="485">
        <v>4</v>
      </c>
      <c r="AH155" s="488" t="b">
        <f ca="1">AND(W154,X155,D155="",AG155&lt;=W160)</f>
        <v>0</v>
      </c>
      <c r="AI155" s="488" t="b">
        <f ca="1">AND(W154,X155,E155="",AG155&lt;=W160)</f>
        <v>0</v>
      </c>
      <c r="AJ155" s="488" t="b">
        <f ca="1">AND(W154,X155,F155="",AG155&lt;=X160)</f>
        <v>0</v>
      </c>
      <c r="AK155" s="488" t="b">
        <f ca="1">AND(W154,X155,G155="",AG155&lt;=X160)</f>
        <v>0</v>
      </c>
      <c r="AL155" s="488" t="b">
        <f ca="1">AND(Y154,Z155,K155="",AG155&lt;=Y160)</f>
        <v>0</v>
      </c>
      <c r="AM155" s="488" t="b">
        <f ca="1">AND(Y154,Z155,L155="",AG155&lt;=Y160)</f>
        <v>0</v>
      </c>
      <c r="AN155" s="488" t="b">
        <f ca="1">AND(Y154,Z155,M155="",AG155&lt;=Z160)</f>
        <v>0</v>
      </c>
      <c r="AO155" s="488" t="b">
        <f ca="1">AND(Y154,Z155,N155="",AG155&lt;=Z160)</f>
        <v>0</v>
      </c>
      <c r="AQ155" s="326" t="str">
        <f>IF(OR(NOT(Góllista!$E$6),D155=""),"",IF(C155="öngól","ö"&amp;G151&amp;D155,D151&amp;D155))</f>
        <v/>
      </c>
      <c r="AR155" s="326" t="str">
        <f>IF(OR(NOT(Góllista!$E$6),G155=""),"",IF(H155="öngól","ö"&amp;D151&amp;G155,G151&amp;G155))</f>
        <v/>
      </c>
      <c r="AS155" s="326" t="str">
        <f>IF(OR(NOT(Góllista!$E$6),K155=""),"",IF(J155="öngól","ö"&amp;N151&amp;K155,K151&amp;K155))</f>
        <v/>
      </c>
      <c r="AT155" s="326" t="str">
        <f>IF(OR(NOT(Góllista!$E$6),N155=""),"",IF(O155="öngól","ö"&amp;K151&amp;N155,N151&amp;N155))</f>
        <v/>
      </c>
      <c r="AY155" s="323"/>
      <c r="BA155" s="323"/>
      <c r="BC155" s="323"/>
      <c r="BE155" s="323"/>
      <c r="BG155" s="323"/>
      <c r="BI155" s="323"/>
      <c r="BK155" s="323"/>
      <c r="BM155" s="323"/>
      <c r="BO155" s="323"/>
      <c r="BQ155" s="323"/>
      <c r="BS155" s="323"/>
      <c r="BU155" s="323"/>
      <c r="BW155" s="323"/>
      <c r="BY155" s="323"/>
      <c r="CA155" s="323"/>
      <c r="CC155" s="323"/>
      <c r="CE155" s="323"/>
      <c r="CG155" s="323"/>
      <c r="CI155" s="323"/>
      <c r="CK155" s="323"/>
      <c r="CM155" s="323"/>
      <c r="CO155" s="323"/>
      <c r="CQ155" s="323"/>
      <c r="CS155" s="323"/>
      <c r="CU155" s="323"/>
      <c r="CW155" s="323"/>
      <c r="CY155" s="323"/>
      <c r="DA155" s="323"/>
      <c r="DC155" s="323"/>
      <c r="DE155" s="323"/>
      <c r="DG155" s="323"/>
      <c r="DI155" s="323"/>
    </row>
    <row r="156" spans="1:115" ht="12" customHeight="1" x14ac:dyDescent="0.3">
      <c r="A156" s="765"/>
      <c r="C156" s="219"/>
      <c r="D156" s="220"/>
      <c r="E156" s="224"/>
      <c r="F156" s="222"/>
      <c r="G156" s="223"/>
      <c r="H156" s="219"/>
      <c r="J156" s="219"/>
      <c r="K156" s="220"/>
      <c r="L156" s="224"/>
      <c r="M156" s="222"/>
      <c r="N156" s="223"/>
      <c r="O156" s="219"/>
      <c r="V156" s="487" t="s">
        <v>1265</v>
      </c>
      <c r="W156" s="491" t="str">
        <f>VLOOKUP(W152,schedule,12,FALSE)</f>
        <v>2. CSOPORTMÉRKŐZÉS</v>
      </c>
      <c r="X156" s="485" t="str">
        <f>""</f>
        <v/>
      </c>
      <c r="Y156" s="491" t="str">
        <f>VLOOKUP(Y152,schedule,12,FALSE)</f>
        <v>2. CSOPORTMÉRKŐZÉS</v>
      </c>
      <c r="AB156" s="327" t="str">
        <f>IF(C156="öngól",AC151,AB151)</f>
        <v>nevek.18</v>
      </c>
      <c r="AC156" s="327" t="str">
        <f>IF(H156="öngól",AB151,AC151)</f>
        <v>nevek.20</v>
      </c>
      <c r="AD156" s="327" t="str">
        <f>IF(J156="öngól",AE151,AD151)</f>
        <v>nevek.14</v>
      </c>
      <c r="AE156" s="327" t="str">
        <f>IF(O156="öngól",AD151,AE151)</f>
        <v>nevek.16</v>
      </c>
      <c r="AF156" s="325"/>
      <c r="AG156" s="485">
        <v>5</v>
      </c>
      <c r="AH156" s="488" t="b">
        <f ca="1">AND(W154,X155,D156="",AG156&lt;=W160)</f>
        <v>0</v>
      </c>
      <c r="AI156" s="488" t="b">
        <f ca="1">AND(W154,X155,E156="",AG156&lt;=W160)</f>
        <v>0</v>
      </c>
      <c r="AJ156" s="488" t="b">
        <f ca="1">AND(W154,X155,F156="",AG156&lt;=X160)</f>
        <v>0</v>
      </c>
      <c r="AK156" s="488" t="b">
        <f ca="1">AND(W154,X155,G156="",AG156&lt;=X160)</f>
        <v>0</v>
      </c>
      <c r="AL156" s="488" t="b">
        <f ca="1">AND(Y154,Z155,K156="",AG156&lt;=Y160)</f>
        <v>0</v>
      </c>
      <c r="AM156" s="488" t="b">
        <f ca="1">AND(Y154,Z155,L156="",AG156&lt;=Y160)</f>
        <v>0</v>
      </c>
      <c r="AN156" s="488" t="b">
        <f ca="1">AND(Y154,Z155,M156="",AG156&lt;=Z160)</f>
        <v>0</v>
      </c>
      <c r="AO156" s="488" t="b">
        <f ca="1">AND(Y154,Z155,N156="",AG156&lt;=Z160)</f>
        <v>0</v>
      </c>
      <c r="AQ156" s="326" t="str">
        <f>IF(OR(NOT(Góllista!$E$6),D156=""),"",IF(C156="öngól","ö"&amp;G151&amp;D156,D151&amp;D156))</f>
        <v/>
      </c>
      <c r="AR156" s="326" t="str">
        <f>IF(OR(NOT(Góllista!$E$6),G156=""),"",IF(H156="öngól","ö"&amp;D151&amp;G156,G151&amp;G156))</f>
        <v/>
      </c>
      <c r="AS156" s="326" t="str">
        <f>IF(OR(NOT(Góllista!$E$6),K156=""),"",IF(J156="öngól","ö"&amp;N151&amp;K156,K151&amp;K156))</f>
        <v/>
      </c>
      <c r="AT156" s="326" t="str">
        <f>IF(OR(NOT(Góllista!$E$6),N156=""),"",IF(O156="öngól","ö"&amp;K151&amp;N156,N151&amp;N156))</f>
        <v/>
      </c>
      <c r="AY156" s="323"/>
      <c r="BA156" s="323"/>
      <c r="BC156" s="323"/>
      <c r="BE156" s="323"/>
      <c r="BG156" s="323"/>
      <c r="BI156" s="323"/>
      <c r="BK156" s="323"/>
      <c r="BM156" s="323"/>
      <c r="BO156" s="323"/>
      <c r="BQ156" s="323"/>
      <c r="BS156" s="323"/>
      <c r="BU156" s="323"/>
      <c r="BW156" s="323"/>
      <c r="BY156" s="323"/>
      <c r="CA156" s="323"/>
      <c r="CC156" s="323"/>
      <c r="CE156" s="323"/>
      <c r="CG156" s="323"/>
      <c r="CI156" s="323"/>
      <c r="CK156" s="323"/>
      <c r="CM156" s="323"/>
      <c r="CO156" s="323"/>
      <c r="CQ156" s="323"/>
      <c r="CS156" s="323"/>
      <c r="CU156" s="323"/>
      <c r="CW156" s="323"/>
      <c r="CY156" s="323"/>
      <c r="DA156" s="323"/>
      <c r="DC156" s="323"/>
      <c r="DE156" s="323"/>
      <c r="DG156" s="323"/>
      <c r="DI156" s="323"/>
    </row>
    <row r="157" spans="1:115" ht="12" customHeight="1" x14ac:dyDescent="0.3">
      <c r="A157" s="765"/>
      <c r="C157" s="219"/>
      <c r="D157" s="220"/>
      <c r="E157" s="224"/>
      <c r="F157" s="222"/>
      <c r="G157" s="223"/>
      <c r="H157" s="219"/>
      <c r="J157" s="219"/>
      <c r="K157" s="220"/>
      <c r="L157" s="224"/>
      <c r="M157" s="222"/>
      <c r="N157" s="223"/>
      <c r="O157" s="219"/>
      <c r="V157" s="487" t="s">
        <v>1264</v>
      </c>
      <c r="W157" s="327" t="str">
        <f>VLOOKUP(W152,schedule,3,FALSE)</f>
        <v>E</v>
      </c>
      <c r="X157" s="485" t="str">
        <f>""</f>
        <v/>
      </c>
      <c r="Y157" s="327" t="str">
        <f>VLOOKUP(Y152,schedule,3,FALSE)</f>
        <v>D</v>
      </c>
      <c r="AB157" s="327" t="str">
        <f>IF(C157="öngól",AC151,AB151)</f>
        <v>nevek.18</v>
      </c>
      <c r="AC157" s="327" t="str">
        <f>IF(H157="öngól",AB151,AC151)</f>
        <v>nevek.20</v>
      </c>
      <c r="AD157" s="327" t="str">
        <f>IF(J157="öngól",AE151,AD151)</f>
        <v>nevek.14</v>
      </c>
      <c r="AE157" s="327" t="str">
        <f>IF(O157="öngól",AD151,AE151)</f>
        <v>nevek.16</v>
      </c>
      <c r="AF157" s="325"/>
      <c r="AG157" s="485">
        <v>6</v>
      </c>
      <c r="AH157" s="488" t="b">
        <f ca="1">AND(W154,X155,D157="",AG157&lt;=W160)</f>
        <v>0</v>
      </c>
      <c r="AI157" s="488" t="b">
        <f ca="1">AND(W154,X155,E157="",AG157&lt;=W160)</f>
        <v>0</v>
      </c>
      <c r="AJ157" s="488" t="b">
        <f ca="1">AND(W154,X155,F157="",AG157&lt;=X160)</f>
        <v>0</v>
      </c>
      <c r="AK157" s="488" t="b">
        <f ca="1">AND(W154,X155,G157="",AG157&lt;=X160)</f>
        <v>0</v>
      </c>
      <c r="AL157" s="488" t="b">
        <f ca="1">AND(Y154,Z155,K157="",AG157&lt;=Y160)</f>
        <v>0</v>
      </c>
      <c r="AM157" s="488" t="b">
        <f ca="1">AND(Y154,Z155,L157="",AG157&lt;=Y160)</f>
        <v>0</v>
      </c>
      <c r="AN157" s="488" t="b">
        <f ca="1">AND(Y154,Z155,M157="",AG157&lt;=Z160)</f>
        <v>0</v>
      </c>
      <c r="AO157" s="488" t="b">
        <f ca="1">AND(Y154,Z155,N157="",AG157&lt;=Z160)</f>
        <v>0</v>
      </c>
      <c r="AQ157" s="326" t="str">
        <f>IF(OR(NOT(Góllista!$E$6),D157=""),"",IF(C157="öngól","ö"&amp;G151&amp;D157,D151&amp;D157))</f>
        <v/>
      </c>
      <c r="AR157" s="326" t="str">
        <f>IF(OR(NOT(Góllista!$E$6),G157=""),"",IF(H157="öngól","ö"&amp;D151&amp;G157,G151&amp;G157))</f>
        <v/>
      </c>
      <c r="AS157" s="326" t="str">
        <f>IF(OR(NOT(Góllista!$E$6),K157=""),"",IF(J157="öngól","ö"&amp;N151&amp;K157,K151&amp;K157))</f>
        <v/>
      </c>
      <c r="AT157" s="326" t="str">
        <f>IF(OR(NOT(Góllista!$E$6),N157=""),"",IF(O157="öngól","ö"&amp;K151&amp;N157,N151&amp;N157))</f>
        <v/>
      </c>
      <c r="AY157" s="323"/>
      <c r="BA157" s="323"/>
      <c r="BC157" s="323"/>
      <c r="BE157" s="323"/>
      <c r="BG157" s="323"/>
      <c r="BI157" s="323"/>
      <c r="BK157" s="323"/>
      <c r="BM157" s="323"/>
      <c r="BO157" s="323"/>
      <c r="BQ157" s="323"/>
      <c r="BS157" s="323"/>
      <c r="BU157" s="323"/>
      <c r="BW157" s="323"/>
      <c r="BY157" s="323"/>
      <c r="CA157" s="323"/>
      <c r="CC157" s="323"/>
      <c r="CE157" s="323"/>
      <c r="CG157" s="323"/>
      <c r="CI157" s="323"/>
      <c r="CK157" s="323"/>
      <c r="CM157" s="323"/>
      <c r="CO157" s="323"/>
      <c r="CQ157" s="323"/>
      <c r="CS157" s="323"/>
      <c r="CU157" s="323"/>
      <c r="CW157" s="323"/>
      <c r="CY157" s="323"/>
      <c r="DA157" s="323"/>
      <c r="DC157" s="323"/>
      <c r="DE157" s="323"/>
      <c r="DG157" s="323"/>
      <c r="DI157" s="323"/>
    </row>
    <row r="158" spans="1:115" ht="12" customHeight="1" x14ac:dyDescent="0.3">
      <c r="A158" s="765"/>
      <c r="C158" s="219"/>
      <c r="D158" s="220"/>
      <c r="E158" s="224"/>
      <c r="F158" s="222"/>
      <c r="G158" s="223"/>
      <c r="H158" s="219"/>
      <c r="J158" s="219"/>
      <c r="K158" s="220"/>
      <c r="L158" s="224"/>
      <c r="M158" s="222"/>
      <c r="N158" s="223"/>
      <c r="O158" s="219"/>
      <c r="V158" s="485" t="s">
        <v>707</v>
      </c>
      <c r="W158" s="327">
        <f>IF(NOT(W154),0,E151-9+COUNTBLANK(D152:D160))</f>
        <v>0</v>
      </c>
      <c r="X158" s="327">
        <f>IF(NOT(W154),0,F151-9+COUNTBLANK(G152:G160))</f>
        <v>0</v>
      </c>
      <c r="Y158" s="327">
        <f>IF(NOT(Y154),0,L151-9+COUNTBLANK(K152:K160))</f>
        <v>0</v>
      </c>
      <c r="Z158" s="327">
        <f>IF(NOT(Y154),0,M151-9+COUNTBLANK(N152:N160))</f>
        <v>0</v>
      </c>
      <c r="AB158" s="327" t="str">
        <f>IF(C158="öngól",AC151,AB151)</f>
        <v>nevek.18</v>
      </c>
      <c r="AC158" s="327" t="str">
        <f>IF(H158="öngól",AB151,AC151)</f>
        <v>nevek.20</v>
      </c>
      <c r="AD158" s="327" t="str">
        <f>IF(J158="öngól",AE151,AD151)</f>
        <v>nevek.14</v>
      </c>
      <c r="AE158" s="327" t="str">
        <f>IF(O158="öngól",AD151,AE151)</f>
        <v>nevek.16</v>
      </c>
      <c r="AF158" s="325"/>
      <c r="AG158" s="485">
        <v>7</v>
      </c>
      <c r="AH158" s="488" t="b">
        <f ca="1">AND(W154,X155,D158="",AG158&lt;=W160)</f>
        <v>0</v>
      </c>
      <c r="AI158" s="488" t="b">
        <f ca="1">AND(W154,X155,E158="",AG158&lt;=W160)</f>
        <v>0</v>
      </c>
      <c r="AJ158" s="488" t="b">
        <f ca="1">AND(W154,X155,F158="",AG158&lt;=X160)</f>
        <v>0</v>
      </c>
      <c r="AK158" s="488" t="b">
        <f ca="1">AND(W154,X155,G158="",AG158&lt;=X160)</f>
        <v>0</v>
      </c>
      <c r="AL158" s="488" t="b">
        <f ca="1">AND(Y154,Z155,K158="",AG158&lt;=Y160)</f>
        <v>0</v>
      </c>
      <c r="AM158" s="488" t="b">
        <f ca="1">AND(Y154,Z155,L158="",AG158&lt;=Y160)</f>
        <v>0</v>
      </c>
      <c r="AN158" s="488" t="b">
        <f ca="1">AND(Y154,Z155,M158="",AG158&lt;=Z160)</f>
        <v>0</v>
      </c>
      <c r="AO158" s="488" t="b">
        <f ca="1">AND(Y154,Z155,N158="",AG158&lt;=Z160)</f>
        <v>0</v>
      </c>
      <c r="AQ158" s="326" t="str">
        <f>IF(OR(NOT(Góllista!$E$6),D158=""),"",IF(C158="öngól","ö"&amp;G151&amp;D158,D151&amp;D158))</f>
        <v/>
      </c>
      <c r="AR158" s="326" t="str">
        <f>IF(OR(NOT(Góllista!$E$6),G158=""),"",IF(H158="öngól","ö"&amp;D151&amp;G158,G151&amp;G158))</f>
        <v/>
      </c>
      <c r="AS158" s="326" t="str">
        <f>IF(OR(NOT(Góllista!$E$6),K158=""),"",IF(J158="öngól","ö"&amp;N151&amp;K158,K151&amp;K158))</f>
        <v/>
      </c>
      <c r="AT158" s="326" t="str">
        <f>IF(OR(NOT(Góllista!$E$6),N158=""),"",IF(O158="öngól","ö"&amp;K151&amp;N158,N151&amp;N158))</f>
        <v/>
      </c>
      <c r="AY158" s="323"/>
      <c r="BA158" s="323"/>
      <c r="BC158" s="323"/>
      <c r="BE158" s="323"/>
      <c r="BG158" s="323"/>
      <c r="BI158" s="323"/>
      <c r="BK158" s="323"/>
      <c r="BM158" s="323"/>
      <c r="BO158" s="323"/>
      <c r="BQ158" s="323"/>
      <c r="BS158" s="323"/>
      <c r="BU158" s="323"/>
      <c r="BW158" s="323"/>
      <c r="BY158" s="323"/>
      <c r="CA158" s="323"/>
      <c r="CC158" s="323"/>
      <c r="CE158" s="323"/>
      <c r="CG158" s="323"/>
      <c r="CI158" s="323"/>
      <c r="CK158" s="323"/>
      <c r="CM158" s="323"/>
      <c r="CO158" s="323"/>
      <c r="CQ158" s="323"/>
      <c r="CS158" s="323"/>
      <c r="CU158" s="323"/>
      <c r="CW158" s="323"/>
      <c r="CY158" s="323"/>
      <c r="DA158" s="323"/>
      <c r="DC158" s="323"/>
      <c r="DE158" s="323"/>
      <c r="DG158" s="323"/>
      <c r="DI158" s="323"/>
    </row>
    <row r="159" spans="1:115" ht="12" customHeight="1" x14ac:dyDescent="0.3">
      <c r="A159" s="765"/>
      <c r="C159" s="219"/>
      <c r="D159" s="220"/>
      <c r="E159" s="224"/>
      <c r="F159" s="222"/>
      <c r="G159" s="223"/>
      <c r="H159" s="219"/>
      <c r="J159" s="219"/>
      <c r="K159" s="220"/>
      <c r="L159" s="224"/>
      <c r="M159" s="222"/>
      <c r="N159" s="223"/>
      <c r="O159" s="219"/>
      <c r="V159" s="485" t="s">
        <v>708</v>
      </c>
      <c r="W159" s="411" t="str">
        <f>VLOOKUP(W152,schedule,8,FALSE)</f>
        <v>Svédország</v>
      </c>
      <c r="X159" s="411" t="str">
        <f>VLOOKUP(W152,schedule,9,FALSE)</f>
        <v>Szlovákia</v>
      </c>
      <c r="Y159" s="411" t="str">
        <f>VLOOKUP(Y152,schedule,8,FALSE)</f>
        <v>Horvátország</v>
      </c>
      <c r="Z159" s="491" t="str">
        <f>VLOOKUP(Y152,schedule,9,FALSE)</f>
        <v>Csehország</v>
      </c>
      <c r="AB159" s="327" t="str">
        <f>IF(C159="öngól",AC151,AB151)</f>
        <v>nevek.18</v>
      </c>
      <c r="AC159" s="327" t="str">
        <f>IF(H159="öngól",AB151,AC151)</f>
        <v>nevek.20</v>
      </c>
      <c r="AD159" s="327" t="str">
        <f>IF(J159="öngól",AE151,AD151)</f>
        <v>nevek.14</v>
      </c>
      <c r="AE159" s="327" t="str">
        <f>IF(O159="öngól",AD151,AE151)</f>
        <v>nevek.16</v>
      </c>
      <c r="AF159" s="325"/>
      <c r="AG159" s="485">
        <v>8</v>
      </c>
      <c r="AH159" s="488" t="b">
        <f ca="1">AND(W154,X155,D159="",AG159&lt;=W160)</f>
        <v>0</v>
      </c>
      <c r="AI159" s="488" t="b">
        <f ca="1">AND(W154,X155,E159="",AG159&lt;=W160)</f>
        <v>0</v>
      </c>
      <c r="AJ159" s="488" t="b">
        <f ca="1">AND(W154,X155,F159="",AG159&lt;=X160)</f>
        <v>0</v>
      </c>
      <c r="AK159" s="488" t="b">
        <f ca="1">AND(W154,X155,G159="",AG159&lt;=X160)</f>
        <v>0</v>
      </c>
      <c r="AL159" s="488" t="b">
        <f ca="1">AND(Y154,Z155,K159="",AG159&lt;=Y160)</f>
        <v>0</v>
      </c>
      <c r="AM159" s="488" t="b">
        <f ca="1">AND(Y154,Z155,L159="",AG159&lt;=Y160)</f>
        <v>0</v>
      </c>
      <c r="AN159" s="488" t="b">
        <f ca="1">AND(Y154,Z155,M159="",AG159&lt;=Z160)</f>
        <v>0</v>
      </c>
      <c r="AO159" s="488" t="b">
        <f ca="1">AND(Y154,Z155,N159="",AG159&lt;=Z160)</f>
        <v>0</v>
      </c>
      <c r="AQ159" s="326" t="str">
        <f>IF(OR(NOT(Góllista!$E$6),D159=""),"",IF(C159="öngól","ö"&amp;G151&amp;D159,D151&amp;D159))</f>
        <v/>
      </c>
      <c r="AR159" s="326" t="str">
        <f>IF(OR(NOT(Góllista!$E$6),G159=""),"",IF(H159="öngól","ö"&amp;D151&amp;G159,G151&amp;G159))</f>
        <v/>
      </c>
      <c r="AS159" s="326" t="str">
        <f>IF(OR(NOT(Góllista!$E$6),K159=""),"",IF(J159="öngól","ö"&amp;N151&amp;K159,K151&amp;K159))</f>
        <v/>
      </c>
      <c r="AT159" s="326" t="str">
        <f>IF(OR(NOT(Góllista!$E$6),N159=""),"",IF(O159="öngól","ö"&amp;K151&amp;N159,N151&amp;N159))</f>
        <v/>
      </c>
      <c r="AY159" s="323"/>
      <c r="BA159" s="323"/>
      <c r="BC159" s="323"/>
      <c r="BE159" s="323"/>
      <c r="BG159" s="323"/>
      <c r="BI159" s="323"/>
      <c r="BK159" s="323"/>
      <c r="BM159" s="323"/>
      <c r="BO159" s="323"/>
      <c r="BQ159" s="323"/>
      <c r="BS159" s="323"/>
      <c r="BU159" s="323"/>
      <c r="BW159" s="323"/>
      <c r="BY159" s="323"/>
      <c r="CA159" s="323"/>
      <c r="CC159" s="323"/>
      <c r="CE159" s="323"/>
      <c r="CG159" s="323"/>
      <c r="CI159" s="323"/>
      <c r="CK159" s="323"/>
      <c r="CM159" s="323"/>
      <c r="CO159" s="323"/>
      <c r="CQ159" s="323"/>
      <c r="CS159" s="323"/>
      <c r="CU159" s="323"/>
      <c r="CW159" s="323"/>
      <c r="CY159" s="323"/>
      <c r="DA159" s="323"/>
      <c r="DC159" s="323"/>
      <c r="DE159" s="323"/>
      <c r="DG159" s="323"/>
      <c r="DI159" s="323"/>
    </row>
    <row r="160" spans="1:115" ht="12" customHeight="1" x14ac:dyDescent="0.3">
      <c r="A160" s="765"/>
      <c r="C160" s="219"/>
      <c r="D160" s="220"/>
      <c r="E160" s="225"/>
      <c r="F160" s="222"/>
      <c r="G160" s="223"/>
      <c r="H160" s="219"/>
      <c r="J160" s="219"/>
      <c r="K160" s="220"/>
      <c r="L160" s="225"/>
      <c r="M160" s="222"/>
      <c r="N160" s="223"/>
      <c r="O160" s="219"/>
      <c r="V160" s="485" t="s">
        <v>709</v>
      </c>
      <c r="W160" s="492" t="str">
        <f>INDEX(n.er,W153,9)</f>
        <v/>
      </c>
      <c r="X160" s="493" t="str">
        <f>INDEX(n.er,W153,10)</f>
        <v/>
      </c>
      <c r="Y160" s="492" t="str">
        <f>INDEX(n.er,Y153,9)</f>
        <v/>
      </c>
      <c r="Z160" s="493" t="str">
        <f>INDEX(n.er,Y153,10)</f>
        <v/>
      </c>
      <c r="AB160" s="327" t="str">
        <f>IF(C160="öngól",AC151,AB151)</f>
        <v>nevek.18</v>
      </c>
      <c r="AC160" s="327" t="str">
        <f>IF(H160="öngól",AB151,AC151)</f>
        <v>nevek.20</v>
      </c>
      <c r="AD160" s="327" t="str">
        <f>IF(J160="öngól",AE151,AD151)</f>
        <v>nevek.14</v>
      </c>
      <c r="AE160" s="327" t="str">
        <f>IF(O160="öngól",AD151,AE151)</f>
        <v>nevek.16</v>
      </c>
      <c r="AF160" s="325"/>
      <c r="AG160" s="485">
        <v>9</v>
      </c>
      <c r="AH160" s="488" t="b">
        <f ca="1">AND(W154,X155,D160="",AG160&lt;=W160)</f>
        <v>0</v>
      </c>
      <c r="AI160" s="488" t="b">
        <f ca="1">AND(W154,X155,E160="",AG160&lt;=W160)</f>
        <v>0</v>
      </c>
      <c r="AJ160" s="488" t="b">
        <f ca="1">AND(W154,X155,F160="",AG160&lt;=X160)</f>
        <v>0</v>
      </c>
      <c r="AK160" s="488" t="b">
        <f ca="1">AND(W154,X155,G160="",AG160&lt;=X160)</f>
        <v>0</v>
      </c>
      <c r="AL160" s="488" t="b">
        <f ca="1">AND(Y154,Z155,K160="",AG160&lt;=Y160)</f>
        <v>0</v>
      </c>
      <c r="AM160" s="488" t="b">
        <f ca="1">AND(Y154,Z155,L160="",AG160&lt;=Y160)</f>
        <v>0</v>
      </c>
      <c r="AN160" s="488" t="b">
        <f ca="1">AND(Y154,Z155,M160="",AG160&lt;=Z160)</f>
        <v>0</v>
      </c>
      <c r="AO160" s="488" t="b">
        <f ca="1">AND(Y154,Z155,N160="",AG160&lt;=Z160)</f>
        <v>0</v>
      </c>
      <c r="AQ160" s="326" t="str">
        <f>IF(OR(NOT(Góllista!$E$6),D160=""),"",IF(C160="öngól","ö"&amp;G151&amp;D160,D151&amp;D160))</f>
        <v/>
      </c>
      <c r="AR160" s="326" t="str">
        <f>IF(OR(NOT(Góllista!$E$6),G160=""),"",IF(H160="öngól","ö"&amp;D151&amp;G160,G151&amp;G160))</f>
        <v/>
      </c>
      <c r="AS160" s="326" t="str">
        <f>IF(OR(NOT(Góllista!$E$6),K160=""),"",IF(J160="öngól","ö"&amp;N151&amp;K160,K151&amp;K160))</f>
        <v/>
      </c>
      <c r="AT160" s="326" t="str">
        <f>IF(OR(NOT(Góllista!$E$6),N160=""),"",IF(O160="öngól","ö"&amp;K151&amp;N160,N151&amp;N160))</f>
        <v/>
      </c>
      <c r="AY160" s="323"/>
      <c r="BA160" s="323"/>
      <c r="BC160" s="323"/>
      <c r="BE160" s="323"/>
      <c r="BG160" s="323"/>
      <c r="BI160" s="323"/>
      <c r="BK160" s="323"/>
      <c r="BM160" s="323"/>
      <c r="BO160" s="323"/>
      <c r="BQ160" s="323"/>
      <c r="BS160" s="323"/>
      <c r="BU160" s="323"/>
      <c r="BW160" s="323"/>
      <c r="BY160" s="323"/>
      <c r="CA160" s="323"/>
      <c r="CC160" s="323"/>
      <c r="CE160" s="323"/>
      <c r="CG160" s="323"/>
      <c r="CI160" s="323"/>
      <c r="CK160" s="323"/>
      <c r="CM160" s="323"/>
      <c r="CO160" s="323"/>
      <c r="CQ160" s="323"/>
      <c r="CS160" s="323"/>
      <c r="CU160" s="323"/>
      <c r="CW160" s="323"/>
      <c r="CY160" s="323"/>
      <c r="DA160" s="323"/>
      <c r="DC160" s="323"/>
      <c r="DE160" s="323"/>
      <c r="DG160" s="323"/>
      <c r="DI160" s="323"/>
    </row>
    <row r="161" spans="1:115" ht="12" customHeight="1" x14ac:dyDescent="0.3">
      <c r="A161" s="765"/>
      <c r="C161" s="768"/>
      <c r="D161" s="768"/>
      <c r="E161" s="768"/>
      <c r="F161" s="768"/>
      <c r="G161" s="768"/>
      <c r="H161" s="768"/>
      <c r="J161" s="768"/>
      <c r="K161" s="768"/>
      <c r="L161" s="768"/>
      <c r="M161" s="768"/>
      <c r="N161" s="768"/>
      <c r="O161" s="768"/>
      <c r="AY161" s="323"/>
      <c r="BA161" s="323"/>
      <c r="BC161" s="323"/>
      <c r="BE161" s="323"/>
      <c r="BG161" s="323"/>
      <c r="BI161" s="323"/>
      <c r="BK161" s="323"/>
      <c r="BM161" s="323"/>
      <c r="BO161" s="323"/>
      <c r="BQ161" s="323"/>
      <c r="BS161" s="323"/>
      <c r="BU161" s="323"/>
      <c r="BW161" s="323"/>
      <c r="BY161" s="323"/>
      <c r="CA161" s="323"/>
      <c r="CC161" s="323"/>
      <c r="CE161" s="323"/>
      <c r="CG161" s="323"/>
      <c r="CI161" s="323"/>
      <c r="CK161" s="323"/>
      <c r="CM161" s="323"/>
      <c r="CO161" s="323"/>
      <c r="CQ161" s="323"/>
      <c r="CS161" s="323"/>
      <c r="CU161" s="323"/>
      <c r="CW161" s="323"/>
      <c r="CY161" s="323"/>
      <c r="DA161" s="323"/>
      <c r="DC161" s="323"/>
      <c r="DE161" s="323"/>
      <c r="DG161" s="323"/>
      <c r="DI161" s="323"/>
    </row>
    <row r="162" spans="1:115" ht="12" hidden="1" customHeight="1" x14ac:dyDescent="0.3">
      <c r="A162" s="765"/>
      <c r="C162" s="767"/>
      <c r="D162" s="767"/>
      <c r="E162" s="767"/>
      <c r="F162" s="767"/>
      <c r="G162" s="767"/>
      <c r="H162" s="767"/>
      <c r="J162" s="767"/>
      <c r="K162" s="767"/>
      <c r="L162" s="767"/>
      <c r="M162" s="767"/>
      <c r="N162" s="767"/>
      <c r="O162" s="767"/>
      <c r="AY162" s="323"/>
      <c r="BA162" s="323"/>
      <c r="BC162" s="323"/>
      <c r="BE162" s="323"/>
      <c r="BG162" s="323"/>
      <c r="BI162" s="323"/>
      <c r="BK162" s="323"/>
      <c r="BM162" s="323"/>
      <c r="BO162" s="323"/>
      <c r="BQ162" s="323"/>
      <c r="BS162" s="323"/>
      <c r="BU162" s="323"/>
      <c r="BW162" s="323"/>
      <c r="BY162" s="323"/>
      <c r="CA162" s="323"/>
      <c r="CC162" s="323"/>
      <c r="CE162" s="323"/>
      <c r="CG162" s="323"/>
      <c r="CI162" s="323"/>
      <c r="CK162" s="323"/>
      <c r="CM162" s="323"/>
      <c r="CO162" s="323"/>
      <c r="CQ162" s="323"/>
      <c r="CS162" s="323"/>
      <c r="CU162" s="323"/>
      <c r="CW162" s="323"/>
      <c r="CY162" s="323"/>
      <c r="DA162" s="323"/>
      <c r="DC162" s="323"/>
      <c r="DE162" s="323"/>
      <c r="DG162" s="323"/>
      <c r="DI162" s="323"/>
    </row>
    <row r="163" spans="1:115" ht="12" hidden="1" customHeight="1" x14ac:dyDescent="0.3">
      <c r="A163" s="765"/>
      <c r="C163" s="767"/>
      <c r="D163" s="767"/>
      <c r="E163" s="767"/>
      <c r="F163" s="767"/>
      <c r="G163" s="767"/>
      <c r="H163" s="767"/>
      <c r="J163" s="767"/>
      <c r="K163" s="767"/>
      <c r="L163" s="767"/>
      <c r="M163" s="767"/>
      <c r="N163" s="767"/>
      <c r="O163" s="767"/>
      <c r="AY163" s="323"/>
      <c r="BA163" s="323"/>
      <c r="BC163" s="323"/>
      <c r="BE163" s="323"/>
      <c r="BG163" s="323"/>
      <c r="BI163" s="323"/>
      <c r="BK163" s="323"/>
      <c r="BM163" s="323"/>
      <c r="BO163" s="323"/>
      <c r="BQ163" s="323"/>
      <c r="BS163" s="323"/>
      <c r="BU163" s="323"/>
      <c r="BW163" s="323"/>
      <c r="BY163" s="323"/>
      <c r="CA163" s="323"/>
      <c r="CC163" s="323"/>
      <c r="CE163" s="323"/>
      <c r="CG163" s="323"/>
      <c r="CI163" s="323"/>
      <c r="CK163" s="323"/>
      <c r="CM163" s="323"/>
      <c r="CO163" s="323"/>
      <c r="CQ163" s="323"/>
      <c r="CS163" s="323"/>
      <c r="CU163" s="323"/>
      <c r="CW163" s="323"/>
      <c r="CY163" s="323"/>
      <c r="DA163" s="323"/>
      <c r="DC163" s="323"/>
      <c r="DE163" s="323"/>
      <c r="DG163" s="323"/>
      <c r="DI163" s="323"/>
    </row>
    <row r="164" spans="1:115" ht="10.5" customHeight="1" x14ac:dyDescent="0.3">
      <c r="A164" s="765"/>
      <c r="AY164" s="323"/>
      <c r="BA164" s="323"/>
      <c r="BC164" s="323"/>
      <c r="BE164" s="323"/>
      <c r="BG164" s="323"/>
      <c r="BI164" s="323"/>
      <c r="BK164" s="323"/>
      <c r="BM164" s="323"/>
      <c r="BO164" s="323"/>
      <c r="BQ164" s="323"/>
      <c r="BS164" s="323"/>
      <c r="BU164" s="323"/>
      <c r="BW164" s="323"/>
      <c r="BY164" s="323"/>
      <c r="CA164" s="323"/>
      <c r="CC164" s="323"/>
      <c r="CE164" s="323"/>
      <c r="CG164" s="323"/>
      <c r="CI164" s="323"/>
      <c r="CK164" s="323"/>
      <c r="CM164" s="323"/>
      <c r="CO164" s="323"/>
      <c r="CQ164" s="323"/>
      <c r="CS164" s="323"/>
      <c r="CU164" s="323"/>
      <c r="CW164" s="323"/>
      <c r="CY164" s="323"/>
      <c r="DA164" s="323"/>
      <c r="DC164" s="323"/>
      <c r="DE164" s="323"/>
      <c r="DG164" s="323"/>
      <c r="DI164" s="323"/>
    </row>
    <row r="165" spans="1:115" ht="6" customHeight="1" x14ac:dyDescent="0.3">
      <c r="A165" s="765"/>
      <c r="AQ165" s="323"/>
      <c r="AR165" s="323"/>
      <c r="AS165" s="323"/>
      <c r="AT165" s="323"/>
      <c r="AY165" s="323"/>
      <c r="BA165" s="323"/>
      <c r="BC165" s="323"/>
      <c r="BE165" s="323"/>
      <c r="BG165" s="323"/>
      <c r="BI165" s="323"/>
      <c r="BK165" s="323"/>
      <c r="BM165" s="323"/>
      <c r="BO165" s="323"/>
      <c r="BQ165" s="323"/>
      <c r="BS165" s="323"/>
      <c r="BU165" s="323"/>
      <c r="BW165" s="323"/>
      <c r="BY165" s="323"/>
      <c r="CA165" s="323"/>
      <c r="CC165" s="323"/>
      <c r="CE165" s="323"/>
      <c r="CG165" s="323"/>
      <c r="CI165" s="323"/>
      <c r="CK165" s="323"/>
      <c r="CM165" s="323"/>
      <c r="CO165" s="323"/>
      <c r="CQ165" s="323"/>
      <c r="CS165" s="323"/>
      <c r="CU165" s="323"/>
      <c r="CW165" s="323"/>
      <c r="CY165" s="323"/>
      <c r="DA165" s="323"/>
      <c r="DC165" s="323"/>
      <c r="DE165" s="323"/>
      <c r="DG165" s="323"/>
      <c r="DI165" s="323"/>
    </row>
    <row r="166" spans="1:115" ht="12" customHeight="1" x14ac:dyDescent="0.3">
      <c r="A166" s="765"/>
      <c r="C166" s="247" t="str">
        <f>W171</f>
        <v>JÚNIUS 18. – PÉNTEK 21:00</v>
      </c>
      <c r="D166" s="227"/>
      <c r="E166" s="228"/>
      <c r="F166" s="229"/>
      <c r="G166" s="230"/>
      <c r="H166" s="231" t="str">
        <f>W172</f>
        <v>2. CSOPORTMÉRKŐZÉS</v>
      </c>
      <c r="I166" s="138"/>
      <c r="J166" s="246" t="str">
        <f>Y171</f>
        <v>JÚNIUS 19. – SZOMBAT 15:00</v>
      </c>
      <c r="K166" s="227"/>
      <c r="L166" s="228"/>
      <c r="M166" s="229"/>
      <c r="N166" s="230"/>
      <c r="O166" s="226" t="str">
        <f>Y172</f>
        <v>2. CSOPORTMÉRKŐZÉS</v>
      </c>
      <c r="AQ166" s="323"/>
      <c r="AR166" s="323"/>
      <c r="AS166" s="323"/>
      <c r="AT166" s="323"/>
      <c r="AY166" s="323"/>
      <c r="BA166" s="323"/>
      <c r="BC166" s="323"/>
      <c r="BE166" s="323"/>
      <c r="BG166" s="323"/>
      <c r="BI166" s="323"/>
      <c r="BK166" s="323"/>
      <c r="BM166" s="323"/>
      <c r="BO166" s="323"/>
      <c r="BQ166" s="323"/>
      <c r="BS166" s="323"/>
      <c r="BU166" s="323"/>
      <c r="BW166" s="323"/>
      <c r="BY166" s="323"/>
      <c r="CA166" s="323"/>
      <c r="CC166" s="323"/>
      <c r="CE166" s="323"/>
      <c r="CG166" s="323"/>
      <c r="CI166" s="323"/>
      <c r="CK166" s="323"/>
      <c r="CM166" s="323"/>
      <c r="CO166" s="323"/>
      <c r="CQ166" s="323"/>
      <c r="CS166" s="323"/>
      <c r="CU166" s="323"/>
      <c r="CW166" s="323"/>
      <c r="CY166" s="323"/>
      <c r="DA166" s="323"/>
      <c r="DC166" s="323"/>
      <c r="DE166" s="323"/>
      <c r="DG166" s="323"/>
      <c r="DI166" s="323"/>
    </row>
    <row r="167" spans="1:115" s="138" customFormat="1" ht="14.25" customHeight="1" x14ac:dyDescent="0.3">
      <c r="A167" s="765"/>
      <c r="B167" s="137"/>
      <c r="C167" s="233" t="str">
        <f>IF(W174=0,"",IF(W174&gt;0,CONCATENATE("még ",W174," gól"),CONCATENATE("túl sok (",W174," gól)")))</f>
        <v/>
      </c>
      <c r="D167" s="714" t="str">
        <f>W175</f>
        <v>Anglia</v>
      </c>
      <c r="E167" s="716" t="str">
        <f>W176</f>
        <v/>
      </c>
      <c r="F167" s="717" t="str">
        <f>X176</f>
        <v/>
      </c>
      <c r="G167" s="715" t="str">
        <f>X175</f>
        <v>Skócia</v>
      </c>
      <c r="H167" s="232" t="str">
        <f>IF(X174=0,"",IF(X174&gt;0,CONCATENATE("még ",X174," gól"),CONCATENATE("túl sok (",X174," gól)")))</f>
        <v/>
      </c>
      <c r="I167" s="127"/>
      <c r="J167" s="233" t="str">
        <f>IF(Y174=0,"",IF(Y174&gt;0,CONCATENATE("még ",Y174," gól"),CONCATENATE("túl sok (",Y174," gól)")))</f>
        <v/>
      </c>
      <c r="K167" s="714" t="str">
        <f>Y175</f>
        <v>MAGYARORSZÁG</v>
      </c>
      <c r="L167" s="716" t="str">
        <f>Y176</f>
        <v/>
      </c>
      <c r="M167" s="717" t="str">
        <f>Z176</f>
        <v/>
      </c>
      <c r="N167" s="715" t="str">
        <f>Z175</f>
        <v>Franciaország</v>
      </c>
      <c r="O167" s="232" t="str">
        <f>IF(Z174=0,"",IF(Z174&gt;0,CONCATENATE("még ",Z174," gól"),CONCATENATE("túl sok (",Z174," gól)")))</f>
        <v/>
      </c>
      <c r="P167" s="10"/>
      <c r="Q167" s="140"/>
      <c r="R167" s="141"/>
      <c r="S167" s="141"/>
      <c r="T167" s="484"/>
      <c r="U167" s="485"/>
      <c r="V167" s="485"/>
      <c r="W167" s="485"/>
      <c r="X167" s="485"/>
      <c r="Y167" s="485"/>
      <c r="Z167" s="485"/>
      <c r="AA167" s="485"/>
      <c r="AB167" s="242" t="str">
        <f>HLOOKUP(D167,nevek.li,2,FALSE)</f>
        <v>nevek.13</v>
      </c>
      <c r="AC167" s="242" t="str">
        <f>HLOOKUP(G167,nevek.li,2,FALSE)</f>
        <v>nevek.15</v>
      </c>
      <c r="AD167" s="242" t="str">
        <f>HLOOKUP(K167,nevek.li,2,FALSE)</f>
        <v>nevek.21</v>
      </c>
      <c r="AE167" s="242" t="str">
        <f>HLOOKUP(N167,nevek.li,2,FALSE)</f>
        <v>nevek.23</v>
      </c>
      <c r="AF167" s="485"/>
      <c r="AG167" s="485"/>
      <c r="AH167" s="485"/>
      <c r="AI167" s="485"/>
      <c r="AJ167" s="485"/>
      <c r="AK167" s="485"/>
      <c r="AL167" s="485"/>
      <c r="AM167" s="485"/>
      <c r="AN167" s="485"/>
      <c r="AO167" s="485"/>
      <c r="AP167" s="485"/>
      <c r="AQ167" s="485"/>
      <c r="AR167" s="485"/>
      <c r="AS167" s="485"/>
      <c r="AT167" s="485"/>
      <c r="AU167" s="485"/>
      <c r="AV167" s="500"/>
      <c r="AW167" s="323"/>
      <c r="AX167" s="323"/>
      <c r="AY167" s="323"/>
      <c r="AZ167" s="323"/>
      <c r="BA167" s="323"/>
      <c r="BB167" s="323"/>
      <c r="BC167" s="323"/>
      <c r="BD167" s="323"/>
      <c r="BE167" s="323"/>
      <c r="BF167" s="323"/>
      <c r="BG167" s="323"/>
      <c r="BH167" s="323"/>
      <c r="BI167" s="323"/>
      <c r="BJ167" s="323"/>
      <c r="BK167" s="323"/>
      <c r="BL167" s="323"/>
      <c r="BM167" s="323"/>
      <c r="BN167" s="323"/>
      <c r="BO167" s="323"/>
      <c r="BP167" s="323"/>
      <c r="BQ167" s="323"/>
      <c r="BR167" s="323"/>
      <c r="BS167" s="323"/>
      <c r="BT167" s="323"/>
      <c r="BU167" s="323"/>
      <c r="BV167" s="323"/>
      <c r="BW167" s="323"/>
      <c r="BX167" s="323"/>
      <c r="BY167" s="323"/>
      <c r="BZ167" s="323"/>
      <c r="CA167" s="323"/>
      <c r="CB167" s="323"/>
      <c r="CC167" s="323"/>
      <c r="CD167" s="323"/>
      <c r="CE167" s="323"/>
      <c r="CF167" s="323"/>
      <c r="CG167" s="323"/>
      <c r="CH167" s="323"/>
      <c r="CI167" s="323"/>
      <c r="CJ167" s="323"/>
      <c r="CK167" s="323"/>
      <c r="CL167" s="323"/>
      <c r="CM167" s="323"/>
      <c r="CN167" s="323"/>
      <c r="CO167" s="323"/>
      <c r="CP167" s="323"/>
      <c r="CQ167" s="323"/>
      <c r="CR167" s="323"/>
      <c r="CS167" s="323"/>
      <c r="CT167" s="323"/>
      <c r="CU167" s="323"/>
      <c r="CV167" s="323"/>
      <c r="CW167" s="323"/>
      <c r="CX167" s="323"/>
      <c r="CY167" s="323"/>
      <c r="CZ167" s="323"/>
      <c r="DA167" s="323"/>
      <c r="DB167" s="323"/>
      <c r="DC167" s="323"/>
      <c r="DD167" s="323"/>
      <c r="DE167" s="323"/>
      <c r="DF167" s="323"/>
      <c r="DG167" s="323"/>
      <c r="DH167" s="323"/>
      <c r="DI167" s="323"/>
      <c r="DJ167" s="323"/>
      <c r="DK167" s="500"/>
    </row>
    <row r="168" spans="1:115" ht="12" customHeight="1" x14ac:dyDescent="0.3">
      <c r="A168" s="765"/>
      <c r="C168" s="218"/>
      <c r="D168" s="220"/>
      <c r="E168" s="221"/>
      <c r="F168" s="222"/>
      <c r="G168" s="223"/>
      <c r="H168" s="218"/>
      <c r="J168" s="218"/>
      <c r="K168" s="220"/>
      <c r="L168" s="221"/>
      <c r="M168" s="222"/>
      <c r="N168" s="223"/>
      <c r="O168" s="218"/>
      <c r="V168" s="487" t="s">
        <v>706</v>
      </c>
      <c r="W168" s="242">
        <v>21</v>
      </c>
      <c r="X168" s="485" t="str">
        <f>""</f>
        <v/>
      </c>
      <c r="Y168" s="242">
        <v>22</v>
      </c>
      <c r="AB168" s="327" t="str">
        <f>IF(C168="öngól",AC167,AB167)</f>
        <v>nevek.13</v>
      </c>
      <c r="AC168" s="327" t="str">
        <f>IF(H168="öngól",AB167,AC167)</f>
        <v>nevek.15</v>
      </c>
      <c r="AD168" s="327" t="str">
        <f>IF(J168="öngól",AE167,AD167)</f>
        <v>nevek.21</v>
      </c>
      <c r="AE168" s="327" t="str">
        <f>IF(O168="öngól",AD167,AE167)</f>
        <v>nevek.23</v>
      </c>
      <c r="AF168" s="325"/>
      <c r="AG168" s="485">
        <v>1</v>
      </c>
      <c r="AH168" s="488" t="b">
        <f ca="1">AND(W170,X171,D168="",AG168&lt;=W176)</f>
        <v>0</v>
      </c>
      <c r="AI168" s="488" t="b">
        <f ca="1">AND(W170,X171,E168="",AG168&lt;=W176)</f>
        <v>0</v>
      </c>
      <c r="AJ168" s="488" t="b">
        <f ca="1">AND(W170,X171,F168="",AG168&lt;=X176)</f>
        <v>0</v>
      </c>
      <c r="AK168" s="488" t="b">
        <f ca="1">AND(W170,X171,G168="",AG168&lt;=X176)</f>
        <v>0</v>
      </c>
      <c r="AL168" s="488" t="b">
        <f ca="1">AND(Y170,Z171,K168="",AG168&lt;=Y176)</f>
        <v>0</v>
      </c>
      <c r="AM168" s="488" t="b">
        <f ca="1">AND(Y170,Z171,L168="",AG168&lt;=Y176)</f>
        <v>0</v>
      </c>
      <c r="AN168" s="488" t="b">
        <f ca="1">AND(Y170,Z171,M168="",AG168&lt;=Z176)</f>
        <v>0</v>
      </c>
      <c r="AO168" s="488" t="b">
        <f ca="1">AND(Y170,Z171,N168="",AG168&lt;=Z176)</f>
        <v>0</v>
      </c>
      <c r="AQ168" s="326" t="str">
        <f>IF(OR(NOT(Góllista!$E$6),D168=""),"",IF(C168="öngól","ö"&amp;G167&amp;D168,D167&amp;D168))</f>
        <v/>
      </c>
      <c r="AR168" s="326" t="str">
        <f>IF(OR(NOT(Góllista!$E$6),G168=""),"",IF(H168="öngól","ö"&amp;D167&amp;G168,G167&amp;G168))</f>
        <v/>
      </c>
      <c r="AS168" s="326" t="str">
        <f>IF(OR(NOT(Góllista!$E$6),K168=""),"",IF(J168="öngól","ö"&amp;N167&amp;K168,K167&amp;K168))</f>
        <v/>
      </c>
      <c r="AT168" s="326" t="str">
        <f>IF(OR(NOT(Góllista!$E$6),N168=""),"",IF(O168="öngól","ö"&amp;K167&amp;N168,N167&amp;N168))</f>
        <v/>
      </c>
      <c r="AY168" s="323"/>
      <c r="BA168" s="323"/>
      <c r="BC168" s="323"/>
      <c r="BE168" s="323"/>
      <c r="BG168" s="323"/>
      <c r="BI168" s="323"/>
      <c r="BK168" s="323"/>
      <c r="BM168" s="323"/>
      <c r="BO168" s="323"/>
      <c r="BQ168" s="323"/>
      <c r="BS168" s="323"/>
      <c r="BU168" s="323"/>
      <c r="BW168" s="323"/>
      <c r="BY168" s="323"/>
      <c r="CA168" s="323"/>
      <c r="CC168" s="323"/>
      <c r="CE168" s="323"/>
      <c r="CG168" s="323"/>
      <c r="CI168" s="323"/>
      <c r="CK168" s="323"/>
      <c r="CM168" s="323"/>
      <c r="CO168" s="323"/>
      <c r="CQ168" s="323"/>
      <c r="CS168" s="323"/>
      <c r="CU168" s="323"/>
      <c r="CW168" s="323"/>
      <c r="CY168" s="323"/>
      <c r="DA168" s="323"/>
      <c r="DC168" s="323"/>
      <c r="DE168" s="323"/>
      <c r="DG168" s="323"/>
      <c r="DI168" s="323"/>
    </row>
    <row r="169" spans="1:115" ht="12" customHeight="1" x14ac:dyDescent="0.3">
      <c r="A169" s="765"/>
      <c r="C169" s="219"/>
      <c r="D169" s="220"/>
      <c r="E169" s="224"/>
      <c r="F169" s="222"/>
      <c r="G169" s="223"/>
      <c r="H169" s="219"/>
      <c r="J169" s="219"/>
      <c r="K169" s="220"/>
      <c r="L169" s="224"/>
      <c r="M169" s="222"/>
      <c r="N169" s="223"/>
      <c r="O169" s="219"/>
      <c r="V169" s="487" t="s">
        <v>711</v>
      </c>
      <c r="W169" s="327">
        <f>MATCH(W168,n.er.index,0)</f>
        <v>49</v>
      </c>
      <c r="X169" s="485" t="str">
        <f>""</f>
        <v/>
      </c>
      <c r="Y169" s="327">
        <f>MATCH(Y168,n.er.index,0)</f>
        <v>54</v>
      </c>
      <c r="AB169" s="327" t="str">
        <f>IF(C169="öngól",AC167,AB167)</f>
        <v>nevek.13</v>
      </c>
      <c r="AC169" s="327" t="str">
        <f>IF(H169="öngól",AB167,AC167)</f>
        <v>nevek.15</v>
      </c>
      <c r="AD169" s="327" t="str">
        <f>IF(J169="öngól",AE167,AD167)</f>
        <v>nevek.21</v>
      </c>
      <c r="AE169" s="327" t="str">
        <f>IF(O169="öngól",AD167,AE167)</f>
        <v>nevek.23</v>
      </c>
      <c r="AF169" s="325"/>
      <c r="AG169" s="485">
        <v>2</v>
      </c>
      <c r="AH169" s="488" t="b">
        <f ca="1">AND(W170,X171,D169="",AG169&lt;=W176)</f>
        <v>0</v>
      </c>
      <c r="AI169" s="488" t="b">
        <f ca="1">AND(W170,X171,E169="",AG169&lt;=W176)</f>
        <v>0</v>
      </c>
      <c r="AJ169" s="488" t="b">
        <f ca="1">AND(W170,X171,F169="",AG169&lt;=X176)</f>
        <v>0</v>
      </c>
      <c r="AK169" s="488" t="b">
        <f ca="1">AND(W170,X171,G169="",AG169&lt;=X176)</f>
        <v>0</v>
      </c>
      <c r="AL169" s="488" t="b">
        <f ca="1">AND(Y170,Z171,K169="",AG169&lt;=Y176)</f>
        <v>0</v>
      </c>
      <c r="AM169" s="488" t="b">
        <f ca="1">AND(Y170,Z171,L169="",AG169&lt;=Y176)</f>
        <v>0</v>
      </c>
      <c r="AN169" s="488" t="b">
        <f ca="1">AND(Y170,Z171,M169="",AG169&lt;=Z176)</f>
        <v>0</v>
      </c>
      <c r="AO169" s="488" t="b">
        <f ca="1">AND(Y170,Z171,N169="",AG169&lt;=Z176)</f>
        <v>0</v>
      </c>
      <c r="AQ169" s="326" t="str">
        <f>IF(OR(NOT(Góllista!$E$6),D169=""),"",IF(C169="öngól","ö"&amp;G167&amp;D169,D167&amp;D169))</f>
        <v/>
      </c>
      <c r="AR169" s="326" t="str">
        <f>IF(OR(NOT(Góllista!$E$6),G169=""),"",IF(H169="öngól","ö"&amp;D167&amp;G169,G167&amp;G169))</f>
        <v/>
      </c>
      <c r="AS169" s="326" t="str">
        <f>IF(OR(NOT(Góllista!$E$6),K169=""),"",IF(J169="öngól","ö"&amp;N167&amp;K169,K167&amp;K169))</f>
        <v/>
      </c>
      <c r="AT169" s="326" t="str">
        <f>IF(OR(NOT(Góllista!$E$6),N169=""),"",IF(O169="öngól","ö"&amp;K167&amp;N169,N167&amp;N169))</f>
        <v/>
      </c>
      <c r="AY169" s="323"/>
      <c r="BA169" s="323"/>
      <c r="BC169" s="323"/>
      <c r="BE169" s="323"/>
      <c r="BG169" s="323"/>
      <c r="BI169" s="323"/>
      <c r="BK169" s="323"/>
      <c r="BM169" s="323"/>
      <c r="BO169" s="323"/>
      <c r="BQ169" s="323"/>
      <c r="BS169" s="323"/>
      <c r="BU169" s="323"/>
      <c r="BW169" s="323"/>
      <c r="BY169" s="323"/>
      <c r="CA169" s="323"/>
      <c r="CC169" s="323"/>
      <c r="CE169" s="323"/>
      <c r="CG169" s="323"/>
      <c r="CI169" s="323"/>
      <c r="CK169" s="323"/>
      <c r="CM169" s="323"/>
      <c r="CO169" s="323"/>
      <c r="CQ169" s="323"/>
      <c r="CS169" s="323"/>
      <c r="CU169" s="323"/>
      <c r="CW169" s="323"/>
      <c r="CY169" s="323"/>
      <c r="DA169" s="323"/>
      <c r="DC169" s="323"/>
      <c r="DE169" s="323"/>
      <c r="DG169" s="323"/>
      <c r="DI169" s="323"/>
    </row>
    <row r="170" spans="1:115" ht="12" customHeight="1" x14ac:dyDescent="0.3">
      <c r="A170" s="765"/>
      <c r="C170" s="219"/>
      <c r="D170" s="220"/>
      <c r="E170" s="224"/>
      <c r="F170" s="222"/>
      <c r="G170" s="223"/>
      <c r="H170" s="219"/>
      <c r="J170" s="219"/>
      <c r="K170" s="220"/>
      <c r="L170" s="224"/>
      <c r="M170" s="222"/>
      <c r="N170" s="223"/>
      <c r="O170" s="219"/>
      <c r="V170" s="487" t="s">
        <v>710</v>
      </c>
      <c r="W170" s="489" t="b">
        <f>INDEX(n.er,W169,3)</f>
        <v>0</v>
      </c>
      <c r="X170" s="485" t="str">
        <f>""</f>
        <v/>
      </c>
      <c r="Y170" s="489" t="b">
        <f>INDEX(n.er,Y169,3)</f>
        <v>0</v>
      </c>
      <c r="AB170" s="327" t="str">
        <f>IF(C170="öngól",AC167,AB167)</f>
        <v>nevek.13</v>
      </c>
      <c r="AC170" s="327" t="str">
        <f>IF(H170="öngól",AB167,AC167)</f>
        <v>nevek.15</v>
      </c>
      <c r="AD170" s="327" t="str">
        <f>IF(J170="öngól",AE167,AD167)</f>
        <v>nevek.21</v>
      </c>
      <c r="AE170" s="327" t="str">
        <f>IF(O170="öngól",AD167,AE167)</f>
        <v>nevek.23</v>
      </c>
      <c r="AF170" s="325"/>
      <c r="AG170" s="485">
        <v>3</v>
      </c>
      <c r="AH170" s="488" t="b">
        <f ca="1">AND(W170,X171,D170="",AG170&lt;=W176)</f>
        <v>0</v>
      </c>
      <c r="AI170" s="488" t="b">
        <f ca="1">AND(W170,X171,E170="",AG170&lt;=W176)</f>
        <v>0</v>
      </c>
      <c r="AJ170" s="488" t="b">
        <f ca="1">AND(W170,X171,F170="",AG170&lt;=X176)</f>
        <v>0</v>
      </c>
      <c r="AK170" s="488" t="b">
        <f ca="1">AND(W170,X171,G170="",AG170&lt;=X176)</f>
        <v>0</v>
      </c>
      <c r="AL170" s="488" t="b">
        <f ca="1">AND(Y170,Z171,K170="",AG170&lt;=Y176)</f>
        <v>0</v>
      </c>
      <c r="AM170" s="488" t="b">
        <f ca="1">AND(Y170,Z171,L170="",AG170&lt;=Y176)</f>
        <v>0</v>
      </c>
      <c r="AN170" s="488" t="b">
        <f ca="1">AND(Y170,Z171,M170="",AG170&lt;=Z176)</f>
        <v>0</v>
      </c>
      <c r="AO170" s="488" t="b">
        <f ca="1">AND(Y170,Z171,N170="",AG170&lt;=Z176)</f>
        <v>0</v>
      </c>
      <c r="AQ170" s="326" t="str">
        <f>IF(OR(NOT(Góllista!$E$6),D170=""),"",IF(C170="öngól","ö"&amp;G167&amp;D170,D167&amp;D170))</f>
        <v/>
      </c>
      <c r="AR170" s="326" t="str">
        <f>IF(OR(NOT(Góllista!$E$6),G170=""),"",IF(H170="öngól","ö"&amp;D167&amp;G170,G167&amp;G170))</f>
        <v/>
      </c>
      <c r="AS170" s="326" t="str">
        <f>IF(OR(NOT(Góllista!$E$6),K170=""),"",IF(J170="öngól","ö"&amp;N167&amp;K170,K167&amp;K170))</f>
        <v/>
      </c>
      <c r="AT170" s="326" t="str">
        <f>IF(OR(NOT(Góllista!$E$6),N170=""),"",IF(O170="öngól","ö"&amp;K167&amp;N170,N167&amp;N170))</f>
        <v/>
      </c>
      <c r="AY170" s="323"/>
      <c r="BA170" s="323"/>
      <c r="BC170" s="323"/>
      <c r="BE170" s="323"/>
      <c r="BG170" s="323"/>
      <c r="BI170" s="323"/>
      <c r="BK170" s="323"/>
      <c r="BM170" s="323"/>
      <c r="BO170" s="323"/>
      <c r="BQ170" s="323"/>
      <c r="BS170" s="323"/>
      <c r="BU170" s="323"/>
      <c r="BW170" s="323"/>
      <c r="BY170" s="323"/>
      <c r="CA170" s="323"/>
      <c r="CC170" s="323"/>
      <c r="CE170" s="323"/>
      <c r="CG170" s="323"/>
      <c r="CI170" s="323"/>
      <c r="CK170" s="323"/>
      <c r="CM170" s="323"/>
      <c r="CO170" s="323"/>
      <c r="CQ170" s="323"/>
      <c r="CS170" s="323"/>
      <c r="CU170" s="323"/>
      <c r="CW170" s="323"/>
      <c r="CY170" s="323"/>
      <c r="DA170" s="323"/>
      <c r="DC170" s="323"/>
      <c r="DE170" s="323"/>
      <c r="DG170" s="323"/>
      <c r="DI170" s="323"/>
    </row>
    <row r="171" spans="1:115" ht="12" customHeight="1" x14ac:dyDescent="0.3">
      <c r="A171" s="765"/>
      <c r="C171" s="219"/>
      <c r="D171" s="220"/>
      <c r="E171" s="224"/>
      <c r="F171" s="222"/>
      <c r="G171" s="223"/>
      <c r="H171" s="219"/>
      <c r="J171" s="219"/>
      <c r="K171" s="220"/>
      <c r="L171" s="224"/>
      <c r="M171" s="222"/>
      <c r="N171" s="223"/>
      <c r="O171" s="219"/>
      <c r="V171" s="487" t="s">
        <v>705</v>
      </c>
      <c r="W171" s="490" t="str">
        <f>VLOOKUP(W168,schedule,18,FALSE)</f>
        <v>JÚNIUS 18. – PÉNTEK 21:00</v>
      </c>
      <c r="X171" s="489" t="b">
        <f ca="1">VLOOKUP(W168,schedule,14,FALSE)&lt;=NOW()</f>
        <v>0</v>
      </c>
      <c r="Y171" s="490" t="str">
        <f>VLOOKUP(Y168,schedule,18,FALSE)</f>
        <v>JÚNIUS 19. – SZOMBAT 15:00</v>
      </c>
      <c r="Z171" s="489" t="b">
        <f ca="1">VLOOKUP(Y168,schedule,14,FALSE)&lt;=NOW()</f>
        <v>0</v>
      </c>
      <c r="AB171" s="327" t="str">
        <f>IF(C171="öngól",AC167,AB167)</f>
        <v>nevek.13</v>
      </c>
      <c r="AC171" s="327" t="str">
        <f>IF(H171="öngól",AB167,AC167)</f>
        <v>nevek.15</v>
      </c>
      <c r="AD171" s="327" t="str">
        <f>IF(J171="öngól",AE167,AD167)</f>
        <v>nevek.21</v>
      </c>
      <c r="AE171" s="327" t="str">
        <f>IF(O171="öngól",AD167,AE167)</f>
        <v>nevek.23</v>
      </c>
      <c r="AF171" s="325"/>
      <c r="AG171" s="485">
        <v>4</v>
      </c>
      <c r="AH171" s="488" t="b">
        <f ca="1">AND(W170,X171,D171="",AG171&lt;=W176)</f>
        <v>0</v>
      </c>
      <c r="AI171" s="488" t="b">
        <f ca="1">AND(W170,X171,E171="",AG171&lt;=W176)</f>
        <v>0</v>
      </c>
      <c r="AJ171" s="488" t="b">
        <f ca="1">AND(W170,X171,F171="",AG171&lt;=X176)</f>
        <v>0</v>
      </c>
      <c r="AK171" s="488" t="b">
        <f ca="1">AND(W170,X171,G171="",AG171&lt;=X176)</f>
        <v>0</v>
      </c>
      <c r="AL171" s="488" t="b">
        <f ca="1">AND(Y170,Z171,K171="",AG171&lt;=Y176)</f>
        <v>0</v>
      </c>
      <c r="AM171" s="488" t="b">
        <f ca="1">AND(Y170,Z171,L171="",AG171&lt;=Y176)</f>
        <v>0</v>
      </c>
      <c r="AN171" s="488" t="b">
        <f ca="1">AND(Y170,Z171,M171="",AG171&lt;=Z176)</f>
        <v>0</v>
      </c>
      <c r="AO171" s="488" t="b">
        <f ca="1">AND(Y170,Z171,N171="",AG171&lt;=Z176)</f>
        <v>0</v>
      </c>
      <c r="AQ171" s="326" t="str">
        <f>IF(OR(NOT(Góllista!$E$6),D171=""),"",IF(C171="öngól","ö"&amp;G167&amp;D171,D167&amp;D171))</f>
        <v/>
      </c>
      <c r="AR171" s="326" t="str">
        <f>IF(OR(NOT(Góllista!$E$6),G171=""),"",IF(H171="öngól","ö"&amp;D167&amp;G171,G167&amp;G171))</f>
        <v/>
      </c>
      <c r="AS171" s="326" t="str">
        <f>IF(OR(NOT(Góllista!$E$6),K171=""),"",IF(J171="öngól","ö"&amp;N167&amp;K171,K167&amp;K171))</f>
        <v/>
      </c>
      <c r="AT171" s="326" t="str">
        <f>IF(OR(NOT(Góllista!$E$6),N171=""),"",IF(O171="öngól","ö"&amp;K167&amp;N171,N167&amp;N171))</f>
        <v/>
      </c>
      <c r="AY171" s="323"/>
      <c r="BA171" s="323"/>
      <c r="BC171" s="323"/>
      <c r="BE171" s="323"/>
      <c r="BG171" s="323"/>
      <c r="BI171" s="323"/>
      <c r="BK171" s="323"/>
      <c r="BM171" s="323"/>
      <c r="BO171" s="323"/>
      <c r="BQ171" s="323"/>
      <c r="BS171" s="323"/>
      <c r="BU171" s="323"/>
      <c r="BW171" s="323"/>
      <c r="BY171" s="323"/>
      <c r="CA171" s="323"/>
      <c r="CC171" s="323"/>
      <c r="CE171" s="323"/>
      <c r="CG171" s="323"/>
      <c r="CI171" s="323"/>
      <c r="CK171" s="323"/>
      <c r="CM171" s="323"/>
      <c r="CO171" s="323"/>
      <c r="CQ171" s="323"/>
      <c r="CS171" s="323"/>
      <c r="CU171" s="323"/>
      <c r="CW171" s="323"/>
      <c r="CY171" s="323"/>
      <c r="DA171" s="323"/>
      <c r="DC171" s="323"/>
      <c r="DE171" s="323"/>
      <c r="DG171" s="323"/>
      <c r="DI171" s="323"/>
    </row>
    <row r="172" spans="1:115" ht="12" customHeight="1" x14ac:dyDescent="0.3">
      <c r="A172" s="765"/>
      <c r="C172" s="219"/>
      <c r="D172" s="220"/>
      <c r="E172" s="224"/>
      <c r="F172" s="222"/>
      <c r="G172" s="223"/>
      <c r="H172" s="219"/>
      <c r="J172" s="219"/>
      <c r="K172" s="220"/>
      <c r="L172" s="224"/>
      <c r="M172" s="222"/>
      <c r="N172" s="223"/>
      <c r="O172" s="219"/>
      <c r="V172" s="487" t="s">
        <v>1265</v>
      </c>
      <c r="W172" s="491" t="str">
        <f>VLOOKUP(W168,schedule,12,FALSE)</f>
        <v>2. CSOPORTMÉRKŐZÉS</v>
      </c>
      <c r="X172" s="485" t="str">
        <f>""</f>
        <v/>
      </c>
      <c r="Y172" s="491" t="str">
        <f>VLOOKUP(Y168,schedule,12,FALSE)</f>
        <v>2. CSOPORTMÉRKŐZÉS</v>
      </c>
      <c r="AB172" s="327" t="str">
        <f>IF(C172="öngól",AC167,AB167)</f>
        <v>nevek.13</v>
      </c>
      <c r="AC172" s="327" t="str">
        <f>IF(H172="öngól",AB167,AC167)</f>
        <v>nevek.15</v>
      </c>
      <c r="AD172" s="327" t="str">
        <f>IF(J172="öngól",AE167,AD167)</f>
        <v>nevek.21</v>
      </c>
      <c r="AE172" s="327" t="str">
        <f>IF(O172="öngól",AD167,AE167)</f>
        <v>nevek.23</v>
      </c>
      <c r="AF172" s="325"/>
      <c r="AG172" s="485">
        <v>5</v>
      </c>
      <c r="AH172" s="488" t="b">
        <f ca="1">AND(W170,X171,D172="",AG172&lt;=W176)</f>
        <v>0</v>
      </c>
      <c r="AI172" s="488" t="b">
        <f ca="1">AND(W170,X171,E172="",AG172&lt;=W176)</f>
        <v>0</v>
      </c>
      <c r="AJ172" s="488" t="b">
        <f ca="1">AND(W170,X171,F172="",AG172&lt;=X176)</f>
        <v>0</v>
      </c>
      <c r="AK172" s="488" t="b">
        <f ca="1">AND(W170,X171,G172="",AG172&lt;=X176)</f>
        <v>0</v>
      </c>
      <c r="AL172" s="488" t="b">
        <f ca="1">AND(Y170,Z171,K172="",AG172&lt;=Y176)</f>
        <v>0</v>
      </c>
      <c r="AM172" s="488" t="b">
        <f ca="1">AND(Y170,Z171,L172="",AG172&lt;=Y176)</f>
        <v>0</v>
      </c>
      <c r="AN172" s="488" t="b">
        <f ca="1">AND(Y170,Z171,M172="",AG172&lt;=Z176)</f>
        <v>0</v>
      </c>
      <c r="AO172" s="488" t="b">
        <f ca="1">AND(Y170,Z171,N172="",AG172&lt;=Z176)</f>
        <v>0</v>
      </c>
      <c r="AQ172" s="326" t="str">
        <f>IF(OR(NOT(Góllista!$E$6),D172=""),"",IF(C172="öngól","ö"&amp;G167&amp;D172,D167&amp;D172))</f>
        <v/>
      </c>
      <c r="AR172" s="326" t="str">
        <f>IF(OR(NOT(Góllista!$E$6),G172=""),"",IF(H172="öngól","ö"&amp;D167&amp;G172,G167&amp;G172))</f>
        <v/>
      </c>
      <c r="AS172" s="326" t="str">
        <f>IF(OR(NOT(Góllista!$E$6),K172=""),"",IF(J172="öngól","ö"&amp;N167&amp;K172,K167&amp;K172))</f>
        <v/>
      </c>
      <c r="AT172" s="326" t="str">
        <f>IF(OR(NOT(Góllista!$E$6),N172=""),"",IF(O172="öngól","ö"&amp;K167&amp;N172,N167&amp;N172))</f>
        <v/>
      </c>
      <c r="AY172" s="323"/>
      <c r="BA172" s="323"/>
      <c r="BC172" s="323"/>
      <c r="BE172" s="323"/>
      <c r="BG172" s="323"/>
      <c r="BI172" s="323"/>
      <c r="BK172" s="323"/>
      <c r="BM172" s="323"/>
      <c r="BO172" s="323"/>
      <c r="BQ172" s="323"/>
      <c r="BS172" s="323"/>
      <c r="BU172" s="323"/>
      <c r="BW172" s="323"/>
      <c r="BY172" s="323"/>
      <c r="CA172" s="323"/>
      <c r="CC172" s="323"/>
      <c r="CE172" s="323"/>
      <c r="CG172" s="323"/>
      <c r="CI172" s="323"/>
      <c r="CK172" s="323"/>
      <c r="CM172" s="323"/>
      <c r="CO172" s="323"/>
      <c r="CQ172" s="323"/>
      <c r="CS172" s="323"/>
      <c r="CU172" s="323"/>
      <c r="CW172" s="323"/>
      <c r="CY172" s="323"/>
      <c r="DA172" s="323"/>
      <c r="DC172" s="323"/>
      <c r="DE172" s="323"/>
      <c r="DG172" s="323"/>
      <c r="DI172" s="323"/>
    </row>
    <row r="173" spans="1:115" ht="12" customHeight="1" x14ac:dyDescent="0.3">
      <c r="A173" s="765"/>
      <c r="C173" s="219"/>
      <c r="D173" s="220"/>
      <c r="E173" s="224"/>
      <c r="F173" s="222"/>
      <c r="G173" s="223"/>
      <c r="H173" s="219"/>
      <c r="J173" s="219"/>
      <c r="K173" s="220"/>
      <c r="L173" s="224"/>
      <c r="M173" s="222"/>
      <c r="N173" s="223"/>
      <c r="O173" s="219"/>
      <c r="V173" s="487" t="s">
        <v>1264</v>
      </c>
      <c r="W173" s="327" t="str">
        <f>VLOOKUP(W168,schedule,3,FALSE)</f>
        <v>D</v>
      </c>
      <c r="X173" s="485" t="str">
        <f>""</f>
        <v/>
      </c>
      <c r="Y173" s="327" t="str">
        <f>VLOOKUP(Y168,schedule,3,FALSE)</f>
        <v>F</v>
      </c>
      <c r="AB173" s="327" t="str">
        <f>IF(C173="öngól",AC167,AB167)</f>
        <v>nevek.13</v>
      </c>
      <c r="AC173" s="327" t="str">
        <f>IF(H173="öngól",AB167,AC167)</f>
        <v>nevek.15</v>
      </c>
      <c r="AD173" s="327" t="str">
        <f>IF(J173="öngól",AE167,AD167)</f>
        <v>nevek.21</v>
      </c>
      <c r="AE173" s="327" t="str">
        <f>IF(O173="öngól",AD167,AE167)</f>
        <v>nevek.23</v>
      </c>
      <c r="AF173" s="325"/>
      <c r="AG173" s="485">
        <v>6</v>
      </c>
      <c r="AH173" s="488" t="b">
        <f ca="1">AND(W170,X171,D173="",AG173&lt;=W176)</f>
        <v>0</v>
      </c>
      <c r="AI173" s="488" t="b">
        <f ca="1">AND(W170,X171,E173="",AG173&lt;=W176)</f>
        <v>0</v>
      </c>
      <c r="AJ173" s="488" t="b">
        <f ca="1">AND(W170,X171,F173="",AG173&lt;=X176)</f>
        <v>0</v>
      </c>
      <c r="AK173" s="488" t="b">
        <f ca="1">AND(W170,X171,G173="",AG173&lt;=X176)</f>
        <v>0</v>
      </c>
      <c r="AL173" s="488" t="b">
        <f ca="1">AND(Y170,Z171,K173="",AG173&lt;=Y176)</f>
        <v>0</v>
      </c>
      <c r="AM173" s="488" t="b">
        <f ca="1">AND(Y170,Z171,L173="",AG173&lt;=Y176)</f>
        <v>0</v>
      </c>
      <c r="AN173" s="488" t="b">
        <f ca="1">AND(Y170,Z171,M173="",AG173&lt;=Z176)</f>
        <v>0</v>
      </c>
      <c r="AO173" s="488" t="b">
        <f ca="1">AND(Y170,Z171,N173="",AG173&lt;=Z176)</f>
        <v>0</v>
      </c>
      <c r="AQ173" s="326" t="str">
        <f>IF(OR(NOT(Góllista!$E$6),D173=""),"",IF(C173="öngól","ö"&amp;G167&amp;D173,D167&amp;D173))</f>
        <v/>
      </c>
      <c r="AR173" s="326" t="str">
        <f>IF(OR(NOT(Góllista!$E$6),G173=""),"",IF(H173="öngól","ö"&amp;D167&amp;G173,G167&amp;G173))</f>
        <v/>
      </c>
      <c r="AS173" s="326" t="str">
        <f>IF(OR(NOT(Góllista!$E$6),K173=""),"",IF(J173="öngól","ö"&amp;N167&amp;K173,K167&amp;K173))</f>
        <v/>
      </c>
      <c r="AT173" s="326" t="str">
        <f>IF(OR(NOT(Góllista!$E$6),N173=""),"",IF(O173="öngól","ö"&amp;K167&amp;N173,N167&amp;N173))</f>
        <v/>
      </c>
      <c r="AY173" s="323"/>
      <c r="BA173" s="323"/>
      <c r="BC173" s="323"/>
      <c r="BE173" s="323"/>
      <c r="BG173" s="323"/>
      <c r="BI173" s="323"/>
      <c r="BK173" s="323"/>
      <c r="BM173" s="323"/>
      <c r="BO173" s="323"/>
      <c r="BQ173" s="323"/>
      <c r="BS173" s="323"/>
      <c r="BU173" s="323"/>
      <c r="BW173" s="323"/>
      <c r="BY173" s="323"/>
      <c r="CA173" s="323"/>
      <c r="CC173" s="323"/>
      <c r="CE173" s="323"/>
      <c r="CG173" s="323"/>
      <c r="CI173" s="323"/>
      <c r="CK173" s="323"/>
      <c r="CM173" s="323"/>
      <c r="CO173" s="323"/>
      <c r="CQ173" s="323"/>
      <c r="CS173" s="323"/>
      <c r="CU173" s="323"/>
      <c r="CW173" s="323"/>
      <c r="CY173" s="323"/>
      <c r="DA173" s="323"/>
      <c r="DC173" s="323"/>
      <c r="DE173" s="323"/>
      <c r="DG173" s="323"/>
      <c r="DI173" s="323"/>
    </row>
    <row r="174" spans="1:115" ht="12" customHeight="1" x14ac:dyDescent="0.3">
      <c r="A174" s="765"/>
      <c r="C174" s="219"/>
      <c r="D174" s="220"/>
      <c r="E174" s="224"/>
      <c r="F174" s="222"/>
      <c r="G174" s="223"/>
      <c r="H174" s="219"/>
      <c r="J174" s="219"/>
      <c r="K174" s="220"/>
      <c r="L174" s="224"/>
      <c r="M174" s="222"/>
      <c r="N174" s="223"/>
      <c r="O174" s="219"/>
      <c r="V174" s="485" t="s">
        <v>707</v>
      </c>
      <c r="W174" s="327">
        <f>IF(NOT(W170),0,E167-9+COUNTBLANK(D168:D176))</f>
        <v>0</v>
      </c>
      <c r="X174" s="327">
        <f>IF(NOT(W170),0,F167-9+COUNTBLANK(G168:G176))</f>
        <v>0</v>
      </c>
      <c r="Y174" s="327">
        <f>IF(NOT(Y170),0,L167-9+COUNTBLANK(K168:K176))</f>
        <v>0</v>
      </c>
      <c r="Z174" s="327">
        <f>IF(NOT(Y170),0,M167-9+COUNTBLANK(N168:N176))</f>
        <v>0</v>
      </c>
      <c r="AB174" s="327" t="str">
        <f>IF(C174="öngól",AC167,AB167)</f>
        <v>nevek.13</v>
      </c>
      <c r="AC174" s="327" t="str">
        <f>IF(H174="öngól",AB167,AC167)</f>
        <v>nevek.15</v>
      </c>
      <c r="AD174" s="327" t="str">
        <f>IF(J174="öngól",AE167,AD167)</f>
        <v>nevek.21</v>
      </c>
      <c r="AE174" s="327" t="str">
        <f>IF(O174="öngól",AD167,AE167)</f>
        <v>nevek.23</v>
      </c>
      <c r="AF174" s="325"/>
      <c r="AG174" s="485">
        <v>7</v>
      </c>
      <c r="AH174" s="488" t="b">
        <f ca="1">AND(W170,X171,D174="",AG174&lt;=W176)</f>
        <v>0</v>
      </c>
      <c r="AI174" s="488" t="b">
        <f ca="1">AND(W170,X171,E174="",AG174&lt;=W176)</f>
        <v>0</v>
      </c>
      <c r="AJ174" s="488" t="b">
        <f ca="1">AND(W170,X171,F174="",AG174&lt;=X176)</f>
        <v>0</v>
      </c>
      <c r="AK174" s="488" t="b">
        <f ca="1">AND(W170,X171,G174="",AG174&lt;=X176)</f>
        <v>0</v>
      </c>
      <c r="AL174" s="488" t="b">
        <f ca="1">AND(Y170,Z171,K174="",AG174&lt;=Y176)</f>
        <v>0</v>
      </c>
      <c r="AM174" s="488" t="b">
        <f ca="1">AND(Y170,Z171,L174="",AG174&lt;=Y176)</f>
        <v>0</v>
      </c>
      <c r="AN174" s="488" t="b">
        <f ca="1">AND(Y170,Z171,M174="",AG174&lt;=Z176)</f>
        <v>0</v>
      </c>
      <c r="AO174" s="488" t="b">
        <f ca="1">AND(Y170,Z171,N174="",AG174&lt;=Z176)</f>
        <v>0</v>
      </c>
      <c r="AQ174" s="326" t="str">
        <f>IF(OR(NOT(Góllista!$E$6),D174=""),"",IF(C174="öngól","ö"&amp;G167&amp;D174,D167&amp;D174))</f>
        <v/>
      </c>
      <c r="AR174" s="326" t="str">
        <f>IF(OR(NOT(Góllista!$E$6),G174=""),"",IF(H174="öngól","ö"&amp;D167&amp;G174,G167&amp;G174))</f>
        <v/>
      </c>
      <c r="AS174" s="326" t="str">
        <f>IF(OR(NOT(Góllista!$E$6),K174=""),"",IF(J174="öngól","ö"&amp;N167&amp;K174,K167&amp;K174))</f>
        <v/>
      </c>
      <c r="AT174" s="326" t="str">
        <f>IF(OR(NOT(Góllista!$E$6),N174=""),"",IF(O174="öngól","ö"&amp;K167&amp;N174,N167&amp;N174))</f>
        <v/>
      </c>
      <c r="AY174" s="323"/>
      <c r="BA174" s="323"/>
      <c r="BC174" s="323"/>
      <c r="BE174" s="323"/>
      <c r="BG174" s="323"/>
      <c r="BI174" s="323"/>
      <c r="BK174" s="323"/>
      <c r="BM174" s="323"/>
      <c r="BO174" s="323"/>
      <c r="BQ174" s="323"/>
      <c r="BS174" s="323"/>
      <c r="BU174" s="323"/>
      <c r="BW174" s="323"/>
      <c r="BY174" s="323"/>
      <c r="CA174" s="323"/>
      <c r="CC174" s="323"/>
      <c r="CE174" s="323"/>
      <c r="CG174" s="323"/>
      <c r="CI174" s="323"/>
      <c r="CK174" s="323"/>
      <c r="CM174" s="323"/>
      <c r="CO174" s="323"/>
      <c r="CQ174" s="323"/>
      <c r="CS174" s="323"/>
      <c r="CU174" s="323"/>
      <c r="CW174" s="323"/>
      <c r="CY174" s="323"/>
      <c r="DA174" s="323"/>
      <c r="DC174" s="323"/>
      <c r="DE174" s="323"/>
      <c r="DG174" s="323"/>
      <c r="DI174" s="323"/>
    </row>
    <row r="175" spans="1:115" ht="12" customHeight="1" x14ac:dyDescent="0.3">
      <c r="A175" s="765"/>
      <c r="C175" s="219"/>
      <c r="D175" s="220"/>
      <c r="E175" s="224"/>
      <c r="F175" s="222"/>
      <c r="G175" s="223"/>
      <c r="H175" s="219"/>
      <c r="J175" s="219"/>
      <c r="K175" s="220"/>
      <c r="L175" s="224"/>
      <c r="M175" s="222"/>
      <c r="N175" s="223"/>
      <c r="O175" s="219"/>
      <c r="V175" s="485" t="s">
        <v>708</v>
      </c>
      <c r="W175" s="411" t="str">
        <f>VLOOKUP(W168,schedule,8,FALSE)</f>
        <v>Anglia</v>
      </c>
      <c r="X175" s="411" t="str">
        <f>VLOOKUP(W168,schedule,9,FALSE)</f>
        <v>Skócia</v>
      </c>
      <c r="Y175" s="411" t="str">
        <f>VLOOKUP(Y168,schedule,8,FALSE)</f>
        <v>MAGYARORSZÁG</v>
      </c>
      <c r="Z175" s="491" t="str">
        <f>VLOOKUP(Y168,schedule,9,FALSE)</f>
        <v>Franciaország</v>
      </c>
      <c r="AB175" s="327" t="str">
        <f>IF(C175="öngól",AC167,AB167)</f>
        <v>nevek.13</v>
      </c>
      <c r="AC175" s="327" t="str">
        <f>IF(H175="öngól",AB167,AC167)</f>
        <v>nevek.15</v>
      </c>
      <c r="AD175" s="327" t="str">
        <f>IF(J175="öngól",AE167,AD167)</f>
        <v>nevek.21</v>
      </c>
      <c r="AE175" s="327" t="str">
        <f>IF(O175="öngól",AD167,AE167)</f>
        <v>nevek.23</v>
      </c>
      <c r="AF175" s="325"/>
      <c r="AG175" s="485">
        <v>8</v>
      </c>
      <c r="AH175" s="488" t="b">
        <f ca="1">AND(W170,X171,D175="",AG175&lt;=W176)</f>
        <v>0</v>
      </c>
      <c r="AI175" s="488" t="b">
        <f ca="1">AND(W170,X171,E175="",AG175&lt;=W176)</f>
        <v>0</v>
      </c>
      <c r="AJ175" s="488" t="b">
        <f ca="1">AND(W170,X171,F175="",AG175&lt;=X176)</f>
        <v>0</v>
      </c>
      <c r="AK175" s="488" t="b">
        <f ca="1">AND(W170,X171,G175="",AG175&lt;=X176)</f>
        <v>0</v>
      </c>
      <c r="AL175" s="488" t="b">
        <f ca="1">AND(Y170,Z171,K175="",AG175&lt;=Y176)</f>
        <v>0</v>
      </c>
      <c r="AM175" s="488" t="b">
        <f ca="1">AND(Y170,Z171,L175="",AG175&lt;=Y176)</f>
        <v>0</v>
      </c>
      <c r="AN175" s="488" t="b">
        <f ca="1">AND(Y170,Z171,M175="",AG175&lt;=Z176)</f>
        <v>0</v>
      </c>
      <c r="AO175" s="488" t="b">
        <f ca="1">AND(Y170,Z171,N175="",AG175&lt;=Z176)</f>
        <v>0</v>
      </c>
      <c r="AQ175" s="326" t="str">
        <f>IF(OR(NOT(Góllista!$E$6),D175=""),"",IF(C175="öngól","ö"&amp;G167&amp;D175,D167&amp;D175))</f>
        <v/>
      </c>
      <c r="AR175" s="326" t="str">
        <f>IF(OR(NOT(Góllista!$E$6),G175=""),"",IF(H175="öngól","ö"&amp;D167&amp;G175,G167&amp;G175))</f>
        <v/>
      </c>
      <c r="AS175" s="326" t="str">
        <f>IF(OR(NOT(Góllista!$E$6),K175=""),"",IF(J175="öngól","ö"&amp;N167&amp;K175,K167&amp;K175))</f>
        <v/>
      </c>
      <c r="AT175" s="326" t="str">
        <f>IF(OR(NOT(Góllista!$E$6),N175=""),"",IF(O175="öngól","ö"&amp;K167&amp;N175,N167&amp;N175))</f>
        <v/>
      </c>
      <c r="AY175" s="323"/>
      <c r="BA175" s="323"/>
      <c r="BC175" s="323"/>
      <c r="BE175" s="323"/>
      <c r="BG175" s="323"/>
      <c r="BI175" s="323"/>
      <c r="BK175" s="323"/>
      <c r="BM175" s="323"/>
      <c r="BO175" s="323"/>
      <c r="BQ175" s="323"/>
      <c r="BS175" s="323"/>
      <c r="BU175" s="323"/>
      <c r="BW175" s="323"/>
      <c r="BY175" s="323"/>
      <c r="CA175" s="323"/>
      <c r="CC175" s="323"/>
      <c r="CE175" s="323"/>
      <c r="CG175" s="323"/>
      <c r="CI175" s="323"/>
      <c r="CK175" s="323"/>
      <c r="CM175" s="323"/>
      <c r="CO175" s="323"/>
      <c r="CQ175" s="323"/>
      <c r="CS175" s="323"/>
      <c r="CU175" s="323"/>
      <c r="CW175" s="323"/>
      <c r="CY175" s="323"/>
      <c r="DA175" s="323"/>
      <c r="DC175" s="323"/>
      <c r="DE175" s="323"/>
      <c r="DG175" s="323"/>
      <c r="DI175" s="323"/>
    </row>
    <row r="176" spans="1:115" ht="12" customHeight="1" x14ac:dyDescent="0.3">
      <c r="A176" s="765"/>
      <c r="C176" s="219"/>
      <c r="D176" s="220"/>
      <c r="E176" s="225"/>
      <c r="F176" s="222"/>
      <c r="G176" s="223"/>
      <c r="H176" s="219"/>
      <c r="J176" s="219"/>
      <c r="K176" s="220"/>
      <c r="L176" s="225"/>
      <c r="M176" s="222"/>
      <c r="N176" s="223"/>
      <c r="O176" s="219"/>
      <c r="V176" s="485" t="s">
        <v>709</v>
      </c>
      <c r="W176" s="492" t="str">
        <f>INDEX(n.er,W169,9)</f>
        <v/>
      </c>
      <c r="X176" s="493" t="str">
        <f>INDEX(n.er,W169,10)</f>
        <v/>
      </c>
      <c r="Y176" s="492" t="str">
        <f>INDEX(n.er,Y169,9)</f>
        <v/>
      </c>
      <c r="Z176" s="493" t="str">
        <f>INDEX(n.er,Y169,10)</f>
        <v/>
      </c>
      <c r="AB176" s="327" t="str">
        <f>IF(C176="öngól",AC167,AB167)</f>
        <v>nevek.13</v>
      </c>
      <c r="AC176" s="327" t="str">
        <f>IF(H176="öngól",AB167,AC167)</f>
        <v>nevek.15</v>
      </c>
      <c r="AD176" s="327" t="str">
        <f>IF(J176="öngól",AE167,AD167)</f>
        <v>nevek.21</v>
      </c>
      <c r="AE176" s="327" t="str">
        <f>IF(O176="öngól",AD167,AE167)</f>
        <v>nevek.23</v>
      </c>
      <c r="AF176" s="325"/>
      <c r="AG176" s="485">
        <v>9</v>
      </c>
      <c r="AH176" s="488" t="b">
        <f ca="1">AND(W170,X171,D176="",AG176&lt;=W176)</f>
        <v>0</v>
      </c>
      <c r="AI176" s="488" t="b">
        <f ca="1">AND(W170,X171,E176="",AG176&lt;=W176)</f>
        <v>0</v>
      </c>
      <c r="AJ176" s="488" t="b">
        <f ca="1">AND(W170,X171,F176="",AG176&lt;=X176)</f>
        <v>0</v>
      </c>
      <c r="AK176" s="488" t="b">
        <f ca="1">AND(W170,X171,G176="",AG176&lt;=X176)</f>
        <v>0</v>
      </c>
      <c r="AL176" s="488" t="b">
        <f ca="1">AND(Y170,Z171,K176="",AG176&lt;=Y176)</f>
        <v>0</v>
      </c>
      <c r="AM176" s="488" t="b">
        <f ca="1">AND(Y170,Z171,L176="",AG176&lt;=Y176)</f>
        <v>0</v>
      </c>
      <c r="AN176" s="488" t="b">
        <f ca="1">AND(Y170,Z171,M176="",AG176&lt;=Z176)</f>
        <v>0</v>
      </c>
      <c r="AO176" s="488" t="b">
        <f ca="1">AND(Y170,Z171,N176="",AG176&lt;=Z176)</f>
        <v>0</v>
      </c>
      <c r="AQ176" s="326" t="str">
        <f>IF(OR(NOT(Góllista!$E$6),D176=""),"",IF(C176="öngól","ö"&amp;G167&amp;D176,D167&amp;D176))</f>
        <v/>
      </c>
      <c r="AR176" s="326" t="str">
        <f>IF(OR(NOT(Góllista!$E$6),G176=""),"",IF(H176="öngól","ö"&amp;D167&amp;G176,G167&amp;G176))</f>
        <v/>
      </c>
      <c r="AS176" s="326" t="str">
        <f>IF(OR(NOT(Góllista!$E$6),K176=""),"",IF(J176="öngól","ö"&amp;N167&amp;K176,K167&amp;K176))</f>
        <v/>
      </c>
      <c r="AT176" s="326" t="str">
        <f>IF(OR(NOT(Góllista!$E$6),N176=""),"",IF(O176="öngól","ö"&amp;K167&amp;N176,N167&amp;N176))</f>
        <v/>
      </c>
      <c r="AY176" s="323"/>
      <c r="BA176" s="323"/>
      <c r="BC176" s="323"/>
      <c r="BE176" s="323"/>
      <c r="BG176" s="323"/>
      <c r="BI176" s="323"/>
      <c r="BK176" s="323"/>
      <c r="BM176" s="323"/>
      <c r="BO176" s="323"/>
      <c r="BQ176" s="323"/>
      <c r="BS176" s="323"/>
      <c r="BU176" s="323"/>
      <c r="BW176" s="323"/>
      <c r="BY176" s="323"/>
      <c r="CA176" s="323"/>
      <c r="CC176" s="323"/>
      <c r="CE176" s="323"/>
      <c r="CG176" s="323"/>
      <c r="CI176" s="323"/>
      <c r="CK176" s="323"/>
      <c r="CM176" s="323"/>
      <c r="CO176" s="323"/>
      <c r="CQ176" s="323"/>
      <c r="CS176" s="323"/>
      <c r="CU176" s="323"/>
      <c r="CW176" s="323"/>
      <c r="CY176" s="323"/>
      <c r="DA176" s="323"/>
      <c r="DC176" s="323"/>
      <c r="DE176" s="323"/>
      <c r="DG176" s="323"/>
      <c r="DI176" s="323"/>
    </row>
    <row r="177" spans="1:115" ht="12" customHeight="1" x14ac:dyDescent="0.3">
      <c r="A177" s="765"/>
      <c r="C177" s="768"/>
      <c r="D177" s="768"/>
      <c r="E177" s="768"/>
      <c r="F177" s="768"/>
      <c r="G177" s="768"/>
      <c r="H177" s="768"/>
      <c r="J177" s="768"/>
      <c r="K177" s="768"/>
      <c r="L177" s="768"/>
      <c r="M177" s="768"/>
      <c r="N177" s="768"/>
      <c r="O177" s="768"/>
      <c r="AY177" s="323"/>
      <c r="BA177" s="323"/>
      <c r="BC177" s="323"/>
      <c r="BE177" s="323"/>
      <c r="BG177" s="323"/>
      <c r="BI177" s="323"/>
      <c r="BK177" s="323"/>
      <c r="BM177" s="323"/>
      <c r="BO177" s="323"/>
      <c r="BQ177" s="323"/>
      <c r="BS177" s="323"/>
      <c r="BU177" s="323"/>
      <c r="BW177" s="323"/>
      <c r="BY177" s="323"/>
      <c r="CA177" s="323"/>
      <c r="CC177" s="323"/>
      <c r="CE177" s="323"/>
      <c r="CG177" s="323"/>
      <c r="CI177" s="323"/>
      <c r="CK177" s="323"/>
      <c r="CM177" s="323"/>
      <c r="CO177" s="323"/>
      <c r="CQ177" s="323"/>
      <c r="CS177" s="323"/>
      <c r="CU177" s="323"/>
      <c r="CW177" s="323"/>
      <c r="CY177" s="323"/>
      <c r="DA177" s="323"/>
      <c r="DC177" s="323"/>
      <c r="DE177" s="323"/>
      <c r="DG177" s="323"/>
      <c r="DI177" s="323"/>
    </row>
    <row r="178" spans="1:115" ht="12" hidden="1" customHeight="1" x14ac:dyDescent="0.3">
      <c r="A178" s="765"/>
      <c r="C178" s="767"/>
      <c r="D178" s="767"/>
      <c r="E178" s="767"/>
      <c r="F178" s="767"/>
      <c r="G178" s="767"/>
      <c r="H178" s="767"/>
      <c r="J178" s="767"/>
      <c r="K178" s="767"/>
      <c r="L178" s="767"/>
      <c r="M178" s="767"/>
      <c r="N178" s="767"/>
      <c r="O178" s="767"/>
      <c r="AY178" s="323"/>
      <c r="BA178" s="323"/>
      <c r="BC178" s="323"/>
      <c r="BE178" s="323"/>
      <c r="BG178" s="323"/>
      <c r="BI178" s="323"/>
      <c r="BK178" s="323"/>
      <c r="BM178" s="323"/>
      <c r="BO178" s="323"/>
      <c r="BQ178" s="323"/>
      <c r="BS178" s="323"/>
      <c r="BU178" s="323"/>
      <c r="BW178" s="323"/>
      <c r="BY178" s="323"/>
      <c r="CA178" s="323"/>
      <c r="CC178" s="323"/>
      <c r="CE178" s="323"/>
      <c r="CG178" s="323"/>
      <c r="CI178" s="323"/>
      <c r="CK178" s="323"/>
      <c r="CM178" s="323"/>
      <c r="CO178" s="323"/>
      <c r="CQ178" s="323"/>
      <c r="CS178" s="323"/>
      <c r="CU178" s="323"/>
      <c r="CW178" s="323"/>
      <c r="CY178" s="323"/>
      <c r="DA178" s="323"/>
      <c r="DC178" s="323"/>
      <c r="DE178" s="323"/>
      <c r="DG178" s="323"/>
      <c r="DI178" s="323"/>
    </row>
    <row r="179" spans="1:115" ht="12" hidden="1" customHeight="1" x14ac:dyDescent="0.3">
      <c r="A179" s="765"/>
      <c r="C179" s="767"/>
      <c r="D179" s="767"/>
      <c r="E179" s="767"/>
      <c r="F179" s="767"/>
      <c r="G179" s="767"/>
      <c r="H179" s="767"/>
      <c r="J179" s="767"/>
      <c r="K179" s="767"/>
      <c r="L179" s="767"/>
      <c r="M179" s="767"/>
      <c r="N179" s="767"/>
      <c r="O179" s="767"/>
      <c r="AY179" s="323"/>
      <c r="BA179" s="323"/>
      <c r="BC179" s="323"/>
      <c r="BE179" s="323"/>
      <c r="BG179" s="323"/>
      <c r="BI179" s="323"/>
      <c r="BK179" s="323"/>
      <c r="BM179" s="323"/>
      <c r="BO179" s="323"/>
      <c r="BQ179" s="323"/>
      <c r="BS179" s="323"/>
      <c r="BU179" s="323"/>
      <c r="BW179" s="323"/>
      <c r="BY179" s="323"/>
      <c r="CA179" s="323"/>
      <c r="CC179" s="323"/>
      <c r="CE179" s="323"/>
      <c r="CG179" s="323"/>
      <c r="CI179" s="323"/>
      <c r="CK179" s="323"/>
      <c r="CM179" s="323"/>
      <c r="CO179" s="323"/>
      <c r="CQ179" s="323"/>
      <c r="CS179" s="323"/>
      <c r="CU179" s="323"/>
      <c r="CW179" s="323"/>
      <c r="CY179" s="323"/>
      <c r="DA179" s="323"/>
      <c r="DC179" s="323"/>
      <c r="DE179" s="323"/>
      <c r="DG179" s="323"/>
      <c r="DI179" s="323"/>
    </row>
    <row r="180" spans="1:115" ht="10.5" customHeight="1" x14ac:dyDescent="0.3">
      <c r="A180" s="765"/>
      <c r="AY180" s="323"/>
      <c r="BA180" s="323"/>
      <c r="BC180" s="323"/>
      <c r="BE180" s="323"/>
      <c r="BG180" s="323"/>
      <c r="BI180" s="323"/>
      <c r="BK180" s="323"/>
      <c r="BM180" s="323"/>
      <c r="BO180" s="323"/>
      <c r="BQ180" s="323"/>
      <c r="BS180" s="323"/>
      <c r="BU180" s="323"/>
      <c r="BW180" s="323"/>
      <c r="BY180" s="323"/>
      <c r="CA180" s="323"/>
      <c r="CC180" s="323"/>
      <c r="CE180" s="323"/>
      <c r="CG180" s="323"/>
      <c r="CI180" s="323"/>
      <c r="CK180" s="323"/>
      <c r="CM180" s="323"/>
      <c r="CO180" s="323"/>
      <c r="CQ180" s="323"/>
      <c r="CS180" s="323"/>
      <c r="CU180" s="323"/>
      <c r="CW180" s="323"/>
      <c r="CY180" s="323"/>
      <c r="DA180" s="323"/>
      <c r="DC180" s="323"/>
      <c r="DE180" s="323"/>
      <c r="DG180" s="323"/>
      <c r="DI180" s="323"/>
    </row>
    <row r="181" spans="1:115" ht="6" customHeight="1" x14ac:dyDescent="0.3">
      <c r="A181" s="765"/>
      <c r="AQ181" s="323"/>
      <c r="AR181" s="323"/>
      <c r="AS181" s="323"/>
      <c r="AT181" s="323"/>
      <c r="AY181" s="323"/>
      <c r="BA181" s="323"/>
      <c r="BC181" s="323"/>
      <c r="BE181" s="323"/>
      <c r="BG181" s="323"/>
      <c r="BI181" s="323"/>
      <c r="BK181" s="323"/>
      <c r="BM181" s="323"/>
      <c r="BO181" s="323"/>
      <c r="BQ181" s="323"/>
      <c r="BS181" s="323"/>
      <c r="BU181" s="323"/>
      <c r="BW181" s="323"/>
      <c r="BY181" s="323"/>
      <c r="CA181" s="323"/>
      <c r="CC181" s="323"/>
      <c r="CE181" s="323"/>
      <c r="CG181" s="323"/>
      <c r="CI181" s="323"/>
      <c r="CK181" s="323"/>
      <c r="CM181" s="323"/>
      <c r="CO181" s="323"/>
      <c r="CQ181" s="323"/>
      <c r="CS181" s="323"/>
      <c r="CU181" s="323"/>
      <c r="CW181" s="323"/>
      <c r="CY181" s="323"/>
      <c r="DA181" s="323"/>
      <c r="DC181" s="323"/>
      <c r="DE181" s="323"/>
      <c r="DG181" s="323"/>
      <c r="DI181" s="323"/>
    </row>
    <row r="182" spans="1:115" ht="12" customHeight="1" x14ac:dyDescent="0.3">
      <c r="A182" s="765"/>
      <c r="C182" s="247" t="str">
        <f>W187</f>
        <v>JÚNIUS 19. – SZOMBAT 18:00</v>
      </c>
      <c r="D182" s="227"/>
      <c r="E182" s="228"/>
      <c r="F182" s="229"/>
      <c r="G182" s="230"/>
      <c r="H182" s="231" t="str">
        <f>W188</f>
        <v>2. CSOPORTMÉRKŐZÉS</v>
      </c>
      <c r="I182" s="138"/>
      <c r="J182" s="246" t="str">
        <f>Y187</f>
        <v>JÚNIUS 19. – SZOMBAT 21:00</v>
      </c>
      <c r="K182" s="227"/>
      <c r="L182" s="228"/>
      <c r="M182" s="229"/>
      <c r="N182" s="230"/>
      <c r="O182" s="226" t="str">
        <f>Y188</f>
        <v>2. CSOPORTMÉRKŐZÉS</v>
      </c>
      <c r="AQ182" s="323"/>
      <c r="AR182" s="323"/>
      <c r="AS182" s="323"/>
      <c r="AT182" s="323"/>
      <c r="AY182" s="323"/>
      <c r="BA182" s="323"/>
      <c r="BC182" s="323"/>
      <c r="BE182" s="323"/>
      <c r="BG182" s="323"/>
      <c r="BI182" s="323"/>
      <c r="BK182" s="323"/>
      <c r="BM182" s="323"/>
      <c r="BO182" s="323"/>
      <c r="BQ182" s="323"/>
      <c r="BS182" s="323"/>
      <c r="BU182" s="323"/>
      <c r="BW182" s="323"/>
      <c r="BY182" s="323"/>
      <c r="CA182" s="323"/>
      <c r="CC182" s="323"/>
      <c r="CE182" s="323"/>
      <c r="CG182" s="323"/>
      <c r="CI182" s="323"/>
      <c r="CK182" s="323"/>
      <c r="CM182" s="323"/>
      <c r="CO182" s="323"/>
      <c r="CQ182" s="323"/>
      <c r="CS182" s="323"/>
      <c r="CU182" s="323"/>
      <c r="CW182" s="323"/>
      <c r="CY182" s="323"/>
      <c r="DA182" s="323"/>
      <c r="DC182" s="323"/>
      <c r="DE182" s="323"/>
      <c r="DG182" s="323"/>
      <c r="DI182" s="323"/>
    </row>
    <row r="183" spans="1:115" s="138" customFormat="1" ht="14.25" customHeight="1" x14ac:dyDescent="0.3">
      <c r="A183" s="765"/>
      <c r="B183" s="137"/>
      <c r="C183" s="233" t="str">
        <f>IF(W190=0,"",IF(W190&gt;0,CONCATENATE("még ",W190," gól"),CONCATENATE("túl sok (",W190," gól)")))</f>
        <v/>
      </c>
      <c r="D183" s="714" t="str">
        <f>W191</f>
        <v>Portugália</v>
      </c>
      <c r="E183" s="716" t="str">
        <f>W192</f>
        <v/>
      </c>
      <c r="F183" s="717" t="str">
        <f>X192</f>
        <v/>
      </c>
      <c r="G183" s="715" t="str">
        <f>X191</f>
        <v>Németország</v>
      </c>
      <c r="H183" s="232" t="str">
        <f>IF(X190=0,"",IF(X190&gt;0,CONCATENATE("még ",X190," gól"),CONCATENATE("túl sok (",X190," gól)")))</f>
        <v/>
      </c>
      <c r="I183" s="127"/>
      <c r="J183" s="233" t="str">
        <f>IF(Y190=0,"",IF(Y190&gt;0,CONCATENATE("még ",Y190," gól"),CONCATENATE("túl sok (",Y190," gól)")))</f>
        <v/>
      </c>
      <c r="K183" s="714" t="str">
        <f>Y191</f>
        <v>Spanyolország</v>
      </c>
      <c r="L183" s="716" t="str">
        <f>Y192</f>
        <v/>
      </c>
      <c r="M183" s="717" t="str">
        <f>Z192</f>
        <v/>
      </c>
      <c r="N183" s="715" t="str">
        <f>Z191</f>
        <v>Lengyelország</v>
      </c>
      <c r="O183" s="232" t="str">
        <f>IF(Z190=0,"",IF(Z190&gt;0,CONCATENATE("még ",Z190," gól"),CONCATENATE("túl sok (",Z190," gól)")))</f>
        <v/>
      </c>
      <c r="P183" s="139"/>
      <c r="Q183" s="140"/>
      <c r="R183" s="141"/>
      <c r="S183" s="141"/>
      <c r="T183" s="484"/>
      <c r="U183" s="485"/>
      <c r="V183" s="485"/>
      <c r="W183" s="485"/>
      <c r="X183" s="485"/>
      <c r="Y183" s="485"/>
      <c r="Z183" s="485"/>
      <c r="AA183" s="485"/>
      <c r="AB183" s="242" t="str">
        <f>HLOOKUP(D183,nevek.li,2,FALSE)</f>
        <v>nevek.22</v>
      </c>
      <c r="AC183" s="242" t="str">
        <f>HLOOKUP(G183,nevek.li,2,FALSE)</f>
        <v>nevek.24</v>
      </c>
      <c r="AD183" s="242" t="str">
        <f>HLOOKUP(K183,nevek.li,2,FALSE)</f>
        <v>nevek.17</v>
      </c>
      <c r="AE183" s="242" t="str">
        <f>HLOOKUP(N183,nevek.li,2,FALSE)</f>
        <v>nevek.19</v>
      </c>
      <c r="AF183" s="485"/>
      <c r="AG183" s="485"/>
      <c r="AH183" s="485"/>
      <c r="AI183" s="485"/>
      <c r="AJ183" s="485"/>
      <c r="AK183" s="485"/>
      <c r="AL183" s="485"/>
      <c r="AM183" s="485"/>
      <c r="AN183" s="485"/>
      <c r="AO183" s="485"/>
      <c r="AP183" s="485"/>
      <c r="AQ183" s="485"/>
      <c r="AR183" s="485"/>
      <c r="AS183" s="485"/>
      <c r="AT183" s="485"/>
      <c r="AU183" s="485"/>
      <c r="AV183" s="500"/>
      <c r="AW183" s="323"/>
      <c r="AX183" s="323"/>
      <c r="AY183" s="323"/>
      <c r="AZ183" s="323"/>
      <c r="BA183" s="323"/>
      <c r="BB183" s="323"/>
      <c r="BC183" s="323"/>
      <c r="BD183" s="323"/>
      <c r="BE183" s="323"/>
      <c r="BF183" s="323"/>
      <c r="BG183" s="323"/>
      <c r="BH183" s="323"/>
      <c r="BI183" s="323"/>
      <c r="BJ183" s="323"/>
      <c r="BK183" s="323"/>
      <c r="BL183" s="323"/>
      <c r="BM183" s="323"/>
      <c r="BN183" s="323"/>
      <c r="BO183" s="323"/>
      <c r="BP183" s="323"/>
      <c r="BQ183" s="323"/>
      <c r="BR183" s="323"/>
      <c r="BS183" s="323"/>
      <c r="BT183" s="323"/>
      <c r="BU183" s="323"/>
      <c r="BV183" s="323"/>
      <c r="BW183" s="323"/>
      <c r="BX183" s="323"/>
      <c r="BY183" s="323"/>
      <c r="BZ183" s="323"/>
      <c r="CA183" s="323"/>
      <c r="CB183" s="323"/>
      <c r="CC183" s="323"/>
      <c r="CD183" s="323"/>
      <c r="CE183" s="323"/>
      <c r="CF183" s="323"/>
      <c r="CG183" s="323"/>
      <c r="CH183" s="323"/>
      <c r="CI183" s="323"/>
      <c r="CJ183" s="323"/>
      <c r="CK183" s="323"/>
      <c r="CL183" s="323"/>
      <c r="CM183" s="323"/>
      <c r="CN183" s="323"/>
      <c r="CO183" s="323"/>
      <c r="CP183" s="323"/>
      <c r="CQ183" s="323"/>
      <c r="CR183" s="323"/>
      <c r="CS183" s="323"/>
      <c r="CT183" s="323"/>
      <c r="CU183" s="323"/>
      <c r="CV183" s="323"/>
      <c r="CW183" s="323"/>
      <c r="CX183" s="323"/>
      <c r="CY183" s="323"/>
      <c r="CZ183" s="323"/>
      <c r="DA183" s="323"/>
      <c r="DB183" s="323"/>
      <c r="DC183" s="323"/>
      <c r="DD183" s="323"/>
      <c r="DE183" s="323"/>
      <c r="DF183" s="323"/>
      <c r="DG183" s="323"/>
      <c r="DH183" s="323"/>
      <c r="DI183" s="323"/>
      <c r="DJ183" s="323"/>
      <c r="DK183" s="500"/>
    </row>
    <row r="184" spans="1:115" ht="12" customHeight="1" x14ac:dyDescent="0.3">
      <c r="A184" s="765"/>
      <c r="C184" s="218"/>
      <c r="D184" s="220"/>
      <c r="E184" s="221"/>
      <c r="F184" s="222"/>
      <c r="G184" s="223"/>
      <c r="H184" s="218"/>
      <c r="J184" s="218"/>
      <c r="K184" s="220"/>
      <c r="L184" s="221"/>
      <c r="M184" s="222"/>
      <c r="N184" s="223"/>
      <c r="O184" s="218"/>
      <c r="V184" s="487" t="s">
        <v>706</v>
      </c>
      <c r="W184" s="242">
        <v>23</v>
      </c>
      <c r="X184" s="485" t="str">
        <f>""</f>
        <v/>
      </c>
      <c r="Y184" s="242">
        <v>24</v>
      </c>
      <c r="AB184" s="327" t="str">
        <f>IF(C184="öngól",AC183,AB183)</f>
        <v>nevek.22</v>
      </c>
      <c r="AC184" s="327" t="str">
        <f>IF(H184="öngól",AB183,AC183)</f>
        <v>nevek.24</v>
      </c>
      <c r="AD184" s="327" t="str">
        <f>IF(J184="öngól",AE183,AD183)</f>
        <v>nevek.17</v>
      </c>
      <c r="AE184" s="327" t="str">
        <f>IF(O184="öngól",AD183,AE183)</f>
        <v>nevek.19</v>
      </c>
      <c r="AF184" s="325"/>
      <c r="AG184" s="485">
        <v>1</v>
      </c>
      <c r="AH184" s="488" t="b">
        <f ca="1">AND(W186,X187,D184="",AG184&lt;=W192)</f>
        <v>0</v>
      </c>
      <c r="AI184" s="488" t="b">
        <f ca="1">AND(W186,X187,E184="",AG184&lt;=W192)</f>
        <v>0</v>
      </c>
      <c r="AJ184" s="488" t="b">
        <f ca="1">AND(W186,X187,F184="",AG184&lt;=X192)</f>
        <v>0</v>
      </c>
      <c r="AK184" s="488" t="b">
        <f ca="1">AND(W186,X187,G184="",AG184&lt;=X192)</f>
        <v>0</v>
      </c>
      <c r="AL184" s="488" t="b">
        <f ca="1">AND(Y186,Z187,K184="",AG184&lt;=Y192)</f>
        <v>0</v>
      </c>
      <c r="AM184" s="488" t="b">
        <f ca="1">AND(Y186,Z187,L184="",AG184&lt;=Y192)</f>
        <v>0</v>
      </c>
      <c r="AN184" s="488" t="b">
        <f ca="1">AND(Y186,Z187,M184="",AG184&lt;=Z192)</f>
        <v>0</v>
      </c>
      <c r="AO184" s="488" t="b">
        <f ca="1">AND(Y186,Z187,N184="",AG184&lt;=Z192)</f>
        <v>0</v>
      </c>
      <c r="AQ184" s="326" t="str">
        <f>IF(OR(NOT(Góllista!$E$6),D184=""),"",IF(C184="öngól","ö"&amp;G183&amp;D184,D183&amp;D184))</f>
        <v/>
      </c>
      <c r="AR184" s="326" t="str">
        <f>IF(OR(NOT(Góllista!$E$6),G184=""),"",IF(H184="öngól","ö"&amp;D183&amp;G184,G183&amp;G184))</f>
        <v/>
      </c>
      <c r="AS184" s="326" t="str">
        <f>IF(OR(NOT(Góllista!$E$6),K184=""),"",IF(J184="öngól","ö"&amp;N183&amp;K184,K183&amp;K184))</f>
        <v/>
      </c>
      <c r="AT184" s="326" t="str">
        <f>IF(OR(NOT(Góllista!$E$6),N184=""),"",IF(O184="öngól","ö"&amp;K183&amp;N184,N183&amp;N184))</f>
        <v/>
      </c>
      <c r="AY184" s="323"/>
      <c r="BA184" s="323"/>
      <c r="BC184" s="323"/>
      <c r="BE184" s="323"/>
      <c r="BG184" s="323"/>
      <c r="BI184" s="323"/>
      <c r="BK184" s="323"/>
      <c r="BM184" s="323"/>
      <c r="BO184" s="323"/>
      <c r="BQ184" s="323"/>
      <c r="BS184" s="323"/>
      <c r="BU184" s="323"/>
      <c r="BW184" s="323"/>
      <c r="BY184" s="323"/>
      <c r="CA184" s="323"/>
      <c r="CC184" s="323"/>
      <c r="CE184" s="323"/>
      <c r="CG184" s="323"/>
      <c r="CI184" s="323"/>
      <c r="CK184" s="323"/>
      <c r="CM184" s="323"/>
      <c r="CO184" s="323"/>
      <c r="CQ184" s="323"/>
      <c r="CS184" s="323"/>
      <c r="CU184" s="323"/>
      <c r="CW184" s="323"/>
      <c r="CY184" s="323"/>
      <c r="DA184" s="323"/>
      <c r="DC184" s="323"/>
      <c r="DE184" s="323"/>
      <c r="DG184" s="323"/>
      <c r="DI184" s="323"/>
    </row>
    <row r="185" spans="1:115" ht="12" customHeight="1" x14ac:dyDescent="0.3">
      <c r="A185" s="765"/>
      <c r="C185" s="219"/>
      <c r="D185" s="220"/>
      <c r="E185" s="224"/>
      <c r="F185" s="222"/>
      <c r="G185" s="223"/>
      <c r="H185" s="219"/>
      <c r="J185" s="219"/>
      <c r="K185" s="220"/>
      <c r="L185" s="224"/>
      <c r="M185" s="222"/>
      <c r="N185" s="223"/>
      <c r="O185" s="219"/>
      <c r="V185" s="487" t="s">
        <v>711</v>
      </c>
      <c r="W185" s="327">
        <f>MATCH(W184,n.er.index,0)</f>
        <v>55</v>
      </c>
      <c r="X185" s="485" t="str">
        <f>""</f>
        <v/>
      </c>
      <c r="Y185" s="327">
        <f>MATCH(Y184,n.er.index,0)</f>
        <v>56</v>
      </c>
      <c r="AB185" s="327" t="str">
        <f>IF(C185="öngól",AC183,AB183)</f>
        <v>nevek.22</v>
      </c>
      <c r="AC185" s="327" t="str">
        <f>IF(H185="öngól",AB183,AC183)</f>
        <v>nevek.24</v>
      </c>
      <c r="AD185" s="327" t="str">
        <f>IF(J185="öngól",AE183,AD183)</f>
        <v>nevek.17</v>
      </c>
      <c r="AE185" s="327" t="str">
        <f>IF(O185="öngól",AD183,AE183)</f>
        <v>nevek.19</v>
      </c>
      <c r="AF185" s="325"/>
      <c r="AG185" s="485">
        <v>2</v>
      </c>
      <c r="AH185" s="488" t="b">
        <f ca="1">AND(W186,X187,D185="",AG185&lt;=W192)</f>
        <v>0</v>
      </c>
      <c r="AI185" s="488" t="b">
        <f ca="1">AND(W186,X187,E185="",AG185&lt;=W192)</f>
        <v>0</v>
      </c>
      <c r="AJ185" s="488" t="b">
        <f ca="1">AND(W186,X187,F185="",AG185&lt;=X192)</f>
        <v>0</v>
      </c>
      <c r="AK185" s="488" t="b">
        <f ca="1">AND(W186,X187,G185="",AG185&lt;=X192)</f>
        <v>0</v>
      </c>
      <c r="AL185" s="488" t="b">
        <f ca="1">AND(Y186,Z187,K185="",AG185&lt;=Y192)</f>
        <v>0</v>
      </c>
      <c r="AM185" s="488" t="b">
        <f ca="1">AND(Y186,Z187,L185="",AG185&lt;=Y192)</f>
        <v>0</v>
      </c>
      <c r="AN185" s="488" t="b">
        <f ca="1">AND(Y186,Z187,M185="",AG185&lt;=Z192)</f>
        <v>0</v>
      </c>
      <c r="AO185" s="488" t="b">
        <f ca="1">AND(Y186,Z187,N185="",AG185&lt;=Z192)</f>
        <v>0</v>
      </c>
      <c r="AQ185" s="326" t="str">
        <f>IF(OR(NOT(Góllista!$E$6),D185=""),"",IF(C185="öngól","ö"&amp;G183&amp;D185,D183&amp;D185))</f>
        <v/>
      </c>
      <c r="AR185" s="326" t="str">
        <f>IF(OR(NOT(Góllista!$E$6),G185=""),"",IF(H185="öngól","ö"&amp;D183&amp;G185,G183&amp;G185))</f>
        <v/>
      </c>
      <c r="AS185" s="326" t="str">
        <f>IF(OR(NOT(Góllista!$E$6),K185=""),"",IF(J185="öngól","ö"&amp;N183&amp;K185,K183&amp;K185))</f>
        <v/>
      </c>
      <c r="AT185" s="326" t="str">
        <f>IF(OR(NOT(Góllista!$E$6),N185=""),"",IF(O185="öngól","ö"&amp;K183&amp;N185,N183&amp;N185))</f>
        <v/>
      </c>
      <c r="AY185" s="323"/>
      <c r="BA185" s="323"/>
      <c r="BC185" s="323"/>
      <c r="BE185" s="323"/>
      <c r="BG185" s="323"/>
      <c r="BI185" s="323"/>
      <c r="BK185" s="323"/>
      <c r="BM185" s="323"/>
      <c r="BO185" s="323"/>
      <c r="BQ185" s="323"/>
      <c r="BS185" s="323"/>
      <c r="BU185" s="323"/>
      <c r="BW185" s="323"/>
      <c r="BY185" s="323"/>
      <c r="CA185" s="323"/>
      <c r="CC185" s="323"/>
      <c r="CE185" s="323"/>
      <c r="CG185" s="323"/>
      <c r="CI185" s="323"/>
      <c r="CK185" s="323"/>
      <c r="CM185" s="323"/>
      <c r="CO185" s="323"/>
      <c r="CQ185" s="323"/>
      <c r="CS185" s="323"/>
      <c r="CU185" s="323"/>
      <c r="CW185" s="323"/>
      <c r="CY185" s="323"/>
      <c r="DA185" s="323"/>
      <c r="DC185" s="323"/>
      <c r="DE185" s="323"/>
      <c r="DG185" s="323"/>
      <c r="DI185" s="323"/>
    </row>
    <row r="186" spans="1:115" ht="12" customHeight="1" x14ac:dyDescent="0.3">
      <c r="A186" s="765"/>
      <c r="C186" s="219"/>
      <c r="D186" s="220"/>
      <c r="E186" s="224"/>
      <c r="F186" s="222"/>
      <c r="G186" s="223"/>
      <c r="H186" s="219"/>
      <c r="J186" s="219"/>
      <c r="K186" s="220"/>
      <c r="L186" s="224"/>
      <c r="M186" s="222"/>
      <c r="N186" s="223"/>
      <c r="O186" s="219"/>
      <c r="V186" s="487" t="s">
        <v>710</v>
      </c>
      <c r="W186" s="489" t="b">
        <f>INDEX(n.er,W185,3)</f>
        <v>0</v>
      </c>
      <c r="X186" s="485" t="str">
        <f>""</f>
        <v/>
      </c>
      <c r="Y186" s="489" t="b">
        <f>INDEX(n.er,Y185,3)</f>
        <v>0</v>
      </c>
      <c r="AB186" s="327" t="str">
        <f>IF(C186="öngól",AC183,AB183)</f>
        <v>nevek.22</v>
      </c>
      <c r="AC186" s="327" t="str">
        <f>IF(H186="öngól",AB183,AC183)</f>
        <v>nevek.24</v>
      </c>
      <c r="AD186" s="327" t="str">
        <f>IF(J186="öngól",AE183,AD183)</f>
        <v>nevek.17</v>
      </c>
      <c r="AE186" s="327" t="str">
        <f>IF(O186="öngól",AD183,AE183)</f>
        <v>nevek.19</v>
      </c>
      <c r="AF186" s="325"/>
      <c r="AG186" s="485">
        <v>3</v>
      </c>
      <c r="AH186" s="488" t="b">
        <f ca="1">AND(W186,X187,D186="",AG186&lt;=W192)</f>
        <v>0</v>
      </c>
      <c r="AI186" s="488" t="b">
        <f ca="1">AND(W186,X187,E186="",AG186&lt;=W192)</f>
        <v>0</v>
      </c>
      <c r="AJ186" s="488" t="b">
        <f ca="1">AND(W186,X187,F186="",AG186&lt;=X192)</f>
        <v>0</v>
      </c>
      <c r="AK186" s="488" t="b">
        <f ca="1">AND(W186,X187,G186="",AG186&lt;=X192)</f>
        <v>0</v>
      </c>
      <c r="AL186" s="488" t="b">
        <f ca="1">AND(Y186,Z187,K186="",AG186&lt;=Y192)</f>
        <v>0</v>
      </c>
      <c r="AM186" s="488" t="b">
        <f ca="1">AND(Y186,Z187,L186="",AG186&lt;=Y192)</f>
        <v>0</v>
      </c>
      <c r="AN186" s="488" t="b">
        <f ca="1">AND(Y186,Z187,M186="",AG186&lt;=Z192)</f>
        <v>0</v>
      </c>
      <c r="AO186" s="488" t="b">
        <f ca="1">AND(Y186,Z187,N186="",AG186&lt;=Z192)</f>
        <v>0</v>
      </c>
      <c r="AQ186" s="326" t="str">
        <f>IF(OR(NOT(Góllista!$E$6),D186=""),"",IF(C186="öngól","ö"&amp;G183&amp;D186,D183&amp;D186))</f>
        <v/>
      </c>
      <c r="AR186" s="326" t="str">
        <f>IF(OR(NOT(Góllista!$E$6),G186=""),"",IF(H186="öngól","ö"&amp;D183&amp;G186,G183&amp;G186))</f>
        <v/>
      </c>
      <c r="AS186" s="326" t="str">
        <f>IF(OR(NOT(Góllista!$E$6),K186=""),"",IF(J186="öngól","ö"&amp;N183&amp;K186,K183&amp;K186))</f>
        <v/>
      </c>
      <c r="AT186" s="326" t="str">
        <f>IF(OR(NOT(Góllista!$E$6),N186=""),"",IF(O186="öngól","ö"&amp;K183&amp;N186,N183&amp;N186))</f>
        <v/>
      </c>
      <c r="AY186" s="323"/>
      <c r="BA186" s="323"/>
      <c r="BC186" s="323"/>
      <c r="BE186" s="323"/>
      <c r="BG186" s="323"/>
      <c r="BI186" s="323"/>
      <c r="BK186" s="323"/>
      <c r="BM186" s="323"/>
      <c r="BO186" s="323"/>
      <c r="BQ186" s="323"/>
      <c r="BS186" s="323"/>
      <c r="BU186" s="323"/>
      <c r="BW186" s="323"/>
      <c r="BY186" s="323"/>
      <c r="CA186" s="323"/>
      <c r="CC186" s="323"/>
      <c r="CE186" s="323"/>
      <c r="CG186" s="323"/>
      <c r="CI186" s="323"/>
      <c r="CK186" s="323"/>
      <c r="CM186" s="323"/>
      <c r="CO186" s="323"/>
      <c r="CQ186" s="323"/>
      <c r="CS186" s="323"/>
      <c r="CU186" s="323"/>
      <c r="CW186" s="323"/>
      <c r="CY186" s="323"/>
      <c r="DA186" s="323"/>
      <c r="DC186" s="323"/>
      <c r="DE186" s="323"/>
      <c r="DG186" s="323"/>
      <c r="DI186" s="323"/>
    </row>
    <row r="187" spans="1:115" ht="12" customHeight="1" x14ac:dyDescent="0.3">
      <c r="A187" s="765"/>
      <c r="C187" s="219"/>
      <c r="D187" s="220"/>
      <c r="E187" s="224"/>
      <c r="F187" s="222"/>
      <c r="G187" s="223"/>
      <c r="H187" s="219"/>
      <c r="J187" s="219"/>
      <c r="K187" s="220"/>
      <c r="L187" s="224"/>
      <c r="M187" s="222"/>
      <c r="N187" s="223"/>
      <c r="O187" s="219"/>
      <c r="V187" s="487" t="s">
        <v>705</v>
      </c>
      <c r="W187" s="490" t="str">
        <f>VLOOKUP(W184,schedule,18,FALSE)</f>
        <v>JÚNIUS 19. – SZOMBAT 18:00</v>
      </c>
      <c r="X187" s="489" t="b">
        <f ca="1">VLOOKUP(W184,schedule,14,FALSE)&lt;=NOW()</f>
        <v>0</v>
      </c>
      <c r="Y187" s="490" t="str">
        <f>VLOOKUP(Y184,schedule,18,FALSE)</f>
        <v>JÚNIUS 19. – SZOMBAT 21:00</v>
      </c>
      <c r="Z187" s="489" t="b">
        <f ca="1">VLOOKUP(Y184,schedule,14,FALSE)&lt;=NOW()</f>
        <v>0</v>
      </c>
      <c r="AB187" s="327" t="str">
        <f>IF(C187="öngól",AC183,AB183)</f>
        <v>nevek.22</v>
      </c>
      <c r="AC187" s="327" t="str">
        <f>IF(H187="öngól",AB183,AC183)</f>
        <v>nevek.24</v>
      </c>
      <c r="AD187" s="327" t="str">
        <f>IF(J187="öngól",AE183,AD183)</f>
        <v>nevek.17</v>
      </c>
      <c r="AE187" s="327" t="str">
        <f>IF(O187="öngól",AD183,AE183)</f>
        <v>nevek.19</v>
      </c>
      <c r="AF187" s="325"/>
      <c r="AG187" s="485">
        <v>4</v>
      </c>
      <c r="AH187" s="488" t="b">
        <f ca="1">AND(W186,X187,D187="",AG187&lt;=W192)</f>
        <v>0</v>
      </c>
      <c r="AI187" s="488" t="b">
        <f ca="1">AND(W186,X187,E187="",AG187&lt;=W192)</f>
        <v>0</v>
      </c>
      <c r="AJ187" s="488" t="b">
        <f ca="1">AND(W186,X187,F187="",AG187&lt;=X192)</f>
        <v>0</v>
      </c>
      <c r="AK187" s="488" t="b">
        <f ca="1">AND(W186,X187,G187="",AG187&lt;=X192)</f>
        <v>0</v>
      </c>
      <c r="AL187" s="488" t="b">
        <f ca="1">AND(Y186,Z187,K187="",AG187&lt;=Y192)</f>
        <v>0</v>
      </c>
      <c r="AM187" s="488" t="b">
        <f ca="1">AND(Y186,Z187,L187="",AG187&lt;=Y192)</f>
        <v>0</v>
      </c>
      <c r="AN187" s="488" t="b">
        <f ca="1">AND(Y186,Z187,M187="",AG187&lt;=Z192)</f>
        <v>0</v>
      </c>
      <c r="AO187" s="488" t="b">
        <f ca="1">AND(Y186,Z187,N187="",AG187&lt;=Z192)</f>
        <v>0</v>
      </c>
      <c r="AQ187" s="326" t="str">
        <f>IF(OR(NOT(Góllista!$E$6),D187=""),"",IF(C187="öngól","ö"&amp;G183&amp;D187,D183&amp;D187))</f>
        <v/>
      </c>
      <c r="AR187" s="326" t="str">
        <f>IF(OR(NOT(Góllista!$E$6),G187=""),"",IF(H187="öngól","ö"&amp;D183&amp;G187,G183&amp;G187))</f>
        <v/>
      </c>
      <c r="AS187" s="326" t="str">
        <f>IF(OR(NOT(Góllista!$E$6),K187=""),"",IF(J187="öngól","ö"&amp;N183&amp;K187,K183&amp;K187))</f>
        <v/>
      </c>
      <c r="AT187" s="326" t="str">
        <f>IF(OR(NOT(Góllista!$E$6),N187=""),"",IF(O187="öngól","ö"&amp;K183&amp;N187,N183&amp;N187))</f>
        <v/>
      </c>
      <c r="AY187" s="323"/>
      <c r="BA187" s="323"/>
      <c r="BC187" s="323"/>
      <c r="BE187" s="323"/>
      <c r="BG187" s="323"/>
      <c r="BI187" s="323"/>
      <c r="BK187" s="323"/>
      <c r="BM187" s="323"/>
      <c r="BO187" s="323"/>
      <c r="BQ187" s="323"/>
      <c r="BS187" s="323"/>
      <c r="BU187" s="323"/>
      <c r="BW187" s="323"/>
      <c r="BY187" s="323"/>
      <c r="CA187" s="323"/>
      <c r="CC187" s="323"/>
      <c r="CE187" s="323"/>
      <c r="CG187" s="323"/>
      <c r="CI187" s="323"/>
      <c r="CK187" s="323"/>
      <c r="CM187" s="323"/>
      <c r="CO187" s="323"/>
      <c r="CQ187" s="323"/>
      <c r="CS187" s="323"/>
      <c r="CU187" s="323"/>
      <c r="CW187" s="323"/>
      <c r="CY187" s="323"/>
      <c r="DA187" s="323"/>
      <c r="DC187" s="323"/>
      <c r="DE187" s="323"/>
      <c r="DG187" s="323"/>
      <c r="DI187" s="323"/>
    </row>
    <row r="188" spans="1:115" ht="12" customHeight="1" x14ac:dyDescent="0.3">
      <c r="A188" s="765"/>
      <c r="C188" s="219"/>
      <c r="D188" s="220"/>
      <c r="E188" s="224"/>
      <c r="F188" s="222"/>
      <c r="G188" s="223"/>
      <c r="H188" s="219"/>
      <c r="J188" s="219"/>
      <c r="K188" s="220"/>
      <c r="L188" s="224"/>
      <c r="M188" s="222"/>
      <c r="N188" s="223"/>
      <c r="O188" s="219"/>
      <c r="V188" s="487" t="s">
        <v>1265</v>
      </c>
      <c r="W188" s="491" t="str">
        <f>VLOOKUP(W184,schedule,12,FALSE)</f>
        <v>2. CSOPORTMÉRKŐZÉS</v>
      </c>
      <c r="X188" s="485" t="str">
        <f>""</f>
        <v/>
      </c>
      <c r="Y188" s="491" t="str">
        <f>VLOOKUP(Y184,schedule,12,FALSE)</f>
        <v>2. CSOPORTMÉRKŐZÉS</v>
      </c>
      <c r="AB188" s="327" t="str">
        <f>IF(C188="öngól",AC183,AB183)</f>
        <v>nevek.22</v>
      </c>
      <c r="AC188" s="327" t="str">
        <f>IF(H188="öngól",AB183,AC183)</f>
        <v>nevek.24</v>
      </c>
      <c r="AD188" s="327" t="str">
        <f>IF(J188="öngól",AE183,AD183)</f>
        <v>nevek.17</v>
      </c>
      <c r="AE188" s="327" t="str">
        <f>IF(O188="öngól",AD183,AE183)</f>
        <v>nevek.19</v>
      </c>
      <c r="AF188" s="325"/>
      <c r="AG188" s="485">
        <v>5</v>
      </c>
      <c r="AH188" s="488" t="b">
        <f ca="1">AND(W186,X187,D188="",AG188&lt;=W192)</f>
        <v>0</v>
      </c>
      <c r="AI188" s="488" t="b">
        <f ca="1">AND(W186,X187,E188="",AG188&lt;=W192)</f>
        <v>0</v>
      </c>
      <c r="AJ188" s="488" t="b">
        <f ca="1">AND(W186,X187,F188="",AG188&lt;=X192)</f>
        <v>0</v>
      </c>
      <c r="AK188" s="488" t="b">
        <f ca="1">AND(W186,X187,G188="",AG188&lt;=X192)</f>
        <v>0</v>
      </c>
      <c r="AL188" s="488" t="b">
        <f ca="1">AND(Y186,Z187,K188="",AG188&lt;=Y192)</f>
        <v>0</v>
      </c>
      <c r="AM188" s="488" t="b">
        <f ca="1">AND(Y186,Z187,L188="",AG188&lt;=Y192)</f>
        <v>0</v>
      </c>
      <c r="AN188" s="488" t="b">
        <f ca="1">AND(Y186,Z187,M188="",AG188&lt;=Z192)</f>
        <v>0</v>
      </c>
      <c r="AO188" s="488" t="b">
        <f ca="1">AND(Y186,Z187,N188="",AG188&lt;=Z192)</f>
        <v>0</v>
      </c>
      <c r="AQ188" s="326" t="str">
        <f>IF(OR(NOT(Góllista!$E$6),D188=""),"",IF(C188="öngól","ö"&amp;G183&amp;D188,D183&amp;D188))</f>
        <v/>
      </c>
      <c r="AR188" s="326" t="str">
        <f>IF(OR(NOT(Góllista!$E$6),G188=""),"",IF(H188="öngól","ö"&amp;D183&amp;G188,G183&amp;G188))</f>
        <v/>
      </c>
      <c r="AS188" s="326" t="str">
        <f>IF(OR(NOT(Góllista!$E$6),K188=""),"",IF(J188="öngól","ö"&amp;N183&amp;K188,K183&amp;K188))</f>
        <v/>
      </c>
      <c r="AT188" s="326" t="str">
        <f>IF(OR(NOT(Góllista!$E$6),N188=""),"",IF(O188="öngól","ö"&amp;K183&amp;N188,N183&amp;N188))</f>
        <v/>
      </c>
      <c r="AY188" s="323"/>
      <c r="BA188" s="323"/>
      <c r="BC188" s="323"/>
      <c r="BE188" s="323"/>
      <c r="BG188" s="323"/>
      <c r="BI188" s="323"/>
      <c r="BK188" s="323"/>
      <c r="BM188" s="323"/>
      <c r="BO188" s="323"/>
      <c r="BQ188" s="323"/>
      <c r="BS188" s="323"/>
      <c r="BU188" s="323"/>
      <c r="BW188" s="323"/>
      <c r="BY188" s="323"/>
      <c r="CA188" s="323"/>
      <c r="CC188" s="323"/>
      <c r="CE188" s="323"/>
      <c r="CG188" s="323"/>
      <c r="CI188" s="323"/>
      <c r="CK188" s="323"/>
      <c r="CM188" s="323"/>
      <c r="CO188" s="323"/>
      <c r="CQ188" s="323"/>
      <c r="CS188" s="323"/>
      <c r="CU188" s="323"/>
      <c r="CW188" s="323"/>
      <c r="CY188" s="323"/>
      <c r="DA188" s="323"/>
      <c r="DC188" s="323"/>
      <c r="DE188" s="323"/>
      <c r="DG188" s="323"/>
      <c r="DI188" s="323"/>
    </row>
    <row r="189" spans="1:115" ht="12" customHeight="1" x14ac:dyDescent="0.3">
      <c r="A189" s="765"/>
      <c r="C189" s="219"/>
      <c r="D189" s="220"/>
      <c r="E189" s="224"/>
      <c r="F189" s="222"/>
      <c r="G189" s="223"/>
      <c r="H189" s="219"/>
      <c r="J189" s="219"/>
      <c r="K189" s="220"/>
      <c r="L189" s="224"/>
      <c r="M189" s="222"/>
      <c r="N189" s="223"/>
      <c r="O189" s="219"/>
      <c r="V189" s="487" t="s">
        <v>1264</v>
      </c>
      <c r="W189" s="327" t="str">
        <f>VLOOKUP(W184,schedule,3,FALSE)</f>
        <v>F</v>
      </c>
      <c r="X189" s="485" t="str">
        <f>""</f>
        <v/>
      </c>
      <c r="Y189" s="327" t="str">
        <f>VLOOKUP(Y184,schedule,3,FALSE)</f>
        <v>E</v>
      </c>
      <c r="AB189" s="327" t="str">
        <f>IF(C189="öngól",AC183,AB183)</f>
        <v>nevek.22</v>
      </c>
      <c r="AC189" s="327" t="str">
        <f>IF(H189="öngól",AB183,AC183)</f>
        <v>nevek.24</v>
      </c>
      <c r="AD189" s="327" t="str">
        <f>IF(J189="öngól",AE183,AD183)</f>
        <v>nevek.17</v>
      </c>
      <c r="AE189" s="327" t="str">
        <f>IF(O189="öngól",AD183,AE183)</f>
        <v>nevek.19</v>
      </c>
      <c r="AF189" s="325"/>
      <c r="AG189" s="485">
        <v>6</v>
      </c>
      <c r="AH189" s="488" t="b">
        <f ca="1">AND(W186,X187,D189="",AG189&lt;=W192)</f>
        <v>0</v>
      </c>
      <c r="AI189" s="488" t="b">
        <f ca="1">AND(W186,X187,E189="",AG189&lt;=W192)</f>
        <v>0</v>
      </c>
      <c r="AJ189" s="488" t="b">
        <f ca="1">AND(W186,X187,F189="",AG189&lt;=X192)</f>
        <v>0</v>
      </c>
      <c r="AK189" s="488" t="b">
        <f ca="1">AND(W186,X187,G189="",AG189&lt;=X192)</f>
        <v>0</v>
      </c>
      <c r="AL189" s="488" t="b">
        <f ca="1">AND(Y186,Z187,K189="",AG189&lt;=Y192)</f>
        <v>0</v>
      </c>
      <c r="AM189" s="488" t="b">
        <f ca="1">AND(Y186,Z187,L189="",AG189&lt;=Y192)</f>
        <v>0</v>
      </c>
      <c r="AN189" s="488" t="b">
        <f ca="1">AND(Y186,Z187,M189="",AG189&lt;=Z192)</f>
        <v>0</v>
      </c>
      <c r="AO189" s="488" t="b">
        <f ca="1">AND(Y186,Z187,N189="",AG189&lt;=Z192)</f>
        <v>0</v>
      </c>
      <c r="AQ189" s="326" t="str">
        <f>IF(OR(NOT(Góllista!$E$6),D189=""),"",IF(C189="öngól","ö"&amp;G183&amp;D189,D183&amp;D189))</f>
        <v/>
      </c>
      <c r="AR189" s="326" t="str">
        <f>IF(OR(NOT(Góllista!$E$6),G189=""),"",IF(H189="öngól","ö"&amp;D183&amp;G189,G183&amp;G189))</f>
        <v/>
      </c>
      <c r="AS189" s="326" t="str">
        <f>IF(OR(NOT(Góllista!$E$6),K189=""),"",IF(J189="öngól","ö"&amp;N183&amp;K189,K183&amp;K189))</f>
        <v/>
      </c>
      <c r="AT189" s="326" t="str">
        <f>IF(OR(NOT(Góllista!$E$6),N189=""),"",IF(O189="öngól","ö"&amp;K183&amp;N189,N183&amp;N189))</f>
        <v/>
      </c>
      <c r="AY189" s="323"/>
      <c r="BA189" s="323"/>
      <c r="BC189" s="323"/>
      <c r="BE189" s="323"/>
      <c r="BG189" s="323"/>
      <c r="BI189" s="323"/>
      <c r="BK189" s="323"/>
      <c r="BM189" s="323"/>
      <c r="BO189" s="323"/>
      <c r="BQ189" s="323"/>
      <c r="BS189" s="323"/>
      <c r="BU189" s="323"/>
      <c r="BW189" s="323"/>
      <c r="BY189" s="323"/>
      <c r="CA189" s="323"/>
      <c r="CC189" s="323"/>
      <c r="CE189" s="323"/>
      <c r="CG189" s="323"/>
      <c r="CI189" s="323"/>
      <c r="CK189" s="323"/>
      <c r="CM189" s="323"/>
      <c r="CO189" s="323"/>
      <c r="CQ189" s="323"/>
      <c r="CS189" s="323"/>
      <c r="CU189" s="323"/>
      <c r="CW189" s="323"/>
      <c r="CY189" s="323"/>
      <c r="DA189" s="323"/>
      <c r="DC189" s="323"/>
      <c r="DE189" s="323"/>
      <c r="DG189" s="323"/>
      <c r="DI189" s="323"/>
    </row>
    <row r="190" spans="1:115" ht="12" customHeight="1" x14ac:dyDescent="0.3">
      <c r="A190" s="765"/>
      <c r="C190" s="219"/>
      <c r="D190" s="220"/>
      <c r="E190" s="224"/>
      <c r="F190" s="222"/>
      <c r="G190" s="223"/>
      <c r="H190" s="219"/>
      <c r="J190" s="219"/>
      <c r="K190" s="220"/>
      <c r="L190" s="224"/>
      <c r="M190" s="222"/>
      <c r="N190" s="223"/>
      <c r="O190" s="219"/>
      <c r="V190" s="485" t="s">
        <v>707</v>
      </c>
      <c r="W190" s="327">
        <f>IF(NOT(W186),0,E183-9+COUNTBLANK(D184:D192))</f>
        <v>0</v>
      </c>
      <c r="X190" s="327">
        <f>IF(NOT(W186),0,F183-9+COUNTBLANK(G184:G192))</f>
        <v>0</v>
      </c>
      <c r="Y190" s="327">
        <f>IF(NOT(Y186),0,L183-9+COUNTBLANK(K184:K192))</f>
        <v>0</v>
      </c>
      <c r="Z190" s="327">
        <f>IF(NOT(Y186),0,M183-9+COUNTBLANK(N184:N192))</f>
        <v>0</v>
      </c>
      <c r="AB190" s="327" t="str">
        <f>IF(C190="öngól",AC183,AB183)</f>
        <v>nevek.22</v>
      </c>
      <c r="AC190" s="327" t="str">
        <f>IF(H190="öngól",AB183,AC183)</f>
        <v>nevek.24</v>
      </c>
      <c r="AD190" s="327" t="str">
        <f>IF(J190="öngól",AE183,AD183)</f>
        <v>nevek.17</v>
      </c>
      <c r="AE190" s="327" t="str">
        <f>IF(O190="öngól",AD183,AE183)</f>
        <v>nevek.19</v>
      </c>
      <c r="AF190" s="325"/>
      <c r="AG190" s="485">
        <v>7</v>
      </c>
      <c r="AH190" s="488" t="b">
        <f ca="1">AND(W186,X187,D190="",AG190&lt;=W192)</f>
        <v>0</v>
      </c>
      <c r="AI190" s="488" t="b">
        <f ca="1">AND(W186,X187,E190="",AG190&lt;=W192)</f>
        <v>0</v>
      </c>
      <c r="AJ190" s="488" t="b">
        <f ca="1">AND(W186,X187,F190="",AG190&lt;=X192)</f>
        <v>0</v>
      </c>
      <c r="AK190" s="488" t="b">
        <f ca="1">AND(W186,X187,G190="",AG190&lt;=X192)</f>
        <v>0</v>
      </c>
      <c r="AL190" s="488" t="b">
        <f ca="1">AND(Y186,Z187,K190="",AG190&lt;=Y192)</f>
        <v>0</v>
      </c>
      <c r="AM190" s="488" t="b">
        <f ca="1">AND(Y186,Z187,L190="",AG190&lt;=Y192)</f>
        <v>0</v>
      </c>
      <c r="AN190" s="488" t="b">
        <f ca="1">AND(Y186,Z187,M190="",AG190&lt;=Z192)</f>
        <v>0</v>
      </c>
      <c r="AO190" s="488" t="b">
        <f ca="1">AND(Y186,Z187,N190="",AG190&lt;=Z192)</f>
        <v>0</v>
      </c>
      <c r="AQ190" s="326" t="str">
        <f>IF(OR(NOT(Góllista!$E$6),D190=""),"",IF(C190="öngól","ö"&amp;G183&amp;D190,D183&amp;D190))</f>
        <v/>
      </c>
      <c r="AR190" s="326" t="str">
        <f>IF(OR(NOT(Góllista!$E$6),G190=""),"",IF(H190="öngól","ö"&amp;D183&amp;G190,G183&amp;G190))</f>
        <v/>
      </c>
      <c r="AS190" s="326" t="str">
        <f>IF(OR(NOT(Góllista!$E$6),K190=""),"",IF(J190="öngól","ö"&amp;N183&amp;K190,K183&amp;K190))</f>
        <v/>
      </c>
      <c r="AT190" s="326" t="str">
        <f>IF(OR(NOT(Góllista!$E$6),N190=""),"",IF(O190="öngól","ö"&amp;K183&amp;N190,N183&amp;N190))</f>
        <v/>
      </c>
      <c r="AY190" s="323"/>
      <c r="BA190" s="323"/>
      <c r="BC190" s="323"/>
      <c r="BE190" s="323"/>
      <c r="BG190" s="323"/>
      <c r="BI190" s="323"/>
      <c r="BK190" s="323"/>
      <c r="BM190" s="323"/>
      <c r="BO190" s="323"/>
      <c r="BQ190" s="323"/>
      <c r="BS190" s="323"/>
      <c r="BU190" s="323"/>
      <c r="BW190" s="323"/>
      <c r="BY190" s="323"/>
      <c r="CA190" s="323"/>
      <c r="CC190" s="323"/>
      <c r="CE190" s="323"/>
      <c r="CG190" s="323"/>
      <c r="CI190" s="323"/>
      <c r="CK190" s="323"/>
      <c r="CM190" s="323"/>
      <c r="CO190" s="323"/>
      <c r="CQ190" s="323"/>
      <c r="CS190" s="323"/>
      <c r="CU190" s="323"/>
      <c r="CW190" s="323"/>
      <c r="CY190" s="323"/>
      <c r="DA190" s="323"/>
      <c r="DC190" s="323"/>
      <c r="DE190" s="323"/>
      <c r="DG190" s="323"/>
      <c r="DI190" s="323"/>
    </row>
    <row r="191" spans="1:115" ht="12" customHeight="1" x14ac:dyDescent="0.3">
      <c r="A191" s="765"/>
      <c r="C191" s="219"/>
      <c r="D191" s="220"/>
      <c r="E191" s="224"/>
      <c r="F191" s="222"/>
      <c r="G191" s="223"/>
      <c r="H191" s="219"/>
      <c r="J191" s="219"/>
      <c r="K191" s="220"/>
      <c r="L191" s="224"/>
      <c r="M191" s="222"/>
      <c r="N191" s="223"/>
      <c r="O191" s="219"/>
      <c r="V191" s="485" t="s">
        <v>708</v>
      </c>
      <c r="W191" s="411" t="str">
        <f>VLOOKUP(W184,schedule,8,FALSE)</f>
        <v>Portugália</v>
      </c>
      <c r="X191" s="411" t="str">
        <f>VLOOKUP(W184,schedule,9,FALSE)</f>
        <v>Németország</v>
      </c>
      <c r="Y191" s="411" t="str">
        <f>VLOOKUP(Y184,schedule,8,FALSE)</f>
        <v>Spanyolország</v>
      </c>
      <c r="Z191" s="491" t="str">
        <f>VLOOKUP(Y184,schedule,9,FALSE)</f>
        <v>Lengyelország</v>
      </c>
      <c r="AB191" s="327" t="str">
        <f>IF(C191="öngól",AC183,AB183)</f>
        <v>nevek.22</v>
      </c>
      <c r="AC191" s="327" t="str">
        <f>IF(H191="öngól",AB183,AC183)</f>
        <v>nevek.24</v>
      </c>
      <c r="AD191" s="327" t="str">
        <f>IF(J191="öngól",AE183,AD183)</f>
        <v>nevek.17</v>
      </c>
      <c r="AE191" s="327" t="str">
        <f>IF(O191="öngól",AD183,AE183)</f>
        <v>nevek.19</v>
      </c>
      <c r="AF191" s="325"/>
      <c r="AG191" s="485">
        <v>8</v>
      </c>
      <c r="AH191" s="488" t="b">
        <f ca="1">AND(W186,X187,D191="",AG191&lt;=W192)</f>
        <v>0</v>
      </c>
      <c r="AI191" s="488" t="b">
        <f ca="1">AND(W186,X187,E191="",AG191&lt;=W192)</f>
        <v>0</v>
      </c>
      <c r="AJ191" s="488" t="b">
        <f ca="1">AND(W186,X187,F191="",AG191&lt;=X192)</f>
        <v>0</v>
      </c>
      <c r="AK191" s="488" t="b">
        <f ca="1">AND(W186,X187,G191="",AG191&lt;=X192)</f>
        <v>0</v>
      </c>
      <c r="AL191" s="488" t="b">
        <f ca="1">AND(Y186,Z187,K191="",AG191&lt;=Y192)</f>
        <v>0</v>
      </c>
      <c r="AM191" s="488" t="b">
        <f ca="1">AND(Y186,Z187,L191="",AG191&lt;=Y192)</f>
        <v>0</v>
      </c>
      <c r="AN191" s="488" t="b">
        <f ca="1">AND(Y186,Z187,M191="",AG191&lt;=Z192)</f>
        <v>0</v>
      </c>
      <c r="AO191" s="488" t="b">
        <f ca="1">AND(Y186,Z187,N191="",AG191&lt;=Z192)</f>
        <v>0</v>
      </c>
      <c r="AQ191" s="326" t="str">
        <f>IF(OR(NOT(Góllista!$E$6),D191=""),"",IF(C191="öngól","ö"&amp;G183&amp;D191,D183&amp;D191))</f>
        <v/>
      </c>
      <c r="AR191" s="326" t="str">
        <f>IF(OR(NOT(Góllista!$E$6),G191=""),"",IF(H191="öngól","ö"&amp;D183&amp;G191,G183&amp;G191))</f>
        <v/>
      </c>
      <c r="AS191" s="326" t="str">
        <f>IF(OR(NOT(Góllista!$E$6),K191=""),"",IF(J191="öngól","ö"&amp;N183&amp;K191,K183&amp;K191))</f>
        <v/>
      </c>
      <c r="AT191" s="326" t="str">
        <f>IF(OR(NOT(Góllista!$E$6),N191=""),"",IF(O191="öngól","ö"&amp;K183&amp;N191,N183&amp;N191))</f>
        <v/>
      </c>
      <c r="AY191" s="323"/>
      <c r="BA191" s="323"/>
      <c r="BC191" s="323"/>
      <c r="BE191" s="323"/>
      <c r="BG191" s="323"/>
      <c r="BI191" s="323"/>
      <c r="BK191" s="323"/>
      <c r="BM191" s="323"/>
      <c r="BO191" s="323"/>
      <c r="BQ191" s="323"/>
      <c r="BS191" s="323"/>
      <c r="BU191" s="323"/>
      <c r="BW191" s="323"/>
      <c r="BY191" s="323"/>
      <c r="CA191" s="323"/>
      <c r="CC191" s="323"/>
      <c r="CE191" s="323"/>
      <c r="CG191" s="323"/>
      <c r="CI191" s="323"/>
      <c r="CK191" s="323"/>
      <c r="CM191" s="323"/>
      <c r="CO191" s="323"/>
      <c r="CQ191" s="323"/>
      <c r="CS191" s="323"/>
      <c r="CU191" s="323"/>
      <c r="CW191" s="323"/>
      <c r="CY191" s="323"/>
      <c r="DA191" s="323"/>
      <c r="DC191" s="323"/>
      <c r="DE191" s="323"/>
      <c r="DG191" s="323"/>
      <c r="DI191" s="323"/>
    </row>
    <row r="192" spans="1:115" ht="12" customHeight="1" x14ac:dyDescent="0.3">
      <c r="A192" s="765"/>
      <c r="C192" s="219"/>
      <c r="D192" s="220"/>
      <c r="E192" s="225"/>
      <c r="F192" s="222"/>
      <c r="G192" s="223"/>
      <c r="H192" s="219"/>
      <c r="J192" s="219"/>
      <c r="K192" s="220"/>
      <c r="L192" s="225"/>
      <c r="M192" s="222"/>
      <c r="N192" s="223"/>
      <c r="O192" s="219"/>
      <c r="V192" s="485" t="s">
        <v>709</v>
      </c>
      <c r="W192" s="492" t="str">
        <f>INDEX(n.er,W185,9)</f>
        <v/>
      </c>
      <c r="X192" s="493" t="str">
        <f>INDEX(n.er,W185,10)</f>
        <v/>
      </c>
      <c r="Y192" s="492" t="str">
        <f>INDEX(n.er,Y185,9)</f>
        <v/>
      </c>
      <c r="Z192" s="493" t="str">
        <f>INDEX(n.er,Y185,10)</f>
        <v/>
      </c>
      <c r="AB192" s="327" t="str">
        <f>IF(C192="öngól",AC183,AB183)</f>
        <v>nevek.22</v>
      </c>
      <c r="AC192" s="327" t="str">
        <f>IF(H192="öngól",AB183,AC183)</f>
        <v>nevek.24</v>
      </c>
      <c r="AD192" s="327" t="str">
        <f>IF(J192="öngól",AE183,AD183)</f>
        <v>nevek.17</v>
      </c>
      <c r="AE192" s="327" t="str">
        <f>IF(O192="öngól",AD183,AE183)</f>
        <v>nevek.19</v>
      </c>
      <c r="AF192" s="325"/>
      <c r="AG192" s="485">
        <v>9</v>
      </c>
      <c r="AH192" s="488" t="b">
        <f ca="1">AND(W186,X187,D192="",AG192&lt;=W192)</f>
        <v>0</v>
      </c>
      <c r="AI192" s="488" t="b">
        <f ca="1">AND(W186,X187,E192="",AG192&lt;=W192)</f>
        <v>0</v>
      </c>
      <c r="AJ192" s="488" t="b">
        <f ca="1">AND(W186,X187,F192="",AG192&lt;=X192)</f>
        <v>0</v>
      </c>
      <c r="AK192" s="488" t="b">
        <f ca="1">AND(W186,X187,G192="",AG192&lt;=X192)</f>
        <v>0</v>
      </c>
      <c r="AL192" s="488" t="b">
        <f ca="1">AND(Y186,Z187,K192="",AG192&lt;=Y192)</f>
        <v>0</v>
      </c>
      <c r="AM192" s="488" t="b">
        <f ca="1">AND(Y186,Z187,L192="",AG192&lt;=Y192)</f>
        <v>0</v>
      </c>
      <c r="AN192" s="488" t="b">
        <f ca="1">AND(Y186,Z187,M192="",AG192&lt;=Z192)</f>
        <v>0</v>
      </c>
      <c r="AO192" s="488" t="b">
        <f ca="1">AND(Y186,Z187,N192="",AG192&lt;=Z192)</f>
        <v>0</v>
      </c>
      <c r="AQ192" s="326" t="str">
        <f>IF(OR(NOT(Góllista!$E$6),D192=""),"",IF(C192="öngól","ö"&amp;G183&amp;D192,D183&amp;D192))</f>
        <v/>
      </c>
      <c r="AR192" s="326" t="str">
        <f>IF(OR(NOT(Góllista!$E$6),G192=""),"",IF(H192="öngól","ö"&amp;D183&amp;G192,G183&amp;G192))</f>
        <v/>
      </c>
      <c r="AS192" s="326" t="str">
        <f>IF(OR(NOT(Góllista!$E$6),K192=""),"",IF(J192="öngól","ö"&amp;N183&amp;K192,K183&amp;K192))</f>
        <v/>
      </c>
      <c r="AT192" s="326" t="str">
        <f>IF(OR(NOT(Góllista!$E$6),N192=""),"",IF(O192="öngól","ö"&amp;K183&amp;N192,N183&amp;N192))</f>
        <v/>
      </c>
      <c r="AY192" s="323"/>
      <c r="BA192" s="323"/>
      <c r="BC192" s="323"/>
      <c r="BE192" s="323"/>
      <c r="BG192" s="323"/>
      <c r="BI192" s="323"/>
      <c r="BK192" s="323"/>
      <c r="BM192" s="323"/>
      <c r="BO192" s="323"/>
      <c r="BQ192" s="323"/>
      <c r="BS192" s="323"/>
      <c r="BU192" s="323"/>
      <c r="BW192" s="323"/>
      <c r="BY192" s="323"/>
      <c r="CA192" s="323"/>
      <c r="CC192" s="323"/>
      <c r="CE192" s="323"/>
      <c r="CG192" s="323"/>
      <c r="CI192" s="323"/>
      <c r="CK192" s="323"/>
      <c r="CM192" s="323"/>
      <c r="CO192" s="323"/>
      <c r="CQ192" s="323"/>
      <c r="CS192" s="323"/>
      <c r="CU192" s="323"/>
      <c r="CW192" s="323"/>
      <c r="CY192" s="323"/>
      <c r="DA192" s="323"/>
      <c r="DC192" s="323"/>
      <c r="DE192" s="323"/>
      <c r="DG192" s="323"/>
      <c r="DI192" s="323"/>
    </row>
    <row r="193" spans="1:115" ht="12" customHeight="1" x14ac:dyDescent="0.3">
      <c r="A193" s="765"/>
      <c r="C193" s="768"/>
      <c r="D193" s="768"/>
      <c r="E193" s="768"/>
      <c r="F193" s="768"/>
      <c r="G193" s="768"/>
      <c r="H193" s="768"/>
      <c r="J193" s="768"/>
      <c r="K193" s="768"/>
      <c r="L193" s="768"/>
      <c r="M193" s="768"/>
      <c r="N193" s="768"/>
      <c r="O193" s="768"/>
      <c r="AY193" s="323"/>
      <c r="BA193" s="323"/>
      <c r="BC193" s="323"/>
      <c r="BE193" s="323"/>
      <c r="BG193" s="323"/>
      <c r="BI193" s="323"/>
      <c r="BK193" s="323"/>
      <c r="BM193" s="323"/>
      <c r="BO193" s="323"/>
      <c r="BQ193" s="323"/>
      <c r="BS193" s="323"/>
      <c r="BU193" s="323"/>
      <c r="BW193" s="323"/>
      <c r="BY193" s="323"/>
      <c r="CA193" s="323"/>
      <c r="CC193" s="323"/>
      <c r="CE193" s="323"/>
      <c r="CG193" s="323"/>
      <c r="CI193" s="323"/>
      <c r="CK193" s="323"/>
      <c r="CM193" s="323"/>
      <c r="CO193" s="323"/>
      <c r="CQ193" s="323"/>
      <c r="CS193" s="323"/>
      <c r="CU193" s="323"/>
      <c r="CW193" s="323"/>
      <c r="CY193" s="323"/>
      <c r="DA193" s="323"/>
      <c r="DC193" s="323"/>
      <c r="DE193" s="323"/>
      <c r="DG193" s="323"/>
      <c r="DI193" s="323"/>
    </row>
    <row r="194" spans="1:115" ht="12" hidden="1" customHeight="1" x14ac:dyDescent="0.3">
      <c r="A194" s="765"/>
      <c r="C194" s="767"/>
      <c r="D194" s="767"/>
      <c r="E194" s="767"/>
      <c r="F194" s="767"/>
      <c r="G194" s="767"/>
      <c r="H194" s="767"/>
      <c r="J194" s="767"/>
      <c r="K194" s="767"/>
      <c r="L194" s="767"/>
      <c r="M194" s="767"/>
      <c r="N194" s="767"/>
      <c r="O194" s="767"/>
      <c r="AY194" s="323"/>
      <c r="BA194" s="323"/>
      <c r="BC194" s="323"/>
      <c r="BE194" s="323"/>
      <c r="BG194" s="323"/>
      <c r="BI194" s="323"/>
      <c r="BK194" s="323"/>
      <c r="BM194" s="323"/>
      <c r="BO194" s="323"/>
      <c r="BQ194" s="323"/>
      <c r="BS194" s="323"/>
      <c r="BU194" s="323"/>
      <c r="BW194" s="323"/>
      <c r="BY194" s="323"/>
      <c r="CA194" s="323"/>
      <c r="CC194" s="323"/>
      <c r="CE194" s="323"/>
      <c r="CG194" s="323"/>
      <c r="CI194" s="323"/>
      <c r="CK194" s="323"/>
      <c r="CM194" s="323"/>
      <c r="CO194" s="323"/>
      <c r="CQ194" s="323"/>
      <c r="CS194" s="323"/>
      <c r="CU194" s="323"/>
      <c r="CW194" s="323"/>
      <c r="CY194" s="323"/>
      <c r="DA194" s="323"/>
      <c r="DC194" s="323"/>
      <c r="DE194" s="323"/>
      <c r="DG194" s="323"/>
      <c r="DI194" s="323"/>
    </row>
    <row r="195" spans="1:115" ht="12" hidden="1" customHeight="1" x14ac:dyDescent="0.3">
      <c r="A195" s="765"/>
      <c r="C195" s="767"/>
      <c r="D195" s="767"/>
      <c r="E195" s="767"/>
      <c r="F195" s="767"/>
      <c r="G195" s="767"/>
      <c r="H195" s="767"/>
      <c r="J195" s="767"/>
      <c r="K195" s="767"/>
      <c r="L195" s="767"/>
      <c r="M195" s="767"/>
      <c r="N195" s="767"/>
      <c r="O195" s="767"/>
      <c r="AY195" s="323"/>
      <c r="BA195" s="323"/>
      <c r="BC195" s="323"/>
      <c r="BE195" s="323"/>
      <c r="BG195" s="323"/>
      <c r="BI195" s="323"/>
      <c r="BK195" s="323"/>
      <c r="BM195" s="323"/>
      <c r="BO195" s="323"/>
      <c r="BQ195" s="323"/>
      <c r="BS195" s="323"/>
      <c r="BU195" s="323"/>
      <c r="BW195" s="323"/>
      <c r="BY195" s="323"/>
      <c r="CA195" s="323"/>
      <c r="CC195" s="323"/>
      <c r="CE195" s="323"/>
      <c r="CG195" s="323"/>
      <c r="CI195" s="323"/>
      <c r="CK195" s="323"/>
      <c r="CM195" s="323"/>
      <c r="CO195" s="323"/>
      <c r="CQ195" s="323"/>
      <c r="CS195" s="323"/>
      <c r="CU195" s="323"/>
      <c r="CW195" s="323"/>
      <c r="CY195" s="323"/>
      <c r="DA195" s="323"/>
      <c r="DC195" s="323"/>
      <c r="DE195" s="323"/>
      <c r="DG195" s="323"/>
      <c r="DI195" s="323"/>
    </row>
    <row r="196" spans="1:115" ht="10.5" customHeight="1" x14ac:dyDescent="0.3">
      <c r="A196" s="765"/>
      <c r="AY196" s="323"/>
      <c r="BA196" s="323"/>
      <c r="BC196" s="323"/>
      <c r="BE196" s="323"/>
      <c r="BG196" s="323"/>
      <c r="BI196" s="323"/>
      <c r="BK196" s="323"/>
      <c r="BM196" s="323"/>
      <c r="BO196" s="323"/>
      <c r="BQ196" s="323"/>
      <c r="BS196" s="323"/>
      <c r="BU196" s="323"/>
      <c r="BW196" s="323"/>
      <c r="BY196" s="323"/>
      <c r="CA196" s="323"/>
      <c r="CC196" s="323"/>
      <c r="CE196" s="323"/>
      <c r="CG196" s="323"/>
      <c r="CI196" s="323"/>
      <c r="CK196" s="323"/>
      <c r="CM196" s="323"/>
      <c r="CO196" s="323"/>
      <c r="CQ196" s="323"/>
      <c r="CS196" s="323"/>
      <c r="CU196" s="323"/>
      <c r="CW196" s="323"/>
      <c r="CY196" s="323"/>
      <c r="DA196" s="323"/>
      <c r="DC196" s="323"/>
      <c r="DE196" s="323"/>
      <c r="DG196" s="323"/>
      <c r="DI196" s="323"/>
    </row>
    <row r="197" spans="1:115" ht="6" customHeight="1" x14ac:dyDescent="0.3">
      <c r="A197" s="765"/>
      <c r="AQ197" s="323"/>
      <c r="AR197" s="323"/>
      <c r="AS197" s="323"/>
      <c r="AT197" s="323"/>
      <c r="AY197" s="323"/>
      <c r="BA197" s="323"/>
      <c r="BC197" s="323"/>
      <c r="BE197" s="323"/>
      <c r="BG197" s="323"/>
      <c r="BI197" s="323"/>
      <c r="BK197" s="323"/>
      <c r="BM197" s="323"/>
      <c r="BO197" s="323"/>
      <c r="BQ197" s="323"/>
      <c r="BS197" s="323"/>
      <c r="BU197" s="323"/>
      <c r="BW197" s="323"/>
      <c r="BY197" s="323"/>
      <c r="CA197" s="323"/>
      <c r="CC197" s="323"/>
      <c r="CE197" s="323"/>
      <c r="CG197" s="323"/>
      <c r="CI197" s="323"/>
      <c r="CK197" s="323"/>
      <c r="CM197" s="323"/>
      <c r="CO197" s="323"/>
      <c r="CQ197" s="323"/>
      <c r="CS197" s="323"/>
      <c r="CU197" s="323"/>
      <c r="CW197" s="323"/>
      <c r="CY197" s="323"/>
      <c r="DA197" s="323"/>
      <c r="DC197" s="323"/>
      <c r="DE197" s="323"/>
      <c r="DG197" s="323"/>
      <c r="DI197" s="323"/>
    </row>
    <row r="198" spans="1:115" ht="12" customHeight="1" x14ac:dyDescent="0.3">
      <c r="A198" s="765"/>
      <c r="C198" s="247" t="str">
        <f>W203</f>
        <v>JÚNIUS 20. – VASÁRNAP 18:00</v>
      </c>
      <c r="D198" s="227"/>
      <c r="E198" s="228"/>
      <c r="F198" s="229"/>
      <c r="G198" s="230"/>
      <c r="H198" s="231" t="str">
        <f>W204</f>
        <v>3. CSOPORTMÉRKŐZÉS</v>
      </c>
      <c r="I198" s="138"/>
      <c r="J198" s="246" t="str">
        <f>Y203</f>
        <v>JÚNIUS 20. – VASÁRNAP 18:00</v>
      </c>
      <c r="K198" s="227"/>
      <c r="L198" s="228"/>
      <c r="M198" s="229"/>
      <c r="N198" s="230"/>
      <c r="O198" s="226" t="str">
        <f>Y204</f>
        <v>3. CSOPORTMÉRKŐZÉS</v>
      </c>
      <c r="AQ198" s="323"/>
      <c r="AR198" s="323"/>
      <c r="AS198" s="323"/>
      <c r="AT198" s="323"/>
      <c r="AY198" s="323"/>
      <c r="BA198" s="323"/>
      <c r="BC198" s="323"/>
      <c r="BE198" s="323"/>
      <c r="BG198" s="323"/>
      <c r="BI198" s="323"/>
      <c r="BK198" s="323"/>
      <c r="BM198" s="323"/>
      <c r="BO198" s="323"/>
      <c r="BQ198" s="323"/>
      <c r="BS198" s="323"/>
      <c r="BU198" s="323"/>
      <c r="BW198" s="323"/>
      <c r="BY198" s="323"/>
      <c r="CA198" s="323"/>
      <c r="CC198" s="323"/>
      <c r="CE198" s="323"/>
      <c r="CG198" s="323"/>
      <c r="CI198" s="323"/>
      <c r="CK198" s="323"/>
      <c r="CM198" s="323"/>
      <c r="CO198" s="323"/>
      <c r="CQ198" s="323"/>
      <c r="CS198" s="323"/>
      <c r="CU198" s="323"/>
      <c r="CW198" s="323"/>
      <c r="CY198" s="323"/>
      <c r="DA198" s="323"/>
      <c r="DC198" s="323"/>
      <c r="DE198" s="323"/>
      <c r="DG198" s="323"/>
      <c r="DI198" s="323"/>
    </row>
    <row r="199" spans="1:115" s="138" customFormat="1" ht="14.25" customHeight="1" x14ac:dyDescent="0.3">
      <c r="A199" s="765"/>
      <c r="B199" s="137"/>
      <c r="C199" s="233" t="str">
        <f>IF(W206=0,"",IF(W206&gt;0,CONCATENATE("még ",W206," gól"),CONCATENATE("túl sok (",W206," gól)")))</f>
        <v/>
      </c>
      <c r="D199" s="714" t="str">
        <f>W207</f>
        <v>Olaszország</v>
      </c>
      <c r="E199" s="716" t="str">
        <f>W208</f>
        <v/>
      </c>
      <c r="F199" s="717" t="str">
        <f>X208</f>
        <v/>
      </c>
      <c r="G199" s="715" t="str">
        <f>X207</f>
        <v>Wales</v>
      </c>
      <c r="H199" s="232" t="str">
        <f>IF(X206=0,"",IF(X206&gt;0,CONCATENATE("még ",X206," gól"),CONCATENATE("túl sok (",X206," gól)")))</f>
        <v/>
      </c>
      <c r="I199" s="127"/>
      <c r="J199" s="233" t="str">
        <f>IF(Y206=0,"",IF(Y206&gt;0,CONCATENATE("még ",Y206," gól"),CONCATENATE("túl sok (",Y206," gól)")))</f>
        <v/>
      </c>
      <c r="K199" s="714" t="str">
        <f>Y207</f>
        <v>Svájc</v>
      </c>
      <c r="L199" s="716" t="str">
        <f>Y208</f>
        <v/>
      </c>
      <c r="M199" s="717" t="str">
        <f>Z208</f>
        <v/>
      </c>
      <c r="N199" s="715" t="str">
        <f>Z207</f>
        <v>Törökország</v>
      </c>
      <c r="O199" s="232" t="str">
        <f>IF(Z206=0,"",IF(Z206&gt;0,CONCATENATE("még ",Z206," gól"),CONCATENATE("túl sok (",Z206," gól)")))</f>
        <v/>
      </c>
      <c r="P199" s="10"/>
      <c r="Q199" s="140"/>
      <c r="R199" s="141"/>
      <c r="S199" s="141"/>
      <c r="T199" s="484"/>
      <c r="U199" s="485"/>
      <c r="V199" s="485"/>
      <c r="W199" s="485"/>
      <c r="X199" s="485"/>
      <c r="Y199" s="485"/>
      <c r="Z199" s="485"/>
      <c r="AA199" s="485"/>
      <c r="AB199" s="242" t="str">
        <f>HLOOKUP(D199,nevek.li,2,FALSE)</f>
        <v>nevek.02</v>
      </c>
      <c r="AC199" s="242" t="str">
        <f>HLOOKUP(G199,nevek.li,2,FALSE)</f>
        <v>nevek.03</v>
      </c>
      <c r="AD199" s="242" t="str">
        <f>HLOOKUP(K199,nevek.li,2,FALSE)</f>
        <v>nevek.04</v>
      </c>
      <c r="AE199" s="242" t="str">
        <f>HLOOKUP(N199,nevek.li,2,FALSE)</f>
        <v>nevek.01</v>
      </c>
      <c r="AF199" s="485"/>
      <c r="AG199" s="485"/>
      <c r="AH199" s="485"/>
      <c r="AI199" s="485"/>
      <c r="AJ199" s="485"/>
      <c r="AK199" s="485"/>
      <c r="AL199" s="485"/>
      <c r="AM199" s="485"/>
      <c r="AN199" s="485"/>
      <c r="AO199" s="485"/>
      <c r="AP199" s="485"/>
      <c r="AQ199" s="485"/>
      <c r="AR199" s="485"/>
      <c r="AS199" s="485"/>
      <c r="AT199" s="485"/>
      <c r="AU199" s="485"/>
      <c r="AV199" s="500"/>
      <c r="AW199" s="323"/>
      <c r="AX199" s="323"/>
      <c r="AY199" s="323"/>
      <c r="AZ199" s="323"/>
      <c r="BA199" s="323"/>
      <c r="BB199" s="323"/>
      <c r="BC199" s="323"/>
      <c r="BD199" s="323"/>
      <c r="BE199" s="323"/>
      <c r="BF199" s="323"/>
      <c r="BG199" s="323"/>
      <c r="BH199" s="323"/>
      <c r="BI199" s="323"/>
      <c r="BJ199" s="323"/>
      <c r="BK199" s="323"/>
      <c r="BL199" s="323"/>
      <c r="BM199" s="323"/>
      <c r="BN199" s="323"/>
      <c r="BO199" s="323"/>
      <c r="BP199" s="323"/>
      <c r="BQ199" s="323"/>
      <c r="BR199" s="323"/>
      <c r="BS199" s="323"/>
      <c r="BT199" s="323"/>
      <c r="BU199" s="323"/>
      <c r="BV199" s="323"/>
      <c r="BW199" s="323"/>
      <c r="BX199" s="323"/>
      <c r="BY199" s="323"/>
      <c r="BZ199" s="323"/>
      <c r="CA199" s="323"/>
      <c r="CB199" s="323"/>
      <c r="CC199" s="323"/>
      <c r="CD199" s="323"/>
      <c r="CE199" s="323"/>
      <c r="CF199" s="323"/>
      <c r="CG199" s="323"/>
      <c r="CH199" s="323"/>
      <c r="CI199" s="323"/>
      <c r="CJ199" s="323"/>
      <c r="CK199" s="323"/>
      <c r="CL199" s="323"/>
      <c r="CM199" s="323"/>
      <c r="CN199" s="323"/>
      <c r="CO199" s="323"/>
      <c r="CP199" s="323"/>
      <c r="CQ199" s="323"/>
      <c r="CR199" s="323"/>
      <c r="CS199" s="323"/>
      <c r="CT199" s="323"/>
      <c r="CU199" s="323"/>
      <c r="CV199" s="323"/>
      <c r="CW199" s="323"/>
      <c r="CX199" s="323"/>
      <c r="CY199" s="323"/>
      <c r="CZ199" s="323"/>
      <c r="DA199" s="323"/>
      <c r="DB199" s="323"/>
      <c r="DC199" s="323"/>
      <c r="DD199" s="323"/>
      <c r="DE199" s="323"/>
      <c r="DF199" s="323"/>
      <c r="DG199" s="323"/>
      <c r="DH199" s="323"/>
      <c r="DI199" s="323"/>
      <c r="DJ199" s="323"/>
      <c r="DK199" s="500"/>
    </row>
    <row r="200" spans="1:115" ht="12" customHeight="1" x14ac:dyDescent="0.3">
      <c r="A200" s="765"/>
      <c r="C200" s="218"/>
      <c r="D200" s="220"/>
      <c r="E200" s="221"/>
      <c r="F200" s="222"/>
      <c r="G200" s="223"/>
      <c r="H200" s="218"/>
      <c r="J200" s="218"/>
      <c r="K200" s="220"/>
      <c r="L200" s="221"/>
      <c r="M200" s="222"/>
      <c r="N200" s="223"/>
      <c r="O200" s="218"/>
      <c r="V200" s="487" t="s">
        <v>706</v>
      </c>
      <c r="W200" s="242">
        <v>25</v>
      </c>
      <c r="X200" s="485" t="str">
        <f>""</f>
        <v/>
      </c>
      <c r="Y200" s="242">
        <v>26</v>
      </c>
      <c r="AB200" s="327" t="str">
        <f>IF(C200="öngól",AC199,AB199)</f>
        <v>nevek.02</v>
      </c>
      <c r="AC200" s="327" t="str">
        <f>IF(H200="öngól",AB199,AC199)</f>
        <v>nevek.03</v>
      </c>
      <c r="AD200" s="327" t="str">
        <f>IF(J200="öngól",AE199,AD199)</f>
        <v>nevek.04</v>
      </c>
      <c r="AE200" s="327" t="str">
        <f>IF(O200="öngól",AD199,AE199)</f>
        <v>nevek.01</v>
      </c>
      <c r="AF200" s="325"/>
      <c r="AG200" s="485">
        <v>1</v>
      </c>
      <c r="AH200" s="488" t="b">
        <f ca="1">AND(W202,X203,D200="",AG200&lt;=W208)</f>
        <v>0</v>
      </c>
      <c r="AI200" s="488" t="b">
        <f ca="1">AND(W202,X203,E200="",AG200&lt;=W208)</f>
        <v>0</v>
      </c>
      <c r="AJ200" s="488" t="b">
        <f ca="1">AND(W202,X203,F200="",AG200&lt;=X208)</f>
        <v>0</v>
      </c>
      <c r="AK200" s="488" t="b">
        <f ca="1">AND(W202,X203,G200="",AG200&lt;=X208)</f>
        <v>0</v>
      </c>
      <c r="AL200" s="488" t="b">
        <f ca="1">AND(Y202,Z203,K200="",AG200&lt;=Y208)</f>
        <v>0</v>
      </c>
      <c r="AM200" s="488" t="b">
        <f ca="1">AND(Y202,Z203,L200="",AG200&lt;=Y208)</f>
        <v>0</v>
      </c>
      <c r="AN200" s="488" t="b">
        <f ca="1">AND(Y202,Z203,M200="",AG200&lt;=Z208)</f>
        <v>0</v>
      </c>
      <c r="AO200" s="488" t="b">
        <f ca="1">AND(Y202,Z203,N200="",AG200&lt;=Z208)</f>
        <v>0</v>
      </c>
      <c r="AQ200" s="326" t="str">
        <f>IF(OR(NOT(Góllista!$E$6),D200=""),"",IF(C200="öngól","ö"&amp;G199&amp;D200,D199&amp;D200))</f>
        <v/>
      </c>
      <c r="AR200" s="326" t="str">
        <f>IF(OR(NOT(Góllista!$E$6),G200=""),"",IF(H200="öngól","ö"&amp;D199&amp;G200,G199&amp;G200))</f>
        <v/>
      </c>
      <c r="AS200" s="326" t="str">
        <f>IF(OR(NOT(Góllista!$E$6),K200=""),"",IF(J200="öngól","ö"&amp;N199&amp;K200,K199&amp;K200))</f>
        <v/>
      </c>
      <c r="AT200" s="326" t="str">
        <f>IF(OR(NOT(Góllista!$E$6),N200=""),"",IF(O200="öngól","ö"&amp;K199&amp;N200,N199&amp;N200))</f>
        <v/>
      </c>
      <c r="AY200" s="323"/>
      <c r="BA200" s="323"/>
      <c r="BC200" s="323"/>
      <c r="BE200" s="323"/>
      <c r="BG200" s="323"/>
      <c r="BI200" s="323"/>
      <c r="BK200" s="323"/>
      <c r="BM200" s="323"/>
      <c r="BO200" s="323"/>
      <c r="BQ200" s="323"/>
      <c r="BS200" s="323"/>
      <c r="BU200" s="323"/>
      <c r="BW200" s="323"/>
      <c r="BY200" s="323"/>
      <c r="CA200" s="323"/>
      <c r="CC200" s="323"/>
      <c r="CE200" s="323"/>
      <c r="CG200" s="323"/>
      <c r="CI200" s="323"/>
      <c r="CK200" s="323"/>
      <c r="CM200" s="323"/>
      <c r="CO200" s="323"/>
      <c r="CQ200" s="323"/>
      <c r="CS200" s="323"/>
      <c r="CU200" s="323"/>
      <c r="CW200" s="323"/>
      <c r="CY200" s="323"/>
      <c r="DA200" s="323"/>
      <c r="DC200" s="323"/>
      <c r="DE200" s="323"/>
      <c r="DG200" s="323"/>
      <c r="DI200" s="323"/>
    </row>
    <row r="201" spans="1:115" ht="12" customHeight="1" x14ac:dyDescent="0.3">
      <c r="A201" s="765"/>
      <c r="C201" s="219"/>
      <c r="D201" s="220"/>
      <c r="E201" s="224"/>
      <c r="F201" s="222"/>
      <c r="G201" s="223"/>
      <c r="H201" s="219"/>
      <c r="J201" s="219"/>
      <c r="K201" s="220"/>
      <c r="L201" s="224"/>
      <c r="M201" s="222"/>
      <c r="N201" s="223"/>
      <c r="O201" s="219"/>
      <c r="V201" s="487" t="s">
        <v>711</v>
      </c>
      <c r="W201" s="327">
        <f>MATCH(W200,n.er.index,0)</f>
        <v>61</v>
      </c>
      <c r="X201" s="485" t="str">
        <f>""</f>
        <v/>
      </c>
      <c r="Y201" s="327">
        <f>MATCH(Y200,n.er.index,0)</f>
        <v>62</v>
      </c>
      <c r="AB201" s="327" t="str">
        <f>IF(C201="öngól",AC199,AB199)</f>
        <v>nevek.02</v>
      </c>
      <c r="AC201" s="327" t="str">
        <f>IF(H201="öngól",AB199,AC199)</f>
        <v>nevek.03</v>
      </c>
      <c r="AD201" s="327" t="str">
        <f>IF(J201="öngól",AE199,AD199)</f>
        <v>nevek.04</v>
      </c>
      <c r="AE201" s="327" t="str">
        <f>IF(O201="öngól",AD199,AE199)</f>
        <v>nevek.01</v>
      </c>
      <c r="AF201" s="325"/>
      <c r="AG201" s="485">
        <v>2</v>
      </c>
      <c r="AH201" s="488" t="b">
        <f ca="1">AND(W202,X203,D201="",AG201&lt;=W208)</f>
        <v>0</v>
      </c>
      <c r="AI201" s="488" t="b">
        <f ca="1">AND(W202,X203,E201="",AG201&lt;=W208)</f>
        <v>0</v>
      </c>
      <c r="AJ201" s="488" t="b">
        <f ca="1">AND(W202,X203,F201="",AG201&lt;=X208)</f>
        <v>0</v>
      </c>
      <c r="AK201" s="488" t="b">
        <f ca="1">AND(W202,X203,G201="",AG201&lt;=X208)</f>
        <v>0</v>
      </c>
      <c r="AL201" s="488" t="b">
        <f ca="1">AND(Y202,Z203,K201="",AG201&lt;=Y208)</f>
        <v>0</v>
      </c>
      <c r="AM201" s="488" t="b">
        <f ca="1">AND(Y202,Z203,L201="",AG201&lt;=Y208)</f>
        <v>0</v>
      </c>
      <c r="AN201" s="488" t="b">
        <f ca="1">AND(Y202,Z203,M201="",AG201&lt;=Z208)</f>
        <v>0</v>
      </c>
      <c r="AO201" s="488" t="b">
        <f ca="1">AND(Y202,Z203,N201="",AG201&lt;=Z208)</f>
        <v>0</v>
      </c>
      <c r="AQ201" s="326" t="str">
        <f>IF(OR(NOT(Góllista!$E$6),D201=""),"",IF(C201="öngól","ö"&amp;G199&amp;D201,D199&amp;D201))</f>
        <v/>
      </c>
      <c r="AR201" s="326" t="str">
        <f>IF(OR(NOT(Góllista!$E$6),G201=""),"",IF(H201="öngól","ö"&amp;D199&amp;G201,G199&amp;G201))</f>
        <v/>
      </c>
      <c r="AS201" s="326" t="str">
        <f>IF(OR(NOT(Góllista!$E$6),K201=""),"",IF(J201="öngól","ö"&amp;N199&amp;K201,K199&amp;K201))</f>
        <v/>
      </c>
      <c r="AT201" s="326" t="str">
        <f>IF(OR(NOT(Góllista!$E$6),N201=""),"",IF(O201="öngól","ö"&amp;K199&amp;N201,N199&amp;N201))</f>
        <v/>
      </c>
      <c r="AY201" s="323"/>
      <c r="BA201" s="323"/>
      <c r="BC201" s="323"/>
      <c r="BE201" s="323"/>
      <c r="BG201" s="323"/>
      <c r="BI201" s="323"/>
      <c r="BK201" s="323"/>
      <c r="BM201" s="323"/>
      <c r="BO201" s="323"/>
      <c r="BQ201" s="323"/>
      <c r="BS201" s="323"/>
      <c r="BU201" s="323"/>
      <c r="BW201" s="323"/>
      <c r="BY201" s="323"/>
      <c r="CA201" s="323"/>
      <c r="CC201" s="323"/>
      <c r="CE201" s="323"/>
      <c r="CG201" s="323"/>
      <c r="CI201" s="323"/>
      <c r="CK201" s="323"/>
      <c r="CM201" s="323"/>
      <c r="CO201" s="323"/>
      <c r="CQ201" s="323"/>
      <c r="CS201" s="323"/>
      <c r="CU201" s="323"/>
      <c r="CW201" s="323"/>
      <c r="CY201" s="323"/>
      <c r="DA201" s="323"/>
      <c r="DC201" s="323"/>
      <c r="DE201" s="323"/>
      <c r="DG201" s="323"/>
      <c r="DI201" s="323"/>
    </row>
    <row r="202" spans="1:115" ht="12" customHeight="1" x14ac:dyDescent="0.3">
      <c r="A202" s="765"/>
      <c r="C202" s="219"/>
      <c r="D202" s="220"/>
      <c r="E202" s="224"/>
      <c r="F202" s="222"/>
      <c r="G202" s="223"/>
      <c r="H202" s="219"/>
      <c r="J202" s="219"/>
      <c r="K202" s="220"/>
      <c r="L202" s="224"/>
      <c r="M202" s="222"/>
      <c r="N202" s="223"/>
      <c r="O202" s="219"/>
      <c r="V202" s="487" t="s">
        <v>710</v>
      </c>
      <c r="W202" s="489" t="b">
        <f>INDEX(n.er,W201,3)</f>
        <v>0</v>
      </c>
      <c r="X202" s="485" t="str">
        <f>""</f>
        <v/>
      </c>
      <c r="Y202" s="489" t="b">
        <f>INDEX(n.er,Y201,3)</f>
        <v>0</v>
      </c>
      <c r="AB202" s="327" t="str">
        <f>IF(C202="öngól",AC199,AB199)</f>
        <v>nevek.02</v>
      </c>
      <c r="AC202" s="327" t="str">
        <f>IF(H202="öngól",AB199,AC199)</f>
        <v>nevek.03</v>
      </c>
      <c r="AD202" s="327" t="str">
        <f>IF(J202="öngól",AE199,AD199)</f>
        <v>nevek.04</v>
      </c>
      <c r="AE202" s="327" t="str">
        <f>IF(O202="öngól",AD199,AE199)</f>
        <v>nevek.01</v>
      </c>
      <c r="AF202" s="325"/>
      <c r="AG202" s="485">
        <v>3</v>
      </c>
      <c r="AH202" s="488" t="b">
        <f ca="1">AND(W202,X203,D202="",AG202&lt;=W208)</f>
        <v>0</v>
      </c>
      <c r="AI202" s="488" t="b">
        <f ca="1">AND(W202,X203,E202="",AG202&lt;=W208)</f>
        <v>0</v>
      </c>
      <c r="AJ202" s="488" t="b">
        <f ca="1">AND(W202,X203,F202="",AG202&lt;=X208)</f>
        <v>0</v>
      </c>
      <c r="AK202" s="488" t="b">
        <f ca="1">AND(W202,X203,G202="",AG202&lt;=X208)</f>
        <v>0</v>
      </c>
      <c r="AL202" s="488" t="b">
        <f ca="1">AND(Y202,Z203,K202="",AG202&lt;=Y208)</f>
        <v>0</v>
      </c>
      <c r="AM202" s="488" t="b">
        <f ca="1">AND(Y202,Z203,L202="",AG202&lt;=Y208)</f>
        <v>0</v>
      </c>
      <c r="AN202" s="488" t="b">
        <f ca="1">AND(Y202,Z203,M202="",AG202&lt;=Z208)</f>
        <v>0</v>
      </c>
      <c r="AO202" s="488" t="b">
        <f ca="1">AND(Y202,Z203,N202="",AG202&lt;=Z208)</f>
        <v>0</v>
      </c>
      <c r="AQ202" s="326" t="str">
        <f>IF(OR(NOT(Góllista!$E$6),D202=""),"",IF(C202="öngól","ö"&amp;G199&amp;D202,D199&amp;D202))</f>
        <v/>
      </c>
      <c r="AR202" s="326" t="str">
        <f>IF(OR(NOT(Góllista!$E$6),G202=""),"",IF(H202="öngól","ö"&amp;D199&amp;G202,G199&amp;G202))</f>
        <v/>
      </c>
      <c r="AS202" s="326" t="str">
        <f>IF(OR(NOT(Góllista!$E$6),K202=""),"",IF(J202="öngól","ö"&amp;N199&amp;K202,K199&amp;K202))</f>
        <v/>
      </c>
      <c r="AT202" s="326" t="str">
        <f>IF(OR(NOT(Góllista!$E$6),N202=""),"",IF(O202="öngól","ö"&amp;K199&amp;N202,N199&amp;N202))</f>
        <v/>
      </c>
      <c r="AY202" s="323"/>
      <c r="BA202" s="323"/>
      <c r="BC202" s="323"/>
      <c r="BE202" s="323"/>
      <c r="BG202" s="323"/>
      <c r="BI202" s="323"/>
      <c r="BK202" s="323"/>
      <c r="BM202" s="323"/>
      <c r="BO202" s="323"/>
      <c r="BQ202" s="323"/>
      <c r="BS202" s="323"/>
      <c r="BU202" s="323"/>
      <c r="BW202" s="323"/>
      <c r="BY202" s="323"/>
      <c r="CA202" s="323"/>
      <c r="CC202" s="323"/>
      <c r="CE202" s="323"/>
      <c r="CG202" s="323"/>
      <c r="CI202" s="323"/>
      <c r="CK202" s="323"/>
      <c r="CM202" s="323"/>
      <c r="CO202" s="323"/>
      <c r="CQ202" s="323"/>
      <c r="CS202" s="323"/>
      <c r="CU202" s="323"/>
      <c r="CW202" s="323"/>
      <c r="CY202" s="323"/>
      <c r="DA202" s="323"/>
      <c r="DC202" s="323"/>
      <c r="DE202" s="323"/>
      <c r="DG202" s="323"/>
      <c r="DI202" s="323"/>
    </row>
    <row r="203" spans="1:115" ht="12" customHeight="1" x14ac:dyDescent="0.3">
      <c r="A203" s="765"/>
      <c r="C203" s="219"/>
      <c r="D203" s="220"/>
      <c r="E203" s="224"/>
      <c r="F203" s="222"/>
      <c r="G203" s="223"/>
      <c r="H203" s="219"/>
      <c r="J203" s="219"/>
      <c r="K203" s="220"/>
      <c r="L203" s="224"/>
      <c r="M203" s="222"/>
      <c r="N203" s="223"/>
      <c r="O203" s="219"/>
      <c r="V203" s="487" t="s">
        <v>705</v>
      </c>
      <c r="W203" s="490" t="str">
        <f>VLOOKUP(W200,schedule,18,FALSE)</f>
        <v>JÚNIUS 20. – VASÁRNAP 18:00</v>
      </c>
      <c r="X203" s="489" t="b">
        <f ca="1">VLOOKUP(W200,schedule,14,FALSE)&lt;=NOW()</f>
        <v>0</v>
      </c>
      <c r="Y203" s="490" t="str">
        <f>VLOOKUP(Y200,schedule,18,FALSE)</f>
        <v>JÚNIUS 20. – VASÁRNAP 18:00</v>
      </c>
      <c r="Z203" s="489" t="b">
        <f ca="1">VLOOKUP(Y200,schedule,14,FALSE)&lt;=NOW()</f>
        <v>0</v>
      </c>
      <c r="AB203" s="327" t="str">
        <f>IF(C203="öngól",AC199,AB199)</f>
        <v>nevek.02</v>
      </c>
      <c r="AC203" s="327" t="str">
        <f>IF(H203="öngól",AB199,AC199)</f>
        <v>nevek.03</v>
      </c>
      <c r="AD203" s="327" t="str">
        <f>IF(J203="öngól",AE199,AD199)</f>
        <v>nevek.04</v>
      </c>
      <c r="AE203" s="327" t="str">
        <f>IF(O203="öngól",AD199,AE199)</f>
        <v>nevek.01</v>
      </c>
      <c r="AF203" s="325"/>
      <c r="AG203" s="485">
        <v>4</v>
      </c>
      <c r="AH203" s="488" t="b">
        <f ca="1">AND(W202,X203,D203="",AG203&lt;=W208)</f>
        <v>0</v>
      </c>
      <c r="AI203" s="488" t="b">
        <f ca="1">AND(W202,X203,E203="",AG203&lt;=W208)</f>
        <v>0</v>
      </c>
      <c r="AJ203" s="488" t="b">
        <f ca="1">AND(W202,X203,F203="",AG203&lt;=X208)</f>
        <v>0</v>
      </c>
      <c r="AK203" s="488" t="b">
        <f ca="1">AND(W202,X203,G203="",AG203&lt;=X208)</f>
        <v>0</v>
      </c>
      <c r="AL203" s="488" t="b">
        <f ca="1">AND(Y202,Z203,K203="",AG203&lt;=Y208)</f>
        <v>0</v>
      </c>
      <c r="AM203" s="488" t="b">
        <f ca="1">AND(Y202,Z203,L203="",AG203&lt;=Y208)</f>
        <v>0</v>
      </c>
      <c r="AN203" s="488" t="b">
        <f ca="1">AND(Y202,Z203,M203="",AG203&lt;=Z208)</f>
        <v>0</v>
      </c>
      <c r="AO203" s="488" t="b">
        <f ca="1">AND(Y202,Z203,N203="",AG203&lt;=Z208)</f>
        <v>0</v>
      </c>
      <c r="AQ203" s="326" t="str">
        <f>IF(OR(NOT(Góllista!$E$6),D203=""),"",IF(C203="öngól","ö"&amp;G199&amp;D203,D199&amp;D203))</f>
        <v/>
      </c>
      <c r="AR203" s="326" t="str">
        <f>IF(OR(NOT(Góllista!$E$6),G203=""),"",IF(H203="öngól","ö"&amp;D199&amp;G203,G199&amp;G203))</f>
        <v/>
      </c>
      <c r="AS203" s="326" t="str">
        <f>IF(OR(NOT(Góllista!$E$6),K203=""),"",IF(J203="öngól","ö"&amp;N199&amp;K203,K199&amp;K203))</f>
        <v/>
      </c>
      <c r="AT203" s="326" t="str">
        <f>IF(OR(NOT(Góllista!$E$6),N203=""),"",IF(O203="öngól","ö"&amp;K199&amp;N203,N199&amp;N203))</f>
        <v/>
      </c>
      <c r="AY203" s="323"/>
      <c r="BA203" s="323"/>
      <c r="BC203" s="323"/>
      <c r="BE203" s="323"/>
      <c r="BG203" s="323"/>
      <c r="BI203" s="323"/>
      <c r="BK203" s="323"/>
      <c r="BM203" s="323"/>
      <c r="BO203" s="323"/>
      <c r="BQ203" s="323"/>
      <c r="BS203" s="323"/>
      <c r="BU203" s="323"/>
      <c r="BW203" s="323"/>
      <c r="BY203" s="323"/>
      <c r="CA203" s="323"/>
      <c r="CC203" s="323"/>
      <c r="CE203" s="323"/>
      <c r="CG203" s="323"/>
      <c r="CI203" s="323"/>
      <c r="CK203" s="323"/>
      <c r="CM203" s="323"/>
      <c r="CO203" s="323"/>
      <c r="CQ203" s="323"/>
      <c r="CS203" s="323"/>
      <c r="CU203" s="323"/>
      <c r="CW203" s="323"/>
      <c r="CY203" s="323"/>
      <c r="DA203" s="323"/>
      <c r="DC203" s="323"/>
      <c r="DE203" s="323"/>
      <c r="DG203" s="323"/>
      <c r="DI203" s="323"/>
    </row>
    <row r="204" spans="1:115" ht="12" customHeight="1" x14ac:dyDescent="0.3">
      <c r="A204" s="765"/>
      <c r="C204" s="219"/>
      <c r="D204" s="220"/>
      <c r="E204" s="224"/>
      <c r="F204" s="222"/>
      <c r="G204" s="223"/>
      <c r="H204" s="219"/>
      <c r="J204" s="219"/>
      <c r="K204" s="220"/>
      <c r="L204" s="224"/>
      <c r="M204" s="222"/>
      <c r="N204" s="223"/>
      <c r="O204" s="219"/>
      <c r="V204" s="487" t="s">
        <v>1265</v>
      </c>
      <c r="W204" s="491" t="str">
        <f>VLOOKUP(W200,schedule,12,FALSE)</f>
        <v>3. CSOPORTMÉRKŐZÉS</v>
      </c>
      <c r="X204" s="485" t="str">
        <f>""</f>
        <v/>
      </c>
      <c r="Y204" s="491" t="str">
        <f>VLOOKUP(Y200,schedule,12,FALSE)</f>
        <v>3. CSOPORTMÉRKŐZÉS</v>
      </c>
      <c r="AB204" s="327" t="str">
        <f>IF(C204="öngól",AC199,AB199)</f>
        <v>nevek.02</v>
      </c>
      <c r="AC204" s="327" t="str">
        <f>IF(H204="öngól",AB199,AC199)</f>
        <v>nevek.03</v>
      </c>
      <c r="AD204" s="327" t="str">
        <f>IF(J204="öngól",AE199,AD199)</f>
        <v>nevek.04</v>
      </c>
      <c r="AE204" s="327" t="str">
        <f>IF(O204="öngól",AD199,AE199)</f>
        <v>nevek.01</v>
      </c>
      <c r="AF204" s="325"/>
      <c r="AG204" s="485">
        <v>5</v>
      </c>
      <c r="AH204" s="488" t="b">
        <f ca="1">AND(W202,X203,D204="",AG204&lt;=W208)</f>
        <v>0</v>
      </c>
      <c r="AI204" s="488" t="b">
        <f ca="1">AND(W202,X203,E204="",AG204&lt;=W208)</f>
        <v>0</v>
      </c>
      <c r="AJ204" s="488" t="b">
        <f ca="1">AND(W202,X203,F204="",AG204&lt;=X208)</f>
        <v>0</v>
      </c>
      <c r="AK204" s="488" t="b">
        <f ca="1">AND(W202,X203,G204="",AG204&lt;=X208)</f>
        <v>0</v>
      </c>
      <c r="AL204" s="488" t="b">
        <f ca="1">AND(Y202,Z203,K204="",AG204&lt;=Y208)</f>
        <v>0</v>
      </c>
      <c r="AM204" s="488" t="b">
        <f ca="1">AND(Y202,Z203,L204="",AG204&lt;=Y208)</f>
        <v>0</v>
      </c>
      <c r="AN204" s="488" t="b">
        <f ca="1">AND(Y202,Z203,M204="",AG204&lt;=Z208)</f>
        <v>0</v>
      </c>
      <c r="AO204" s="488" t="b">
        <f ca="1">AND(Y202,Z203,N204="",AG204&lt;=Z208)</f>
        <v>0</v>
      </c>
      <c r="AQ204" s="326" t="str">
        <f>IF(OR(NOT(Góllista!$E$6),D204=""),"",IF(C204="öngól","ö"&amp;G199&amp;D204,D199&amp;D204))</f>
        <v/>
      </c>
      <c r="AR204" s="326" t="str">
        <f>IF(OR(NOT(Góllista!$E$6),G204=""),"",IF(H204="öngól","ö"&amp;D199&amp;G204,G199&amp;G204))</f>
        <v/>
      </c>
      <c r="AS204" s="326" t="str">
        <f>IF(OR(NOT(Góllista!$E$6),K204=""),"",IF(J204="öngól","ö"&amp;N199&amp;K204,K199&amp;K204))</f>
        <v/>
      </c>
      <c r="AT204" s="326" t="str">
        <f>IF(OR(NOT(Góllista!$E$6),N204=""),"",IF(O204="öngól","ö"&amp;K199&amp;N204,N199&amp;N204))</f>
        <v/>
      </c>
      <c r="AY204" s="323"/>
      <c r="BA204" s="323"/>
      <c r="BC204" s="323"/>
      <c r="BE204" s="323"/>
      <c r="BG204" s="323"/>
      <c r="BI204" s="323"/>
      <c r="BK204" s="323"/>
      <c r="BM204" s="323"/>
      <c r="BO204" s="323"/>
      <c r="BQ204" s="323"/>
      <c r="BS204" s="323"/>
      <c r="BU204" s="323"/>
      <c r="BW204" s="323"/>
      <c r="BY204" s="323"/>
      <c r="CA204" s="323"/>
      <c r="CC204" s="323"/>
      <c r="CE204" s="323"/>
      <c r="CG204" s="323"/>
      <c r="CI204" s="323"/>
      <c r="CK204" s="323"/>
      <c r="CM204" s="323"/>
      <c r="CO204" s="323"/>
      <c r="CQ204" s="323"/>
      <c r="CS204" s="323"/>
      <c r="CU204" s="323"/>
      <c r="CW204" s="323"/>
      <c r="CY204" s="323"/>
      <c r="DA204" s="323"/>
      <c r="DC204" s="323"/>
      <c r="DE204" s="323"/>
      <c r="DG204" s="323"/>
      <c r="DI204" s="323"/>
    </row>
    <row r="205" spans="1:115" ht="12" customHeight="1" x14ac:dyDescent="0.3">
      <c r="A205" s="765"/>
      <c r="C205" s="219"/>
      <c r="D205" s="220"/>
      <c r="E205" s="224"/>
      <c r="F205" s="222"/>
      <c r="G205" s="223"/>
      <c r="H205" s="219"/>
      <c r="J205" s="219"/>
      <c r="K205" s="220"/>
      <c r="L205" s="224"/>
      <c r="M205" s="222"/>
      <c r="N205" s="223"/>
      <c r="O205" s="219"/>
      <c r="V205" s="487" t="s">
        <v>1264</v>
      </c>
      <c r="W205" s="327" t="str">
        <f>VLOOKUP(W200,schedule,3,FALSE)</f>
        <v>A</v>
      </c>
      <c r="X205" s="485" t="str">
        <f>""</f>
        <v/>
      </c>
      <c r="Y205" s="327" t="str">
        <f>VLOOKUP(Y200,schedule,3,FALSE)</f>
        <v>A</v>
      </c>
      <c r="AB205" s="327" t="str">
        <f>IF(C205="öngól",AC199,AB199)</f>
        <v>nevek.02</v>
      </c>
      <c r="AC205" s="327" t="str">
        <f>IF(H205="öngól",AB199,AC199)</f>
        <v>nevek.03</v>
      </c>
      <c r="AD205" s="327" t="str">
        <f>IF(J205="öngól",AE199,AD199)</f>
        <v>nevek.04</v>
      </c>
      <c r="AE205" s="327" t="str">
        <f>IF(O205="öngól",AD199,AE199)</f>
        <v>nevek.01</v>
      </c>
      <c r="AF205" s="325"/>
      <c r="AG205" s="485">
        <v>6</v>
      </c>
      <c r="AH205" s="488" t="b">
        <f ca="1">AND(W202,X203,D205="",AG205&lt;=W208)</f>
        <v>0</v>
      </c>
      <c r="AI205" s="488" t="b">
        <f ca="1">AND(W202,X203,E205="",AG205&lt;=W208)</f>
        <v>0</v>
      </c>
      <c r="AJ205" s="488" t="b">
        <f ca="1">AND(W202,X203,F205="",AG205&lt;=X208)</f>
        <v>0</v>
      </c>
      <c r="AK205" s="488" t="b">
        <f ca="1">AND(W202,X203,G205="",AG205&lt;=X208)</f>
        <v>0</v>
      </c>
      <c r="AL205" s="488" t="b">
        <f ca="1">AND(Y202,Z203,K205="",AG205&lt;=Y208)</f>
        <v>0</v>
      </c>
      <c r="AM205" s="488" t="b">
        <f ca="1">AND(Y202,Z203,L205="",AG205&lt;=Y208)</f>
        <v>0</v>
      </c>
      <c r="AN205" s="488" t="b">
        <f ca="1">AND(Y202,Z203,M205="",AG205&lt;=Z208)</f>
        <v>0</v>
      </c>
      <c r="AO205" s="488" t="b">
        <f ca="1">AND(Y202,Z203,N205="",AG205&lt;=Z208)</f>
        <v>0</v>
      </c>
      <c r="AQ205" s="326" t="str">
        <f>IF(OR(NOT(Góllista!$E$6),D205=""),"",IF(C205="öngól","ö"&amp;G199&amp;D205,D199&amp;D205))</f>
        <v/>
      </c>
      <c r="AR205" s="326" t="str">
        <f>IF(OR(NOT(Góllista!$E$6),G205=""),"",IF(H205="öngól","ö"&amp;D199&amp;G205,G199&amp;G205))</f>
        <v/>
      </c>
      <c r="AS205" s="326" t="str">
        <f>IF(OR(NOT(Góllista!$E$6),K205=""),"",IF(J205="öngól","ö"&amp;N199&amp;K205,K199&amp;K205))</f>
        <v/>
      </c>
      <c r="AT205" s="326" t="str">
        <f>IF(OR(NOT(Góllista!$E$6),N205=""),"",IF(O205="öngól","ö"&amp;K199&amp;N205,N199&amp;N205))</f>
        <v/>
      </c>
      <c r="AY205" s="323"/>
      <c r="BA205" s="323"/>
      <c r="BC205" s="323"/>
      <c r="BE205" s="323"/>
      <c r="BG205" s="323"/>
      <c r="BI205" s="323"/>
      <c r="BK205" s="323"/>
      <c r="BM205" s="323"/>
      <c r="BO205" s="323"/>
      <c r="BQ205" s="323"/>
      <c r="BS205" s="323"/>
      <c r="BU205" s="323"/>
      <c r="BW205" s="323"/>
      <c r="BY205" s="323"/>
      <c r="CA205" s="323"/>
      <c r="CC205" s="323"/>
      <c r="CE205" s="323"/>
      <c r="CG205" s="323"/>
      <c r="CI205" s="323"/>
      <c r="CK205" s="323"/>
      <c r="CM205" s="323"/>
      <c r="CO205" s="323"/>
      <c r="CQ205" s="323"/>
      <c r="CS205" s="323"/>
      <c r="CU205" s="323"/>
      <c r="CW205" s="323"/>
      <c r="CY205" s="323"/>
      <c r="DA205" s="323"/>
      <c r="DC205" s="323"/>
      <c r="DE205" s="323"/>
      <c r="DG205" s="323"/>
      <c r="DI205" s="323"/>
    </row>
    <row r="206" spans="1:115" ht="12" customHeight="1" x14ac:dyDescent="0.3">
      <c r="A206" s="765"/>
      <c r="C206" s="219"/>
      <c r="D206" s="220"/>
      <c r="E206" s="224"/>
      <c r="F206" s="222"/>
      <c r="G206" s="223"/>
      <c r="H206" s="219"/>
      <c r="J206" s="219"/>
      <c r="K206" s="220"/>
      <c r="L206" s="224"/>
      <c r="M206" s="222"/>
      <c r="N206" s="223"/>
      <c r="O206" s="219"/>
      <c r="V206" s="485" t="s">
        <v>707</v>
      </c>
      <c r="W206" s="327">
        <f>IF(NOT(W202),0,E199-9+COUNTBLANK(D200:D208))</f>
        <v>0</v>
      </c>
      <c r="X206" s="327">
        <f>IF(NOT(W202),0,F199-9+COUNTBLANK(G200:G208))</f>
        <v>0</v>
      </c>
      <c r="Y206" s="327">
        <f>IF(NOT(Y202),0,L199-9+COUNTBLANK(K200:K208))</f>
        <v>0</v>
      </c>
      <c r="Z206" s="327">
        <f>IF(NOT(Y202),0,M199-9+COUNTBLANK(N200:N208))</f>
        <v>0</v>
      </c>
      <c r="AB206" s="327" t="str">
        <f>IF(C206="öngól",AC199,AB199)</f>
        <v>nevek.02</v>
      </c>
      <c r="AC206" s="327" t="str">
        <f>IF(H206="öngól",AB199,AC199)</f>
        <v>nevek.03</v>
      </c>
      <c r="AD206" s="327" t="str">
        <f>IF(J206="öngól",AE199,AD199)</f>
        <v>nevek.04</v>
      </c>
      <c r="AE206" s="327" t="str">
        <f>IF(O206="öngól",AD199,AE199)</f>
        <v>nevek.01</v>
      </c>
      <c r="AF206" s="325"/>
      <c r="AG206" s="485">
        <v>7</v>
      </c>
      <c r="AH206" s="488" t="b">
        <f ca="1">AND(W202,X203,D206="",AG206&lt;=W208)</f>
        <v>0</v>
      </c>
      <c r="AI206" s="488" t="b">
        <f ca="1">AND(W202,X203,E206="",AG206&lt;=W208)</f>
        <v>0</v>
      </c>
      <c r="AJ206" s="488" t="b">
        <f ca="1">AND(W202,X203,F206="",AG206&lt;=X208)</f>
        <v>0</v>
      </c>
      <c r="AK206" s="488" t="b">
        <f ca="1">AND(W202,X203,G206="",AG206&lt;=X208)</f>
        <v>0</v>
      </c>
      <c r="AL206" s="488" t="b">
        <f ca="1">AND(Y202,Z203,K206="",AG206&lt;=Y208)</f>
        <v>0</v>
      </c>
      <c r="AM206" s="488" t="b">
        <f ca="1">AND(Y202,Z203,L206="",AG206&lt;=Y208)</f>
        <v>0</v>
      </c>
      <c r="AN206" s="488" t="b">
        <f ca="1">AND(Y202,Z203,M206="",AG206&lt;=Z208)</f>
        <v>0</v>
      </c>
      <c r="AO206" s="488" t="b">
        <f ca="1">AND(Y202,Z203,N206="",AG206&lt;=Z208)</f>
        <v>0</v>
      </c>
      <c r="AQ206" s="326" t="str">
        <f>IF(OR(NOT(Góllista!$E$6),D206=""),"",IF(C206="öngól","ö"&amp;G199&amp;D206,D199&amp;D206))</f>
        <v/>
      </c>
      <c r="AR206" s="326" t="str">
        <f>IF(OR(NOT(Góllista!$E$6),G206=""),"",IF(H206="öngól","ö"&amp;D199&amp;G206,G199&amp;G206))</f>
        <v/>
      </c>
      <c r="AS206" s="326" t="str">
        <f>IF(OR(NOT(Góllista!$E$6),K206=""),"",IF(J206="öngól","ö"&amp;N199&amp;K206,K199&amp;K206))</f>
        <v/>
      </c>
      <c r="AT206" s="326" t="str">
        <f>IF(OR(NOT(Góllista!$E$6),N206=""),"",IF(O206="öngól","ö"&amp;K199&amp;N206,N199&amp;N206))</f>
        <v/>
      </c>
      <c r="AY206" s="323"/>
      <c r="BA206" s="323"/>
      <c r="BC206" s="323"/>
      <c r="BE206" s="323"/>
      <c r="BG206" s="323"/>
      <c r="BI206" s="323"/>
      <c r="BK206" s="323"/>
      <c r="BM206" s="323"/>
      <c r="BO206" s="323"/>
      <c r="BQ206" s="323"/>
      <c r="BS206" s="323"/>
      <c r="BU206" s="323"/>
      <c r="BW206" s="323"/>
      <c r="BY206" s="323"/>
      <c r="CA206" s="323"/>
      <c r="CC206" s="323"/>
      <c r="CE206" s="323"/>
      <c r="CG206" s="323"/>
      <c r="CI206" s="323"/>
      <c r="CK206" s="323"/>
      <c r="CM206" s="323"/>
      <c r="CO206" s="323"/>
      <c r="CQ206" s="323"/>
      <c r="CS206" s="323"/>
      <c r="CU206" s="323"/>
      <c r="CW206" s="323"/>
      <c r="CY206" s="323"/>
      <c r="DA206" s="323"/>
      <c r="DC206" s="323"/>
      <c r="DE206" s="323"/>
      <c r="DG206" s="323"/>
      <c r="DI206" s="323"/>
    </row>
    <row r="207" spans="1:115" ht="12" customHeight="1" x14ac:dyDescent="0.3">
      <c r="A207" s="765"/>
      <c r="C207" s="219"/>
      <c r="D207" s="220"/>
      <c r="E207" s="224"/>
      <c r="F207" s="222"/>
      <c r="G207" s="223"/>
      <c r="H207" s="219"/>
      <c r="J207" s="219"/>
      <c r="K207" s="220"/>
      <c r="L207" s="224"/>
      <c r="M207" s="222"/>
      <c r="N207" s="223"/>
      <c r="O207" s="219"/>
      <c r="V207" s="485" t="s">
        <v>708</v>
      </c>
      <c r="W207" s="411" t="str">
        <f>VLOOKUP(W200,schedule,8,FALSE)</f>
        <v>Olaszország</v>
      </c>
      <c r="X207" s="411" t="str">
        <f>VLOOKUP(W200,schedule,9,FALSE)</f>
        <v>Wales</v>
      </c>
      <c r="Y207" s="411" t="str">
        <f>VLOOKUP(Y200,schedule,8,FALSE)</f>
        <v>Svájc</v>
      </c>
      <c r="Z207" s="491" t="str">
        <f>VLOOKUP(Y200,schedule,9,FALSE)</f>
        <v>Törökország</v>
      </c>
      <c r="AB207" s="327" t="str">
        <f>IF(C207="öngól",AC199,AB199)</f>
        <v>nevek.02</v>
      </c>
      <c r="AC207" s="327" t="str">
        <f>IF(H207="öngól",AB199,AC199)</f>
        <v>nevek.03</v>
      </c>
      <c r="AD207" s="327" t="str">
        <f>IF(J207="öngól",AE199,AD199)</f>
        <v>nevek.04</v>
      </c>
      <c r="AE207" s="327" t="str">
        <f>IF(O207="öngól",AD199,AE199)</f>
        <v>nevek.01</v>
      </c>
      <c r="AF207" s="325"/>
      <c r="AG207" s="485">
        <v>8</v>
      </c>
      <c r="AH207" s="488" t="b">
        <f ca="1">AND(W202,X203,D207="",AG207&lt;=W208)</f>
        <v>0</v>
      </c>
      <c r="AI207" s="488" t="b">
        <f ca="1">AND(W202,X203,E207="",AG207&lt;=W208)</f>
        <v>0</v>
      </c>
      <c r="AJ207" s="488" t="b">
        <f ca="1">AND(W202,X203,F207="",AG207&lt;=X208)</f>
        <v>0</v>
      </c>
      <c r="AK207" s="488" t="b">
        <f ca="1">AND(W202,X203,G207="",AG207&lt;=X208)</f>
        <v>0</v>
      </c>
      <c r="AL207" s="488" t="b">
        <f ca="1">AND(Y202,Z203,K207="",AG207&lt;=Y208)</f>
        <v>0</v>
      </c>
      <c r="AM207" s="488" t="b">
        <f ca="1">AND(Y202,Z203,L207="",AG207&lt;=Y208)</f>
        <v>0</v>
      </c>
      <c r="AN207" s="488" t="b">
        <f ca="1">AND(Y202,Z203,M207="",AG207&lt;=Z208)</f>
        <v>0</v>
      </c>
      <c r="AO207" s="488" t="b">
        <f ca="1">AND(Y202,Z203,N207="",AG207&lt;=Z208)</f>
        <v>0</v>
      </c>
      <c r="AQ207" s="326" t="str">
        <f>IF(OR(NOT(Góllista!$E$6),D207=""),"",IF(C207="öngól","ö"&amp;G199&amp;D207,D199&amp;D207))</f>
        <v/>
      </c>
      <c r="AR207" s="326" t="str">
        <f>IF(OR(NOT(Góllista!$E$6),G207=""),"",IF(H207="öngól","ö"&amp;D199&amp;G207,G199&amp;G207))</f>
        <v/>
      </c>
      <c r="AS207" s="326" t="str">
        <f>IF(OR(NOT(Góllista!$E$6),K207=""),"",IF(J207="öngól","ö"&amp;N199&amp;K207,K199&amp;K207))</f>
        <v/>
      </c>
      <c r="AT207" s="326" t="str">
        <f>IF(OR(NOT(Góllista!$E$6),N207=""),"",IF(O207="öngól","ö"&amp;K199&amp;N207,N199&amp;N207))</f>
        <v/>
      </c>
      <c r="AY207" s="323"/>
      <c r="BA207" s="323"/>
      <c r="BC207" s="323"/>
      <c r="BE207" s="323"/>
      <c r="BG207" s="323"/>
      <c r="BI207" s="323"/>
      <c r="BK207" s="323"/>
      <c r="BM207" s="323"/>
      <c r="BO207" s="323"/>
      <c r="BQ207" s="323"/>
      <c r="BS207" s="323"/>
      <c r="BU207" s="323"/>
      <c r="BW207" s="323"/>
      <c r="BY207" s="323"/>
      <c r="CA207" s="323"/>
      <c r="CC207" s="323"/>
      <c r="CE207" s="323"/>
      <c r="CG207" s="323"/>
      <c r="CI207" s="323"/>
      <c r="CK207" s="323"/>
      <c r="CM207" s="323"/>
      <c r="CO207" s="323"/>
      <c r="CQ207" s="323"/>
      <c r="CS207" s="323"/>
      <c r="CU207" s="323"/>
      <c r="CW207" s="323"/>
      <c r="CY207" s="323"/>
      <c r="DA207" s="323"/>
      <c r="DC207" s="323"/>
      <c r="DE207" s="323"/>
      <c r="DG207" s="323"/>
      <c r="DI207" s="323"/>
    </row>
    <row r="208" spans="1:115" ht="12" customHeight="1" x14ac:dyDescent="0.3">
      <c r="A208" s="765"/>
      <c r="C208" s="219"/>
      <c r="D208" s="220"/>
      <c r="E208" s="225"/>
      <c r="F208" s="222"/>
      <c r="G208" s="223"/>
      <c r="H208" s="219"/>
      <c r="J208" s="219"/>
      <c r="K208" s="220"/>
      <c r="L208" s="225"/>
      <c r="M208" s="222"/>
      <c r="N208" s="223"/>
      <c r="O208" s="219"/>
      <c r="V208" s="485" t="s">
        <v>709</v>
      </c>
      <c r="W208" s="492" t="str">
        <f>INDEX(n.er,W201,9)</f>
        <v/>
      </c>
      <c r="X208" s="493" t="str">
        <f>INDEX(n.er,W201,10)</f>
        <v/>
      </c>
      <c r="Y208" s="492" t="str">
        <f>INDEX(n.er,Y201,9)</f>
        <v/>
      </c>
      <c r="Z208" s="493" t="str">
        <f>INDEX(n.er,Y201,10)</f>
        <v/>
      </c>
      <c r="AB208" s="327" t="str">
        <f>IF(C208="öngól",AC199,AB199)</f>
        <v>nevek.02</v>
      </c>
      <c r="AC208" s="327" t="str">
        <f>IF(H208="öngól",AB199,AC199)</f>
        <v>nevek.03</v>
      </c>
      <c r="AD208" s="327" t="str">
        <f>IF(J208="öngól",AE199,AD199)</f>
        <v>nevek.04</v>
      </c>
      <c r="AE208" s="327" t="str">
        <f>IF(O208="öngól",AD199,AE199)</f>
        <v>nevek.01</v>
      </c>
      <c r="AF208" s="325"/>
      <c r="AG208" s="485">
        <v>9</v>
      </c>
      <c r="AH208" s="488" t="b">
        <f ca="1">AND(W202,X203,D208="",AG208&lt;=W208)</f>
        <v>0</v>
      </c>
      <c r="AI208" s="488" t="b">
        <f ca="1">AND(W202,X203,E208="",AG208&lt;=W208)</f>
        <v>0</v>
      </c>
      <c r="AJ208" s="488" t="b">
        <f ca="1">AND(W202,X203,F208="",AG208&lt;=X208)</f>
        <v>0</v>
      </c>
      <c r="AK208" s="488" t="b">
        <f ca="1">AND(W202,X203,G208="",AG208&lt;=X208)</f>
        <v>0</v>
      </c>
      <c r="AL208" s="488" t="b">
        <f ca="1">AND(Y202,Z203,K208="",AG208&lt;=Y208)</f>
        <v>0</v>
      </c>
      <c r="AM208" s="488" t="b">
        <f ca="1">AND(Y202,Z203,L208="",AG208&lt;=Y208)</f>
        <v>0</v>
      </c>
      <c r="AN208" s="488" t="b">
        <f ca="1">AND(Y202,Z203,M208="",AG208&lt;=Z208)</f>
        <v>0</v>
      </c>
      <c r="AO208" s="488" t="b">
        <f ca="1">AND(Y202,Z203,N208="",AG208&lt;=Z208)</f>
        <v>0</v>
      </c>
      <c r="AQ208" s="326" t="str">
        <f>IF(OR(NOT(Góllista!$E$6),D208=""),"",IF(C208="öngól","ö"&amp;G199&amp;D208,D199&amp;D208))</f>
        <v/>
      </c>
      <c r="AR208" s="326" t="str">
        <f>IF(OR(NOT(Góllista!$E$6),G208=""),"",IF(H208="öngól","ö"&amp;D199&amp;G208,G199&amp;G208))</f>
        <v/>
      </c>
      <c r="AS208" s="326" t="str">
        <f>IF(OR(NOT(Góllista!$E$6),K208=""),"",IF(J208="öngól","ö"&amp;N199&amp;K208,K199&amp;K208))</f>
        <v/>
      </c>
      <c r="AT208" s="326" t="str">
        <f>IF(OR(NOT(Góllista!$E$6),N208=""),"",IF(O208="öngól","ö"&amp;K199&amp;N208,N199&amp;N208))</f>
        <v/>
      </c>
      <c r="AY208" s="323"/>
      <c r="BA208" s="323"/>
      <c r="BC208" s="323"/>
      <c r="BE208" s="323"/>
      <c r="BG208" s="323"/>
      <c r="BI208" s="323"/>
      <c r="BK208" s="323"/>
      <c r="BM208" s="323"/>
      <c r="BO208" s="323"/>
      <c r="BQ208" s="323"/>
      <c r="BS208" s="323"/>
      <c r="BU208" s="323"/>
      <c r="BW208" s="323"/>
      <c r="BY208" s="323"/>
      <c r="CA208" s="323"/>
      <c r="CC208" s="323"/>
      <c r="CE208" s="323"/>
      <c r="CG208" s="323"/>
      <c r="CI208" s="323"/>
      <c r="CK208" s="323"/>
      <c r="CM208" s="323"/>
      <c r="CO208" s="323"/>
      <c r="CQ208" s="323"/>
      <c r="CS208" s="323"/>
      <c r="CU208" s="323"/>
      <c r="CW208" s="323"/>
      <c r="CY208" s="323"/>
      <c r="DA208" s="323"/>
      <c r="DC208" s="323"/>
      <c r="DE208" s="323"/>
      <c r="DG208" s="323"/>
      <c r="DI208" s="323"/>
    </row>
    <row r="209" spans="1:114" ht="12" customHeight="1" x14ac:dyDescent="0.3">
      <c r="A209" s="765"/>
      <c r="C209" s="768"/>
      <c r="D209" s="768"/>
      <c r="E209" s="768"/>
      <c r="F209" s="768"/>
      <c r="G209" s="768"/>
      <c r="H209" s="768"/>
      <c r="J209" s="768"/>
      <c r="K209" s="768"/>
      <c r="L209" s="768"/>
      <c r="M209" s="768"/>
      <c r="N209" s="768"/>
      <c r="O209" s="768"/>
      <c r="AY209" s="323"/>
      <c r="BA209" s="323"/>
      <c r="BC209" s="323"/>
      <c r="BE209" s="323"/>
      <c r="BG209" s="323"/>
      <c r="BI209" s="323"/>
      <c r="BK209" s="323"/>
      <c r="BM209" s="323"/>
      <c r="BO209" s="323"/>
      <c r="BQ209" s="323"/>
      <c r="BS209" s="323"/>
      <c r="BU209" s="323"/>
      <c r="BW209" s="323"/>
      <c r="BY209" s="323"/>
      <c r="CA209" s="323"/>
      <c r="CC209" s="323"/>
      <c r="CE209" s="323"/>
      <c r="CG209" s="323"/>
      <c r="CI209" s="323"/>
      <c r="CK209" s="323"/>
      <c r="CM209" s="323"/>
      <c r="CO209" s="323"/>
      <c r="CQ209" s="323"/>
      <c r="CS209" s="323"/>
      <c r="CU209" s="323"/>
      <c r="CW209" s="323"/>
      <c r="CY209" s="323"/>
      <c r="DA209" s="323"/>
      <c r="DC209" s="323"/>
      <c r="DE209" s="323"/>
      <c r="DG209" s="323"/>
      <c r="DI209" s="323"/>
    </row>
    <row r="210" spans="1:114" ht="12" hidden="1" customHeight="1" x14ac:dyDescent="0.3">
      <c r="A210" s="765"/>
      <c r="C210" s="767"/>
      <c r="D210" s="767"/>
      <c r="E210" s="767"/>
      <c r="F210" s="767"/>
      <c r="G210" s="767"/>
      <c r="H210" s="767"/>
      <c r="J210" s="767"/>
      <c r="K210" s="767"/>
      <c r="L210" s="767"/>
      <c r="M210" s="767"/>
      <c r="N210" s="767"/>
      <c r="O210" s="767"/>
      <c r="AY210" s="323"/>
      <c r="BA210" s="323"/>
      <c r="BC210" s="323"/>
      <c r="BE210" s="323"/>
      <c r="BG210" s="323"/>
      <c r="BI210" s="323"/>
      <c r="BK210" s="323"/>
      <c r="BM210" s="323"/>
      <c r="BO210" s="323"/>
      <c r="BQ210" s="323"/>
      <c r="BS210" s="323"/>
      <c r="BU210" s="323"/>
      <c r="BW210" s="323"/>
      <c r="BY210" s="323"/>
      <c r="CA210" s="323"/>
      <c r="CC210" s="323"/>
      <c r="CE210" s="323"/>
      <c r="CG210" s="323"/>
      <c r="CI210" s="323"/>
      <c r="CK210" s="323"/>
      <c r="CM210" s="323"/>
      <c r="CO210" s="323"/>
      <c r="CQ210" s="323"/>
      <c r="CS210" s="323"/>
      <c r="CU210" s="323"/>
      <c r="CW210" s="323"/>
      <c r="CY210" s="323"/>
      <c r="DA210" s="323"/>
      <c r="DC210" s="323"/>
      <c r="DE210" s="323"/>
      <c r="DG210" s="323"/>
      <c r="DI210" s="323"/>
    </row>
    <row r="211" spans="1:114" ht="12" hidden="1" customHeight="1" x14ac:dyDescent="0.3">
      <c r="A211" s="765"/>
      <c r="C211" s="767"/>
      <c r="D211" s="767"/>
      <c r="E211" s="767"/>
      <c r="F211" s="767"/>
      <c r="G211" s="767"/>
      <c r="H211" s="767"/>
      <c r="J211" s="767"/>
      <c r="K211" s="767"/>
      <c r="L211" s="767"/>
      <c r="M211" s="767"/>
      <c r="N211" s="767"/>
      <c r="O211" s="767"/>
      <c r="AY211" s="323"/>
      <c r="BA211" s="323"/>
      <c r="BC211" s="323"/>
      <c r="BE211" s="323"/>
      <c r="BG211" s="323"/>
      <c r="BI211" s="323"/>
      <c r="BK211" s="323"/>
      <c r="BM211" s="323"/>
      <c r="BO211" s="323"/>
      <c r="BQ211" s="323"/>
      <c r="BS211" s="323"/>
      <c r="BU211" s="323"/>
      <c r="BW211" s="323"/>
      <c r="BY211" s="323"/>
      <c r="CA211" s="323"/>
      <c r="CC211" s="323"/>
      <c r="CE211" s="323"/>
      <c r="CG211" s="323"/>
      <c r="CI211" s="323"/>
      <c r="CK211" s="323"/>
      <c r="CM211" s="323"/>
      <c r="CO211" s="323"/>
      <c r="CQ211" s="323"/>
      <c r="CS211" s="323"/>
      <c r="CU211" s="323"/>
      <c r="CW211" s="323"/>
      <c r="CY211" s="323"/>
      <c r="DA211" s="323"/>
      <c r="DC211" s="323"/>
      <c r="DE211" s="323"/>
      <c r="DG211" s="323"/>
      <c r="DI211" s="323"/>
    </row>
    <row r="212" spans="1:114" ht="3.75" customHeight="1" x14ac:dyDescent="0.3">
      <c r="A212" s="765"/>
      <c r="AH212" s="494"/>
      <c r="AY212" s="323"/>
      <c r="BA212" s="323"/>
      <c r="BC212" s="323"/>
      <c r="BE212" s="323"/>
      <c r="BG212" s="323"/>
      <c r="BI212" s="323"/>
      <c r="BK212" s="323"/>
      <c r="BM212" s="323"/>
      <c r="BO212" s="323"/>
      <c r="BQ212" s="323"/>
      <c r="BS212" s="323"/>
      <c r="BU212" s="323"/>
      <c r="BW212" s="323"/>
      <c r="BY212" s="323"/>
      <c r="CA212" s="323"/>
      <c r="CC212" s="323"/>
      <c r="CE212" s="323"/>
      <c r="CG212" s="323"/>
      <c r="CI212" s="323"/>
      <c r="CK212" s="323"/>
      <c r="CM212" s="323"/>
      <c r="CO212" s="323"/>
      <c r="CQ212" s="323"/>
      <c r="CS212" s="323"/>
      <c r="CU212" s="323"/>
      <c r="CW212" s="323"/>
      <c r="CY212" s="323"/>
      <c r="DA212" s="323"/>
      <c r="DC212" s="323"/>
      <c r="DE212" s="323"/>
      <c r="DG212" s="323"/>
      <c r="DI212" s="323"/>
    </row>
    <row r="213" spans="1:114" ht="11.25" customHeight="1" x14ac:dyDescent="0.3">
      <c r="A213" s="765"/>
      <c r="B213" s="15"/>
      <c r="D213" s="235"/>
      <c r="E213" s="722" t="str">
        <f>IF(W213,"  BÜNTETŐK:","  BÜNTETŐK:  –")</f>
        <v xml:space="preserve">  BÜNTETŐK:  –</v>
      </c>
      <c r="F213" s="235"/>
      <c r="G213" s="235"/>
      <c r="H213" s="235"/>
      <c r="I213" s="37"/>
      <c r="J213" s="234"/>
      <c r="K213" s="235"/>
      <c r="L213" s="722" t="str">
        <f>IF(AD213,"  BÜNTETŐK:","  BÜNTETŐK:  –")</f>
        <v xml:space="preserve">  BÜNTETŐK:  –</v>
      </c>
      <c r="M213" s="235"/>
      <c r="N213" s="235"/>
      <c r="O213" s="235"/>
      <c r="V213" s="487" t="s">
        <v>712</v>
      </c>
      <c r="W213" s="489" t="b">
        <f>INDEX(n.er,W201,14)</f>
        <v>0</v>
      </c>
      <c r="Y213" s="489" t="b">
        <f>INDEX(n.er,Y201,14)</f>
        <v>0</v>
      </c>
      <c r="AF213" s="325"/>
      <c r="AQ213" s="323"/>
      <c r="AR213" s="323"/>
      <c r="AS213" s="323"/>
      <c r="AT213" s="323"/>
      <c r="AW213" s="485"/>
      <c r="AY213" s="323"/>
      <c r="BA213" s="323"/>
      <c r="BC213" s="323"/>
      <c r="BE213" s="323"/>
      <c r="BG213" s="323"/>
      <c r="BI213" s="323"/>
      <c r="BK213" s="323"/>
      <c r="BM213" s="323"/>
      <c r="BO213" s="323"/>
      <c r="BQ213" s="323"/>
      <c r="BS213" s="323"/>
      <c r="BU213" s="323"/>
      <c r="BW213" s="323"/>
      <c r="BY213" s="323"/>
      <c r="CA213" s="323"/>
      <c r="CC213" s="323"/>
      <c r="CE213" s="323"/>
      <c r="CG213" s="323"/>
      <c r="CI213" s="323"/>
      <c r="CK213" s="323"/>
      <c r="CM213" s="323"/>
      <c r="CO213" s="323"/>
      <c r="CQ213" s="323"/>
      <c r="CS213" s="323"/>
      <c r="CU213" s="323"/>
      <c r="CW213" s="323"/>
      <c r="CY213" s="323"/>
      <c r="DA213" s="323"/>
      <c r="DC213" s="323"/>
      <c r="DE213" s="323"/>
      <c r="DG213" s="323"/>
      <c r="DI213" s="323"/>
      <c r="DJ213" s="485"/>
    </row>
    <row r="214" spans="1:114" ht="11.25" customHeight="1" x14ac:dyDescent="0.3">
      <c r="A214" s="765"/>
      <c r="C214" s="241" t="str">
        <f>IF(W215=0,"",IF(W215&gt;0,CONCATENATE("még ",W215," büntető"),CONCATENATE("túl sok (",W215," büntető)")))</f>
        <v/>
      </c>
      <c r="D214" s="237" t="str">
        <f>IF(W213,W207,"")</f>
        <v/>
      </c>
      <c r="E214" s="239" t="str">
        <f>IF(W213,W214,"")</f>
        <v/>
      </c>
      <c r="F214" s="240" t="str">
        <f>IF(W213,X214,"")</f>
        <v/>
      </c>
      <c r="G214" s="238" t="str">
        <f>IF(W213,X207,"")</f>
        <v/>
      </c>
      <c r="H214" s="241" t="str">
        <f>IF(X215=0,"",IF(X215&gt;0,CONCATENATE("még ",X215," büntető"),CONCATENATE("túl sok (",X215," büntető)")))</f>
        <v/>
      </c>
      <c r="J214" s="241" t="str">
        <f>IF(Y215=0,"",IF(Y215&gt;0,CONCATENATE("még ",Y215," büntető"),CONCATENATE("túl sok (",Y215," büntető)")))</f>
        <v/>
      </c>
      <c r="K214" s="237" t="str">
        <f>IF(Y213,Y207,"")</f>
        <v/>
      </c>
      <c r="L214" s="239" t="str">
        <f>IF(Y213,Y214,"")</f>
        <v/>
      </c>
      <c r="M214" s="240" t="str">
        <f>IF(Y213,Z214,"")</f>
        <v/>
      </c>
      <c r="N214" s="238" t="str">
        <f>IF(Y213,Z207,"")</f>
        <v/>
      </c>
      <c r="O214" s="241" t="str">
        <f>IF(Z215=0,"",IF(Z215&gt;0,CONCATENATE("még ",Z215," büntető"),CONCATENATE("túl sok (",Z215," büntető)")))</f>
        <v/>
      </c>
      <c r="V214" s="487" t="s">
        <v>709</v>
      </c>
      <c r="W214" s="492" t="str">
        <f>IF(NOT(W213),"",INDEX(n.er,W201,17))</f>
        <v/>
      </c>
      <c r="X214" s="493" t="str">
        <f>IF(NOT(W213),"",INDEX(n.er,W201,18))</f>
        <v/>
      </c>
      <c r="Y214" s="492" t="str">
        <f>IF(NOT(Y213),"",INDEX(n.er,Y201,17))</f>
        <v/>
      </c>
      <c r="Z214" s="493" t="str">
        <f>IF(NOT(Y213),"",INDEX(n.er,Y201,18))</f>
        <v/>
      </c>
      <c r="AF214" s="325"/>
      <c r="AH214" s="494"/>
      <c r="AQ214" s="323"/>
      <c r="AR214" s="323"/>
      <c r="AS214" s="323"/>
      <c r="AT214" s="323"/>
      <c r="AW214" s="485"/>
      <c r="AY214" s="323"/>
      <c r="BA214" s="323"/>
      <c r="BC214" s="323"/>
      <c r="BE214" s="323"/>
      <c r="BG214" s="323"/>
      <c r="BI214" s="323"/>
      <c r="BK214" s="323"/>
      <c r="BM214" s="323"/>
      <c r="BO214" s="323"/>
      <c r="BQ214" s="323"/>
      <c r="BS214" s="323"/>
      <c r="BU214" s="323"/>
      <c r="BW214" s="323"/>
      <c r="BY214" s="323"/>
      <c r="CA214" s="323"/>
      <c r="CC214" s="323"/>
      <c r="CE214" s="323"/>
      <c r="CG214" s="323"/>
      <c r="CI214" s="323"/>
      <c r="CK214" s="323"/>
      <c r="CM214" s="323"/>
      <c r="CO214" s="323"/>
      <c r="CQ214" s="323"/>
      <c r="CS214" s="323"/>
      <c r="CU214" s="323"/>
      <c r="CW214" s="323"/>
      <c r="CY214" s="323"/>
      <c r="DA214" s="323"/>
      <c r="DC214" s="323"/>
      <c r="DE214" s="323"/>
      <c r="DG214" s="323"/>
      <c r="DI214" s="323"/>
    </row>
    <row r="215" spans="1:114" ht="11.25" customHeight="1" x14ac:dyDescent="0.3">
      <c r="A215" s="765"/>
      <c r="C215" s="236"/>
      <c r="D215" s="220"/>
      <c r="E215" s="515"/>
      <c r="F215" s="516"/>
      <c r="G215" s="223"/>
      <c r="H215" s="236"/>
      <c r="J215" s="236"/>
      <c r="K215" s="220"/>
      <c r="L215" s="515"/>
      <c r="M215" s="516"/>
      <c r="N215" s="223"/>
      <c r="O215" s="236"/>
      <c r="V215" s="485" t="s">
        <v>707</v>
      </c>
      <c r="W215" s="327">
        <f>IF(W214="",0,E214-COUNTIF(E215:E228,"O"))</f>
        <v>0</v>
      </c>
      <c r="X215" s="327">
        <f>IF(X214="",0,F214-COUNTIF(F215:F228,"O"))</f>
        <v>0</v>
      </c>
      <c r="Y215" s="327">
        <f>IF(Y214="",0,L214-COUNTIF(L215:L230,"O"))</f>
        <v>0</v>
      </c>
      <c r="Z215" s="327">
        <f>IF(Z214="",0,M214-COUNTIF(M215:M230,"O"))</f>
        <v>0</v>
      </c>
      <c r="AB215" s="52" t="str">
        <f>IF(NOT(W213),"",HLOOKUP(D214,nevek.li,2,FALSE))</f>
        <v/>
      </c>
      <c r="AC215" s="52" t="str">
        <f>IF(NOT(W213),"",HLOOKUP(G214,nevek.li,2,FALSE))</f>
        <v/>
      </c>
      <c r="AD215" s="52" t="str">
        <f>IF(NOT(Y213),"",HLOOKUP(K214,nevek.li,2,FALSE))</f>
        <v/>
      </c>
      <c r="AE215" s="52" t="str">
        <f>IF(NOT(Y213),"",HLOOKUP(N214,nevek.li,2,FALSE))</f>
        <v/>
      </c>
      <c r="AF215" s="325"/>
      <c r="AG215" s="485">
        <v>1</v>
      </c>
      <c r="AH215" s="488" t="b">
        <f ca="1">IF(OR(NOT(W213),NOT(X203)),FALSE,D215="")</f>
        <v>0</v>
      </c>
      <c r="AI215" s="488" t="b">
        <f ca="1">IF(OR(NOT(W213),NOT(X203)),FALSE,E215="")</f>
        <v>0</v>
      </c>
      <c r="AJ215" s="488" t="b">
        <f ca="1">IF(OR(NOT(W213),NOT(X203)),FALSE,F215="")</f>
        <v>0</v>
      </c>
      <c r="AK215" s="488" t="b">
        <f ca="1">IF(OR(NOT(W213),NOT(X203)),FALSE,G215="")</f>
        <v>0</v>
      </c>
      <c r="AL215" s="488" t="b">
        <f ca="1">IF(OR(NOT(Y213),NOT(Z203)),FALSE,K215="")</f>
        <v>0</v>
      </c>
      <c r="AM215" s="488" t="b">
        <f ca="1">IF(OR(NOT(Y213),NOT(Z203)),FALSE,L215="")</f>
        <v>0</v>
      </c>
      <c r="AN215" s="488" t="b">
        <f ca="1">IF(OR(NOT(Y213),NOT(Z203)),FALSE,M215="")</f>
        <v>0</v>
      </c>
      <c r="AO215" s="488" t="b">
        <f ca="1">IF(OR(NOT(Y213),NOT(Z203)),FALSE,N215="")</f>
        <v>0</v>
      </c>
      <c r="AS215" s="323"/>
      <c r="AT215" s="323"/>
      <c r="AY215" s="323"/>
      <c r="BA215" s="323"/>
      <c r="BC215" s="323"/>
      <c r="BE215" s="323"/>
      <c r="BG215" s="323"/>
      <c r="BI215" s="323"/>
      <c r="BK215" s="323"/>
      <c r="BM215" s="323"/>
      <c r="BO215" s="323"/>
      <c r="BQ215" s="323"/>
      <c r="BS215" s="323"/>
      <c r="BU215" s="323"/>
      <c r="BW215" s="323"/>
      <c r="BY215" s="323"/>
      <c r="CA215" s="323"/>
      <c r="CC215" s="323"/>
      <c r="CE215" s="323"/>
      <c r="CG215" s="323"/>
      <c r="CI215" s="323"/>
      <c r="CK215" s="323"/>
      <c r="CM215" s="323"/>
      <c r="CO215" s="323"/>
      <c r="CQ215" s="323"/>
      <c r="CS215" s="323"/>
      <c r="CU215" s="323"/>
      <c r="CW215" s="323"/>
      <c r="CY215" s="323"/>
      <c r="DA215" s="323"/>
      <c r="DC215" s="323"/>
      <c r="DE215" s="323"/>
      <c r="DG215" s="323"/>
      <c r="DI215" s="323"/>
      <c r="DJ215" s="485"/>
    </row>
    <row r="216" spans="1:114" ht="11.25" customHeight="1" x14ac:dyDescent="0.3">
      <c r="A216" s="765"/>
      <c r="C216" s="219"/>
      <c r="D216" s="220"/>
      <c r="E216" s="517"/>
      <c r="F216" s="516"/>
      <c r="G216" s="223"/>
      <c r="H216" s="219"/>
      <c r="J216" s="219"/>
      <c r="K216" s="220"/>
      <c r="L216" s="517"/>
      <c r="M216" s="516"/>
      <c r="N216" s="223"/>
      <c r="O216" s="219"/>
      <c r="AB216" s="327" t="str">
        <f>AB215</f>
        <v/>
      </c>
      <c r="AC216" s="327" t="str">
        <f>AC215</f>
        <v/>
      </c>
      <c r="AD216" s="327" t="str">
        <f>AD215</f>
        <v/>
      </c>
      <c r="AE216" s="327" t="str">
        <f>AE215</f>
        <v/>
      </c>
      <c r="AF216" s="325"/>
      <c r="AG216" s="485">
        <v>2</v>
      </c>
      <c r="AH216" s="488" t="b">
        <f ca="1">IF(OR(NOT(W213),NOT(X203)),FALSE,D216="")</f>
        <v>0</v>
      </c>
      <c r="AI216" s="488" t="b">
        <f ca="1">IF(OR(NOT(W213),NOT(X203)),FALSE,E216="")</f>
        <v>0</v>
      </c>
      <c r="AJ216" s="488" t="b">
        <f ca="1">IF(OR(NOT(W213),NOT(X203)),FALSE,F216="")</f>
        <v>0</v>
      </c>
      <c r="AK216" s="488" t="b">
        <f ca="1">IF(OR(NOT(W213),NOT(X203)),FALSE,G216="")</f>
        <v>0</v>
      </c>
      <c r="AL216" s="488" t="b">
        <f ca="1">IF(OR(NOT(Y213),NOT(Z203)),FALSE,K216="")</f>
        <v>0</v>
      </c>
      <c r="AM216" s="488" t="b">
        <f ca="1">IF(OR(NOT(Y213),NOT(Z203)),FALSE,L216="")</f>
        <v>0</v>
      </c>
      <c r="AN216" s="488" t="b">
        <f ca="1">IF(OR(NOT(Y213),NOT(Z203)),FALSE,M216="")</f>
        <v>0</v>
      </c>
      <c r="AO216" s="488" t="b">
        <f ca="1">IF(OR(NOT(Y213),NOT(Z203)),FALSE,N216="")</f>
        <v>0</v>
      </c>
      <c r="AS216" s="323"/>
      <c r="AT216" s="323"/>
      <c r="AW216" s="485"/>
      <c r="AY216" s="323"/>
      <c r="BA216" s="323"/>
      <c r="BC216" s="323"/>
      <c r="BE216" s="323"/>
      <c r="BG216" s="323"/>
      <c r="BI216" s="323"/>
      <c r="BK216" s="323"/>
      <c r="BM216" s="323"/>
      <c r="BO216" s="323"/>
      <c r="BQ216" s="323"/>
      <c r="BS216" s="323"/>
      <c r="BU216" s="323"/>
      <c r="BW216" s="323"/>
      <c r="BY216" s="323"/>
      <c r="CA216" s="323"/>
      <c r="CC216" s="323"/>
      <c r="CE216" s="323"/>
      <c r="CG216" s="323"/>
      <c r="CI216" s="323"/>
      <c r="CK216" s="323"/>
      <c r="CM216" s="323"/>
      <c r="CO216" s="323"/>
      <c r="CQ216" s="323"/>
      <c r="CS216" s="323"/>
      <c r="CU216" s="323"/>
      <c r="CW216" s="323"/>
      <c r="CY216" s="323"/>
      <c r="DA216" s="323"/>
      <c r="DC216" s="323"/>
      <c r="DE216" s="323"/>
      <c r="DG216" s="323"/>
      <c r="DI216" s="323"/>
      <c r="DJ216" s="485"/>
    </row>
    <row r="217" spans="1:114" ht="11.25" customHeight="1" x14ac:dyDescent="0.3">
      <c r="A217" s="765"/>
      <c r="C217" s="219"/>
      <c r="D217" s="220"/>
      <c r="E217" s="517"/>
      <c r="F217" s="516"/>
      <c r="G217" s="223"/>
      <c r="H217" s="219"/>
      <c r="J217" s="219"/>
      <c r="K217" s="220"/>
      <c r="L217" s="517"/>
      <c r="M217" s="516"/>
      <c r="N217" s="223"/>
      <c r="O217" s="219"/>
      <c r="AB217" s="327" t="str">
        <f t="shared" ref="AB217:AB228" si="80">AB216</f>
        <v/>
      </c>
      <c r="AC217" s="327" t="str">
        <f t="shared" ref="AC217:AC228" si="81">AC216</f>
        <v/>
      </c>
      <c r="AD217" s="327" t="str">
        <f t="shared" ref="AD217:AD228" si="82">AD216</f>
        <v/>
      </c>
      <c r="AE217" s="327" t="str">
        <f t="shared" ref="AE217:AE228" si="83">AE216</f>
        <v/>
      </c>
      <c r="AF217" s="325"/>
      <c r="AG217" s="485">
        <v>3</v>
      </c>
      <c r="AH217" s="488" t="b">
        <f ca="1">IF(OR(NOT(W213),NOT(X203)),FALSE,D217="")</f>
        <v>0</v>
      </c>
      <c r="AI217" s="488" t="b">
        <f ca="1">IF(OR(NOT(W213),NOT(X203)),FALSE,E217="")</f>
        <v>0</v>
      </c>
      <c r="AJ217" s="488" t="b">
        <f ca="1">IF(OR(NOT(W213),NOT(X203)),FALSE,F217="")</f>
        <v>0</v>
      </c>
      <c r="AK217" s="488" t="b">
        <f ca="1">IF(OR(NOT(W213),NOT(X203)),FALSE,G217="")</f>
        <v>0</v>
      </c>
      <c r="AL217" s="488" t="b">
        <f ca="1">IF(OR(NOT(Y213),NOT(Z203)),FALSE,K217="")</f>
        <v>0</v>
      </c>
      <c r="AM217" s="488" t="b">
        <f ca="1">IF(OR(NOT(Y213),NOT(Z203)),FALSE,L217="")</f>
        <v>0</v>
      </c>
      <c r="AN217" s="488" t="b">
        <f ca="1">IF(OR(NOT(Y213),NOT(Z203)),FALSE,M217="")</f>
        <v>0</v>
      </c>
      <c r="AO217" s="488" t="b">
        <f ca="1">IF(OR(NOT(Y213),NOT(Z203)),FALSE,N217="")</f>
        <v>0</v>
      </c>
      <c r="AS217" s="323"/>
      <c r="AT217" s="323"/>
      <c r="AW217" s="485"/>
      <c r="AY217" s="323"/>
      <c r="BA217" s="323"/>
      <c r="BC217" s="323"/>
      <c r="BE217" s="323"/>
      <c r="BG217" s="323"/>
      <c r="BI217" s="323"/>
      <c r="BK217" s="323"/>
      <c r="BM217" s="323"/>
      <c r="BO217" s="323"/>
      <c r="BQ217" s="323"/>
      <c r="BS217" s="323"/>
      <c r="BU217" s="323"/>
      <c r="BW217" s="323"/>
      <c r="BY217" s="323"/>
      <c r="CA217" s="323"/>
      <c r="CC217" s="323"/>
      <c r="CE217" s="323"/>
      <c r="CG217" s="323"/>
      <c r="CI217" s="323"/>
      <c r="CK217" s="323"/>
      <c r="CM217" s="323"/>
      <c r="CO217" s="323"/>
      <c r="CQ217" s="323"/>
      <c r="CS217" s="323"/>
      <c r="CU217" s="323"/>
      <c r="CW217" s="323"/>
      <c r="CY217" s="323"/>
      <c r="DA217" s="323"/>
      <c r="DC217" s="323"/>
      <c r="DE217" s="323"/>
      <c r="DG217" s="323"/>
      <c r="DI217" s="323"/>
      <c r="DJ217" s="485"/>
    </row>
    <row r="218" spans="1:114" ht="11.25" customHeight="1" x14ac:dyDescent="0.3">
      <c r="A218" s="765"/>
      <c r="C218" s="219"/>
      <c r="D218" s="220"/>
      <c r="E218" s="517"/>
      <c r="F218" s="516"/>
      <c r="G218" s="223"/>
      <c r="H218" s="219"/>
      <c r="J218" s="219"/>
      <c r="K218" s="220"/>
      <c r="L218" s="517"/>
      <c r="M218" s="516"/>
      <c r="N218" s="223"/>
      <c r="O218" s="219"/>
      <c r="W218" s="327" t="s">
        <v>1266</v>
      </c>
      <c r="AB218" s="327" t="str">
        <f t="shared" si="80"/>
        <v/>
      </c>
      <c r="AC218" s="327" t="str">
        <f t="shared" si="81"/>
        <v/>
      </c>
      <c r="AD218" s="327" t="str">
        <f t="shared" si="82"/>
        <v/>
      </c>
      <c r="AE218" s="327" t="str">
        <f t="shared" si="83"/>
        <v/>
      </c>
      <c r="AF218" s="325"/>
      <c r="AG218" s="485">
        <v>4</v>
      </c>
      <c r="AH218" s="488" t="b">
        <f ca="1">IF(OR(NOT(W213),NOT(X203)),FALSE,D218="")</f>
        <v>0</v>
      </c>
      <c r="AI218" s="488" t="b">
        <f ca="1">IF(OR(NOT(W213),NOT(X203)),FALSE,E218="")</f>
        <v>0</v>
      </c>
      <c r="AJ218" s="488" t="b">
        <f ca="1">IF(OR(NOT(W213),NOT(X203)),FALSE,F218="")</f>
        <v>0</v>
      </c>
      <c r="AK218" s="488" t="b">
        <f ca="1">IF(OR(NOT(W213),NOT(X203)),FALSE,G218="")</f>
        <v>0</v>
      </c>
      <c r="AL218" s="488" t="b">
        <f ca="1">IF(OR(NOT(Y213),NOT(Z203)),FALSE,K218="")</f>
        <v>0</v>
      </c>
      <c r="AM218" s="488" t="b">
        <f ca="1">IF(OR(NOT(Y213),NOT(Z203)),FALSE,L218="")</f>
        <v>0</v>
      </c>
      <c r="AN218" s="488" t="b">
        <f ca="1">IF(OR(NOT(Y213),NOT(Z203)),FALSE,M218="")</f>
        <v>0</v>
      </c>
      <c r="AO218" s="488" t="b">
        <f ca="1">IF(OR(NOT(Y213),NOT(Z203)),FALSE,N218="")</f>
        <v>0</v>
      </c>
      <c r="AS218" s="323"/>
      <c r="AT218" s="323"/>
      <c r="AW218" s="485"/>
      <c r="AY218" s="323"/>
      <c r="BA218" s="323"/>
      <c r="BC218" s="323"/>
      <c r="BE218" s="323"/>
      <c r="BG218" s="323"/>
      <c r="BI218" s="323"/>
      <c r="BK218" s="323"/>
      <c r="BM218" s="323"/>
      <c r="BO218" s="323"/>
      <c r="BQ218" s="323"/>
      <c r="BS218" s="323"/>
      <c r="BU218" s="323"/>
      <c r="BW218" s="323"/>
      <c r="BY218" s="323"/>
      <c r="CA218" s="323"/>
      <c r="CC218" s="323"/>
      <c r="CE218" s="323"/>
      <c r="CG218" s="323"/>
      <c r="CI218" s="323"/>
      <c r="CK218" s="323"/>
      <c r="CM218" s="323"/>
      <c r="CO218" s="323"/>
      <c r="CQ218" s="323"/>
      <c r="CS218" s="323"/>
      <c r="CU218" s="323"/>
      <c r="CW218" s="323"/>
      <c r="CY218" s="323"/>
      <c r="DA218" s="323"/>
      <c r="DC218" s="323"/>
      <c r="DE218" s="323"/>
      <c r="DG218" s="323"/>
      <c r="DI218" s="323"/>
      <c r="DJ218" s="485"/>
    </row>
    <row r="219" spans="1:114" ht="11.25" customHeight="1" x14ac:dyDescent="0.3">
      <c r="A219" s="765"/>
      <c r="C219" s="219"/>
      <c r="D219" s="220"/>
      <c r="E219" s="517"/>
      <c r="F219" s="516"/>
      <c r="G219" s="223"/>
      <c r="H219" s="219"/>
      <c r="J219" s="219"/>
      <c r="K219" s="220"/>
      <c r="L219" s="517"/>
      <c r="M219" s="516"/>
      <c r="N219" s="223"/>
      <c r="O219" s="219"/>
      <c r="W219" s="327" t="s">
        <v>1267</v>
      </c>
      <c r="AB219" s="327" t="str">
        <f t="shared" si="80"/>
        <v/>
      </c>
      <c r="AC219" s="327" t="str">
        <f t="shared" si="81"/>
        <v/>
      </c>
      <c r="AD219" s="327" t="str">
        <f t="shared" si="82"/>
        <v/>
      </c>
      <c r="AE219" s="327" t="str">
        <f t="shared" si="83"/>
        <v/>
      </c>
      <c r="AF219" s="325"/>
      <c r="AG219" s="495">
        <v>5</v>
      </c>
      <c r="AH219" s="488" t="b">
        <f ca="1">IF(OR(NOT(W213),NOT(X203)),FALSE,D219="")</f>
        <v>0</v>
      </c>
      <c r="AI219" s="488" t="b">
        <f ca="1">IF(OR(NOT(W213),NOT(X203)),FALSE,E219="")</f>
        <v>0</v>
      </c>
      <c r="AJ219" s="488" t="b">
        <f ca="1">IF(OR(NOT(W213),NOT(X203)),FALSE,F219="")</f>
        <v>0</v>
      </c>
      <c r="AK219" s="488" t="b">
        <f ca="1">IF(OR(NOT(W213),NOT(X203)),FALSE,G219="")</f>
        <v>0</v>
      </c>
      <c r="AL219" s="488" t="b">
        <f ca="1">IF(OR(NOT(Y213),NOT(Z203)),FALSE,K219="")</f>
        <v>0</v>
      </c>
      <c r="AM219" s="488" t="b">
        <f ca="1">IF(OR(NOT(Y213),NOT(Z203)),FALSE,L219="")</f>
        <v>0</v>
      </c>
      <c r="AN219" s="488" t="b">
        <f ca="1">IF(OR(NOT(Y213),NOT(Z203)),FALSE,M219="")</f>
        <v>0</v>
      </c>
      <c r="AO219" s="488" t="b">
        <f ca="1">IF(OR(NOT(Y213),NOT(Z203)),FALSE,N219="")</f>
        <v>0</v>
      </c>
      <c r="AP219" s="495"/>
      <c r="AS219" s="323"/>
      <c r="AT219" s="323"/>
      <c r="AW219" s="485"/>
      <c r="AY219" s="323"/>
      <c r="BA219" s="323"/>
      <c r="BC219" s="323"/>
      <c r="BE219" s="323"/>
      <c r="BG219" s="323"/>
      <c r="BI219" s="323"/>
      <c r="BK219" s="323"/>
      <c r="BM219" s="323"/>
      <c r="BO219" s="323"/>
      <c r="BQ219" s="323"/>
      <c r="BS219" s="323"/>
      <c r="BU219" s="323"/>
      <c r="BW219" s="323"/>
      <c r="BY219" s="323"/>
      <c r="CA219" s="323"/>
      <c r="CC219" s="323"/>
      <c r="CE219" s="323"/>
      <c r="CG219" s="323"/>
      <c r="CI219" s="323"/>
      <c r="CK219" s="323"/>
      <c r="CM219" s="323"/>
      <c r="CO219" s="323"/>
      <c r="CQ219" s="323"/>
      <c r="CS219" s="323"/>
      <c r="CU219" s="323"/>
      <c r="CW219" s="323"/>
      <c r="CY219" s="323"/>
      <c r="DA219" s="323"/>
      <c r="DC219" s="323"/>
      <c r="DE219" s="323"/>
      <c r="DG219" s="323"/>
      <c r="DI219" s="323"/>
      <c r="DJ219" s="485"/>
    </row>
    <row r="220" spans="1:114" ht="11.25" customHeight="1" x14ac:dyDescent="0.3">
      <c r="A220" s="765"/>
      <c r="C220" s="219"/>
      <c r="D220" s="220"/>
      <c r="E220" s="517"/>
      <c r="F220" s="516"/>
      <c r="G220" s="223"/>
      <c r="H220" s="219"/>
      <c r="J220" s="219"/>
      <c r="K220" s="220"/>
      <c r="L220" s="517"/>
      <c r="M220" s="516"/>
      <c r="N220" s="223"/>
      <c r="O220" s="219"/>
      <c r="AB220" s="327" t="str">
        <f t="shared" si="80"/>
        <v/>
      </c>
      <c r="AC220" s="327" t="str">
        <f t="shared" si="81"/>
        <v/>
      </c>
      <c r="AD220" s="327" t="str">
        <f t="shared" si="82"/>
        <v/>
      </c>
      <c r="AE220" s="327" t="str">
        <f t="shared" si="83"/>
        <v/>
      </c>
      <c r="AF220" s="325"/>
      <c r="AG220" s="485">
        <v>6</v>
      </c>
      <c r="AH220" s="496" t="b">
        <f ca="1">IF(OR(NOT(W213),NOT(X203)),FALSE,AND(D220="",OR(AG220&lt;=W214+COUNTIF(E215:E220,$W$218),AG220&lt;=X214+COUNTIF(F215:F220,$W$218))))</f>
        <v>0</v>
      </c>
      <c r="AI220" s="496" t="b">
        <f ca="1">IF(OR(NOT(W213),NOT(X203)),FALSE,AND(E220="",OR(AG220&lt;=W214+COUNTIF(E215:E220,$W$218),AG220&lt;=X214+COUNTIF(F215:F220,$W$218))))</f>
        <v>0</v>
      </c>
      <c r="AJ220" s="496" t="b">
        <f ca="1">IF(OR(NOT(W213),NOT(X203)),FALSE,AND(F220="",OR(AG220&lt;=W214+COUNTIF(E215:E220,$W$218),AG220&lt;=X214+COUNTIF(F215:F220,$W$218))))</f>
        <v>0</v>
      </c>
      <c r="AK220" s="496" t="b">
        <f ca="1">IF(OR(NOT(W213),NOT(X203)),FALSE,AND(G220="",OR(AG220&lt;=W214+COUNTIF(E215:E220,$W$218),AG220&lt;=X214+COUNTIF(F215:F220,$W$218))))</f>
        <v>0</v>
      </c>
      <c r="AL220" s="496" t="b">
        <f ca="1">IF(OR(NOT(Y213),NOT(Z203)),FALSE,AND(K220="",OR(AG220&lt;=Y214+COUNTIF(L215:L220,$W$218),AG220&lt;=Z214+COUNTIF(M215:M220,$W$218))))</f>
        <v>0</v>
      </c>
      <c r="AM220" s="496" t="b">
        <f ca="1">IF(OR(NOT(Y213),NOT(Z203)),FALSE,AND(L220="",OR(AG220&lt;=Y214+COUNTIF(L215:L220,$W$218),AG220&lt;=Z214+COUNTIF(M215:M220,$W$218))))</f>
        <v>0</v>
      </c>
      <c r="AN220" s="496" t="b">
        <f ca="1">IF(OR(NOT(Y213),NOT(Z203)),FALSE,AND(M220="",OR(AG220&lt;=Y214+COUNTIF(L215:L220,$W$218),AG220&lt;=Z214+COUNTIF(M215:M220,$W$218))))</f>
        <v>0</v>
      </c>
      <c r="AO220" s="496" t="b">
        <f ca="1">IF(OR(NOT(Y213),NOT(Z203)),FALSE,AND(N220="",OR(AG220&lt;=Y214+COUNTIF(L215:L220,$W$218),AG220&lt;=Z214+COUNTIF(M215:M220,$W$218))))</f>
        <v>0</v>
      </c>
      <c r="AS220" s="323"/>
      <c r="AT220" s="323"/>
      <c r="AW220" s="485"/>
      <c r="AY220" s="323"/>
      <c r="BA220" s="323"/>
      <c r="BC220" s="323"/>
      <c r="BE220" s="323"/>
      <c r="BG220" s="323"/>
      <c r="BI220" s="323"/>
      <c r="BK220" s="323"/>
      <c r="BM220" s="323"/>
      <c r="BO220" s="323"/>
      <c r="BQ220" s="323"/>
      <c r="BS220" s="323"/>
      <c r="BU220" s="323"/>
      <c r="BW220" s="323"/>
      <c r="BY220" s="323"/>
      <c r="CA220" s="323"/>
      <c r="CC220" s="323"/>
      <c r="CE220" s="323"/>
      <c r="CG220" s="323"/>
      <c r="CI220" s="323"/>
      <c r="CK220" s="323"/>
      <c r="CM220" s="323"/>
      <c r="CO220" s="323"/>
      <c r="CQ220" s="323"/>
      <c r="CS220" s="323"/>
      <c r="CU220" s="323"/>
      <c r="CW220" s="323"/>
      <c r="CY220" s="323"/>
      <c r="DA220" s="323"/>
      <c r="DC220" s="323"/>
      <c r="DE220" s="323"/>
      <c r="DG220" s="323"/>
      <c r="DI220" s="323"/>
      <c r="DJ220" s="485"/>
    </row>
    <row r="221" spans="1:114" ht="11.25" customHeight="1" x14ac:dyDescent="0.3">
      <c r="A221" s="765"/>
      <c r="C221" s="219"/>
      <c r="D221" s="220"/>
      <c r="E221" s="517"/>
      <c r="F221" s="516"/>
      <c r="G221" s="223"/>
      <c r="H221" s="219"/>
      <c r="J221" s="219"/>
      <c r="K221" s="220"/>
      <c r="L221" s="517"/>
      <c r="M221" s="516"/>
      <c r="N221" s="223"/>
      <c r="O221" s="219"/>
      <c r="AB221" s="327" t="str">
        <f t="shared" si="80"/>
        <v/>
      </c>
      <c r="AC221" s="327" t="str">
        <f t="shared" si="81"/>
        <v/>
      </c>
      <c r="AD221" s="327" t="str">
        <f t="shared" si="82"/>
        <v/>
      </c>
      <c r="AE221" s="327" t="str">
        <f t="shared" si="83"/>
        <v/>
      </c>
      <c r="AF221" s="325"/>
      <c r="AG221" s="485">
        <v>7</v>
      </c>
      <c r="AH221" s="496" t="b">
        <f ca="1">IF(OR(NOT(W213),NOT(X203)),FALSE,AND(D221="",OR(AG221&lt;=W214+COUNTIF(E215:E221,$W$218),AG221&lt;=X214+COUNTIF(F215:F221,$W$218))))</f>
        <v>0</v>
      </c>
      <c r="AI221" s="496" t="b">
        <f ca="1">IF(OR(NOT(W213),NOT(X203)),FALSE,AND(E221="",OR(AG221&lt;=W214+COUNTIF(E215:E221,$W$218),AG221&lt;=X214+COUNTIF(F215:F221,$W$218))))</f>
        <v>0</v>
      </c>
      <c r="AJ221" s="496" t="b">
        <f ca="1">IF(OR(NOT(W213),NOT(X203)),FALSE,AND(F221="",OR(AG221&lt;=W214+COUNTIF(E215:E221,$W$218),AG221&lt;=X214+COUNTIF(F215:F221,$W$218))))</f>
        <v>0</v>
      </c>
      <c r="AK221" s="496" t="b">
        <f ca="1">IF(OR(NOT(W213),NOT(X203)),FALSE,AND(G221="",OR(AG221&lt;=W214+COUNTIF(E215:E221,$W$218),AG221&lt;=X214+COUNTIF(F215:F221,$W$218))))</f>
        <v>0</v>
      </c>
      <c r="AL221" s="496" t="b">
        <f ca="1">IF(OR(NOT(Y213),NOT(Z203)),FALSE,AND(K221="",OR(AG221&lt;=Y214+COUNTIF(L215:L221,$W$218),AG221&lt;=Z214+COUNTIF(M215:M221,$W$218))))</f>
        <v>0</v>
      </c>
      <c r="AM221" s="496" t="b">
        <f ca="1">IF(OR(NOT(Y213),NOT(Z203)),FALSE,AND(L221="",OR(AG221&lt;=Y214+COUNTIF(L215:L221,$W$218),AG221&lt;=Z214+COUNTIF(M215:M221,$W$218))))</f>
        <v>0</v>
      </c>
      <c r="AN221" s="496" t="b">
        <f ca="1">IF(OR(NOT(Y213),NOT(Z203)),FALSE,AND(M221="",OR(AG221&lt;=Y214+COUNTIF(L215:L221,$W$218),AG221&lt;=Z214+COUNTIF(M215:M221,$W$218))))</f>
        <v>0</v>
      </c>
      <c r="AO221" s="496" t="b">
        <f ca="1">IF(OR(NOT(Y213),NOT(Z203)),FALSE,AND(N221="",OR(AG221&lt;=Y214+COUNTIF(L215:L221,$W$218),AG221&lt;=Z214+COUNTIF(M215:M221,$W$218))))</f>
        <v>0</v>
      </c>
      <c r="AS221" s="323"/>
      <c r="AT221" s="323"/>
      <c r="AW221" s="485"/>
      <c r="AY221" s="323"/>
      <c r="BA221" s="323"/>
      <c r="BC221" s="323"/>
      <c r="BE221" s="323"/>
      <c r="BG221" s="323"/>
      <c r="BI221" s="323"/>
      <c r="BK221" s="323"/>
      <c r="BM221" s="323"/>
      <c r="BO221" s="323"/>
      <c r="BQ221" s="323"/>
      <c r="BS221" s="323"/>
      <c r="BU221" s="323"/>
      <c r="BW221" s="323"/>
      <c r="BY221" s="323"/>
      <c r="CA221" s="323"/>
      <c r="CC221" s="323"/>
      <c r="CE221" s="323"/>
      <c r="CG221" s="323"/>
      <c r="CI221" s="323"/>
      <c r="CK221" s="323"/>
      <c r="CM221" s="323"/>
      <c r="CO221" s="323"/>
      <c r="CQ221" s="323"/>
      <c r="CS221" s="323"/>
      <c r="CU221" s="323"/>
      <c r="CW221" s="323"/>
      <c r="CY221" s="323"/>
      <c r="DA221" s="323"/>
      <c r="DC221" s="323"/>
      <c r="DE221" s="323"/>
      <c r="DG221" s="323"/>
      <c r="DI221" s="323"/>
      <c r="DJ221" s="485"/>
    </row>
    <row r="222" spans="1:114" ht="11.25" customHeight="1" x14ac:dyDescent="0.3">
      <c r="A222" s="765"/>
      <c r="C222" s="219"/>
      <c r="D222" s="220"/>
      <c r="E222" s="517"/>
      <c r="F222" s="516"/>
      <c r="G222" s="223"/>
      <c r="H222" s="219"/>
      <c r="J222" s="219"/>
      <c r="K222" s="220"/>
      <c r="L222" s="517"/>
      <c r="M222" s="516"/>
      <c r="N222" s="223"/>
      <c r="O222" s="219"/>
      <c r="AB222" s="327" t="str">
        <f t="shared" si="80"/>
        <v/>
      </c>
      <c r="AC222" s="327" t="str">
        <f t="shared" si="81"/>
        <v/>
      </c>
      <c r="AD222" s="327" t="str">
        <f t="shared" si="82"/>
        <v/>
      </c>
      <c r="AE222" s="327" t="str">
        <f t="shared" si="83"/>
        <v/>
      </c>
      <c r="AF222" s="325"/>
      <c r="AG222" s="485">
        <v>8</v>
      </c>
      <c r="AH222" s="496" t="b">
        <f ca="1">IF(OR(NOT(W213),NOT(X203)),FALSE,AND(D222="",OR(AG222&lt;=W214+COUNTIF(E215:E222,$W$218),AG222&lt;=X214+COUNTIF(F215:F222,$W$218))))</f>
        <v>0</v>
      </c>
      <c r="AI222" s="496" t="b">
        <f ca="1">IF(OR(NOT(W213),NOT(X203)),FALSE,AND(E222="",OR(AG222&lt;=W214+COUNTIF(E215:E222,$W$218),AG222&lt;=X214+COUNTIF(F215:F222,$W$218))))</f>
        <v>0</v>
      </c>
      <c r="AJ222" s="496" t="b">
        <f ca="1">IF(OR(NOT(W213),NOT(X203)),FALSE,AND(F222="",OR(AG222&lt;=W214+COUNTIF(E215:E222,$W$218),AG222&lt;=X214+COUNTIF(F215:F222,$W$218))))</f>
        <v>0</v>
      </c>
      <c r="AK222" s="496" t="b">
        <f ca="1">IF(OR(NOT(W213),NOT(X203)),FALSE,AND(G222="",OR(AG222&lt;=W214+COUNTIF(E215:E222,$W$218),AG222&lt;=X214+COUNTIF(F215:F222,$W$218))))</f>
        <v>0</v>
      </c>
      <c r="AL222" s="496" t="b">
        <f ca="1">IF(OR(NOT(Y213),NOT(Z203)),FALSE,AND(K222="",OR(AG222&lt;=Y214+COUNTIF(L215:L222,$W$218),AG222&lt;=Z214+COUNTIF(M215:M222,$W$218))))</f>
        <v>0</v>
      </c>
      <c r="AM222" s="496" t="b">
        <f ca="1">IF(OR(NOT(Y213),NOT(Z203)),FALSE,AND(L222="",OR(AG222&lt;=Y214+COUNTIF(L215:L222,$W$218),AG222&lt;=Z214+COUNTIF(M215:M222,$W$218))))</f>
        <v>0</v>
      </c>
      <c r="AN222" s="496" t="b">
        <f ca="1">IF(OR(NOT(Y213),NOT(Z203)),FALSE,AND(M222="",OR(AG222&lt;=Y214+COUNTIF(L215:L222,$W$218),AG222&lt;=Z214+COUNTIF(M215:M222,$W$218))))</f>
        <v>0</v>
      </c>
      <c r="AO222" s="496" t="b">
        <f ca="1">IF(OR(NOT(Y213),NOT(Z203)),FALSE,AND(N222="",OR(AG222&lt;=Y214+COUNTIF(L215:L222,$W$218),AG222&lt;=Z214+COUNTIF(M215:M222,$W$218))))</f>
        <v>0</v>
      </c>
      <c r="AS222" s="323"/>
      <c r="AT222" s="323"/>
      <c r="AW222" s="485"/>
      <c r="AY222" s="323"/>
      <c r="BA222" s="323"/>
      <c r="BC222" s="323"/>
      <c r="BE222" s="323"/>
      <c r="BG222" s="323"/>
      <c r="BI222" s="323"/>
      <c r="BK222" s="323"/>
      <c r="BM222" s="323"/>
      <c r="BO222" s="323"/>
      <c r="BQ222" s="323"/>
      <c r="BS222" s="323"/>
      <c r="BU222" s="323"/>
      <c r="BW222" s="323"/>
      <c r="BY222" s="323"/>
      <c r="CA222" s="323"/>
      <c r="CC222" s="323"/>
      <c r="CE222" s="323"/>
      <c r="CG222" s="323"/>
      <c r="CI222" s="323"/>
      <c r="CK222" s="323"/>
      <c r="CM222" s="323"/>
      <c r="CO222" s="323"/>
      <c r="CQ222" s="323"/>
      <c r="CS222" s="323"/>
      <c r="CU222" s="323"/>
      <c r="CW222" s="323"/>
      <c r="CY222" s="323"/>
      <c r="DA222" s="323"/>
      <c r="DC222" s="323"/>
      <c r="DE222" s="323"/>
      <c r="DG222" s="323"/>
      <c r="DI222" s="323"/>
      <c r="DJ222" s="485"/>
    </row>
    <row r="223" spans="1:114" ht="11.25" customHeight="1" x14ac:dyDescent="0.3">
      <c r="A223" s="765"/>
      <c r="C223" s="219"/>
      <c r="D223" s="220"/>
      <c r="E223" s="517"/>
      <c r="F223" s="516"/>
      <c r="G223" s="223"/>
      <c r="H223" s="219"/>
      <c r="J223" s="219"/>
      <c r="K223" s="220"/>
      <c r="L223" s="517"/>
      <c r="M223" s="516"/>
      <c r="N223" s="223"/>
      <c r="O223" s="219"/>
      <c r="AB223" s="327" t="str">
        <f t="shared" si="80"/>
        <v/>
      </c>
      <c r="AC223" s="327" t="str">
        <f t="shared" si="81"/>
        <v/>
      </c>
      <c r="AD223" s="327" t="str">
        <f t="shared" si="82"/>
        <v/>
      </c>
      <c r="AE223" s="327" t="str">
        <f t="shared" si="83"/>
        <v/>
      </c>
      <c r="AF223" s="325"/>
      <c r="AG223" s="485">
        <v>9</v>
      </c>
      <c r="AH223" s="496" t="b">
        <f ca="1">IF(OR(NOT(W213),NOT(X203)),FALSE,AND(D223="",OR(AG223&lt;=W214+COUNTIF(E215:E223,$W$218),AG223&lt;=X214+COUNTIF(F215:F223,$W$218))))</f>
        <v>0</v>
      </c>
      <c r="AI223" s="496" t="b">
        <f ca="1">IF(OR(NOT(W213),NOT(X203)),FALSE,AND(E223="",OR(AG223&lt;=W214+COUNTIF(E215:E223,$W$218),AG223&lt;=X214+COUNTIF(F215:F223,$W$218))))</f>
        <v>0</v>
      </c>
      <c r="AJ223" s="496" t="b">
        <f ca="1">IF(OR(NOT(W213),NOT(X203)),FALSE,AND(F223="",OR(AG223&lt;=W214+COUNTIF(E215:E223,$W$218),AG223&lt;=X214+COUNTIF(F215:F223,$W$218))))</f>
        <v>0</v>
      </c>
      <c r="AK223" s="496" t="b">
        <f ca="1">IF(OR(NOT(W213),NOT(X203)),FALSE,AND(G223="",OR(AG223&lt;=W214+COUNTIF(E215:E223,$W$218),AG223&lt;=X214+COUNTIF(F215:F223,$W$218))))</f>
        <v>0</v>
      </c>
      <c r="AL223" s="496" t="b">
        <f ca="1">IF(OR(NOT(Y213),NOT(Z203)),FALSE,AND(K223="",OR(AG223&lt;=Y214+COUNTIF(L215:L223,$W$218),AG223&lt;=Z214+COUNTIF(M215:M223,$W$218))))</f>
        <v>0</v>
      </c>
      <c r="AM223" s="496" t="b">
        <f ca="1">IF(OR(NOT(Y213),NOT(Z203)),FALSE,AND(L223="",OR(AG223&lt;=Y214+COUNTIF(L215:L223,$W$218),AG223&lt;=Z214+COUNTIF(M215:M223,$W$218))))</f>
        <v>0</v>
      </c>
      <c r="AN223" s="496" t="b">
        <f ca="1">IF(OR(NOT(Y213),NOT(Z203)),FALSE,AND(M223="",OR(AG223&lt;=Y214+COUNTIF(L215:L223,$W$218),AG223&lt;=Z214+COUNTIF(M215:M223,$W$218))))</f>
        <v>0</v>
      </c>
      <c r="AO223" s="496" t="b">
        <f ca="1">IF(OR(NOT(Y213),NOT(Z203)),FALSE,AND(N223="",OR(AG223&lt;=Y214+COUNTIF(L215:L223,$W$218),AG223&lt;=Z214+COUNTIF(M215:M223,$W$218))))</f>
        <v>0</v>
      </c>
      <c r="AS223" s="323"/>
      <c r="AT223" s="323"/>
      <c r="AW223" s="485"/>
      <c r="AY223" s="323"/>
      <c r="BA223" s="323"/>
      <c r="BC223" s="323"/>
      <c r="BE223" s="323"/>
      <c r="BG223" s="323"/>
      <c r="BI223" s="323"/>
      <c r="BK223" s="323"/>
      <c r="BM223" s="323"/>
      <c r="BO223" s="323"/>
      <c r="BQ223" s="323"/>
      <c r="BS223" s="323"/>
      <c r="BU223" s="323"/>
      <c r="BW223" s="323"/>
      <c r="BY223" s="323"/>
      <c r="CA223" s="323"/>
      <c r="CC223" s="323"/>
      <c r="CE223" s="323"/>
      <c r="CG223" s="323"/>
      <c r="CI223" s="323"/>
      <c r="CK223" s="323"/>
      <c r="CM223" s="323"/>
      <c r="CO223" s="323"/>
      <c r="CQ223" s="323"/>
      <c r="CS223" s="323"/>
      <c r="CU223" s="323"/>
      <c r="CW223" s="323"/>
      <c r="CY223" s="323"/>
      <c r="DA223" s="323"/>
      <c r="DC223" s="323"/>
      <c r="DE223" s="323"/>
      <c r="DG223" s="323"/>
      <c r="DI223" s="323"/>
      <c r="DJ223" s="485"/>
    </row>
    <row r="224" spans="1:114" ht="11.25" customHeight="1" x14ac:dyDescent="0.3">
      <c r="A224" s="765"/>
      <c r="C224" s="219"/>
      <c r="D224" s="220"/>
      <c r="E224" s="517"/>
      <c r="F224" s="516"/>
      <c r="G224" s="223"/>
      <c r="H224" s="219"/>
      <c r="J224" s="219"/>
      <c r="K224" s="220"/>
      <c r="L224" s="517"/>
      <c r="M224" s="516"/>
      <c r="N224" s="223"/>
      <c r="O224" s="219"/>
      <c r="AB224" s="327" t="str">
        <f t="shared" si="80"/>
        <v/>
      </c>
      <c r="AC224" s="327" t="str">
        <f t="shared" si="81"/>
        <v/>
      </c>
      <c r="AD224" s="327" t="str">
        <f t="shared" si="82"/>
        <v/>
      </c>
      <c r="AE224" s="327" t="str">
        <f t="shared" si="83"/>
        <v/>
      </c>
      <c r="AF224" s="325"/>
      <c r="AG224" s="485">
        <v>10</v>
      </c>
      <c r="AH224" s="496" t="b">
        <f ca="1">IF(OR(NOT(W213),NOT(X203)),FALSE,AND(D224="",OR(AG224&lt;=W214+COUNTIF(E215:E224,$W$218),AG224&lt;=X214+COUNTIF(F215:F224,$W$218))))</f>
        <v>0</v>
      </c>
      <c r="AI224" s="496" t="b">
        <f ca="1">IF(OR(NOT(W213),NOT(X203)),FALSE,AND(E224="",OR(AG224&lt;=W214+COUNTIF(E215:E224,$W$218),AG224&lt;=X214+COUNTIF(F215:F224,$W$218))))</f>
        <v>0</v>
      </c>
      <c r="AJ224" s="496" t="b">
        <f ca="1">IF(OR(NOT(W213),NOT(X203)),FALSE,AND(F224="",OR(AG224&lt;=W214+COUNTIF(E215:E224,$W$218),AG224&lt;=X214+COUNTIF(F215:F224,$W$218))))</f>
        <v>0</v>
      </c>
      <c r="AK224" s="496" t="b">
        <f ca="1">IF(OR(NOT(W213),NOT(X203)),FALSE,AND(G224="",OR(AG224&lt;=W214+COUNTIF(E215:E224,$W$218),AG224&lt;=X214+COUNTIF(F215:F224,$W$218))))</f>
        <v>0</v>
      </c>
      <c r="AL224" s="496" t="b">
        <f ca="1">IF(OR(NOT(Y213),NOT(Z203)),FALSE,AND(K224="",OR(AG224&lt;=Y214+COUNTIF(L215:L224,$W$218),AG224&lt;=Z214+COUNTIF(M215:M224,$W$218))))</f>
        <v>0</v>
      </c>
      <c r="AM224" s="496" t="b">
        <f ca="1">IF(OR(NOT(Y213),NOT(Z203)),FALSE,AND(L224="",OR(AG224&lt;=Y214+COUNTIF(L215:L224,$W$218),AG224&lt;=Z214+COUNTIF(M215:M224,$W$218))))</f>
        <v>0</v>
      </c>
      <c r="AN224" s="496" t="b">
        <f ca="1">IF(OR(NOT(Y213),NOT(Z203)),FALSE,AND(M224="",OR(AG224&lt;=Y214+COUNTIF(L215:L224,$W$218),AG224&lt;=Z214+COUNTIF(M215:M224,$W$218))))</f>
        <v>0</v>
      </c>
      <c r="AO224" s="496" t="b">
        <f ca="1">IF(OR(NOT(Y213),NOT(Z203)),FALSE,AND(N224="",OR(AG224&lt;=Y214+COUNTIF(L215:L224,$W$218),AG224&lt;=Z214+COUNTIF(M215:M224,$W$218))))</f>
        <v>0</v>
      </c>
      <c r="AW224" s="485"/>
      <c r="AY224" s="323"/>
      <c r="BA224" s="323"/>
      <c r="BC224" s="323"/>
      <c r="BE224" s="323"/>
      <c r="BG224" s="323"/>
      <c r="BI224" s="323"/>
      <c r="BK224" s="323"/>
      <c r="BM224" s="323"/>
      <c r="BO224" s="323"/>
      <c r="BQ224" s="323"/>
      <c r="BS224" s="323"/>
      <c r="BU224" s="323"/>
      <c r="BW224" s="323"/>
      <c r="BY224" s="323"/>
      <c r="CA224" s="323"/>
      <c r="CC224" s="323"/>
      <c r="CE224" s="323"/>
      <c r="CG224" s="323"/>
      <c r="CI224" s="323"/>
      <c r="CK224" s="323"/>
      <c r="CM224" s="323"/>
      <c r="CO224" s="323"/>
      <c r="CQ224" s="323"/>
      <c r="CS224" s="323"/>
      <c r="CU224" s="323"/>
      <c r="CW224" s="323"/>
      <c r="CY224" s="323"/>
      <c r="DA224" s="323"/>
      <c r="DC224" s="323"/>
      <c r="DE224" s="323"/>
      <c r="DG224" s="323"/>
      <c r="DI224" s="323"/>
      <c r="DJ224" s="485"/>
    </row>
    <row r="225" spans="1:115" ht="11.25" customHeight="1" x14ac:dyDescent="0.3">
      <c r="A225" s="765"/>
      <c r="C225" s="219"/>
      <c r="D225" s="220"/>
      <c r="E225" s="517"/>
      <c r="F225" s="516"/>
      <c r="G225" s="223"/>
      <c r="H225" s="219"/>
      <c r="J225" s="219"/>
      <c r="K225" s="220"/>
      <c r="L225" s="517"/>
      <c r="M225" s="516"/>
      <c r="N225" s="223"/>
      <c r="O225" s="219"/>
      <c r="AB225" s="327" t="str">
        <f t="shared" si="80"/>
        <v/>
      </c>
      <c r="AC225" s="327" t="str">
        <f t="shared" si="81"/>
        <v/>
      </c>
      <c r="AD225" s="327" t="str">
        <f t="shared" si="82"/>
        <v/>
      </c>
      <c r="AE225" s="327" t="str">
        <f t="shared" si="83"/>
        <v/>
      </c>
      <c r="AF225" s="325"/>
      <c r="AG225" s="485">
        <v>11</v>
      </c>
      <c r="AH225" s="496" t="b">
        <f ca="1">IF(OR(NOT(W213),NOT(X203)),FALSE,AND(D225="",OR(AG225&lt;=W214+COUNTIF(E215:E225,$W$218),AG225&lt;=X214+COUNTIF(F215:F225,$W$218))))</f>
        <v>0</v>
      </c>
      <c r="AI225" s="496" t="b">
        <f ca="1">IF(OR(NOT(W213),NOT(X203)),FALSE,AND(E225="",OR(AG225&lt;=W214+COUNTIF(E215:E225,$W$218),AG225&lt;=X214+COUNTIF(F215:F225,$W$218))))</f>
        <v>0</v>
      </c>
      <c r="AJ225" s="496" t="b">
        <f ca="1">IF(OR(NOT(W213),NOT(X203)),FALSE,AND(F225="",OR(AG225&lt;=W214+COUNTIF(E215:E225,$W$218),AG225&lt;=X214+COUNTIF(F215:F225,$W$218))))</f>
        <v>0</v>
      </c>
      <c r="AK225" s="496" t="b">
        <f ca="1">IF(OR(NOT(W213),NOT(X203)),FALSE,AND(G225="",OR(AG225&lt;=W214+COUNTIF(E215:E225,$W$218),AG225&lt;=X214+COUNTIF(F215:F225,$W$218))))</f>
        <v>0</v>
      </c>
      <c r="AL225" s="496" t="b">
        <f ca="1">IF(OR(NOT(Y213),NOT(Z203)),FALSE,AND(K225="",OR(AG225&lt;=Y214+COUNTIF(L215:L225,$W$218),AG225&lt;=Z214+COUNTIF(M215:M225,$W$218))))</f>
        <v>0</v>
      </c>
      <c r="AM225" s="496" t="b">
        <f ca="1">IF(OR(NOT(Y213),NOT(Z203)),FALSE,AND(L225="",OR(AG225&lt;=Y214+COUNTIF(L215:L225,$W$218),AG225&lt;=Z214+COUNTIF(M215:M225,$W$218))))</f>
        <v>0</v>
      </c>
      <c r="AN225" s="496" t="b">
        <f ca="1">IF(OR(NOT(Y213),NOT(Z203)),FALSE,AND(M225="",OR(AG225&lt;=Y214+COUNTIF(L215:L225,$W$218),AG225&lt;=Z214+COUNTIF(M215:M225,$W$218))))</f>
        <v>0</v>
      </c>
      <c r="AO225" s="496" t="b">
        <f ca="1">IF(OR(NOT(Y213),NOT(Z203)),FALSE,AND(N225="",OR(AG225&lt;=Y214+COUNTIF(L215:L225,$W$218),AG225&lt;=Z214+COUNTIF(M215:M225,$W$218))))</f>
        <v>0</v>
      </c>
      <c r="AW225" s="485"/>
      <c r="AY225" s="323"/>
      <c r="BA225" s="323"/>
      <c r="BC225" s="323"/>
      <c r="BE225" s="323"/>
      <c r="BG225" s="323"/>
      <c r="BI225" s="323"/>
      <c r="BK225" s="323"/>
      <c r="BM225" s="323"/>
      <c r="BO225" s="323"/>
      <c r="BQ225" s="323"/>
      <c r="BS225" s="323"/>
      <c r="BU225" s="323"/>
      <c r="BW225" s="323"/>
      <c r="BY225" s="323"/>
      <c r="CA225" s="323"/>
      <c r="CC225" s="323"/>
      <c r="CE225" s="323"/>
      <c r="CG225" s="323"/>
      <c r="CI225" s="323"/>
      <c r="CK225" s="323"/>
      <c r="CM225" s="323"/>
      <c r="CO225" s="323"/>
      <c r="CQ225" s="323"/>
      <c r="CS225" s="323"/>
      <c r="CU225" s="323"/>
      <c r="CW225" s="323"/>
      <c r="CY225" s="323"/>
      <c r="DA225" s="323"/>
      <c r="DC225" s="323"/>
      <c r="DE225" s="323"/>
      <c r="DG225" s="323"/>
      <c r="DI225" s="323"/>
      <c r="DJ225" s="485"/>
    </row>
    <row r="226" spans="1:115" ht="11.25" customHeight="1" x14ac:dyDescent="0.3">
      <c r="A226" s="765"/>
      <c r="C226" s="219"/>
      <c r="D226" s="220"/>
      <c r="E226" s="517"/>
      <c r="F226" s="516"/>
      <c r="G226" s="223"/>
      <c r="H226" s="219"/>
      <c r="J226" s="219"/>
      <c r="K226" s="220"/>
      <c r="L226" s="517"/>
      <c r="M226" s="516"/>
      <c r="N226" s="223"/>
      <c r="O226" s="219"/>
      <c r="AB226" s="327" t="str">
        <f t="shared" si="80"/>
        <v/>
      </c>
      <c r="AC226" s="327" t="str">
        <f t="shared" si="81"/>
        <v/>
      </c>
      <c r="AD226" s="327" t="str">
        <f t="shared" si="82"/>
        <v/>
      </c>
      <c r="AE226" s="327" t="str">
        <f t="shared" si="83"/>
        <v/>
      </c>
      <c r="AF226" s="325"/>
      <c r="AG226" s="485">
        <v>12</v>
      </c>
      <c r="AH226" s="496" t="b">
        <f ca="1">IF(OR(NOT(W213),NOT(X203)),FALSE,AND(D226="",OR(AG226&lt;=W214+COUNTIF(E215:E226,$W$218),AG226&lt;=X214+COUNTIF(F215:F226,$W$218))))</f>
        <v>0</v>
      </c>
      <c r="AI226" s="496" t="b">
        <f ca="1">IF(OR(NOT(W213),NOT(X203)),FALSE,AND(E226="",OR(AG226&lt;=W214+COUNTIF(E215:E226,$W$218),AG226&lt;=X214+COUNTIF(F215:F226,$W$218))))</f>
        <v>0</v>
      </c>
      <c r="AJ226" s="496" t="b">
        <f ca="1">IF(OR(NOT(W213),NOT(X203)),FALSE,AND(F226="",OR(AG226&lt;=W214+COUNTIF(E215:E226,$W$218),AG226&lt;=X214+COUNTIF(F215:F226,$W$218))))</f>
        <v>0</v>
      </c>
      <c r="AK226" s="496" t="b">
        <f ca="1">IF(OR(NOT(W213),NOT(X203)),FALSE,AND(G226="",OR(AG226&lt;=W214+COUNTIF(E215:E226,$W$218),AG226&lt;=X214+COUNTIF(F215:F226,$W$218))))</f>
        <v>0</v>
      </c>
      <c r="AL226" s="496" t="b">
        <f ca="1">IF(OR(NOT(Y213),NOT(Z203)),FALSE,AND(K226="",OR(AG226&lt;=Y214+COUNTIF(L215:L226,$W$218),AG226&lt;=Z214+COUNTIF(M215:M226,$W$218))))</f>
        <v>0</v>
      </c>
      <c r="AM226" s="496" t="b">
        <f ca="1">IF(OR(NOT(Y213),NOT(Z203)),FALSE,AND(L226="",OR(AG226&lt;=Y214+COUNTIF(L215:L226,$W$218),AG226&lt;=Z214+COUNTIF(M215:M226,$W$218))))</f>
        <v>0</v>
      </c>
      <c r="AN226" s="496" t="b">
        <f ca="1">IF(OR(NOT(Y213),NOT(Z203)),FALSE,AND(M226="",OR(AG226&lt;=Y214+COUNTIF(L215:L226,$W$218),AG226&lt;=Z214+COUNTIF(M215:M226,$W$218))))</f>
        <v>0</v>
      </c>
      <c r="AO226" s="496" t="b">
        <f ca="1">IF(OR(NOT(Y213),NOT(Z203)),FALSE,AND(N226="",OR(AG226&lt;=Y214+COUNTIF(L215:L226,$W$218),AG226&lt;=Z214+COUNTIF(M215:M226,$W$218))))</f>
        <v>0</v>
      </c>
      <c r="AW226" s="485"/>
      <c r="AY226" s="323"/>
      <c r="BA226" s="323"/>
      <c r="BC226" s="323"/>
      <c r="BE226" s="323"/>
      <c r="BG226" s="323"/>
      <c r="BI226" s="323"/>
      <c r="BK226" s="323"/>
      <c r="BM226" s="323"/>
      <c r="BO226" s="323"/>
      <c r="BQ226" s="323"/>
      <c r="BS226" s="323"/>
      <c r="BU226" s="323"/>
      <c r="BW226" s="323"/>
      <c r="BY226" s="323"/>
      <c r="CA226" s="323"/>
      <c r="CC226" s="323"/>
      <c r="CE226" s="323"/>
      <c r="CG226" s="323"/>
      <c r="CI226" s="323"/>
      <c r="CK226" s="323"/>
      <c r="CM226" s="323"/>
      <c r="CO226" s="323"/>
      <c r="CQ226" s="323"/>
      <c r="CS226" s="323"/>
      <c r="CU226" s="323"/>
      <c r="CW226" s="323"/>
      <c r="CY226" s="323"/>
      <c r="DA226" s="323"/>
      <c r="DC226" s="323"/>
      <c r="DE226" s="323"/>
      <c r="DG226" s="323"/>
      <c r="DI226" s="323"/>
      <c r="DJ226" s="485"/>
    </row>
    <row r="227" spans="1:115" ht="11.25" customHeight="1" x14ac:dyDescent="0.3">
      <c r="A227" s="765"/>
      <c r="C227" s="219"/>
      <c r="D227" s="220"/>
      <c r="E227" s="516"/>
      <c r="F227" s="516"/>
      <c r="G227" s="223"/>
      <c r="H227" s="219"/>
      <c r="J227" s="219"/>
      <c r="K227" s="220"/>
      <c r="L227" s="516"/>
      <c r="M227" s="516"/>
      <c r="N227" s="223"/>
      <c r="O227" s="219"/>
      <c r="AB227" s="327" t="str">
        <f t="shared" si="80"/>
        <v/>
      </c>
      <c r="AC227" s="327" t="str">
        <f t="shared" si="81"/>
        <v/>
      </c>
      <c r="AD227" s="327" t="str">
        <f t="shared" si="82"/>
        <v/>
      </c>
      <c r="AE227" s="327" t="str">
        <f t="shared" si="83"/>
        <v/>
      </c>
      <c r="AG227" s="485">
        <v>13</v>
      </c>
      <c r="AH227" s="496" t="b">
        <f ca="1">IF(OR(NOT(W213),NOT(X203)),FALSE,AND(D227="",OR(AG227&lt;=W214+COUNTIF(E215:E227,$W$218),AG227&lt;=X214+COUNTIF(F215:F227,$W$218))))</f>
        <v>0</v>
      </c>
      <c r="AI227" s="496" t="b">
        <f ca="1">IF(OR(NOT(W213),NOT(X203)),FALSE,AND(E227="",OR(AG227&lt;=W214+COUNTIF(E215:E227,$W$218),AG227&lt;=X214+COUNTIF(F215:F227,$W$218))))</f>
        <v>0</v>
      </c>
      <c r="AJ227" s="496" t="b">
        <f ca="1">IF(OR(NOT(W213),NOT(X203)),FALSE,AND(F227="",OR(AG227&lt;=W214+COUNTIF(E215:E227,$W$218),AG227&lt;=X214+COUNTIF(F215:F227,$W$218))))</f>
        <v>0</v>
      </c>
      <c r="AK227" s="496" t="b">
        <f ca="1">IF(OR(NOT(W213),NOT(X203)),FALSE,AND(G227="",OR(AG227&lt;=W214+COUNTIF(E215:E227,$W$218),AG227&lt;=X214+COUNTIF(F215:F227,$W$218))))</f>
        <v>0</v>
      </c>
      <c r="AL227" s="496" t="b">
        <f ca="1">IF(OR(NOT(Y213),NOT(Z203)),FALSE,AND(K227="",OR(AG227&lt;=Y214+COUNTIF(L215:L227,$W$218),AG227&lt;=Z214+COUNTIF(M215:M227,$W$218))))</f>
        <v>0</v>
      </c>
      <c r="AM227" s="496" t="b">
        <f ca="1">IF(OR(NOT(Y213),NOT(Z203)),FALSE,AND(L227="",OR(AG227&lt;=Y214+COUNTIF(L215:L227,$W$218),AG227&lt;=Z214+COUNTIF(M215:M227,$W$218))))</f>
        <v>0</v>
      </c>
      <c r="AN227" s="496" t="b">
        <f ca="1">IF(OR(NOT(Y213),NOT(Z203)),FALSE,AND(M227="",OR(AG227&lt;=Y214+COUNTIF(L215:L227,$W$218),AG227&lt;=Z214+COUNTIF(M215:M227,$W$218))))</f>
        <v>0</v>
      </c>
      <c r="AO227" s="496" t="b">
        <f ca="1">IF(OR(NOT(Y213),NOT(Z203)),FALSE,AND(N227="",OR(AG227&lt;=Y214+COUNTIF(L215:L227,$W$218),AG227&lt;=Z214+COUNTIF(M215:M227,$W$218))))</f>
        <v>0</v>
      </c>
      <c r="AW227" s="485"/>
      <c r="AY227" s="323"/>
      <c r="BA227" s="323"/>
      <c r="BC227" s="323"/>
      <c r="BE227" s="323"/>
      <c r="BG227" s="323"/>
      <c r="BI227" s="323"/>
      <c r="BK227" s="323"/>
      <c r="BM227" s="323"/>
      <c r="BO227" s="323"/>
      <c r="BQ227" s="323"/>
      <c r="BS227" s="323"/>
      <c r="BU227" s="323"/>
      <c r="BW227" s="323"/>
      <c r="BY227" s="323"/>
      <c r="CA227" s="323"/>
      <c r="CC227" s="323"/>
      <c r="CE227" s="323"/>
      <c r="CG227" s="323"/>
      <c r="CI227" s="323"/>
      <c r="CK227" s="323"/>
      <c r="CM227" s="323"/>
      <c r="CO227" s="323"/>
      <c r="CQ227" s="323"/>
      <c r="CS227" s="323"/>
      <c r="CU227" s="323"/>
      <c r="CW227" s="323"/>
      <c r="CY227" s="323"/>
      <c r="DA227" s="323"/>
      <c r="DC227" s="323"/>
      <c r="DE227" s="323"/>
      <c r="DG227" s="323"/>
      <c r="DI227" s="323"/>
      <c r="DJ227" s="485"/>
    </row>
    <row r="228" spans="1:115" ht="11.25" hidden="1" customHeight="1" x14ac:dyDescent="0.3">
      <c r="A228" s="765"/>
      <c r="C228" s="219"/>
      <c r="D228" s="220"/>
      <c r="E228" s="517"/>
      <c r="F228" s="516"/>
      <c r="G228" s="223"/>
      <c r="H228" s="219"/>
      <c r="J228" s="219"/>
      <c r="K228" s="220"/>
      <c r="L228" s="517"/>
      <c r="M228" s="516"/>
      <c r="N228" s="223"/>
      <c r="O228" s="219"/>
      <c r="AB228" s="327" t="str">
        <f t="shared" si="80"/>
        <v/>
      </c>
      <c r="AC228" s="327" t="str">
        <f t="shared" si="81"/>
        <v/>
      </c>
      <c r="AD228" s="327" t="str">
        <f t="shared" si="82"/>
        <v/>
      </c>
      <c r="AE228" s="327" t="str">
        <f t="shared" si="83"/>
        <v/>
      </c>
      <c r="AG228" s="485">
        <v>14</v>
      </c>
      <c r="AH228" s="496" t="b">
        <f ca="1">IF(OR(NOT(W213),NOT(X203)),FALSE,AND(D228="",OR(AG228&lt;=W214+COUNTIF(E215:E228,$W$218),AG228&lt;=X214+COUNTIF(F215:F228,$W$218))))</f>
        <v>0</v>
      </c>
      <c r="AI228" s="496" t="b">
        <f ca="1">IF(OR(NOT(W213),NOT(X203)),FALSE,AND(E228="",OR(AG228&lt;=W214+COUNTIF(E215:E228,$W$218),AG228&lt;=X214+COUNTIF(F215:F228,$W$218))))</f>
        <v>0</v>
      </c>
      <c r="AJ228" s="496" t="b">
        <f ca="1">IF(OR(NOT(W213),NOT(X203)),FALSE,AND(F228="",OR(AG228&lt;=W214+COUNTIF(E215:E228,$W$218),AG228&lt;=X214+COUNTIF(F215:F228,$W$218))))</f>
        <v>0</v>
      </c>
      <c r="AK228" s="496" t="b">
        <f ca="1">IF(OR(NOT(W213),NOT(X203)),FALSE,AND(G228="",OR(AG228&lt;=W214+COUNTIF(E215:E228,$W$218),AG228&lt;=X214+COUNTIF(F215:F228,$W$218))))</f>
        <v>0</v>
      </c>
      <c r="AL228" s="496" t="b">
        <f ca="1">IF(OR(NOT(Y213),NOT(Z203)),FALSE,AND(K228="",OR(AG228&lt;=Y214+COUNTIF(L215:L228,$W$218),AG228&lt;=Z214+COUNTIF(M215:M228,$W$218))))</f>
        <v>0</v>
      </c>
      <c r="AM228" s="496" t="b">
        <f ca="1">IF(OR(NOT(Y213),NOT(Z203)),FALSE,AND(L228="",OR(AG228&lt;=Y214+COUNTIF(L215:L228,$W$218),AG228&lt;=Z214+COUNTIF(M215:M228,$W$218))))</f>
        <v>0</v>
      </c>
      <c r="AN228" s="496" t="b">
        <f ca="1">IF(OR(NOT(Y213),NOT(Z203)),FALSE,AND(M228="",OR(AG228&lt;=Y214+COUNTIF(L215:L228,$W$218),AG228&lt;=Z214+COUNTIF(M215:M228,$W$218))))</f>
        <v>0</v>
      </c>
      <c r="AO228" s="496" t="b">
        <f ca="1">IF(OR(NOT(Y213),NOT(Z203)),FALSE,AND(N228="",OR(AG228&lt;=Y214+COUNTIF(L215:L228,$W$218),AG228&lt;=Z214+COUNTIF(M215:M228,$W$218))))</f>
        <v>0</v>
      </c>
      <c r="AS228" s="323"/>
      <c r="AT228" s="323"/>
      <c r="AW228" s="485"/>
      <c r="AY228" s="323"/>
      <c r="BA228" s="323"/>
      <c r="BC228" s="323"/>
      <c r="BE228" s="323"/>
      <c r="BG228" s="323"/>
      <c r="BI228" s="323"/>
      <c r="BK228" s="323"/>
      <c r="BM228" s="323"/>
      <c r="BO228" s="323"/>
      <c r="BQ228" s="323"/>
      <c r="BS228" s="323"/>
      <c r="BU228" s="323"/>
      <c r="BW228" s="323"/>
      <c r="BY228" s="323"/>
      <c r="CA228" s="323"/>
      <c r="CC228" s="323"/>
      <c r="CE228" s="323"/>
      <c r="CG228" s="323"/>
      <c r="CI228" s="323"/>
      <c r="CK228" s="323"/>
      <c r="CM228" s="323"/>
      <c r="CO228" s="323"/>
      <c r="CQ228" s="323"/>
      <c r="CS228" s="323"/>
      <c r="CU228" s="323"/>
      <c r="CW228" s="323"/>
      <c r="CY228" s="323"/>
      <c r="DA228" s="323"/>
      <c r="DC228" s="323"/>
      <c r="DE228" s="323"/>
      <c r="DG228" s="323"/>
      <c r="DI228" s="323"/>
      <c r="DJ228" s="485"/>
    </row>
    <row r="229" spans="1:115" ht="10.5" hidden="1" customHeight="1" x14ac:dyDescent="0.3">
      <c r="A229" s="76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AQ229" s="323"/>
      <c r="AR229" s="323"/>
      <c r="AS229" s="323"/>
      <c r="AT229" s="323"/>
      <c r="AW229" s="485"/>
      <c r="AY229" s="323"/>
      <c r="BA229" s="323"/>
      <c r="BC229" s="323"/>
      <c r="BE229" s="323"/>
      <c r="BG229" s="323"/>
      <c r="BI229" s="323"/>
      <c r="BK229" s="323"/>
      <c r="BM229" s="323"/>
      <c r="BO229" s="323"/>
      <c r="BQ229" s="323"/>
      <c r="BS229" s="323"/>
      <c r="BU229" s="323"/>
      <c r="BW229" s="323"/>
      <c r="BY229" s="323"/>
      <c r="CA229" s="323"/>
      <c r="CC229" s="323"/>
      <c r="CE229" s="323"/>
      <c r="CG229" s="323"/>
      <c r="CI229" s="323"/>
      <c r="CK229" s="323"/>
      <c r="CM229" s="323"/>
      <c r="CO229" s="323"/>
      <c r="CQ229" s="323"/>
      <c r="CS229" s="323"/>
      <c r="CU229" s="323"/>
      <c r="CW229" s="323"/>
      <c r="CY229" s="323"/>
      <c r="DA229" s="323"/>
      <c r="DC229" s="323"/>
      <c r="DE229" s="323"/>
      <c r="DG229" s="323"/>
      <c r="DI229" s="323"/>
    </row>
    <row r="230" spans="1:115" ht="10.5" customHeight="1" x14ac:dyDescent="0.3">
      <c r="A230" s="76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AQ230" s="323"/>
      <c r="AR230" s="323"/>
      <c r="AS230" s="323"/>
      <c r="AT230" s="323"/>
      <c r="AW230" s="485"/>
      <c r="AY230" s="323"/>
      <c r="BA230" s="323"/>
      <c r="BC230" s="323"/>
      <c r="BE230" s="323"/>
      <c r="BG230" s="323"/>
      <c r="BI230" s="323"/>
      <c r="BK230" s="323"/>
      <c r="BM230" s="323"/>
      <c r="BO230" s="323"/>
      <c r="BQ230" s="323"/>
      <c r="BS230" s="323"/>
      <c r="BU230" s="323"/>
      <c r="BW230" s="323"/>
      <c r="BY230" s="323"/>
      <c r="CA230" s="323"/>
      <c r="CC230" s="323"/>
      <c r="CE230" s="323"/>
      <c r="CG230" s="323"/>
      <c r="CI230" s="323"/>
      <c r="CK230" s="323"/>
      <c r="CM230" s="323"/>
      <c r="CO230" s="323"/>
      <c r="CQ230" s="323"/>
      <c r="CS230" s="323"/>
      <c r="CU230" s="323"/>
      <c r="CW230" s="323"/>
      <c r="CY230" s="323"/>
      <c r="DA230" s="323"/>
      <c r="DC230" s="323"/>
      <c r="DE230" s="323"/>
      <c r="DG230" s="323"/>
      <c r="DI230" s="323"/>
    </row>
    <row r="231" spans="1:115" ht="3.75" customHeight="1" x14ac:dyDescent="0.3">
      <c r="A231" s="765"/>
      <c r="AQ231" s="323"/>
      <c r="AR231" s="323"/>
      <c r="AS231" s="323"/>
      <c r="AT231" s="323"/>
      <c r="AY231" s="323"/>
      <c r="BA231" s="323"/>
      <c r="BC231" s="323"/>
      <c r="BE231" s="323"/>
      <c r="BG231" s="323"/>
      <c r="BI231" s="323"/>
      <c r="BK231" s="323"/>
      <c r="BM231" s="323"/>
      <c r="BO231" s="323"/>
      <c r="BQ231" s="323"/>
      <c r="BS231" s="323"/>
      <c r="BU231" s="323"/>
      <c r="BW231" s="323"/>
      <c r="BY231" s="323"/>
      <c r="CA231" s="323"/>
      <c r="CC231" s="323"/>
      <c r="CE231" s="323"/>
      <c r="CG231" s="323"/>
      <c r="CI231" s="323"/>
      <c r="CK231" s="323"/>
      <c r="CM231" s="323"/>
      <c r="CO231" s="323"/>
      <c r="CQ231" s="323"/>
      <c r="CS231" s="323"/>
      <c r="CU231" s="323"/>
      <c r="CW231" s="323"/>
      <c r="CY231" s="323"/>
      <c r="DA231" s="323"/>
      <c r="DC231" s="323"/>
      <c r="DE231" s="323"/>
      <c r="DG231" s="323"/>
      <c r="DI231" s="323"/>
    </row>
    <row r="232" spans="1:115" ht="12" customHeight="1" x14ac:dyDescent="0.3">
      <c r="A232" s="765"/>
      <c r="C232" s="247" t="str">
        <f>W237</f>
        <v>JÚNIUS 21. – HÉTFŐ 18:00</v>
      </c>
      <c r="D232" s="227"/>
      <c r="E232" s="228"/>
      <c r="F232" s="229"/>
      <c r="G232" s="230"/>
      <c r="H232" s="231" t="str">
        <f>W238</f>
        <v>3. CSOPORTMÉRKŐZÉS</v>
      </c>
      <c r="I232" s="138"/>
      <c r="J232" s="246" t="str">
        <f>Y237</f>
        <v>JÚNIUS 21. – HÉTFŐ 18:00</v>
      </c>
      <c r="K232" s="227"/>
      <c r="L232" s="228"/>
      <c r="M232" s="229"/>
      <c r="N232" s="230"/>
      <c r="O232" s="226" t="str">
        <f>Y238</f>
        <v>3. CSOPORTMÉRKŐZÉS</v>
      </c>
      <c r="AQ232" s="323"/>
      <c r="AR232" s="323"/>
      <c r="AS232" s="323"/>
      <c r="AT232" s="323"/>
      <c r="AY232" s="323"/>
      <c r="BA232" s="323"/>
      <c r="BC232" s="323"/>
      <c r="BE232" s="323"/>
      <c r="BG232" s="323"/>
      <c r="BI232" s="323"/>
      <c r="BK232" s="323"/>
      <c r="BM232" s="323"/>
      <c r="BO232" s="323"/>
      <c r="BQ232" s="323"/>
      <c r="BS232" s="323"/>
      <c r="BU232" s="323"/>
      <c r="BW232" s="323"/>
      <c r="BY232" s="323"/>
      <c r="CA232" s="323"/>
      <c r="CC232" s="323"/>
      <c r="CE232" s="323"/>
      <c r="CG232" s="323"/>
      <c r="CI232" s="323"/>
      <c r="CK232" s="323"/>
      <c r="CM232" s="323"/>
      <c r="CO232" s="323"/>
      <c r="CQ232" s="323"/>
      <c r="CS232" s="323"/>
      <c r="CU232" s="323"/>
      <c r="CW232" s="323"/>
      <c r="CY232" s="323"/>
      <c r="DA232" s="323"/>
      <c r="DC232" s="323"/>
      <c r="DE232" s="323"/>
      <c r="DG232" s="323"/>
      <c r="DI232" s="323"/>
    </row>
    <row r="233" spans="1:115" s="138" customFormat="1" ht="14.25" customHeight="1" x14ac:dyDescent="0.3">
      <c r="A233" s="765"/>
      <c r="B233" s="137"/>
      <c r="C233" s="233" t="str">
        <f>IF(W240=0,"",IF(W240&gt;0,CONCATENATE("még ",W240," gól"),CONCATENATE("túl sok (",W240," gól)")))</f>
        <v/>
      </c>
      <c r="D233" s="714" t="str">
        <f>W241</f>
        <v>Észak-Macedónia</v>
      </c>
      <c r="E233" s="716" t="str">
        <f>W242</f>
        <v/>
      </c>
      <c r="F233" s="717" t="str">
        <f>X242</f>
        <v/>
      </c>
      <c r="G233" s="715" t="str">
        <f>X241</f>
        <v>Hollandia</v>
      </c>
      <c r="H233" s="232" t="str">
        <f>IF(X240=0,"",IF(X240&gt;0,CONCATENATE("még ",X240," gól"),CONCATENATE("túl sok (",X240," gól)")))</f>
        <v/>
      </c>
      <c r="I233" s="127"/>
      <c r="J233" s="233" t="str">
        <f>IF(Y240=0,"",IF(Y240&gt;0,CONCATENATE("még ",Y240," gól"),CONCATENATE("túl sok (",Y240," gól)")))</f>
        <v/>
      </c>
      <c r="K233" s="714" t="str">
        <f>Y241</f>
        <v>Ukrajna</v>
      </c>
      <c r="L233" s="716" t="str">
        <f>Y242</f>
        <v/>
      </c>
      <c r="M233" s="717" t="str">
        <f>Z242</f>
        <v/>
      </c>
      <c r="N233" s="715" t="str">
        <f>Z241</f>
        <v>Ausztria</v>
      </c>
      <c r="O233" s="232" t="str">
        <f>IF(Z240=0,"",IF(Z240&gt;0,CONCATENATE("még ",Z240," gól"),CONCATENATE("túl sok (",Z240," gól)")))</f>
        <v/>
      </c>
      <c r="P233" s="10"/>
      <c r="Q233" s="140"/>
      <c r="R233" s="141"/>
      <c r="S233" s="141"/>
      <c r="T233" s="484"/>
      <c r="U233" s="485"/>
      <c r="V233" s="485"/>
      <c r="W233" s="485"/>
      <c r="X233" s="485"/>
      <c r="Y233" s="485"/>
      <c r="Z233" s="485"/>
      <c r="AA233" s="485"/>
      <c r="AB233" s="242" t="str">
        <f>HLOOKUP(D233,nevek.li,2,FALSE)</f>
        <v>nevek.12</v>
      </c>
      <c r="AC233" s="242" t="str">
        <f>HLOOKUP(G233,nevek.li,2,FALSE)</f>
        <v>nevek.09</v>
      </c>
      <c r="AD233" s="242" t="str">
        <f>HLOOKUP(K233,nevek.li,2,FALSE)</f>
        <v>nevek.10</v>
      </c>
      <c r="AE233" s="242" t="str">
        <f>HLOOKUP(N233,nevek.li,2,FALSE)</f>
        <v>nevek.11</v>
      </c>
      <c r="AF233" s="485"/>
      <c r="AG233" s="485"/>
      <c r="AH233" s="485"/>
      <c r="AI233" s="485"/>
      <c r="AJ233" s="485"/>
      <c r="AK233" s="485"/>
      <c r="AL233" s="485"/>
      <c r="AM233" s="485"/>
      <c r="AN233" s="485"/>
      <c r="AO233" s="485"/>
      <c r="AP233" s="485"/>
      <c r="AQ233" s="485"/>
      <c r="AR233" s="485"/>
      <c r="AS233" s="485"/>
      <c r="AT233" s="485"/>
      <c r="AU233" s="485"/>
      <c r="AV233" s="500"/>
      <c r="AW233" s="323"/>
      <c r="AX233" s="323"/>
      <c r="AY233" s="323"/>
      <c r="AZ233" s="323"/>
      <c r="BA233" s="323"/>
      <c r="BB233" s="323"/>
      <c r="BC233" s="323"/>
      <c r="BD233" s="323"/>
      <c r="BE233" s="323"/>
      <c r="BF233" s="323"/>
      <c r="BG233" s="323"/>
      <c r="BH233" s="323"/>
      <c r="BI233" s="323"/>
      <c r="BJ233" s="323"/>
      <c r="BK233" s="323"/>
      <c r="BL233" s="323"/>
      <c r="BM233" s="323"/>
      <c r="BN233" s="323"/>
      <c r="BO233" s="323"/>
      <c r="BP233" s="323"/>
      <c r="BQ233" s="323"/>
      <c r="BR233" s="323"/>
      <c r="BS233" s="323"/>
      <c r="BT233" s="323"/>
      <c r="BU233" s="323"/>
      <c r="BV233" s="323"/>
      <c r="BW233" s="323"/>
      <c r="BX233" s="323"/>
      <c r="BY233" s="323"/>
      <c r="BZ233" s="323"/>
      <c r="CA233" s="323"/>
      <c r="CB233" s="323"/>
      <c r="CC233" s="323"/>
      <c r="CD233" s="323"/>
      <c r="CE233" s="323"/>
      <c r="CF233" s="323"/>
      <c r="CG233" s="323"/>
      <c r="CH233" s="323"/>
      <c r="CI233" s="323"/>
      <c r="CJ233" s="323"/>
      <c r="CK233" s="323"/>
      <c r="CL233" s="323"/>
      <c r="CM233" s="323"/>
      <c r="CN233" s="323"/>
      <c r="CO233" s="323"/>
      <c r="CP233" s="323"/>
      <c r="CQ233" s="323"/>
      <c r="CR233" s="323"/>
      <c r="CS233" s="323"/>
      <c r="CT233" s="323"/>
      <c r="CU233" s="323"/>
      <c r="CV233" s="323"/>
      <c r="CW233" s="323"/>
      <c r="CX233" s="323"/>
      <c r="CY233" s="323"/>
      <c r="CZ233" s="323"/>
      <c r="DA233" s="323"/>
      <c r="DB233" s="323"/>
      <c r="DC233" s="323"/>
      <c r="DD233" s="323"/>
      <c r="DE233" s="323"/>
      <c r="DF233" s="323"/>
      <c r="DG233" s="323"/>
      <c r="DH233" s="323"/>
      <c r="DI233" s="323"/>
      <c r="DJ233" s="323"/>
      <c r="DK233" s="500"/>
    </row>
    <row r="234" spans="1:115" ht="12" customHeight="1" x14ac:dyDescent="0.3">
      <c r="A234" s="765"/>
      <c r="C234" s="218"/>
      <c r="D234" s="220"/>
      <c r="E234" s="221"/>
      <c r="F234" s="222"/>
      <c r="G234" s="223"/>
      <c r="H234" s="218"/>
      <c r="J234" s="218"/>
      <c r="K234" s="220"/>
      <c r="L234" s="221"/>
      <c r="M234" s="222"/>
      <c r="N234" s="223"/>
      <c r="O234" s="218"/>
      <c r="V234" s="487" t="s">
        <v>706</v>
      </c>
      <c r="W234" s="242">
        <v>27</v>
      </c>
      <c r="X234" s="485" t="str">
        <f>""</f>
        <v/>
      </c>
      <c r="Y234" s="242">
        <v>28</v>
      </c>
      <c r="AB234" s="327" t="str">
        <f>IF(C234="öngól",AC233,AB233)</f>
        <v>nevek.12</v>
      </c>
      <c r="AC234" s="327" t="str">
        <f>IF(H234="öngól",AB233,AC233)</f>
        <v>nevek.09</v>
      </c>
      <c r="AD234" s="327" t="str">
        <f>IF(J234="öngól",AE233,AD233)</f>
        <v>nevek.10</v>
      </c>
      <c r="AE234" s="327" t="str">
        <f>IF(O234="öngól",AD233,AE233)</f>
        <v>nevek.11</v>
      </c>
      <c r="AF234" s="325"/>
      <c r="AG234" s="485">
        <v>1</v>
      </c>
      <c r="AH234" s="488" t="b">
        <f ca="1">AND(W236,X237,D234="",AG234&lt;=W242)</f>
        <v>0</v>
      </c>
      <c r="AI234" s="488" t="b">
        <f ca="1">AND(W236,X237,E234="",AG234&lt;=W242)</f>
        <v>0</v>
      </c>
      <c r="AJ234" s="488" t="b">
        <f ca="1">AND(W236,X237,F234="",AG234&lt;=X242)</f>
        <v>0</v>
      </c>
      <c r="AK234" s="488" t="b">
        <f ca="1">AND(W236,X237,G234="",AG234&lt;=X242)</f>
        <v>0</v>
      </c>
      <c r="AL234" s="488" t="b">
        <f ca="1">AND(Y236,Z237,K234="",AG234&lt;=Y242)</f>
        <v>0</v>
      </c>
      <c r="AM234" s="488" t="b">
        <f ca="1">AND(Y236,Z237,L234="",AG234&lt;=Y242)</f>
        <v>0</v>
      </c>
      <c r="AN234" s="488" t="b">
        <f ca="1">AND(Y236,Z237,M234="",AG234&lt;=Z242)</f>
        <v>0</v>
      </c>
      <c r="AO234" s="488" t="b">
        <f ca="1">AND(Y236,Z237,N234="",AG234&lt;=Z242)</f>
        <v>0</v>
      </c>
      <c r="AQ234" s="326" t="str">
        <f>IF(OR(NOT(Góllista!$E$6),D234=""),"",IF(C234="öngól","ö"&amp;G233&amp;D234,D233&amp;D234))</f>
        <v/>
      </c>
      <c r="AR234" s="326" t="str">
        <f>IF(OR(NOT(Góllista!$E$6),G234=""),"",IF(H234="öngól","ö"&amp;D233&amp;G234,G233&amp;G234))</f>
        <v/>
      </c>
      <c r="AS234" s="326" t="str">
        <f>IF(OR(NOT(Góllista!$E$6),K234=""),"",IF(J234="öngól","ö"&amp;N233&amp;K234,K233&amp;K234))</f>
        <v/>
      </c>
      <c r="AT234" s="326" t="str">
        <f>IF(OR(NOT(Góllista!$E$6),N234=""),"",IF(O234="öngól","ö"&amp;K233&amp;N234,N233&amp;N234))</f>
        <v/>
      </c>
      <c r="AY234" s="323"/>
      <c r="BA234" s="323"/>
      <c r="BC234" s="323"/>
      <c r="BE234" s="323"/>
      <c r="BG234" s="323"/>
      <c r="BI234" s="323"/>
      <c r="BK234" s="323"/>
      <c r="BM234" s="323"/>
      <c r="BO234" s="323"/>
      <c r="BQ234" s="323"/>
      <c r="BS234" s="323"/>
      <c r="BU234" s="323"/>
      <c r="BW234" s="323"/>
      <c r="BY234" s="323"/>
      <c r="CA234" s="323"/>
      <c r="CC234" s="323"/>
      <c r="CE234" s="323"/>
      <c r="CG234" s="323"/>
      <c r="CI234" s="323"/>
      <c r="CK234" s="323"/>
      <c r="CM234" s="323"/>
      <c r="CO234" s="323"/>
      <c r="CQ234" s="323"/>
      <c r="CS234" s="323"/>
      <c r="CU234" s="323"/>
      <c r="CW234" s="323"/>
      <c r="CY234" s="323"/>
      <c r="DA234" s="323"/>
      <c r="DC234" s="323"/>
      <c r="DE234" s="323"/>
      <c r="DG234" s="323"/>
      <c r="DI234" s="323"/>
    </row>
    <row r="235" spans="1:115" ht="12" customHeight="1" x14ac:dyDescent="0.3">
      <c r="A235" s="765"/>
      <c r="C235" s="219"/>
      <c r="D235" s="220"/>
      <c r="E235" s="224"/>
      <c r="F235" s="222"/>
      <c r="G235" s="223"/>
      <c r="H235" s="219"/>
      <c r="J235" s="219"/>
      <c r="K235" s="220"/>
      <c r="L235" s="224"/>
      <c r="M235" s="222"/>
      <c r="N235" s="223"/>
      <c r="O235" s="219"/>
      <c r="V235" s="487" t="s">
        <v>711</v>
      </c>
      <c r="W235" s="327">
        <f>MATCH(W234,n.er.index,0)</f>
        <v>67</v>
      </c>
      <c r="X235" s="485" t="str">
        <f>""</f>
        <v/>
      </c>
      <c r="Y235" s="327">
        <f>MATCH(Y234,n.er.index,0)</f>
        <v>68</v>
      </c>
      <c r="AB235" s="327" t="str">
        <f>IF(C235="öngól",AC233,AB233)</f>
        <v>nevek.12</v>
      </c>
      <c r="AC235" s="327" t="str">
        <f>IF(H235="öngól",AB233,AC233)</f>
        <v>nevek.09</v>
      </c>
      <c r="AD235" s="327" t="str">
        <f>IF(J235="öngól",AE233,AD233)</f>
        <v>nevek.10</v>
      </c>
      <c r="AE235" s="327" t="str">
        <f>IF(O235="öngól",AD233,AE233)</f>
        <v>nevek.11</v>
      </c>
      <c r="AF235" s="325"/>
      <c r="AG235" s="485">
        <v>2</v>
      </c>
      <c r="AH235" s="488" t="b">
        <f ca="1">AND(W236,X237,D235="",AG235&lt;=W242)</f>
        <v>0</v>
      </c>
      <c r="AI235" s="488" t="b">
        <f ca="1">AND(W236,X237,E235="",AG235&lt;=W242)</f>
        <v>0</v>
      </c>
      <c r="AJ235" s="488" t="b">
        <f ca="1">AND(W236,X237,F235="",AG235&lt;=X242)</f>
        <v>0</v>
      </c>
      <c r="AK235" s="488" t="b">
        <f ca="1">AND(W236,X237,G235="",AG235&lt;=X242)</f>
        <v>0</v>
      </c>
      <c r="AL235" s="488" t="b">
        <f ca="1">AND(Y236,Z237,K235="",AG235&lt;=Y242)</f>
        <v>0</v>
      </c>
      <c r="AM235" s="488" t="b">
        <f ca="1">AND(Y236,Z237,L235="",AG235&lt;=Y242)</f>
        <v>0</v>
      </c>
      <c r="AN235" s="488" t="b">
        <f ca="1">AND(Y236,Z237,M235="",AG235&lt;=Z242)</f>
        <v>0</v>
      </c>
      <c r="AO235" s="488" t="b">
        <f ca="1">AND(Y236,Z237,N235="",AG235&lt;=Z242)</f>
        <v>0</v>
      </c>
      <c r="AQ235" s="326" t="str">
        <f>IF(OR(NOT(Góllista!$E$6),D235=""),"",IF(C235="öngól","ö"&amp;G233&amp;D235,D233&amp;D235))</f>
        <v/>
      </c>
      <c r="AR235" s="326" t="str">
        <f>IF(OR(NOT(Góllista!$E$6),G235=""),"",IF(H235="öngól","ö"&amp;D233&amp;G235,G233&amp;G235))</f>
        <v/>
      </c>
      <c r="AS235" s="326" t="str">
        <f>IF(OR(NOT(Góllista!$E$6),K235=""),"",IF(J235="öngól","ö"&amp;N233&amp;K235,K233&amp;K235))</f>
        <v/>
      </c>
      <c r="AT235" s="326" t="str">
        <f>IF(OR(NOT(Góllista!$E$6),N235=""),"",IF(O235="öngól","ö"&amp;K233&amp;N235,N233&amp;N235))</f>
        <v/>
      </c>
      <c r="AY235" s="323"/>
      <c r="BA235" s="323"/>
      <c r="BC235" s="323"/>
      <c r="BE235" s="323"/>
      <c r="BG235" s="323"/>
      <c r="BI235" s="323"/>
      <c r="BK235" s="323"/>
      <c r="BM235" s="323"/>
      <c r="BO235" s="323"/>
      <c r="BQ235" s="323"/>
      <c r="BS235" s="323"/>
      <c r="BU235" s="323"/>
      <c r="BW235" s="323"/>
      <c r="BY235" s="323"/>
      <c r="CA235" s="323"/>
      <c r="CC235" s="323"/>
      <c r="CE235" s="323"/>
      <c r="CG235" s="323"/>
      <c r="CI235" s="323"/>
      <c r="CK235" s="323"/>
      <c r="CM235" s="323"/>
      <c r="CO235" s="323"/>
      <c r="CQ235" s="323"/>
      <c r="CS235" s="323"/>
      <c r="CU235" s="323"/>
      <c r="CW235" s="323"/>
      <c r="CY235" s="323"/>
      <c r="DA235" s="323"/>
      <c r="DC235" s="323"/>
      <c r="DE235" s="323"/>
      <c r="DG235" s="323"/>
      <c r="DI235" s="323"/>
    </row>
    <row r="236" spans="1:115" ht="12" customHeight="1" x14ac:dyDescent="0.3">
      <c r="A236" s="765"/>
      <c r="C236" s="219"/>
      <c r="D236" s="220"/>
      <c r="E236" s="224"/>
      <c r="F236" s="222"/>
      <c r="G236" s="223"/>
      <c r="H236" s="219"/>
      <c r="J236" s="219"/>
      <c r="K236" s="220"/>
      <c r="L236" s="224"/>
      <c r="M236" s="222"/>
      <c r="N236" s="223"/>
      <c r="O236" s="219"/>
      <c r="V236" s="487" t="s">
        <v>710</v>
      </c>
      <c r="W236" s="489" t="b">
        <f>INDEX(n.er,W235,3)</f>
        <v>0</v>
      </c>
      <c r="X236" s="485" t="str">
        <f>""</f>
        <v/>
      </c>
      <c r="Y236" s="489" t="b">
        <f>INDEX(n.er,Y235,3)</f>
        <v>0</v>
      </c>
      <c r="AB236" s="327" t="str">
        <f>IF(C236="öngól",AC233,AB233)</f>
        <v>nevek.12</v>
      </c>
      <c r="AC236" s="327" t="str">
        <f>IF(H236="öngól",AB233,AC233)</f>
        <v>nevek.09</v>
      </c>
      <c r="AD236" s="327" t="str">
        <f>IF(J236="öngól",AE233,AD233)</f>
        <v>nevek.10</v>
      </c>
      <c r="AE236" s="327" t="str">
        <f>IF(O236="öngól",AD233,AE233)</f>
        <v>nevek.11</v>
      </c>
      <c r="AF236" s="325"/>
      <c r="AG236" s="485">
        <v>3</v>
      </c>
      <c r="AH236" s="488" t="b">
        <f ca="1">AND(W236,X237,D236="",AG236&lt;=W242)</f>
        <v>0</v>
      </c>
      <c r="AI236" s="488" t="b">
        <f ca="1">AND(W236,X237,E236="",AG236&lt;=W242)</f>
        <v>0</v>
      </c>
      <c r="AJ236" s="488" t="b">
        <f ca="1">AND(W236,X237,F236="",AG236&lt;=X242)</f>
        <v>0</v>
      </c>
      <c r="AK236" s="488" t="b">
        <f ca="1">AND(W236,X237,G236="",AG236&lt;=X242)</f>
        <v>0</v>
      </c>
      <c r="AL236" s="488" t="b">
        <f ca="1">AND(Y236,Z237,K236="",AG236&lt;=Y242)</f>
        <v>0</v>
      </c>
      <c r="AM236" s="488" t="b">
        <f ca="1">AND(Y236,Z237,L236="",AG236&lt;=Y242)</f>
        <v>0</v>
      </c>
      <c r="AN236" s="488" t="b">
        <f ca="1">AND(Y236,Z237,M236="",AG236&lt;=Z242)</f>
        <v>0</v>
      </c>
      <c r="AO236" s="488" t="b">
        <f ca="1">AND(Y236,Z237,N236="",AG236&lt;=Z242)</f>
        <v>0</v>
      </c>
      <c r="AQ236" s="326" t="str">
        <f>IF(OR(NOT(Góllista!$E$6),D236=""),"",IF(C236="öngól","ö"&amp;G233&amp;D236,D233&amp;D236))</f>
        <v/>
      </c>
      <c r="AR236" s="326" t="str">
        <f>IF(OR(NOT(Góllista!$E$6),G236=""),"",IF(H236="öngól","ö"&amp;D233&amp;G236,G233&amp;G236))</f>
        <v/>
      </c>
      <c r="AS236" s="326" t="str">
        <f>IF(OR(NOT(Góllista!$E$6),K236=""),"",IF(J236="öngól","ö"&amp;N233&amp;K236,K233&amp;K236))</f>
        <v/>
      </c>
      <c r="AT236" s="326" t="str">
        <f>IF(OR(NOT(Góllista!$E$6),N236=""),"",IF(O236="öngól","ö"&amp;K233&amp;N236,N233&amp;N236))</f>
        <v/>
      </c>
      <c r="AY236" s="323"/>
      <c r="BA236" s="323"/>
      <c r="BC236" s="323"/>
      <c r="BE236" s="323"/>
      <c r="BG236" s="323"/>
      <c r="BI236" s="323"/>
      <c r="BK236" s="323"/>
      <c r="BM236" s="323"/>
      <c r="BO236" s="323"/>
      <c r="BQ236" s="323"/>
      <c r="BS236" s="323"/>
      <c r="BU236" s="323"/>
      <c r="BW236" s="323"/>
      <c r="BY236" s="323"/>
      <c r="CA236" s="323"/>
      <c r="CC236" s="323"/>
      <c r="CE236" s="323"/>
      <c r="CG236" s="323"/>
      <c r="CI236" s="323"/>
      <c r="CK236" s="323"/>
      <c r="CM236" s="323"/>
      <c r="CO236" s="323"/>
      <c r="CQ236" s="323"/>
      <c r="CS236" s="323"/>
      <c r="CU236" s="323"/>
      <c r="CW236" s="323"/>
      <c r="CY236" s="323"/>
      <c r="DA236" s="323"/>
      <c r="DC236" s="323"/>
      <c r="DE236" s="323"/>
      <c r="DG236" s="323"/>
      <c r="DI236" s="323"/>
    </row>
    <row r="237" spans="1:115" ht="12" customHeight="1" x14ac:dyDescent="0.3">
      <c r="A237" s="765"/>
      <c r="C237" s="219"/>
      <c r="D237" s="220"/>
      <c r="E237" s="224"/>
      <c r="F237" s="222"/>
      <c r="G237" s="223"/>
      <c r="H237" s="219"/>
      <c r="J237" s="219"/>
      <c r="K237" s="220"/>
      <c r="L237" s="224"/>
      <c r="M237" s="222"/>
      <c r="N237" s="223"/>
      <c r="O237" s="219"/>
      <c r="V237" s="487" t="s">
        <v>705</v>
      </c>
      <c r="W237" s="490" t="str">
        <f>VLOOKUP(W234,schedule,18,FALSE)</f>
        <v>JÚNIUS 21. – HÉTFŐ 18:00</v>
      </c>
      <c r="X237" s="489" t="b">
        <f ca="1">VLOOKUP(W234,schedule,14,FALSE)&lt;=NOW()</f>
        <v>0</v>
      </c>
      <c r="Y237" s="490" t="str">
        <f>VLOOKUP(Y234,schedule,18,FALSE)</f>
        <v>JÚNIUS 21. – HÉTFŐ 18:00</v>
      </c>
      <c r="Z237" s="489" t="b">
        <f ca="1">VLOOKUP(Y234,schedule,14,FALSE)&lt;=NOW()</f>
        <v>0</v>
      </c>
      <c r="AB237" s="327" t="str">
        <f>IF(C237="öngól",AC233,AB233)</f>
        <v>nevek.12</v>
      </c>
      <c r="AC237" s="327" t="str">
        <f>IF(H237="öngól",AB233,AC233)</f>
        <v>nevek.09</v>
      </c>
      <c r="AD237" s="327" t="str">
        <f>IF(J237="öngól",AE233,AD233)</f>
        <v>nevek.10</v>
      </c>
      <c r="AE237" s="327" t="str">
        <f>IF(O237="öngól",AD233,AE233)</f>
        <v>nevek.11</v>
      </c>
      <c r="AF237" s="325"/>
      <c r="AG237" s="485">
        <v>4</v>
      </c>
      <c r="AH237" s="488" t="b">
        <f ca="1">AND(W236,X237,D237="",AG237&lt;=W242)</f>
        <v>0</v>
      </c>
      <c r="AI237" s="488" t="b">
        <f ca="1">AND(W236,X237,E237="",AG237&lt;=W242)</f>
        <v>0</v>
      </c>
      <c r="AJ237" s="488" t="b">
        <f ca="1">AND(W236,X237,F237="",AG237&lt;=X242)</f>
        <v>0</v>
      </c>
      <c r="AK237" s="488" t="b">
        <f ca="1">AND(W236,X237,G237="",AG237&lt;=X242)</f>
        <v>0</v>
      </c>
      <c r="AL237" s="488" t="b">
        <f ca="1">AND(Y236,Z237,K237="",AG237&lt;=Y242)</f>
        <v>0</v>
      </c>
      <c r="AM237" s="488" t="b">
        <f ca="1">AND(Y236,Z237,L237="",AG237&lt;=Y242)</f>
        <v>0</v>
      </c>
      <c r="AN237" s="488" t="b">
        <f ca="1">AND(Y236,Z237,M237="",AG237&lt;=Z242)</f>
        <v>0</v>
      </c>
      <c r="AO237" s="488" t="b">
        <f ca="1">AND(Y236,Z237,N237="",AG237&lt;=Z242)</f>
        <v>0</v>
      </c>
      <c r="AQ237" s="326" t="str">
        <f>IF(OR(NOT(Góllista!$E$6),D237=""),"",IF(C237="öngól","ö"&amp;G233&amp;D237,D233&amp;D237))</f>
        <v/>
      </c>
      <c r="AR237" s="326" t="str">
        <f>IF(OR(NOT(Góllista!$E$6),G237=""),"",IF(H237="öngól","ö"&amp;D233&amp;G237,G233&amp;G237))</f>
        <v/>
      </c>
      <c r="AS237" s="326" t="str">
        <f>IF(OR(NOT(Góllista!$E$6),K237=""),"",IF(J237="öngól","ö"&amp;N233&amp;K237,K233&amp;K237))</f>
        <v/>
      </c>
      <c r="AT237" s="326" t="str">
        <f>IF(OR(NOT(Góllista!$E$6),N237=""),"",IF(O237="öngól","ö"&amp;K233&amp;N237,N233&amp;N237))</f>
        <v/>
      </c>
      <c r="AY237" s="323"/>
      <c r="BA237" s="323"/>
      <c r="BC237" s="323"/>
      <c r="BE237" s="323"/>
      <c r="BG237" s="323"/>
      <c r="BI237" s="323"/>
      <c r="BK237" s="323"/>
      <c r="BM237" s="323"/>
      <c r="BO237" s="323"/>
      <c r="BQ237" s="323"/>
      <c r="BS237" s="323"/>
      <c r="BU237" s="323"/>
      <c r="BW237" s="323"/>
      <c r="BY237" s="323"/>
      <c r="CA237" s="323"/>
      <c r="CC237" s="323"/>
      <c r="CE237" s="323"/>
      <c r="CG237" s="323"/>
      <c r="CI237" s="323"/>
      <c r="CK237" s="323"/>
      <c r="CM237" s="323"/>
      <c r="CO237" s="323"/>
      <c r="CQ237" s="323"/>
      <c r="CS237" s="323"/>
      <c r="CU237" s="323"/>
      <c r="CW237" s="323"/>
      <c r="CY237" s="323"/>
      <c r="DA237" s="323"/>
      <c r="DC237" s="323"/>
      <c r="DE237" s="323"/>
      <c r="DG237" s="323"/>
      <c r="DI237" s="323"/>
    </row>
    <row r="238" spans="1:115" ht="12" customHeight="1" x14ac:dyDescent="0.3">
      <c r="A238" s="765"/>
      <c r="C238" s="219"/>
      <c r="D238" s="220"/>
      <c r="E238" s="224"/>
      <c r="F238" s="222"/>
      <c r="G238" s="223"/>
      <c r="H238" s="219"/>
      <c r="J238" s="219"/>
      <c r="K238" s="220"/>
      <c r="L238" s="224"/>
      <c r="M238" s="222"/>
      <c r="N238" s="223"/>
      <c r="O238" s="219"/>
      <c r="V238" s="487" t="s">
        <v>1265</v>
      </c>
      <c r="W238" s="491" t="str">
        <f>VLOOKUP(W234,schedule,12,FALSE)</f>
        <v>3. CSOPORTMÉRKŐZÉS</v>
      </c>
      <c r="X238" s="485" t="str">
        <f>""</f>
        <v/>
      </c>
      <c r="Y238" s="491" t="str">
        <f>VLOOKUP(Y234,schedule,12,FALSE)</f>
        <v>3. CSOPORTMÉRKŐZÉS</v>
      </c>
      <c r="AB238" s="327" t="str">
        <f>IF(C238="öngól",AC233,AB233)</f>
        <v>nevek.12</v>
      </c>
      <c r="AC238" s="327" t="str">
        <f>IF(H238="öngól",AB233,AC233)</f>
        <v>nevek.09</v>
      </c>
      <c r="AD238" s="327" t="str">
        <f>IF(J238="öngól",AE233,AD233)</f>
        <v>nevek.10</v>
      </c>
      <c r="AE238" s="327" t="str">
        <f>IF(O238="öngól",AD233,AE233)</f>
        <v>nevek.11</v>
      </c>
      <c r="AF238" s="325"/>
      <c r="AG238" s="485">
        <v>5</v>
      </c>
      <c r="AH238" s="488" t="b">
        <f ca="1">AND(W236,X237,D238="",AG238&lt;=W242)</f>
        <v>0</v>
      </c>
      <c r="AI238" s="488" t="b">
        <f ca="1">AND(W236,X237,E238="",AG238&lt;=W242)</f>
        <v>0</v>
      </c>
      <c r="AJ238" s="488" t="b">
        <f ca="1">AND(W236,X237,F238="",AG238&lt;=X242)</f>
        <v>0</v>
      </c>
      <c r="AK238" s="488" t="b">
        <f ca="1">AND(W236,X237,G238="",AG238&lt;=X242)</f>
        <v>0</v>
      </c>
      <c r="AL238" s="488" t="b">
        <f ca="1">AND(Y236,Z237,K238="",AG238&lt;=Y242)</f>
        <v>0</v>
      </c>
      <c r="AM238" s="488" t="b">
        <f ca="1">AND(Y236,Z237,L238="",AG238&lt;=Y242)</f>
        <v>0</v>
      </c>
      <c r="AN238" s="488" t="b">
        <f ca="1">AND(Y236,Z237,M238="",AG238&lt;=Z242)</f>
        <v>0</v>
      </c>
      <c r="AO238" s="488" t="b">
        <f ca="1">AND(Y236,Z237,N238="",AG238&lt;=Z242)</f>
        <v>0</v>
      </c>
      <c r="AQ238" s="326" t="str">
        <f>IF(OR(NOT(Góllista!$E$6),D238=""),"",IF(C238="öngól","ö"&amp;G233&amp;D238,D233&amp;D238))</f>
        <v/>
      </c>
      <c r="AR238" s="326" t="str">
        <f>IF(OR(NOT(Góllista!$E$6),G238=""),"",IF(H238="öngól","ö"&amp;D233&amp;G238,G233&amp;G238))</f>
        <v/>
      </c>
      <c r="AS238" s="326" t="str">
        <f>IF(OR(NOT(Góllista!$E$6),K238=""),"",IF(J238="öngól","ö"&amp;N233&amp;K238,K233&amp;K238))</f>
        <v/>
      </c>
      <c r="AT238" s="326" t="str">
        <f>IF(OR(NOT(Góllista!$E$6),N238=""),"",IF(O238="öngól","ö"&amp;K233&amp;N238,N233&amp;N238))</f>
        <v/>
      </c>
      <c r="AY238" s="323"/>
      <c r="BA238" s="323"/>
      <c r="BC238" s="323"/>
      <c r="BE238" s="323"/>
      <c r="BG238" s="323"/>
      <c r="BI238" s="323"/>
      <c r="BK238" s="323"/>
      <c r="BM238" s="323"/>
      <c r="BO238" s="323"/>
      <c r="BQ238" s="323"/>
      <c r="BS238" s="323"/>
      <c r="BU238" s="323"/>
      <c r="BW238" s="323"/>
      <c r="BY238" s="323"/>
      <c r="CA238" s="323"/>
      <c r="CC238" s="323"/>
      <c r="CE238" s="323"/>
      <c r="CG238" s="323"/>
      <c r="CI238" s="323"/>
      <c r="CK238" s="323"/>
      <c r="CM238" s="323"/>
      <c r="CO238" s="323"/>
      <c r="CQ238" s="323"/>
      <c r="CS238" s="323"/>
      <c r="CU238" s="323"/>
      <c r="CW238" s="323"/>
      <c r="CY238" s="323"/>
      <c r="DA238" s="323"/>
      <c r="DC238" s="323"/>
      <c r="DE238" s="323"/>
      <c r="DG238" s="323"/>
      <c r="DI238" s="323"/>
    </row>
    <row r="239" spans="1:115" ht="12" customHeight="1" x14ac:dyDescent="0.3">
      <c r="A239" s="765"/>
      <c r="C239" s="219"/>
      <c r="D239" s="220"/>
      <c r="E239" s="224"/>
      <c r="F239" s="222"/>
      <c r="G239" s="223"/>
      <c r="H239" s="219" t="s">
        <v>510</v>
      </c>
      <c r="J239" s="219"/>
      <c r="K239" s="220"/>
      <c r="L239" s="224"/>
      <c r="M239" s="222"/>
      <c r="N239" s="223"/>
      <c r="O239" s="219"/>
      <c r="V239" s="487" t="s">
        <v>1264</v>
      </c>
      <c r="W239" s="327" t="str">
        <f>VLOOKUP(W234,schedule,3,FALSE)</f>
        <v>C</v>
      </c>
      <c r="X239" s="485" t="str">
        <f>""</f>
        <v/>
      </c>
      <c r="Y239" s="327" t="str">
        <f>VLOOKUP(Y234,schedule,3,FALSE)</f>
        <v>C</v>
      </c>
      <c r="AB239" s="327" t="str">
        <f>IF(C239="öngól",AC233,AB233)</f>
        <v>nevek.12</v>
      </c>
      <c r="AC239" s="327" t="str">
        <f>IF(H239="öngól",AB233,AC233)</f>
        <v>nevek.09</v>
      </c>
      <c r="AD239" s="327" t="str">
        <f>IF(J239="öngól",AE233,AD233)</f>
        <v>nevek.10</v>
      </c>
      <c r="AE239" s="327" t="str">
        <f>IF(O239="öngól",AD233,AE233)</f>
        <v>nevek.11</v>
      </c>
      <c r="AF239" s="325"/>
      <c r="AG239" s="485">
        <v>6</v>
      </c>
      <c r="AH239" s="488" t="b">
        <f ca="1">AND(W236,X237,D239="",AG239&lt;=W242)</f>
        <v>0</v>
      </c>
      <c r="AI239" s="488" t="b">
        <f ca="1">AND(W236,X237,E239="",AG239&lt;=W242)</f>
        <v>0</v>
      </c>
      <c r="AJ239" s="488" t="b">
        <f ca="1">AND(W236,X237,F239="",AG239&lt;=X242)</f>
        <v>0</v>
      </c>
      <c r="AK239" s="488" t="b">
        <f ca="1">AND(W236,X237,G239="",AG239&lt;=X242)</f>
        <v>0</v>
      </c>
      <c r="AL239" s="488" t="b">
        <f ca="1">AND(Y236,Z237,K239="",AG239&lt;=Y242)</f>
        <v>0</v>
      </c>
      <c r="AM239" s="488" t="b">
        <f ca="1">AND(Y236,Z237,L239="",AG239&lt;=Y242)</f>
        <v>0</v>
      </c>
      <c r="AN239" s="488" t="b">
        <f ca="1">AND(Y236,Z237,M239="",AG239&lt;=Z242)</f>
        <v>0</v>
      </c>
      <c r="AO239" s="488" t="b">
        <f ca="1">AND(Y236,Z237,N239="",AG239&lt;=Z242)</f>
        <v>0</v>
      </c>
      <c r="AQ239" s="326" t="str">
        <f>IF(OR(NOT(Góllista!$E$6),D239=""),"",IF(C239="öngól","ö"&amp;G233&amp;D239,D233&amp;D239))</f>
        <v/>
      </c>
      <c r="AR239" s="326" t="str">
        <f>IF(OR(NOT(Góllista!$E$6),G239=""),"",IF(H239="öngól","ö"&amp;D233&amp;G239,G233&amp;G239))</f>
        <v/>
      </c>
      <c r="AS239" s="326" t="str">
        <f>IF(OR(NOT(Góllista!$E$6),K239=""),"",IF(J239="öngól","ö"&amp;N233&amp;K239,K233&amp;K239))</f>
        <v/>
      </c>
      <c r="AT239" s="326" t="str">
        <f>IF(OR(NOT(Góllista!$E$6),N239=""),"",IF(O239="öngól","ö"&amp;K233&amp;N239,N233&amp;N239))</f>
        <v/>
      </c>
      <c r="AY239" s="323"/>
      <c r="BA239" s="323"/>
      <c r="BC239" s="323"/>
      <c r="BE239" s="323"/>
      <c r="BG239" s="323"/>
      <c r="BI239" s="323"/>
      <c r="BK239" s="323"/>
      <c r="BM239" s="323"/>
      <c r="BO239" s="323"/>
      <c r="BQ239" s="323"/>
      <c r="BS239" s="323"/>
      <c r="BU239" s="323"/>
      <c r="BW239" s="323"/>
      <c r="BY239" s="323"/>
      <c r="CA239" s="323"/>
      <c r="CC239" s="323"/>
      <c r="CE239" s="323"/>
      <c r="CG239" s="323"/>
      <c r="CI239" s="323"/>
      <c r="CK239" s="323"/>
      <c r="CM239" s="323"/>
      <c r="CO239" s="323"/>
      <c r="CQ239" s="323"/>
      <c r="CS239" s="323"/>
      <c r="CU239" s="323"/>
      <c r="CW239" s="323"/>
      <c r="CY239" s="323"/>
      <c r="DA239" s="323"/>
      <c r="DC239" s="323"/>
      <c r="DE239" s="323"/>
      <c r="DG239" s="323"/>
      <c r="DI239" s="323"/>
    </row>
    <row r="240" spans="1:115" ht="12" customHeight="1" x14ac:dyDescent="0.3">
      <c r="A240" s="765"/>
      <c r="C240" s="219"/>
      <c r="D240" s="220"/>
      <c r="E240" s="224"/>
      <c r="F240" s="222"/>
      <c r="G240" s="223"/>
      <c r="H240" s="219"/>
      <c r="J240" s="219"/>
      <c r="K240" s="220"/>
      <c r="L240" s="224"/>
      <c r="M240" s="222"/>
      <c r="N240" s="223"/>
      <c r="O240" s="219"/>
      <c r="V240" s="485" t="s">
        <v>707</v>
      </c>
      <c r="W240" s="327">
        <f>IF(NOT(W236),0,E233-9+COUNTBLANK(D234:D242))</f>
        <v>0</v>
      </c>
      <c r="X240" s="327">
        <f>IF(NOT(W236),0,F233-9+COUNTBLANK(G234:G242))</f>
        <v>0</v>
      </c>
      <c r="Y240" s="327">
        <f>IF(NOT(Y236),0,L233-9+COUNTBLANK(K234:K242))</f>
        <v>0</v>
      </c>
      <c r="Z240" s="327">
        <f>IF(NOT(Y236),0,M233-9+COUNTBLANK(N234:N242))</f>
        <v>0</v>
      </c>
      <c r="AB240" s="327" t="str">
        <f>IF(C240="öngól",AC233,AB233)</f>
        <v>nevek.12</v>
      </c>
      <c r="AC240" s="327" t="str">
        <f>IF(H240="öngól",AB233,AC233)</f>
        <v>nevek.09</v>
      </c>
      <c r="AD240" s="327" t="str">
        <f>IF(J240="öngól",AE233,AD233)</f>
        <v>nevek.10</v>
      </c>
      <c r="AE240" s="327" t="str">
        <f>IF(O240="öngól",AD233,AE233)</f>
        <v>nevek.11</v>
      </c>
      <c r="AF240" s="325"/>
      <c r="AG240" s="485">
        <v>7</v>
      </c>
      <c r="AH240" s="488" t="b">
        <f ca="1">AND(W236,X237,D240="",AG240&lt;=W242)</f>
        <v>0</v>
      </c>
      <c r="AI240" s="488" t="b">
        <f ca="1">AND(W236,X237,E240="",AG240&lt;=W242)</f>
        <v>0</v>
      </c>
      <c r="AJ240" s="488" t="b">
        <f ca="1">AND(W236,X237,F240="",AG240&lt;=X242)</f>
        <v>0</v>
      </c>
      <c r="AK240" s="488" t="b">
        <f ca="1">AND(W236,X237,G240="",AG240&lt;=X242)</f>
        <v>0</v>
      </c>
      <c r="AL240" s="488" t="b">
        <f ca="1">AND(Y236,Z237,K240="",AG240&lt;=Y242)</f>
        <v>0</v>
      </c>
      <c r="AM240" s="488" t="b">
        <f ca="1">AND(Y236,Z237,L240="",AG240&lt;=Y242)</f>
        <v>0</v>
      </c>
      <c r="AN240" s="488" t="b">
        <f ca="1">AND(Y236,Z237,M240="",AG240&lt;=Z242)</f>
        <v>0</v>
      </c>
      <c r="AO240" s="488" t="b">
        <f ca="1">AND(Y236,Z237,N240="",AG240&lt;=Z242)</f>
        <v>0</v>
      </c>
      <c r="AQ240" s="326" t="str">
        <f>IF(OR(NOT(Góllista!$E$6),D240=""),"",IF(C240="öngól","ö"&amp;G233&amp;D240,D233&amp;D240))</f>
        <v/>
      </c>
      <c r="AR240" s="326" t="str">
        <f>IF(OR(NOT(Góllista!$E$6),G240=""),"",IF(H240="öngól","ö"&amp;D233&amp;G240,G233&amp;G240))</f>
        <v/>
      </c>
      <c r="AS240" s="326" t="str">
        <f>IF(OR(NOT(Góllista!$E$6),K240=""),"",IF(J240="öngól","ö"&amp;N233&amp;K240,K233&amp;K240))</f>
        <v/>
      </c>
      <c r="AT240" s="326" t="str">
        <f>IF(OR(NOT(Góllista!$E$6),N240=""),"",IF(O240="öngól","ö"&amp;K233&amp;N240,N233&amp;N240))</f>
        <v/>
      </c>
      <c r="AY240" s="323"/>
      <c r="BA240" s="323"/>
      <c r="BC240" s="323"/>
      <c r="BE240" s="323"/>
      <c r="BG240" s="323"/>
      <c r="BI240" s="323"/>
      <c r="BK240" s="323"/>
      <c r="BM240" s="323"/>
      <c r="BO240" s="323"/>
      <c r="BQ240" s="323"/>
      <c r="BS240" s="323"/>
      <c r="BU240" s="323"/>
      <c r="BW240" s="323"/>
      <c r="BY240" s="323"/>
      <c r="CA240" s="323"/>
      <c r="CC240" s="323"/>
      <c r="CE240" s="323"/>
      <c r="CG240" s="323"/>
      <c r="CI240" s="323"/>
      <c r="CK240" s="323"/>
      <c r="CM240" s="323"/>
      <c r="CO240" s="323"/>
      <c r="CQ240" s="323"/>
      <c r="CS240" s="323"/>
      <c r="CU240" s="323"/>
      <c r="CW240" s="323"/>
      <c r="CY240" s="323"/>
      <c r="DA240" s="323"/>
      <c r="DC240" s="323"/>
      <c r="DE240" s="323"/>
      <c r="DG240" s="323"/>
      <c r="DI240" s="323"/>
    </row>
    <row r="241" spans="1:114" ht="12" customHeight="1" x14ac:dyDescent="0.3">
      <c r="A241" s="765"/>
      <c r="C241" s="219"/>
      <c r="D241" s="220"/>
      <c r="E241" s="224"/>
      <c r="F241" s="222"/>
      <c r="G241" s="223"/>
      <c r="H241" s="219"/>
      <c r="J241" s="219"/>
      <c r="K241" s="220"/>
      <c r="L241" s="224"/>
      <c r="M241" s="222"/>
      <c r="N241" s="223"/>
      <c r="O241" s="219"/>
      <c r="V241" s="485" t="s">
        <v>708</v>
      </c>
      <c r="W241" s="411" t="str">
        <f>VLOOKUP(W234,schedule,8,FALSE)</f>
        <v>Észak-Macedónia</v>
      </c>
      <c r="X241" s="411" t="str">
        <f>VLOOKUP(W234,schedule,9,FALSE)</f>
        <v>Hollandia</v>
      </c>
      <c r="Y241" s="411" t="str">
        <f>VLOOKUP(Y234,schedule,8,FALSE)</f>
        <v>Ukrajna</v>
      </c>
      <c r="Z241" s="491" t="str">
        <f>VLOOKUP(Y234,schedule,9,FALSE)</f>
        <v>Ausztria</v>
      </c>
      <c r="AB241" s="327" t="str">
        <f>IF(C241="öngól",AC233,AB233)</f>
        <v>nevek.12</v>
      </c>
      <c r="AC241" s="327" t="str">
        <f>IF(H241="öngól",AB233,AC233)</f>
        <v>nevek.09</v>
      </c>
      <c r="AD241" s="327" t="str">
        <f>IF(J241="öngól",AE233,AD233)</f>
        <v>nevek.10</v>
      </c>
      <c r="AE241" s="327" t="str">
        <f>IF(O241="öngól",AD233,AE233)</f>
        <v>nevek.11</v>
      </c>
      <c r="AF241" s="325"/>
      <c r="AG241" s="485">
        <v>8</v>
      </c>
      <c r="AH241" s="488" t="b">
        <f ca="1">AND(W236,X237,D241="",AG241&lt;=W242)</f>
        <v>0</v>
      </c>
      <c r="AI241" s="488" t="b">
        <f ca="1">AND(W236,X237,E241="",AG241&lt;=W242)</f>
        <v>0</v>
      </c>
      <c r="AJ241" s="488" t="b">
        <f ca="1">AND(W236,X237,F241="",AG241&lt;=X242)</f>
        <v>0</v>
      </c>
      <c r="AK241" s="488" t="b">
        <f ca="1">AND(W236,X237,G241="",AG241&lt;=X242)</f>
        <v>0</v>
      </c>
      <c r="AL241" s="488" t="b">
        <f ca="1">AND(Y236,Z237,K241="",AG241&lt;=Y242)</f>
        <v>0</v>
      </c>
      <c r="AM241" s="488" t="b">
        <f ca="1">AND(Y236,Z237,L241="",AG241&lt;=Y242)</f>
        <v>0</v>
      </c>
      <c r="AN241" s="488" t="b">
        <f ca="1">AND(Y236,Z237,M241="",AG241&lt;=Z242)</f>
        <v>0</v>
      </c>
      <c r="AO241" s="488" t="b">
        <f ca="1">AND(Y236,Z237,N241="",AG241&lt;=Z242)</f>
        <v>0</v>
      </c>
      <c r="AQ241" s="326" t="str">
        <f>IF(OR(NOT(Góllista!$E$6),D241=""),"",IF(C241="öngól","ö"&amp;G233&amp;D241,D233&amp;D241))</f>
        <v/>
      </c>
      <c r="AR241" s="326" t="str">
        <f>IF(OR(NOT(Góllista!$E$6),G241=""),"",IF(H241="öngól","ö"&amp;D233&amp;G241,G233&amp;G241))</f>
        <v/>
      </c>
      <c r="AS241" s="326" t="str">
        <f>IF(OR(NOT(Góllista!$E$6),K241=""),"",IF(J241="öngól","ö"&amp;N233&amp;K241,K233&amp;K241))</f>
        <v/>
      </c>
      <c r="AT241" s="326" t="str">
        <f>IF(OR(NOT(Góllista!$E$6),N241=""),"",IF(O241="öngól","ö"&amp;K233&amp;N241,N233&amp;N241))</f>
        <v/>
      </c>
      <c r="AY241" s="323"/>
      <c r="BA241" s="323"/>
      <c r="BC241" s="323"/>
      <c r="BE241" s="323"/>
      <c r="BG241" s="323"/>
      <c r="BI241" s="323"/>
      <c r="BK241" s="323"/>
      <c r="BM241" s="323"/>
      <c r="BO241" s="323"/>
      <c r="BQ241" s="323"/>
      <c r="BS241" s="323"/>
      <c r="BU241" s="323"/>
      <c r="BW241" s="323"/>
      <c r="BY241" s="323"/>
      <c r="CA241" s="323"/>
      <c r="CC241" s="323"/>
      <c r="CE241" s="323"/>
      <c r="CG241" s="323"/>
      <c r="CI241" s="323"/>
      <c r="CK241" s="323"/>
      <c r="CM241" s="323"/>
      <c r="CO241" s="323"/>
      <c r="CQ241" s="323"/>
      <c r="CS241" s="323"/>
      <c r="CU241" s="323"/>
      <c r="CW241" s="323"/>
      <c r="CY241" s="323"/>
      <c r="DA241" s="323"/>
      <c r="DC241" s="323"/>
      <c r="DE241" s="323"/>
      <c r="DG241" s="323"/>
      <c r="DI241" s="323"/>
    </row>
    <row r="242" spans="1:114" ht="12" customHeight="1" x14ac:dyDescent="0.3">
      <c r="A242" s="765"/>
      <c r="C242" s="219"/>
      <c r="D242" s="220"/>
      <c r="E242" s="225"/>
      <c r="F242" s="222"/>
      <c r="G242" s="223"/>
      <c r="H242" s="219"/>
      <c r="J242" s="219"/>
      <c r="K242" s="220"/>
      <c r="L242" s="225"/>
      <c r="M242" s="222"/>
      <c r="N242" s="223"/>
      <c r="O242" s="219"/>
      <c r="V242" s="485" t="s">
        <v>709</v>
      </c>
      <c r="W242" s="492" t="str">
        <f>INDEX(n.er,W235,9)</f>
        <v/>
      </c>
      <c r="X242" s="493" t="str">
        <f>INDEX(n.er,W235,10)</f>
        <v/>
      </c>
      <c r="Y242" s="492" t="str">
        <f>INDEX(n.er,Y235,9)</f>
        <v/>
      </c>
      <c r="Z242" s="493" t="str">
        <f>INDEX(n.er,Y235,10)</f>
        <v/>
      </c>
      <c r="AB242" s="327" t="str">
        <f>IF(C242="öngól",AC233,AB233)</f>
        <v>nevek.12</v>
      </c>
      <c r="AC242" s="327" t="str">
        <f>IF(H242="öngól",AB233,AC233)</f>
        <v>nevek.09</v>
      </c>
      <c r="AD242" s="327" t="str">
        <f>IF(J242="öngól",AE233,AD233)</f>
        <v>nevek.10</v>
      </c>
      <c r="AE242" s="327" t="str">
        <f>IF(O242="öngól",AD233,AE233)</f>
        <v>nevek.11</v>
      </c>
      <c r="AF242" s="325"/>
      <c r="AG242" s="485">
        <v>9</v>
      </c>
      <c r="AH242" s="488" t="b">
        <f ca="1">AND(W236,X237,D242="",AG242&lt;=W242)</f>
        <v>0</v>
      </c>
      <c r="AI242" s="488" t="b">
        <f ca="1">AND(W236,X237,E242="",AG242&lt;=W242)</f>
        <v>0</v>
      </c>
      <c r="AJ242" s="488" t="b">
        <f ca="1">AND(W236,X237,F242="",AG242&lt;=X242)</f>
        <v>0</v>
      </c>
      <c r="AK242" s="488" t="b">
        <f ca="1">AND(W236,X237,G242="",AG242&lt;=X242)</f>
        <v>0</v>
      </c>
      <c r="AL242" s="488" t="b">
        <f ca="1">AND(Y236,Z237,K242="",AG242&lt;=Y242)</f>
        <v>0</v>
      </c>
      <c r="AM242" s="488" t="b">
        <f ca="1">AND(Y236,Z237,L242="",AG242&lt;=Y242)</f>
        <v>0</v>
      </c>
      <c r="AN242" s="488" t="b">
        <f ca="1">AND(Y236,Z237,M242="",AG242&lt;=Z242)</f>
        <v>0</v>
      </c>
      <c r="AO242" s="488" t="b">
        <f ca="1">AND(Y236,Z237,N242="",AG242&lt;=Z242)</f>
        <v>0</v>
      </c>
      <c r="AQ242" s="326" t="str">
        <f>IF(OR(NOT(Góllista!$E$6),D242=""),"",IF(C242="öngól","ö"&amp;G233&amp;D242,D233&amp;D242))</f>
        <v/>
      </c>
      <c r="AR242" s="326" t="str">
        <f>IF(OR(NOT(Góllista!$E$6),G242=""),"",IF(H242="öngól","ö"&amp;D233&amp;G242,G233&amp;G242))</f>
        <v/>
      </c>
      <c r="AS242" s="326" t="str">
        <f>IF(OR(NOT(Góllista!$E$6),K242=""),"",IF(J242="öngól","ö"&amp;N233&amp;K242,K233&amp;K242))</f>
        <v/>
      </c>
      <c r="AT242" s="326" t="str">
        <f>IF(OR(NOT(Góllista!$E$6),N242=""),"",IF(O242="öngól","ö"&amp;K233&amp;N242,N233&amp;N242))</f>
        <v/>
      </c>
      <c r="AY242" s="323"/>
      <c r="BA242" s="323"/>
      <c r="BC242" s="323"/>
      <c r="BE242" s="323"/>
      <c r="BG242" s="323"/>
      <c r="BI242" s="323"/>
      <c r="BK242" s="323"/>
      <c r="BM242" s="323"/>
      <c r="BO242" s="323"/>
      <c r="BQ242" s="323"/>
      <c r="BS242" s="323"/>
      <c r="BU242" s="323"/>
      <c r="BW242" s="323"/>
      <c r="BY242" s="323"/>
      <c r="CA242" s="323"/>
      <c r="CC242" s="323"/>
      <c r="CE242" s="323"/>
      <c r="CG242" s="323"/>
      <c r="CI242" s="323"/>
      <c r="CK242" s="323"/>
      <c r="CM242" s="323"/>
      <c r="CO242" s="323"/>
      <c r="CQ242" s="323"/>
      <c r="CS242" s="323"/>
      <c r="CU242" s="323"/>
      <c r="CW242" s="323"/>
      <c r="CY242" s="323"/>
      <c r="DA242" s="323"/>
      <c r="DC242" s="323"/>
      <c r="DE242" s="323"/>
      <c r="DG242" s="323"/>
      <c r="DI242" s="323"/>
    </row>
    <row r="243" spans="1:114" ht="12" customHeight="1" x14ac:dyDescent="0.3">
      <c r="A243" s="765"/>
      <c r="C243" s="768"/>
      <c r="D243" s="768"/>
      <c r="E243" s="768"/>
      <c r="F243" s="768"/>
      <c r="G243" s="768"/>
      <c r="H243" s="768"/>
      <c r="J243" s="768"/>
      <c r="K243" s="768"/>
      <c r="L243" s="768"/>
      <c r="M243" s="768"/>
      <c r="N243" s="768"/>
      <c r="O243" s="768"/>
      <c r="AY243" s="323"/>
      <c r="BA243" s="323"/>
      <c r="BC243" s="323"/>
      <c r="BE243" s="323"/>
      <c r="BG243" s="323"/>
      <c r="BI243" s="323"/>
      <c r="BK243" s="323"/>
      <c r="BM243" s="323"/>
      <c r="BO243" s="323"/>
      <c r="BQ243" s="323"/>
      <c r="BS243" s="323"/>
      <c r="BU243" s="323"/>
      <c r="BW243" s="323"/>
      <c r="BY243" s="323"/>
      <c r="CA243" s="323"/>
      <c r="CC243" s="323"/>
      <c r="CE243" s="323"/>
      <c r="CG243" s="323"/>
      <c r="CI243" s="323"/>
      <c r="CK243" s="323"/>
      <c r="CM243" s="323"/>
      <c r="CO243" s="323"/>
      <c r="CQ243" s="323"/>
      <c r="CS243" s="323"/>
      <c r="CU243" s="323"/>
      <c r="CW243" s="323"/>
      <c r="CY243" s="323"/>
      <c r="DA243" s="323"/>
      <c r="DC243" s="323"/>
      <c r="DE243" s="323"/>
      <c r="DG243" s="323"/>
      <c r="DI243" s="323"/>
    </row>
    <row r="244" spans="1:114" ht="12" hidden="1" customHeight="1" x14ac:dyDescent="0.3">
      <c r="A244" s="765"/>
      <c r="C244" s="767"/>
      <c r="D244" s="767"/>
      <c r="E244" s="767"/>
      <c r="F244" s="767"/>
      <c r="G244" s="767"/>
      <c r="H244" s="767"/>
      <c r="J244" s="767"/>
      <c r="K244" s="767"/>
      <c r="L244" s="767"/>
      <c r="M244" s="767"/>
      <c r="N244" s="767"/>
      <c r="O244" s="767"/>
      <c r="AY244" s="323"/>
      <c r="BA244" s="323"/>
      <c r="BC244" s="323"/>
      <c r="BE244" s="323"/>
      <c r="BG244" s="323"/>
      <c r="BI244" s="323"/>
      <c r="BK244" s="323"/>
      <c r="BM244" s="323"/>
      <c r="BO244" s="323"/>
      <c r="BQ244" s="323"/>
      <c r="BS244" s="323"/>
      <c r="BU244" s="323"/>
      <c r="BW244" s="323"/>
      <c r="BY244" s="323"/>
      <c r="CA244" s="323"/>
      <c r="CC244" s="323"/>
      <c r="CE244" s="323"/>
      <c r="CG244" s="323"/>
      <c r="CI244" s="323"/>
      <c r="CK244" s="323"/>
      <c r="CM244" s="323"/>
      <c r="CO244" s="323"/>
      <c r="CQ244" s="323"/>
      <c r="CS244" s="323"/>
      <c r="CU244" s="323"/>
      <c r="CW244" s="323"/>
      <c r="CY244" s="323"/>
      <c r="DA244" s="323"/>
      <c r="DC244" s="323"/>
      <c r="DE244" s="323"/>
      <c r="DG244" s="323"/>
      <c r="DI244" s="323"/>
    </row>
    <row r="245" spans="1:114" ht="12" hidden="1" customHeight="1" x14ac:dyDescent="0.3">
      <c r="A245" s="765"/>
      <c r="C245" s="767"/>
      <c r="D245" s="767"/>
      <c r="E245" s="767"/>
      <c r="F245" s="767"/>
      <c r="G245" s="767"/>
      <c r="H245" s="767"/>
      <c r="J245" s="767"/>
      <c r="K245" s="767"/>
      <c r="L245" s="767"/>
      <c r="M245" s="767"/>
      <c r="N245" s="767"/>
      <c r="O245" s="767"/>
      <c r="AY245" s="323"/>
      <c r="BA245" s="323"/>
      <c r="BC245" s="323"/>
      <c r="BE245" s="323"/>
      <c r="BG245" s="323"/>
      <c r="BI245" s="323"/>
      <c r="BK245" s="323"/>
      <c r="BM245" s="323"/>
      <c r="BO245" s="323"/>
      <c r="BQ245" s="323"/>
      <c r="BS245" s="323"/>
      <c r="BU245" s="323"/>
      <c r="BW245" s="323"/>
      <c r="BY245" s="323"/>
      <c r="CA245" s="323"/>
      <c r="CC245" s="323"/>
      <c r="CE245" s="323"/>
      <c r="CG245" s="323"/>
      <c r="CI245" s="323"/>
      <c r="CK245" s="323"/>
      <c r="CM245" s="323"/>
      <c r="CO245" s="323"/>
      <c r="CQ245" s="323"/>
      <c r="CS245" s="323"/>
      <c r="CU245" s="323"/>
      <c r="CW245" s="323"/>
      <c r="CY245" s="323"/>
      <c r="DA245" s="323"/>
      <c r="DC245" s="323"/>
      <c r="DE245" s="323"/>
      <c r="DG245" s="323"/>
      <c r="DI245" s="323"/>
    </row>
    <row r="246" spans="1:114" ht="3.75" customHeight="1" x14ac:dyDescent="0.3">
      <c r="A246" s="765"/>
      <c r="AH246" s="494"/>
      <c r="AY246" s="323"/>
      <c r="BA246" s="323"/>
      <c r="BC246" s="323"/>
      <c r="BE246" s="323"/>
      <c r="BG246" s="323"/>
      <c r="BI246" s="323"/>
      <c r="BK246" s="323"/>
      <c r="BM246" s="323"/>
      <c r="BO246" s="323"/>
      <c r="BQ246" s="323"/>
      <c r="BS246" s="323"/>
      <c r="BU246" s="323"/>
      <c r="BW246" s="323"/>
      <c r="BY246" s="323"/>
      <c r="CA246" s="323"/>
      <c r="CC246" s="323"/>
      <c r="CE246" s="323"/>
      <c r="CG246" s="323"/>
      <c r="CI246" s="323"/>
      <c r="CK246" s="323"/>
      <c r="CM246" s="323"/>
      <c r="CO246" s="323"/>
      <c r="CQ246" s="323"/>
      <c r="CS246" s="323"/>
      <c r="CU246" s="323"/>
      <c r="CW246" s="323"/>
      <c r="CY246" s="323"/>
      <c r="DA246" s="323"/>
      <c r="DC246" s="323"/>
      <c r="DE246" s="323"/>
      <c r="DG246" s="323"/>
      <c r="DI246" s="323"/>
    </row>
    <row r="247" spans="1:114" ht="11.25" customHeight="1" x14ac:dyDescent="0.3">
      <c r="A247" s="765"/>
      <c r="B247" s="15"/>
      <c r="D247" s="235"/>
      <c r="E247" s="722" t="str">
        <f>IF(W247,"  BÜNTETŐK:","  BÜNTETŐK:  –")</f>
        <v xml:space="preserve">  BÜNTETŐK:  –</v>
      </c>
      <c r="F247" s="235"/>
      <c r="G247" s="235"/>
      <c r="H247" s="235"/>
      <c r="I247" s="37"/>
      <c r="J247" s="234"/>
      <c r="K247" s="235"/>
      <c r="L247" s="722" t="str">
        <f>IF(AD247,"  BÜNTETŐK:","  BÜNTETŐK:  –")</f>
        <v xml:space="preserve">  BÜNTETŐK:  –</v>
      </c>
      <c r="M247" s="235"/>
      <c r="N247" s="235"/>
      <c r="O247" s="235"/>
      <c r="V247" s="487" t="s">
        <v>712</v>
      </c>
      <c r="W247" s="489" t="b">
        <f>INDEX(n.er,W235,14)</f>
        <v>0</v>
      </c>
      <c r="Y247" s="489" t="b">
        <f>INDEX(n.er,Y235,14)</f>
        <v>0</v>
      </c>
      <c r="AF247" s="325"/>
      <c r="AQ247" s="323"/>
      <c r="AR247" s="323"/>
      <c r="AS247" s="323"/>
      <c r="AT247" s="323"/>
      <c r="AW247" s="485"/>
      <c r="AY247" s="323"/>
      <c r="BA247" s="323"/>
      <c r="BC247" s="323"/>
      <c r="BE247" s="323"/>
      <c r="BG247" s="323"/>
      <c r="BI247" s="323"/>
      <c r="BK247" s="323"/>
      <c r="BM247" s="323"/>
      <c r="BO247" s="323"/>
      <c r="BQ247" s="323"/>
      <c r="BS247" s="323"/>
      <c r="BU247" s="323"/>
      <c r="BW247" s="323"/>
      <c r="BY247" s="323"/>
      <c r="CA247" s="323"/>
      <c r="CC247" s="323"/>
      <c r="CE247" s="323"/>
      <c r="CG247" s="323"/>
      <c r="CI247" s="323"/>
      <c r="CK247" s="323"/>
      <c r="CM247" s="323"/>
      <c r="CO247" s="323"/>
      <c r="CQ247" s="323"/>
      <c r="CS247" s="323"/>
      <c r="CU247" s="323"/>
      <c r="CW247" s="323"/>
      <c r="CY247" s="323"/>
      <c r="DA247" s="323"/>
      <c r="DC247" s="323"/>
      <c r="DE247" s="323"/>
      <c r="DG247" s="323"/>
      <c r="DI247" s="323"/>
      <c r="DJ247" s="485"/>
    </row>
    <row r="248" spans="1:114" ht="11.25" customHeight="1" x14ac:dyDescent="0.3">
      <c r="A248" s="765"/>
      <c r="C248" s="241" t="str">
        <f>IF(W249=0,"",IF(W249&gt;0,CONCATENATE("még ",W249," büntető"),CONCATENATE("túl sok (",W249," büntető)")))</f>
        <v/>
      </c>
      <c r="D248" s="237" t="str">
        <f>IF(W247,W241,"")</f>
        <v/>
      </c>
      <c r="E248" s="239" t="str">
        <f>IF(W247,W248,"")</f>
        <v/>
      </c>
      <c r="F248" s="240" t="str">
        <f>IF(W247,X248,"")</f>
        <v/>
      </c>
      <c r="G248" s="238" t="str">
        <f>IF(W247,X241,"")</f>
        <v/>
      </c>
      <c r="H248" s="241" t="str">
        <f>IF(X249=0,"",IF(X249&gt;0,CONCATENATE("még ",X249," büntető"),CONCATENATE("túl sok (",X249," büntető)")))</f>
        <v/>
      </c>
      <c r="J248" s="241" t="str">
        <f>IF(Y249=0,"",IF(Y249&gt;0,CONCATENATE("még ",Y249," büntető"),CONCATENATE("túl sok (",Y249," büntető)")))</f>
        <v/>
      </c>
      <c r="K248" s="237" t="str">
        <f>IF(Y247,Y241,"")</f>
        <v/>
      </c>
      <c r="L248" s="239" t="str">
        <f>IF(Y247,Y248,"")</f>
        <v/>
      </c>
      <c r="M248" s="240" t="str">
        <f>IF(Y247,Z248,"")</f>
        <v/>
      </c>
      <c r="N248" s="238" t="str">
        <f>IF(Y247,Z241,"")</f>
        <v/>
      </c>
      <c r="O248" s="241" t="str">
        <f>IF(Z249=0,"",IF(Z249&gt;0,CONCATENATE("még ",Z249," büntető"),CONCATENATE("túl sok (",Z249," büntető)")))</f>
        <v/>
      </c>
      <c r="V248" s="487" t="s">
        <v>709</v>
      </c>
      <c r="W248" s="492" t="str">
        <f>IF(NOT(W247),"",INDEX(n.er,W235,17))</f>
        <v/>
      </c>
      <c r="X248" s="493" t="str">
        <f>IF(NOT(W247),"",INDEX(n.er,W235,18))</f>
        <v/>
      </c>
      <c r="Y248" s="492" t="str">
        <f>IF(NOT(Y247),"",INDEX(n.er,Y235,17))</f>
        <v/>
      </c>
      <c r="Z248" s="493" t="str">
        <f>IF(NOT(Y247),"",INDEX(n.er,Y235,18))</f>
        <v/>
      </c>
      <c r="AF248" s="325"/>
      <c r="AH248" s="494"/>
      <c r="AQ248" s="323"/>
      <c r="AR248" s="323"/>
      <c r="AS248" s="323"/>
      <c r="AT248" s="323"/>
      <c r="AW248" s="485"/>
      <c r="AY248" s="323"/>
      <c r="BA248" s="323"/>
      <c r="BC248" s="323"/>
      <c r="BE248" s="323"/>
      <c r="BG248" s="323"/>
      <c r="BI248" s="323"/>
      <c r="BK248" s="323"/>
      <c r="BM248" s="323"/>
      <c r="BO248" s="323"/>
      <c r="BQ248" s="323"/>
      <c r="BS248" s="323"/>
      <c r="BU248" s="323"/>
      <c r="BW248" s="323"/>
      <c r="BY248" s="323"/>
      <c r="CA248" s="323"/>
      <c r="CC248" s="323"/>
      <c r="CE248" s="323"/>
      <c r="CG248" s="323"/>
      <c r="CI248" s="323"/>
      <c r="CK248" s="323"/>
      <c r="CM248" s="323"/>
      <c r="CO248" s="323"/>
      <c r="CQ248" s="323"/>
      <c r="CS248" s="323"/>
      <c r="CU248" s="323"/>
      <c r="CW248" s="323"/>
      <c r="CY248" s="323"/>
      <c r="DA248" s="323"/>
      <c r="DC248" s="323"/>
      <c r="DE248" s="323"/>
      <c r="DG248" s="323"/>
      <c r="DI248" s="323"/>
    </row>
    <row r="249" spans="1:114" ht="11.25" customHeight="1" x14ac:dyDescent="0.3">
      <c r="A249" s="765"/>
      <c r="C249" s="236"/>
      <c r="D249" s="220"/>
      <c r="E249" s="515"/>
      <c r="F249" s="516"/>
      <c r="G249" s="223"/>
      <c r="H249" s="236"/>
      <c r="J249" s="236"/>
      <c r="K249" s="220"/>
      <c r="L249" s="515"/>
      <c r="M249" s="516"/>
      <c r="N249" s="223"/>
      <c r="O249" s="236"/>
      <c r="V249" s="485" t="s">
        <v>707</v>
      </c>
      <c r="W249" s="327">
        <f>IF(W248="",0,E248-COUNTIF(E249:E262,"O"))</f>
        <v>0</v>
      </c>
      <c r="X249" s="327">
        <f>IF(X248="",0,F248-COUNTIF(F249:F262,"O"))</f>
        <v>0</v>
      </c>
      <c r="Y249" s="327">
        <f>IF(Y248="",0,L248-COUNTIF(L249:L264,"O"))</f>
        <v>0</v>
      </c>
      <c r="Z249" s="327">
        <f>IF(Z248="",0,M248-COUNTIF(M249:M264,"O"))</f>
        <v>0</v>
      </c>
      <c r="AB249" s="52" t="str">
        <f>IF(NOT(W247),"",HLOOKUP(D248,nevek.li,2,FALSE))</f>
        <v/>
      </c>
      <c r="AC249" s="52" t="str">
        <f>IF(NOT(W247),"",HLOOKUP(G248,nevek.li,2,FALSE))</f>
        <v/>
      </c>
      <c r="AD249" s="52" t="str">
        <f>IF(NOT(Y247),"",HLOOKUP(K248,nevek.li,2,FALSE))</f>
        <v/>
      </c>
      <c r="AE249" s="52" t="str">
        <f>IF(NOT(Y247),"",HLOOKUP(N248,nevek.li,2,FALSE))</f>
        <v/>
      </c>
      <c r="AF249" s="325"/>
      <c r="AG249" s="485">
        <v>1</v>
      </c>
      <c r="AH249" s="488" t="b">
        <f ca="1">IF(OR(NOT(W247),NOT(X237)),FALSE,D249="")</f>
        <v>0</v>
      </c>
      <c r="AI249" s="488" t="b">
        <f ca="1">IF(OR(NOT(W247),NOT(X237)),FALSE,E249="")</f>
        <v>0</v>
      </c>
      <c r="AJ249" s="488" t="b">
        <f ca="1">IF(OR(NOT(W247),NOT(X237)),FALSE,F249="")</f>
        <v>0</v>
      </c>
      <c r="AK249" s="488" t="b">
        <f ca="1">IF(OR(NOT(W247),NOT(X237)),FALSE,G249="")</f>
        <v>0</v>
      </c>
      <c r="AL249" s="488" t="b">
        <f ca="1">IF(OR(NOT(Y247),NOT(Z237)),FALSE,K249="")</f>
        <v>0</v>
      </c>
      <c r="AM249" s="488" t="b">
        <f ca="1">IF(OR(NOT(Y247),NOT(Z237)),FALSE,L249="")</f>
        <v>0</v>
      </c>
      <c r="AN249" s="488" t="b">
        <f ca="1">IF(OR(NOT(Y247),NOT(Z237)),FALSE,M249="")</f>
        <v>0</v>
      </c>
      <c r="AO249" s="488" t="b">
        <f ca="1">IF(OR(NOT(Y247),NOT(Z237)),FALSE,N249="")</f>
        <v>0</v>
      </c>
      <c r="AS249" s="323"/>
      <c r="AT249" s="323"/>
      <c r="AY249" s="323"/>
      <c r="BA249" s="323"/>
      <c r="BC249" s="323"/>
      <c r="BE249" s="323"/>
      <c r="BG249" s="323"/>
      <c r="BI249" s="323"/>
      <c r="BK249" s="323"/>
      <c r="BM249" s="323"/>
      <c r="BO249" s="323"/>
      <c r="BQ249" s="323"/>
      <c r="BS249" s="323"/>
      <c r="BU249" s="323"/>
      <c r="BW249" s="323"/>
      <c r="BY249" s="323"/>
      <c r="CA249" s="323"/>
      <c r="CC249" s="323"/>
      <c r="CE249" s="323"/>
      <c r="CG249" s="323"/>
      <c r="CI249" s="323"/>
      <c r="CK249" s="323"/>
      <c r="CM249" s="323"/>
      <c r="CO249" s="323"/>
      <c r="CQ249" s="323"/>
      <c r="CS249" s="323"/>
      <c r="CU249" s="323"/>
      <c r="CW249" s="323"/>
      <c r="CY249" s="323"/>
      <c r="DA249" s="323"/>
      <c r="DC249" s="323"/>
      <c r="DE249" s="323"/>
      <c r="DG249" s="323"/>
      <c r="DI249" s="323"/>
      <c r="DJ249" s="485"/>
    </row>
    <row r="250" spans="1:114" ht="11.25" customHeight="1" x14ac:dyDescent="0.3">
      <c r="A250" s="765"/>
      <c r="C250" s="219"/>
      <c r="D250" s="220"/>
      <c r="E250" s="517"/>
      <c r="F250" s="516"/>
      <c r="G250" s="223"/>
      <c r="H250" s="219"/>
      <c r="J250" s="219"/>
      <c r="K250" s="220"/>
      <c r="L250" s="517"/>
      <c r="M250" s="516"/>
      <c r="N250" s="223"/>
      <c r="O250" s="219"/>
      <c r="AB250" s="327" t="str">
        <f>AB249</f>
        <v/>
      </c>
      <c r="AC250" s="327" t="str">
        <f>AC249</f>
        <v/>
      </c>
      <c r="AD250" s="327" t="str">
        <f>AD249</f>
        <v/>
      </c>
      <c r="AE250" s="327" t="str">
        <f>AE249</f>
        <v/>
      </c>
      <c r="AF250" s="325"/>
      <c r="AG250" s="485">
        <v>2</v>
      </c>
      <c r="AH250" s="488" t="b">
        <f ca="1">IF(OR(NOT(W247),NOT(X237)),FALSE,D250="")</f>
        <v>0</v>
      </c>
      <c r="AI250" s="488" t="b">
        <f ca="1">IF(OR(NOT(W247),NOT(X237)),FALSE,E250="")</f>
        <v>0</v>
      </c>
      <c r="AJ250" s="488" t="b">
        <f ca="1">IF(OR(NOT(W247),NOT(X237)),FALSE,F250="")</f>
        <v>0</v>
      </c>
      <c r="AK250" s="488" t="b">
        <f ca="1">IF(OR(NOT(W247),NOT(X237)),FALSE,G250="")</f>
        <v>0</v>
      </c>
      <c r="AL250" s="488" t="b">
        <f ca="1">IF(OR(NOT(Y247),NOT(Z237)),FALSE,K250="")</f>
        <v>0</v>
      </c>
      <c r="AM250" s="488" t="b">
        <f ca="1">IF(OR(NOT(Y247),NOT(Z237)),FALSE,L250="")</f>
        <v>0</v>
      </c>
      <c r="AN250" s="488" t="b">
        <f ca="1">IF(OR(NOT(Y247),NOT(Z237)),FALSE,M250="")</f>
        <v>0</v>
      </c>
      <c r="AO250" s="488" t="b">
        <f ca="1">IF(OR(NOT(Y247),NOT(Z237)),FALSE,N250="")</f>
        <v>0</v>
      </c>
      <c r="AS250" s="323"/>
      <c r="AT250" s="323"/>
      <c r="AW250" s="485"/>
      <c r="AY250" s="323"/>
      <c r="BA250" s="323"/>
      <c r="BC250" s="323"/>
      <c r="BE250" s="323"/>
      <c r="BG250" s="323"/>
      <c r="BI250" s="323"/>
      <c r="BK250" s="323"/>
      <c r="BM250" s="323"/>
      <c r="BO250" s="323"/>
      <c r="BQ250" s="323"/>
      <c r="BS250" s="323"/>
      <c r="BU250" s="323"/>
      <c r="BW250" s="323"/>
      <c r="BY250" s="323"/>
      <c r="CA250" s="323"/>
      <c r="CC250" s="323"/>
      <c r="CE250" s="323"/>
      <c r="CG250" s="323"/>
      <c r="CI250" s="323"/>
      <c r="CK250" s="323"/>
      <c r="CM250" s="323"/>
      <c r="CO250" s="323"/>
      <c r="CQ250" s="323"/>
      <c r="CS250" s="323"/>
      <c r="CU250" s="323"/>
      <c r="CW250" s="323"/>
      <c r="CY250" s="323"/>
      <c r="DA250" s="323"/>
      <c r="DC250" s="323"/>
      <c r="DE250" s="323"/>
      <c r="DG250" s="323"/>
      <c r="DI250" s="323"/>
      <c r="DJ250" s="485"/>
    </row>
    <row r="251" spans="1:114" ht="11.25" customHeight="1" x14ac:dyDescent="0.3">
      <c r="A251" s="765"/>
      <c r="C251" s="219"/>
      <c r="D251" s="220"/>
      <c r="E251" s="517"/>
      <c r="F251" s="516"/>
      <c r="G251" s="223"/>
      <c r="H251" s="219"/>
      <c r="J251" s="219"/>
      <c r="K251" s="220"/>
      <c r="L251" s="517"/>
      <c r="M251" s="516"/>
      <c r="N251" s="223"/>
      <c r="O251" s="219"/>
      <c r="AB251" s="327" t="str">
        <f t="shared" ref="AB251:AB262" si="84">AB250</f>
        <v/>
      </c>
      <c r="AC251" s="327" t="str">
        <f t="shared" ref="AC251:AC262" si="85">AC250</f>
        <v/>
      </c>
      <c r="AD251" s="327" t="str">
        <f t="shared" ref="AD251:AD262" si="86">AD250</f>
        <v/>
      </c>
      <c r="AE251" s="327" t="str">
        <f t="shared" ref="AE251:AE262" si="87">AE250</f>
        <v/>
      </c>
      <c r="AF251" s="325"/>
      <c r="AG251" s="485">
        <v>3</v>
      </c>
      <c r="AH251" s="488" t="b">
        <f ca="1">IF(OR(NOT(W247),NOT(X237)),FALSE,D251="")</f>
        <v>0</v>
      </c>
      <c r="AI251" s="488" t="b">
        <f ca="1">IF(OR(NOT(W247),NOT(X237)),FALSE,E251="")</f>
        <v>0</v>
      </c>
      <c r="AJ251" s="488" t="b">
        <f ca="1">IF(OR(NOT(W247),NOT(X237)),FALSE,F251="")</f>
        <v>0</v>
      </c>
      <c r="AK251" s="488" t="b">
        <f ca="1">IF(OR(NOT(W247),NOT(X237)),FALSE,G251="")</f>
        <v>0</v>
      </c>
      <c r="AL251" s="488" t="b">
        <f ca="1">IF(OR(NOT(Y247),NOT(Z237)),FALSE,K251="")</f>
        <v>0</v>
      </c>
      <c r="AM251" s="488" t="b">
        <f ca="1">IF(OR(NOT(Y247),NOT(Z237)),FALSE,L251="")</f>
        <v>0</v>
      </c>
      <c r="AN251" s="488" t="b">
        <f ca="1">IF(OR(NOT(Y247),NOT(Z237)),FALSE,M251="")</f>
        <v>0</v>
      </c>
      <c r="AO251" s="488" t="b">
        <f ca="1">IF(OR(NOT(Y247),NOT(Z237)),FALSE,N251="")</f>
        <v>0</v>
      </c>
      <c r="AS251" s="323"/>
      <c r="AT251" s="323"/>
      <c r="AW251" s="485"/>
      <c r="AY251" s="323"/>
      <c r="BA251" s="323"/>
      <c r="BC251" s="323"/>
      <c r="BE251" s="323"/>
      <c r="BG251" s="323"/>
      <c r="BI251" s="323"/>
      <c r="BK251" s="323"/>
      <c r="BM251" s="323"/>
      <c r="BO251" s="323"/>
      <c r="BQ251" s="323"/>
      <c r="BS251" s="323"/>
      <c r="BU251" s="323"/>
      <c r="BW251" s="323"/>
      <c r="BY251" s="323"/>
      <c r="CA251" s="323"/>
      <c r="CC251" s="323"/>
      <c r="CE251" s="323"/>
      <c r="CG251" s="323"/>
      <c r="CI251" s="323"/>
      <c r="CK251" s="323"/>
      <c r="CM251" s="323"/>
      <c r="CO251" s="323"/>
      <c r="CQ251" s="323"/>
      <c r="CS251" s="323"/>
      <c r="CU251" s="323"/>
      <c r="CW251" s="323"/>
      <c r="CY251" s="323"/>
      <c r="DA251" s="323"/>
      <c r="DC251" s="323"/>
      <c r="DE251" s="323"/>
      <c r="DG251" s="323"/>
      <c r="DI251" s="323"/>
      <c r="DJ251" s="485"/>
    </row>
    <row r="252" spans="1:114" ht="11.25" customHeight="1" x14ac:dyDescent="0.3">
      <c r="A252" s="765"/>
      <c r="C252" s="219"/>
      <c r="D252" s="220"/>
      <c r="E252" s="517"/>
      <c r="F252" s="516"/>
      <c r="G252" s="223"/>
      <c r="H252" s="219"/>
      <c r="J252" s="219"/>
      <c r="K252" s="220"/>
      <c r="L252" s="517"/>
      <c r="M252" s="516"/>
      <c r="N252" s="223"/>
      <c r="O252" s="219"/>
      <c r="AB252" s="327" t="str">
        <f t="shared" si="84"/>
        <v/>
      </c>
      <c r="AC252" s="327" t="str">
        <f t="shared" si="85"/>
        <v/>
      </c>
      <c r="AD252" s="327" t="str">
        <f t="shared" si="86"/>
        <v/>
      </c>
      <c r="AE252" s="327" t="str">
        <f t="shared" si="87"/>
        <v/>
      </c>
      <c r="AF252" s="325"/>
      <c r="AG252" s="485">
        <v>4</v>
      </c>
      <c r="AH252" s="488" t="b">
        <f ca="1">IF(OR(NOT(W247),NOT(X237)),FALSE,D252="")</f>
        <v>0</v>
      </c>
      <c r="AI252" s="488" t="b">
        <f ca="1">IF(OR(NOT(W247),NOT(X237)),FALSE,E252="")</f>
        <v>0</v>
      </c>
      <c r="AJ252" s="488" t="b">
        <f ca="1">IF(OR(NOT(W247),NOT(X237)),FALSE,F252="")</f>
        <v>0</v>
      </c>
      <c r="AK252" s="488" t="b">
        <f ca="1">IF(OR(NOT(W247),NOT(X237)),FALSE,G252="")</f>
        <v>0</v>
      </c>
      <c r="AL252" s="488" t="b">
        <f ca="1">IF(OR(NOT(Y247),NOT(Z237)),FALSE,K252="")</f>
        <v>0</v>
      </c>
      <c r="AM252" s="488" t="b">
        <f ca="1">IF(OR(NOT(Y247),NOT(Z237)),FALSE,L252="")</f>
        <v>0</v>
      </c>
      <c r="AN252" s="488" t="b">
        <f ca="1">IF(OR(NOT(Y247),NOT(Z237)),FALSE,M252="")</f>
        <v>0</v>
      </c>
      <c r="AO252" s="488" t="b">
        <f ca="1">IF(OR(NOT(Y247),NOT(Z237)),FALSE,N252="")</f>
        <v>0</v>
      </c>
      <c r="AS252" s="323"/>
      <c r="AT252" s="323"/>
      <c r="AW252" s="485"/>
      <c r="AY252" s="323"/>
      <c r="BA252" s="323"/>
      <c r="BC252" s="323"/>
      <c r="BE252" s="323"/>
      <c r="BG252" s="323"/>
      <c r="BI252" s="323"/>
      <c r="BK252" s="323"/>
      <c r="BM252" s="323"/>
      <c r="BO252" s="323"/>
      <c r="BQ252" s="323"/>
      <c r="BS252" s="323"/>
      <c r="BU252" s="323"/>
      <c r="BW252" s="323"/>
      <c r="BY252" s="323"/>
      <c r="CA252" s="323"/>
      <c r="CC252" s="323"/>
      <c r="CE252" s="323"/>
      <c r="CG252" s="323"/>
      <c r="CI252" s="323"/>
      <c r="CK252" s="323"/>
      <c r="CM252" s="323"/>
      <c r="CO252" s="323"/>
      <c r="CQ252" s="323"/>
      <c r="CS252" s="323"/>
      <c r="CU252" s="323"/>
      <c r="CW252" s="323"/>
      <c r="CY252" s="323"/>
      <c r="DA252" s="323"/>
      <c r="DC252" s="323"/>
      <c r="DE252" s="323"/>
      <c r="DG252" s="323"/>
      <c r="DI252" s="323"/>
      <c r="DJ252" s="485"/>
    </row>
    <row r="253" spans="1:114" ht="11.25" customHeight="1" x14ac:dyDescent="0.3">
      <c r="A253" s="765"/>
      <c r="C253" s="219"/>
      <c r="D253" s="220"/>
      <c r="E253" s="517"/>
      <c r="F253" s="516"/>
      <c r="G253" s="223"/>
      <c r="H253" s="219"/>
      <c r="J253" s="219"/>
      <c r="K253" s="220"/>
      <c r="L253" s="517"/>
      <c r="M253" s="516"/>
      <c r="N253" s="223"/>
      <c r="O253" s="219"/>
      <c r="AB253" s="327" t="str">
        <f t="shared" si="84"/>
        <v/>
      </c>
      <c r="AC253" s="327" t="str">
        <f t="shared" si="85"/>
        <v/>
      </c>
      <c r="AD253" s="327" t="str">
        <f t="shared" si="86"/>
        <v/>
      </c>
      <c r="AE253" s="327" t="str">
        <f t="shared" si="87"/>
        <v/>
      </c>
      <c r="AF253" s="325"/>
      <c r="AG253" s="495">
        <v>5</v>
      </c>
      <c r="AH253" s="488" t="b">
        <f ca="1">IF(OR(NOT(W247),NOT(X237)),FALSE,D253="")</f>
        <v>0</v>
      </c>
      <c r="AI253" s="488" t="b">
        <f ca="1">IF(OR(NOT(W247),NOT(X237)),FALSE,E253="")</f>
        <v>0</v>
      </c>
      <c r="AJ253" s="488" t="b">
        <f ca="1">IF(OR(NOT(W247),NOT(X237)),FALSE,F253="")</f>
        <v>0</v>
      </c>
      <c r="AK253" s="488" t="b">
        <f ca="1">IF(OR(NOT(W247),NOT(X237)),FALSE,G253="")</f>
        <v>0</v>
      </c>
      <c r="AL253" s="488" t="b">
        <f ca="1">IF(OR(NOT(Y247),NOT(Z237)),FALSE,K253="")</f>
        <v>0</v>
      </c>
      <c r="AM253" s="488" t="b">
        <f ca="1">IF(OR(NOT(Y247),NOT(Z237)),FALSE,L253="")</f>
        <v>0</v>
      </c>
      <c r="AN253" s="488" t="b">
        <f ca="1">IF(OR(NOT(Y247),NOT(Z237)),FALSE,M253="")</f>
        <v>0</v>
      </c>
      <c r="AO253" s="488" t="b">
        <f ca="1">IF(OR(NOT(Y247),NOT(Z237)),FALSE,N253="")</f>
        <v>0</v>
      </c>
      <c r="AP253" s="495"/>
      <c r="AS253" s="323"/>
      <c r="AT253" s="323"/>
      <c r="AW253" s="485"/>
      <c r="AY253" s="323"/>
      <c r="BA253" s="323"/>
      <c r="BC253" s="323"/>
      <c r="BE253" s="323"/>
      <c r="BG253" s="323"/>
      <c r="BI253" s="323"/>
      <c r="BK253" s="323"/>
      <c r="BM253" s="323"/>
      <c r="BO253" s="323"/>
      <c r="BQ253" s="323"/>
      <c r="BS253" s="323"/>
      <c r="BU253" s="323"/>
      <c r="BW253" s="323"/>
      <c r="BY253" s="323"/>
      <c r="CA253" s="323"/>
      <c r="CC253" s="323"/>
      <c r="CE253" s="323"/>
      <c r="CG253" s="323"/>
      <c r="CI253" s="323"/>
      <c r="CK253" s="323"/>
      <c r="CM253" s="323"/>
      <c r="CO253" s="323"/>
      <c r="CQ253" s="323"/>
      <c r="CS253" s="323"/>
      <c r="CU253" s="323"/>
      <c r="CW253" s="323"/>
      <c r="CY253" s="323"/>
      <c r="DA253" s="323"/>
      <c r="DC253" s="323"/>
      <c r="DE253" s="323"/>
      <c r="DG253" s="323"/>
      <c r="DI253" s="323"/>
      <c r="DJ253" s="485"/>
    </row>
    <row r="254" spans="1:114" ht="11.25" customHeight="1" x14ac:dyDescent="0.3">
      <c r="A254" s="765"/>
      <c r="C254" s="219"/>
      <c r="D254" s="220"/>
      <c r="E254" s="517"/>
      <c r="F254" s="516"/>
      <c r="G254" s="223"/>
      <c r="H254" s="219"/>
      <c r="J254" s="219"/>
      <c r="K254" s="220"/>
      <c r="L254" s="517"/>
      <c r="M254" s="516"/>
      <c r="N254" s="223"/>
      <c r="O254" s="219"/>
      <c r="AB254" s="327" t="str">
        <f t="shared" si="84"/>
        <v/>
      </c>
      <c r="AC254" s="327" t="str">
        <f t="shared" si="85"/>
        <v/>
      </c>
      <c r="AD254" s="327" t="str">
        <f t="shared" si="86"/>
        <v/>
      </c>
      <c r="AE254" s="327" t="str">
        <f t="shared" si="87"/>
        <v/>
      </c>
      <c r="AF254" s="325"/>
      <c r="AG254" s="485">
        <v>6</v>
      </c>
      <c r="AH254" s="496" t="b">
        <f ca="1">IF(OR(NOT(W247),NOT(X237)),FALSE,AND(D254="",OR(AG254&lt;=W248+COUNTIF(E249:E254,$W$218),AG254&lt;=X248+COUNTIF(F249:F254,$W$218))))</f>
        <v>0</v>
      </c>
      <c r="AI254" s="496" t="b">
        <f ca="1">IF(OR(NOT(W247),NOT(X237)),FALSE,AND(E254="",OR(AG254&lt;=W248+COUNTIF(E249:E254,$W$218),AG254&lt;=X248+COUNTIF(F249:F254,$W$218))))</f>
        <v>0</v>
      </c>
      <c r="AJ254" s="496" t="b">
        <f ca="1">IF(OR(NOT(W247),NOT(X237)),FALSE,AND(F254="",OR(AG254&lt;=W248+COUNTIF(E249:E254,$W$218),AG254&lt;=X248+COUNTIF(F249:F254,$W$218))))</f>
        <v>0</v>
      </c>
      <c r="AK254" s="496" t="b">
        <f ca="1">IF(OR(NOT(W247),NOT(X237)),FALSE,AND(G254="",OR(AG254&lt;=W248+COUNTIF(E249:E254,$W$218),AG254&lt;=X248+COUNTIF(F249:F254,$W$218))))</f>
        <v>0</v>
      </c>
      <c r="AL254" s="496" t="b">
        <f ca="1">IF(OR(NOT(Y247),NOT(Z237)),FALSE,AND(K254="",OR(AG254&lt;=Y248+COUNTIF(L249:L254,$W$218),AG254&lt;=Z248+COUNTIF(M249:M254,$W$218))))</f>
        <v>0</v>
      </c>
      <c r="AM254" s="496" t="b">
        <f ca="1">IF(OR(NOT(Y247),NOT(Z237)),FALSE,AND(L254="",OR(AG254&lt;=Y248+COUNTIF(L249:L254,$W$218),AG254&lt;=Z248+COUNTIF(M249:M254,$W$218))))</f>
        <v>0</v>
      </c>
      <c r="AN254" s="496" t="b">
        <f ca="1">IF(OR(NOT(Y247),NOT(Z237)),FALSE,AND(M254="",OR(AG254&lt;=Y248+COUNTIF(L249:L254,$W$218),AG254&lt;=Z248+COUNTIF(M249:M254,$W$218))))</f>
        <v>0</v>
      </c>
      <c r="AO254" s="496" t="b">
        <f ca="1">IF(OR(NOT(Y247),NOT(Z237)),FALSE,AND(N254="",OR(AG254&lt;=Y248+COUNTIF(L249:L254,$W$218),AG254&lt;=Z248+COUNTIF(M249:M254,$W$218))))</f>
        <v>0</v>
      </c>
      <c r="AS254" s="323"/>
      <c r="AT254" s="323"/>
      <c r="AW254" s="485"/>
      <c r="AY254" s="323"/>
      <c r="BA254" s="323"/>
      <c r="BC254" s="323"/>
      <c r="BE254" s="323"/>
      <c r="BG254" s="323"/>
      <c r="BI254" s="323"/>
      <c r="BK254" s="323"/>
      <c r="BM254" s="323"/>
      <c r="BO254" s="323"/>
      <c r="BQ254" s="323"/>
      <c r="BS254" s="323"/>
      <c r="BU254" s="323"/>
      <c r="BW254" s="323"/>
      <c r="BY254" s="323"/>
      <c r="CA254" s="323"/>
      <c r="CC254" s="323"/>
      <c r="CE254" s="323"/>
      <c r="CG254" s="323"/>
      <c r="CI254" s="323"/>
      <c r="CK254" s="323"/>
      <c r="CM254" s="323"/>
      <c r="CO254" s="323"/>
      <c r="CQ254" s="323"/>
      <c r="CS254" s="323"/>
      <c r="CU254" s="323"/>
      <c r="CW254" s="323"/>
      <c r="CY254" s="323"/>
      <c r="DA254" s="323"/>
      <c r="DC254" s="323"/>
      <c r="DE254" s="323"/>
      <c r="DG254" s="323"/>
      <c r="DI254" s="323"/>
      <c r="DJ254" s="485"/>
    </row>
    <row r="255" spans="1:114" ht="11.25" customHeight="1" x14ac:dyDescent="0.3">
      <c r="A255" s="765"/>
      <c r="C255" s="219"/>
      <c r="D255" s="220"/>
      <c r="E255" s="517"/>
      <c r="F255" s="516"/>
      <c r="G255" s="223"/>
      <c r="H255" s="219"/>
      <c r="J255" s="219"/>
      <c r="K255" s="220"/>
      <c r="L255" s="517"/>
      <c r="M255" s="516"/>
      <c r="N255" s="223"/>
      <c r="O255" s="219"/>
      <c r="AB255" s="327" t="str">
        <f t="shared" si="84"/>
        <v/>
      </c>
      <c r="AC255" s="327" t="str">
        <f t="shared" si="85"/>
        <v/>
      </c>
      <c r="AD255" s="327" t="str">
        <f t="shared" si="86"/>
        <v/>
      </c>
      <c r="AE255" s="327" t="str">
        <f t="shared" si="87"/>
        <v/>
      </c>
      <c r="AF255" s="325"/>
      <c r="AG255" s="485">
        <v>7</v>
      </c>
      <c r="AH255" s="496" t="b">
        <f ca="1">IF(OR(NOT(W247),NOT(X237)),FALSE,AND(D255="",OR(AG255&lt;=W248+COUNTIF(E249:E255,$W$218),AG255&lt;=X248+COUNTIF(F249:F255,$W$218))))</f>
        <v>0</v>
      </c>
      <c r="AI255" s="496" t="b">
        <f ca="1">IF(OR(NOT(W247),NOT(X237)),FALSE,AND(E255="",OR(AG255&lt;=W248+COUNTIF(E249:E255,$W$218),AG255&lt;=X248+COUNTIF(F249:F255,$W$218))))</f>
        <v>0</v>
      </c>
      <c r="AJ255" s="496" t="b">
        <f ca="1">IF(OR(NOT(W247),NOT(X237)),FALSE,AND(F255="",OR(AG255&lt;=W248+COUNTIF(E249:E255,$W$218),AG255&lt;=X248+COUNTIF(F249:F255,$W$218))))</f>
        <v>0</v>
      </c>
      <c r="AK255" s="496" t="b">
        <f ca="1">IF(OR(NOT(W247),NOT(X237)),FALSE,AND(G255="",OR(AG255&lt;=W248+COUNTIF(E249:E255,$W$218),AG255&lt;=X248+COUNTIF(F249:F255,$W$218))))</f>
        <v>0</v>
      </c>
      <c r="AL255" s="496" t="b">
        <f ca="1">IF(OR(NOT(Y247),NOT(Z237)),FALSE,AND(K255="",OR(AG255&lt;=Y248+COUNTIF(L249:L255,$W$218),AG255&lt;=Z248+COUNTIF(M249:M255,$W$218))))</f>
        <v>0</v>
      </c>
      <c r="AM255" s="496" t="b">
        <f ca="1">IF(OR(NOT(Y247),NOT(Z237)),FALSE,AND(L255="",OR(AG255&lt;=Y248+COUNTIF(L249:L255,$W$218),AG255&lt;=Z248+COUNTIF(M249:M255,$W$218))))</f>
        <v>0</v>
      </c>
      <c r="AN255" s="496" t="b">
        <f ca="1">IF(OR(NOT(Y247),NOT(Z237)),FALSE,AND(M255="",OR(AG255&lt;=Y248+COUNTIF(L249:L255,$W$218),AG255&lt;=Z248+COUNTIF(M249:M255,$W$218))))</f>
        <v>0</v>
      </c>
      <c r="AO255" s="496" t="b">
        <f ca="1">IF(OR(NOT(Y247),NOT(Z237)),FALSE,AND(N255="",OR(AG255&lt;=Y248+COUNTIF(L249:L255,$W$218),AG255&lt;=Z248+COUNTIF(M249:M255,$W$218))))</f>
        <v>0</v>
      </c>
      <c r="AS255" s="323"/>
      <c r="AT255" s="323"/>
      <c r="AW255" s="485"/>
      <c r="AY255" s="323"/>
      <c r="BA255" s="323"/>
      <c r="BC255" s="323"/>
      <c r="BE255" s="323"/>
      <c r="BG255" s="323"/>
      <c r="BI255" s="323"/>
      <c r="BK255" s="323"/>
      <c r="BM255" s="323"/>
      <c r="BO255" s="323"/>
      <c r="BQ255" s="323"/>
      <c r="BS255" s="323"/>
      <c r="BU255" s="323"/>
      <c r="BW255" s="323"/>
      <c r="BY255" s="323"/>
      <c r="CA255" s="323"/>
      <c r="CC255" s="323"/>
      <c r="CE255" s="323"/>
      <c r="CG255" s="323"/>
      <c r="CI255" s="323"/>
      <c r="CK255" s="323"/>
      <c r="CM255" s="323"/>
      <c r="CO255" s="323"/>
      <c r="CQ255" s="323"/>
      <c r="CS255" s="323"/>
      <c r="CU255" s="323"/>
      <c r="CW255" s="323"/>
      <c r="CY255" s="323"/>
      <c r="DA255" s="323"/>
      <c r="DC255" s="323"/>
      <c r="DE255" s="323"/>
      <c r="DG255" s="323"/>
      <c r="DI255" s="323"/>
      <c r="DJ255" s="485"/>
    </row>
    <row r="256" spans="1:114" ht="11.25" customHeight="1" x14ac:dyDescent="0.3">
      <c r="A256" s="765"/>
      <c r="C256" s="219"/>
      <c r="D256" s="220"/>
      <c r="E256" s="517"/>
      <c r="F256" s="516"/>
      <c r="G256" s="223"/>
      <c r="H256" s="219"/>
      <c r="J256" s="219"/>
      <c r="K256" s="220"/>
      <c r="L256" s="517"/>
      <c r="M256" s="516"/>
      <c r="N256" s="223"/>
      <c r="O256" s="219"/>
      <c r="AB256" s="327" t="str">
        <f t="shared" si="84"/>
        <v/>
      </c>
      <c r="AC256" s="327" t="str">
        <f t="shared" si="85"/>
        <v/>
      </c>
      <c r="AD256" s="327" t="str">
        <f t="shared" si="86"/>
        <v/>
      </c>
      <c r="AE256" s="327" t="str">
        <f t="shared" si="87"/>
        <v/>
      </c>
      <c r="AF256" s="325"/>
      <c r="AG256" s="485">
        <v>8</v>
      </c>
      <c r="AH256" s="496" t="b">
        <f ca="1">IF(OR(NOT(W247),NOT(X237)),FALSE,AND(D256="",OR(AG256&lt;=W248+COUNTIF(E249:E256,$W$218),AG256&lt;=X248+COUNTIF(F249:F256,$W$218))))</f>
        <v>0</v>
      </c>
      <c r="AI256" s="496" t="b">
        <f ca="1">IF(OR(NOT(W247),NOT(X237)),FALSE,AND(E256="",OR(AG256&lt;=W248+COUNTIF(E249:E256,$W$218),AG256&lt;=X248+COUNTIF(F249:F256,$W$218))))</f>
        <v>0</v>
      </c>
      <c r="AJ256" s="496" t="b">
        <f ca="1">IF(OR(NOT(W247),NOT(X237)),FALSE,AND(F256="",OR(AG256&lt;=W248+COUNTIF(E249:E256,$W$218),AG256&lt;=X248+COUNTIF(F249:F256,$W$218))))</f>
        <v>0</v>
      </c>
      <c r="AK256" s="496" t="b">
        <f ca="1">IF(OR(NOT(W247),NOT(X237)),FALSE,AND(G256="",OR(AG256&lt;=W248+COUNTIF(E249:E256,$W$218),AG256&lt;=X248+COUNTIF(F249:F256,$W$218))))</f>
        <v>0</v>
      </c>
      <c r="AL256" s="496" t="b">
        <f ca="1">IF(OR(NOT(Y247),NOT(Z237)),FALSE,AND(K256="",OR(AG256&lt;=Y248+COUNTIF(L249:L256,$W$218),AG256&lt;=Z248+COUNTIF(M249:M256,$W$218))))</f>
        <v>0</v>
      </c>
      <c r="AM256" s="496" t="b">
        <f ca="1">IF(OR(NOT(Y247),NOT(Z237)),FALSE,AND(L256="",OR(AG256&lt;=Y248+COUNTIF(L249:L256,$W$218),AG256&lt;=Z248+COUNTIF(M249:M256,$W$218))))</f>
        <v>0</v>
      </c>
      <c r="AN256" s="496" t="b">
        <f ca="1">IF(OR(NOT(Y247),NOT(Z237)),FALSE,AND(M256="",OR(AG256&lt;=Y248+COUNTIF(L249:L256,$W$218),AG256&lt;=Z248+COUNTIF(M249:M256,$W$218))))</f>
        <v>0</v>
      </c>
      <c r="AO256" s="496" t="b">
        <f ca="1">IF(OR(NOT(Y247),NOT(Z237)),FALSE,AND(N256="",OR(AG256&lt;=Y248+COUNTIF(L249:L256,$W$218),AG256&lt;=Z248+COUNTIF(M249:M256,$W$218))))</f>
        <v>0</v>
      </c>
      <c r="AS256" s="323"/>
      <c r="AT256" s="323"/>
      <c r="AW256" s="485"/>
      <c r="AY256" s="323"/>
      <c r="BA256" s="323"/>
      <c r="BC256" s="323"/>
      <c r="BE256" s="323"/>
      <c r="BG256" s="323"/>
      <c r="BI256" s="323"/>
      <c r="BK256" s="323"/>
      <c r="BM256" s="323"/>
      <c r="BO256" s="323"/>
      <c r="BQ256" s="323"/>
      <c r="BS256" s="323"/>
      <c r="BU256" s="323"/>
      <c r="BW256" s="323"/>
      <c r="BY256" s="323"/>
      <c r="CA256" s="323"/>
      <c r="CC256" s="323"/>
      <c r="CE256" s="323"/>
      <c r="CG256" s="323"/>
      <c r="CI256" s="323"/>
      <c r="CK256" s="323"/>
      <c r="CM256" s="323"/>
      <c r="CO256" s="323"/>
      <c r="CQ256" s="323"/>
      <c r="CS256" s="323"/>
      <c r="CU256" s="323"/>
      <c r="CW256" s="323"/>
      <c r="CY256" s="323"/>
      <c r="DA256" s="323"/>
      <c r="DC256" s="323"/>
      <c r="DE256" s="323"/>
      <c r="DG256" s="323"/>
      <c r="DI256" s="323"/>
      <c r="DJ256" s="485"/>
    </row>
    <row r="257" spans="1:115" ht="11.25" customHeight="1" x14ac:dyDescent="0.3">
      <c r="A257" s="765"/>
      <c r="C257" s="219"/>
      <c r="D257" s="220"/>
      <c r="E257" s="517"/>
      <c r="F257" s="516"/>
      <c r="G257" s="223"/>
      <c r="H257" s="219"/>
      <c r="J257" s="219"/>
      <c r="K257" s="220"/>
      <c r="L257" s="517"/>
      <c r="M257" s="516"/>
      <c r="N257" s="223"/>
      <c r="O257" s="219"/>
      <c r="AB257" s="327" t="str">
        <f t="shared" si="84"/>
        <v/>
      </c>
      <c r="AC257" s="327" t="str">
        <f t="shared" si="85"/>
        <v/>
      </c>
      <c r="AD257" s="327" t="str">
        <f t="shared" si="86"/>
        <v/>
      </c>
      <c r="AE257" s="327" t="str">
        <f t="shared" si="87"/>
        <v/>
      </c>
      <c r="AF257" s="325"/>
      <c r="AG257" s="485">
        <v>9</v>
      </c>
      <c r="AH257" s="496" t="b">
        <f ca="1">IF(OR(NOT(W247),NOT(X237)),FALSE,AND(D257="",OR(AG257&lt;=W248+COUNTIF(E249:E257,$W$218),AG257&lt;=X248+COUNTIF(F249:F257,$W$218))))</f>
        <v>0</v>
      </c>
      <c r="AI257" s="496" t="b">
        <f ca="1">IF(OR(NOT(W247),NOT(X237)),FALSE,AND(E257="",OR(AG257&lt;=W248+COUNTIF(E249:E257,$W$218),AG257&lt;=X248+COUNTIF(F249:F257,$W$218))))</f>
        <v>0</v>
      </c>
      <c r="AJ257" s="496" t="b">
        <f ca="1">IF(OR(NOT(W247),NOT(X237)),FALSE,AND(F257="",OR(AG257&lt;=W248+COUNTIF(E249:E257,$W$218),AG257&lt;=X248+COUNTIF(F249:F257,$W$218))))</f>
        <v>0</v>
      </c>
      <c r="AK257" s="496" t="b">
        <f ca="1">IF(OR(NOT(W247),NOT(X237)),FALSE,AND(G257="",OR(AG257&lt;=W248+COUNTIF(E249:E257,$W$218),AG257&lt;=X248+COUNTIF(F249:F257,$W$218))))</f>
        <v>0</v>
      </c>
      <c r="AL257" s="496" t="b">
        <f ca="1">IF(OR(NOT(Y247),NOT(Z237)),FALSE,AND(K257="",OR(AG257&lt;=Y248+COUNTIF(L249:L257,$W$218),AG257&lt;=Z248+COUNTIF(M249:M257,$W$218))))</f>
        <v>0</v>
      </c>
      <c r="AM257" s="496" t="b">
        <f ca="1">IF(OR(NOT(Y247),NOT(Z237)),FALSE,AND(L257="",OR(AG257&lt;=Y248+COUNTIF(L249:L257,$W$218),AG257&lt;=Z248+COUNTIF(M249:M257,$W$218))))</f>
        <v>0</v>
      </c>
      <c r="AN257" s="496" t="b">
        <f ca="1">IF(OR(NOT(Y247),NOT(Z237)),FALSE,AND(M257="",OR(AG257&lt;=Y248+COUNTIF(L249:L257,$W$218),AG257&lt;=Z248+COUNTIF(M249:M257,$W$218))))</f>
        <v>0</v>
      </c>
      <c r="AO257" s="496" t="b">
        <f ca="1">IF(OR(NOT(Y247),NOT(Z237)),FALSE,AND(N257="",OR(AG257&lt;=Y248+COUNTIF(L249:L257,$W$218),AG257&lt;=Z248+COUNTIF(M249:M257,$W$218))))</f>
        <v>0</v>
      </c>
      <c r="AS257" s="323"/>
      <c r="AT257" s="323"/>
      <c r="AW257" s="485"/>
      <c r="AY257" s="323"/>
      <c r="BA257" s="323"/>
      <c r="BC257" s="323"/>
      <c r="BE257" s="323"/>
      <c r="BG257" s="323"/>
      <c r="BI257" s="323"/>
      <c r="BK257" s="323"/>
      <c r="BM257" s="323"/>
      <c r="BO257" s="323"/>
      <c r="BQ257" s="323"/>
      <c r="BS257" s="323"/>
      <c r="BU257" s="323"/>
      <c r="BW257" s="323"/>
      <c r="BY257" s="323"/>
      <c r="CA257" s="323"/>
      <c r="CC257" s="323"/>
      <c r="CE257" s="323"/>
      <c r="CG257" s="323"/>
      <c r="CI257" s="323"/>
      <c r="CK257" s="323"/>
      <c r="CM257" s="323"/>
      <c r="CO257" s="323"/>
      <c r="CQ257" s="323"/>
      <c r="CS257" s="323"/>
      <c r="CU257" s="323"/>
      <c r="CW257" s="323"/>
      <c r="CY257" s="323"/>
      <c r="DA257" s="323"/>
      <c r="DC257" s="323"/>
      <c r="DE257" s="323"/>
      <c r="DG257" s="323"/>
      <c r="DI257" s="323"/>
      <c r="DJ257" s="485"/>
    </row>
    <row r="258" spans="1:115" ht="11.25" customHeight="1" x14ac:dyDescent="0.3">
      <c r="A258" s="765"/>
      <c r="C258" s="219"/>
      <c r="D258" s="220"/>
      <c r="E258" s="517"/>
      <c r="F258" s="516"/>
      <c r="G258" s="223"/>
      <c r="H258" s="219"/>
      <c r="J258" s="219"/>
      <c r="K258" s="220"/>
      <c r="L258" s="517"/>
      <c r="M258" s="516"/>
      <c r="N258" s="223"/>
      <c r="O258" s="219"/>
      <c r="AB258" s="327" t="str">
        <f t="shared" si="84"/>
        <v/>
      </c>
      <c r="AC258" s="327" t="str">
        <f t="shared" si="85"/>
        <v/>
      </c>
      <c r="AD258" s="327" t="str">
        <f t="shared" si="86"/>
        <v/>
      </c>
      <c r="AE258" s="327" t="str">
        <f t="shared" si="87"/>
        <v/>
      </c>
      <c r="AF258" s="325"/>
      <c r="AG258" s="485">
        <v>10</v>
      </c>
      <c r="AH258" s="496" t="b">
        <f ca="1">IF(OR(NOT(W247),NOT(X237)),FALSE,AND(D258="",OR(AG258&lt;=W248+COUNTIF(E249:E258,$W$218),AG258&lt;=X248+COUNTIF(F249:F258,$W$218))))</f>
        <v>0</v>
      </c>
      <c r="AI258" s="496" t="b">
        <f ca="1">IF(OR(NOT(W247),NOT(X237)),FALSE,AND(E258="",OR(AG258&lt;=W248+COUNTIF(E249:E258,$W$218),AG258&lt;=X248+COUNTIF(F249:F258,$W$218))))</f>
        <v>0</v>
      </c>
      <c r="AJ258" s="496" t="b">
        <f ca="1">IF(OR(NOT(W247),NOT(X237)),FALSE,AND(F258="",OR(AG258&lt;=W248+COUNTIF(E249:E258,$W$218),AG258&lt;=X248+COUNTIF(F249:F258,$W$218))))</f>
        <v>0</v>
      </c>
      <c r="AK258" s="496" t="b">
        <f ca="1">IF(OR(NOT(W247),NOT(X237)),FALSE,AND(G258="",OR(AG258&lt;=W248+COUNTIF(E249:E258,$W$218),AG258&lt;=X248+COUNTIF(F249:F258,$W$218))))</f>
        <v>0</v>
      </c>
      <c r="AL258" s="496" t="b">
        <f ca="1">IF(OR(NOT(Y247),NOT(Z237)),FALSE,AND(K258="",OR(AG258&lt;=Y248+COUNTIF(L249:L258,$W$218),AG258&lt;=Z248+COUNTIF(M249:M258,$W$218))))</f>
        <v>0</v>
      </c>
      <c r="AM258" s="496" t="b">
        <f ca="1">IF(OR(NOT(Y247),NOT(Z237)),FALSE,AND(L258="",OR(AG258&lt;=Y248+COUNTIF(L249:L258,$W$218),AG258&lt;=Z248+COUNTIF(M249:M258,$W$218))))</f>
        <v>0</v>
      </c>
      <c r="AN258" s="496" t="b">
        <f ca="1">IF(OR(NOT(Y247),NOT(Z237)),FALSE,AND(M258="",OR(AG258&lt;=Y248+COUNTIF(L249:L258,$W$218),AG258&lt;=Z248+COUNTIF(M249:M258,$W$218))))</f>
        <v>0</v>
      </c>
      <c r="AO258" s="496" t="b">
        <f ca="1">IF(OR(NOT(Y247),NOT(Z237)),FALSE,AND(N258="",OR(AG258&lt;=Y248+COUNTIF(L249:L258,$W$218),AG258&lt;=Z248+COUNTIF(M249:M258,$W$218))))</f>
        <v>0</v>
      </c>
      <c r="AW258" s="485"/>
      <c r="AY258" s="323"/>
      <c r="BA258" s="323"/>
      <c r="BC258" s="323"/>
      <c r="BE258" s="323"/>
      <c r="BG258" s="323"/>
      <c r="BI258" s="323"/>
      <c r="BK258" s="323"/>
      <c r="BM258" s="323"/>
      <c r="BO258" s="323"/>
      <c r="BQ258" s="323"/>
      <c r="BS258" s="323"/>
      <c r="BU258" s="323"/>
      <c r="BW258" s="323"/>
      <c r="BY258" s="323"/>
      <c r="CA258" s="323"/>
      <c r="CC258" s="323"/>
      <c r="CE258" s="323"/>
      <c r="CG258" s="323"/>
      <c r="CI258" s="323"/>
      <c r="CK258" s="323"/>
      <c r="CM258" s="323"/>
      <c r="CO258" s="323"/>
      <c r="CQ258" s="323"/>
      <c r="CS258" s="323"/>
      <c r="CU258" s="323"/>
      <c r="CW258" s="323"/>
      <c r="CY258" s="323"/>
      <c r="DA258" s="323"/>
      <c r="DC258" s="323"/>
      <c r="DE258" s="323"/>
      <c r="DG258" s="323"/>
      <c r="DI258" s="323"/>
      <c r="DJ258" s="485"/>
    </row>
    <row r="259" spans="1:115" ht="11.25" customHeight="1" x14ac:dyDescent="0.3">
      <c r="A259" s="765"/>
      <c r="C259" s="219"/>
      <c r="D259" s="220"/>
      <c r="E259" s="517"/>
      <c r="F259" s="516"/>
      <c r="G259" s="223"/>
      <c r="H259" s="219"/>
      <c r="J259" s="219"/>
      <c r="K259" s="220"/>
      <c r="L259" s="517"/>
      <c r="M259" s="516"/>
      <c r="N259" s="223"/>
      <c r="O259" s="219"/>
      <c r="AB259" s="327" t="str">
        <f t="shared" si="84"/>
        <v/>
      </c>
      <c r="AC259" s="327" t="str">
        <f t="shared" si="85"/>
        <v/>
      </c>
      <c r="AD259" s="327" t="str">
        <f t="shared" si="86"/>
        <v/>
      </c>
      <c r="AE259" s="327" t="str">
        <f t="shared" si="87"/>
        <v/>
      </c>
      <c r="AF259" s="325"/>
      <c r="AG259" s="485">
        <v>11</v>
      </c>
      <c r="AH259" s="496" t="b">
        <f ca="1">IF(OR(NOT(W247),NOT(X237)),FALSE,AND(D259="",OR(AG259&lt;=W248+COUNTIF(E249:E259,$W$218),AG259&lt;=X248+COUNTIF(F249:F259,$W$218))))</f>
        <v>0</v>
      </c>
      <c r="AI259" s="496" t="b">
        <f ca="1">IF(OR(NOT(W247),NOT(X237)),FALSE,AND(E259="",OR(AG259&lt;=W248+COUNTIF(E249:E259,$W$218),AG259&lt;=X248+COUNTIF(F249:F259,$W$218))))</f>
        <v>0</v>
      </c>
      <c r="AJ259" s="496" t="b">
        <f ca="1">IF(OR(NOT(W247),NOT(X237)),FALSE,AND(F259="",OR(AG259&lt;=W248+COUNTIF(E249:E259,$W$218),AG259&lt;=X248+COUNTIF(F249:F259,$W$218))))</f>
        <v>0</v>
      </c>
      <c r="AK259" s="496" t="b">
        <f ca="1">IF(OR(NOT(W247),NOT(X237)),FALSE,AND(G259="",OR(AG259&lt;=W248+COUNTIF(E249:E259,$W$218),AG259&lt;=X248+COUNTIF(F249:F259,$W$218))))</f>
        <v>0</v>
      </c>
      <c r="AL259" s="496" t="b">
        <f ca="1">IF(OR(NOT(Y247),NOT(Z237)),FALSE,AND(K259="",OR(AG259&lt;=Y248+COUNTIF(L249:L259,$W$218),AG259&lt;=Z248+COUNTIF(M249:M259,$W$218))))</f>
        <v>0</v>
      </c>
      <c r="AM259" s="496" t="b">
        <f ca="1">IF(OR(NOT(Y247),NOT(Z237)),FALSE,AND(L259="",OR(AG259&lt;=Y248+COUNTIF(L249:L259,$W$218),AG259&lt;=Z248+COUNTIF(M249:M259,$W$218))))</f>
        <v>0</v>
      </c>
      <c r="AN259" s="496" t="b">
        <f ca="1">IF(OR(NOT(Y247),NOT(Z237)),FALSE,AND(M259="",OR(AG259&lt;=Y248+COUNTIF(L249:L259,$W$218),AG259&lt;=Z248+COUNTIF(M249:M259,$W$218))))</f>
        <v>0</v>
      </c>
      <c r="AO259" s="496" t="b">
        <f ca="1">IF(OR(NOT(Y247),NOT(Z237)),FALSE,AND(N259="",OR(AG259&lt;=Y248+COUNTIF(L249:L259,$W$218),AG259&lt;=Z248+COUNTIF(M249:M259,$W$218))))</f>
        <v>0</v>
      </c>
      <c r="AW259" s="485"/>
      <c r="AY259" s="323"/>
      <c r="BA259" s="323"/>
      <c r="BC259" s="323"/>
      <c r="BE259" s="323"/>
      <c r="BG259" s="323"/>
      <c r="BI259" s="323"/>
      <c r="BK259" s="323"/>
      <c r="BM259" s="323"/>
      <c r="BO259" s="323"/>
      <c r="BQ259" s="323"/>
      <c r="BS259" s="323"/>
      <c r="BU259" s="323"/>
      <c r="BW259" s="323"/>
      <c r="BY259" s="323"/>
      <c r="CA259" s="323"/>
      <c r="CC259" s="323"/>
      <c r="CE259" s="323"/>
      <c r="CG259" s="323"/>
      <c r="CI259" s="323"/>
      <c r="CK259" s="323"/>
      <c r="CM259" s="323"/>
      <c r="CO259" s="323"/>
      <c r="CQ259" s="323"/>
      <c r="CS259" s="323"/>
      <c r="CU259" s="323"/>
      <c r="CW259" s="323"/>
      <c r="CY259" s="323"/>
      <c r="DA259" s="323"/>
      <c r="DC259" s="323"/>
      <c r="DE259" s="323"/>
      <c r="DG259" s="323"/>
      <c r="DI259" s="323"/>
      <c r="DJ259" s="485"/>
    </row>
    <row r="260" spans="1:115" ht="11.25" customHeight="1" x14ac:dyDescent="0.3">
      <c r="A260" s="765"/>
      <c r="C260" s="219"/>
      <c r="D260" s="220"/>
      <c r="E260" s="517"/>
      <c r="F260" s="516"/>
      <c r="G260" s="223"/>
      <c r="H260" s="219"/>
      <c r="J260" s="219"/>
      <c r="K260" s="220"/>
      <c r="L260" s="517"/>
      <c r="M260" s="516"/>
      <c r="N260" s="223"/>
      <c r="O260" s="219"/>
      <c r="AB260" s="327" t="str">
        <f t="shared" si="84"/>
        <v/>
      </c>
      <c r="AC260" s="327" t="str">
        <f t="shared" si="85"/>
        <v/>
      </c>
      <c r="AD260" s="327" t="str">
        <f t="shared" si="86"/>
        <v/>
      </c>
      <c r="AE260" s="327" t="str">
        <f t="shared" si="87"/>
        <v/>
      </c>
      <c r="AF260" s="325"/>
      <c r="AG260" s="485">
        <v>12</v>
      </c>
      <c r="AH260" s="496" t="b">
        <f ca="1">IF(OR(NOT(W247),NOT(X237)),FALSE,AND(D260="",OR(AG260&lt;=W248+COUNTIF(E249:E260,$W$218),AG260&lt;=X248+COUNTIF(F249:F260,$W$218))))</f>
        <v>0</v>
      </c>
      <c r="AI260" s="496" t="b">
        <f ca="1">IF(OR(NOT(W247),NOT(X237)),FALSE,AND(E260="",OR(AG260&lt;=W248+COUNTIF(E249:E260,$W$218),AG260&lt;=X248+COUNTIF(F249:F260,$W$218))))</f>
        <v>0</v>
      </c>
      <c r="AJ260" s="496" t="b">
        <f ca="1">IF(OR(NOT(W247),NOT(X237)),FALSE,AND(F260="",OR(AG260&lt;=W248+COUNTIF(E249:E260,$W$218),AG260&lt;=X248+COUNTIF(F249:F260,$W$218))))</f>
        <v>0</v>
      </c>
      <c r="AK260" s="496" t="b">
        <f ca="1">IF(OR(NOT(W247),NOT(X237)),FALSE,AND(G260="",OR(AG260&lt;=W248+COUNTIF(E249:E260,$W$218),AG260&lt;=X248+COUNTIF(F249:F260,$W$218))))</f>
        <v>0</v>
      </c>
      <c r="AL260" s="496" t="b">
        <f ca="1">IF(OR(NOT(Y247),NOT(Z237)),FALSE,AND(K260="",OR(AG260&lt;=Y248+COUNTIF(L249:L260,$W$218),AG260&lt;=Z248+COUNTIF(M249:M260,$W$218))))</f>
        <v>0</v>
      </c>
      <c r="AM260" s="496" t="b">
        <f ca="1">IF(OR(NOT(Y247),NOT(Z237)),FALSE,AND(L260="",OR(AG260&lt;=Y248+COUNTIF(L249:L260,$W$218),AG260&lt;=Z248+COUNTIF(M249:M260,$W$218))))</f>
        <v>0</v>
      </c>
      <c r="AN260" s="496" t="b">
        <f ca="1">IF(OR(NOT(Y247),NOT(Z237)),FALSE,AND(M260="",OR(AG260&lt;=Y248+COUNTIF(L249:L260,$W$218),AG260&lt;=Z248+COUNTIF(M249:M260,$W$218))))</f>
        <v>0</v>
      </c>
      <c r="AO260" s="496" t="b">
        <f ca="1">IF(OR(NOT(Y247),NOT(Z237)),FALSE,AND(N260="",OR(AG260&lt;=Y248+COUNTIF(L249:L260,$W$218),AG260&lt;=Z248+COUNTIF(M249:M260,$W$218))))</f>
        <v>0</v>
      </c>
      <c r="AW260" s="485"/>
      <c r="AY260" s="323"/>
      <c r="BA260" s="323"/>
      <c r="BC260" s="323"/>
      <c r="BE260" s="323"/>
      <c r="BG260" s="323"/>
      <c r="BI260" s="323"/>
      <c r="BK260" s="323"/>
      <c r="BM260" s="323"/>
      <c r="BO260" s="323"/>
      <c r="BQ260" s="323"/>
      <c r="BS260" s="323"/>
      <c r="BU260" s="323"/>
      <c r="BW260" s="323"/>
      <c r="BY260" s="323"/>
      <c r="CA260" s="323"/>
      <c r="CC260" s="323"/>
      <c r="CE260" s="323"/>
      <c r="CG260" s="323"/>
      <c r="CI260" s="323"/>
      <c r="CK260" s="323"/>
      <c r="CM260" s="323"/>
      <c r="CO260" s="323"/>
      <c r="CQ260" s="323"/>
      <c r="CS260" s="323"/>
      <c r="CU260" s="323"/>
      <c r="CW260" s="323"/>
      <c r="CY260" s="323"/>
      <c r="DA260" s="323"/>
      <c r="DC260" s="323"/>
      <c r="DE260" s="323"/>
      <c r="DG260" s="323"/>
      <c r="DI260" s="323"/>
      <c r="DJ260" s="485"/>
    </row>
    <row r="261" spans="1:115" ht="11.25" customHeight="1" x14ac:dyDescent="0.3">
      <c r="A261" s="765"/>
      <c r="C261" s="219"/>
      <c r="D261" s="220"/>
      <c r="E261" s="516"/>
      <c r="F261" s="516"/>
      <c r="G261" s="223"/>
      <c r="H261" s="219"/>
      <c r="J261" s="219"/>
      <c r="K261" s="220"/>
      <c r="L261" s="516"/>
      <c r="M261" s="516"/>
      <c r="N261" s="223"/>
      <c r="O261" s="219"/>
      <c r="AB261" s="327" t="str">
        <f t="shared" si="84"/>
        <v/>
      </c>
      <c r="AC261" s="327" t="str">
        <f t="shared" si="85"/>
        <v/>
      </c>
      <c r="AD261" s="327" t="str">
        <f t="shared" si="86"/>
        <v/>
      </c>
      <c r="AE261" s="327" t="str">
        <f t="shared" si="87"/>
        <v/>
      </c>
      <c r="AG261" s="485">
        <v>13</v>
      </c>
      <c r="AH261" s="496" t="b">
        <f ca="1">IF(OR(NOT(W247),NOT(X237)),FALSE,AND(D261="",OR(AG261&lt;=W248+COUNTIF(E249:E261,$W$218),AG261&lt;=X248+COUNTIF(F249:F261,$W$218))))</f>
        <v>0</v>
      </c>
      <c r="AI261" s="496" t="b">
        <f ca="1">IF(OR(NOT(W247),NOT(X237)),FALSE,AND(E261="",OR(AG261&lt;=W248+COUNTIF(E249:E261,$W$218),AG261&lt;=X248+COUNTIF(F249:F261,$W$218))))</f>
        <v>0</v>
      </c>
      <c r="AJ261" s="496" t="b">
        <f ca="1">IF(OR(NOT(W247),NOT(X237)),FALSE,AND(F261="",OR(AG261&lt;=W248+COUNTIF(E249:E261,$W$218),AG261&lt;=X248+COUNTIF(F249:F261,$W$218))))</f>
        <v>0</v>
      </c>
      <c r="AK261" s="496" t="b">
        <f ca="1">IF(OR(NOT(W247),NOT(X237)),FALSE,AND(G261="",OR(AG261&lt;=W248+COUNTIF(E249:E261,$W$218),AG261&lt;=X248+COUNTIF(F249:F261,$W$218))))</f>
        <v>0</v>
      </c>
      <c r="AL261" s="496" t="b">
        <f ca="1">IF(OR(NOT(Y247),NOT(Z237)),FALSE,AND(K261="",OR(AG261&lt;=Y248+COUNTIF(L249:L261,$W$218),AG261&lt;=Z248+COUNTIF(M249:M261,$W$218))))</f>
        <v>0</v>
      </c>
      <c r="AM261" s="496" t="b">
        <f ca="1">IF(OR(NOT(Y247),NOT(Z237)),FALSE,AND(L261="",OR(AG261&lt;=Y248+COUNTIF(L249:L261,$W$218),AG261&lt;=Z248+COUNTIF(M249:M261,$W$218))))</f>
        <v>0</v>
      </c>
      <c r="AN261" s="496" t="b">
        <f ca="1">IF(OR(NOT(Y247),NOT(Z237)),FALSE,AND(M261="",OR(AG261&lt;=Y248+COUNTIF(L249:L261,$W$218),AG261&lt;=Z248+COUNTIF(M249:M261,$W$218))))</f>
        <v>0</v>
      </c>
      <c r="AO261" s="496" t="b">
        <f ca="1">IF(OR(NOT(Y247),NOT(Z237)),FALSE,AND(N261="",OR(AG261&lt;=Y248+COUNTIF(L249:L261,$W$218),AG261&lt;=Z248+COUNTIF(M249:M261,$W$218))))</f>
        <v>0</v>
      </c>
      <c r="AW261" s="485"/>
      <c r="AY261" s="323"/>
      <c r="BA261" s="323"/>
      <c r="BC261" s="323"/>
      <c r="BE261" s="323"/>
      <c r="BG261" s="323"/>
      <c r="BI261" s="323"/>
      <c r="BK261" s="323"/>
      <c r="BM261" s="323"/>
      <c r="BO261" s="323"/>
      <c r="BQ261" s="323"/>
      <c r="BS261" s="323"/>
      <c r="BU261" s="323"/>
      <c r="BW261" s="323"/>
      <c r="BY261" s="323"/>
      <c r="CA261" s="323"/>
      <c r="CC261" s="323"/>
      <c r="CE261" s="323"/>
      <c r="CG261" s="323"/>
      <c r="CI261" s="323"/>
      <c r="CK261" s="323"/>
      <c r="CM261" s="323"/>
      <c r="CO261" s="323"/>
      <c r="CQ261" s="323"/>
      <c r="CS261" s="323"/>
      <c r="CU261" s="323"/>
      <c r="CW261" s="323"/>
      <c r="CY261" s="323"/>
      <c r="DA261" s="323"/>
      <c r="DC261" s="323"/>
      <c r="DE261" s="323"/>
      <c r="DG261" s="323"/>
      <c r="DI261" s="323"/>
      <c r="DJ261" s="485"/>
    </row>
    <row r="262" spans="1:115" ht="11.25" hidden="1" customHeight="1" x14ac:dyDescent="0.3">
      <c r="A262" s="765"/>
      <c r="C262" s="219"/>
      <c r="D262" s="220"/>
      <c r="E262" s="517"/>
      <c r="F262" s="516"/>
      <c r="G262" s="223"/>
      <c r="H262" s="219"/>
      <c r="J262" s="219"/>
      <c r="K262" s="220"/>
      <c r="L262" s="517"/>
      <c r="M262" s="516"/>
      <c r="N262" s="223"/>
      <c r="O262" s="219"/>
      <c r="AB262" s="327" t="str">
        <f t="shared" si="84"/>
        <v/>
      </c>
      <c r="AC262" s="327" t="str">
        <f t="shared" si="85"/>
        <v/>
      </c>
      <c r="AD262" s="327" t="str">
        <f t="shared" si="86"/>
        <v/>
      </c>
      <c r="AE262" s="327" t="str">
        <f t="shared" si="87"/>
        <v/>
      </c>
      <c r="AG262" s="485">
        <v>14</v>
      </c>
      <c r="AH262" s="496" t="b">
        <f ca="1">IF(OR(NOT(W247),NOT(X237)),FALSE,AND(D262="",OR(AG262&lt;=W248+COUNTIF(E249:E262,$W$218),AG262&lt;=X248+COUNTIF(F249:F262,$W$218))))</f>
        <v>0</v>
      </c>
      <c r="AI262" s="496" t="b">
        <f ca="1">IF(OR(NOT(W247),NOT(X237)),FALSE,AND(E262="",OR(AG262&lt;=W248+COUNTIF(E249:E262,$W$218),AG262&lt;=X248+COUNTIF(F249:F262,$W$218))))</f>
        <v>0</v>
      </c>
      <c r="AJ262" s="496" t="b">
        <f ca="1">IF(OR(NOT(W247),NOT(X237)),FALSE,AND(F262="",OR(AG262&lt;=W248+COUNTIF(E249:E262,$W$218),AG262&lt;=X248+COUNTIF(F249:F262,$W$218))))</f>
        <v>0</v>
      </c>
      <c r="AK262" s="496" t="b">
        <f ca="1">IF(OR(NOT(W247),NOT(X237)),FALSE,AND(G262="",OR(AG262&lt;=W248+COUNTIF(E249:E262,$W$218),AG262&lt;=X248+COUNTIF(F249:F262,$W$218))))</f>
        <v>0</v>
      </c>
      <c r="AL262" s="496" t="b">
        <f ca="1">IF(OR(NOT(Y247),NOT(Z237)),FALSE,AND(K262="",OR(AG262&lt;=Y248+COUNTIF(L249:L262,$W$218),AG262&lt;=Z248+COUNTIF(M249:M262,$W$218))))</f>
        <v>0</v>
      </c>
      <c r="AM262" s="496" t="b">
        <f ca="1">IF(OR(NOT(Y247),NOT(Z237)),FALSE,AND(L262="",OR(AG262&lt;=Y248+COUNTIF(L249:L262,$W$218),AG262&lt;=Z248+COUNTIF(M249:M262,$W$218))))</f>
        <v>0</v>
      </c>
      <c r="AN262" s="496" t="b">
        <f ca="1">IF(OR(NOT(Y247),NOT(Z237)),FALSE,AND(M262="",OR(AG262&lt;=Y248+COUNTIF(L249:L262,$W$218),AG262&lt;=Z248+COUNTIF(M249:M262,$W$218))))</f>
        <v>0</v>
      </c>
      <c r="AO262" s="496" t="b">
        <f ca="1">IF(OR(NOT(Y247),NOT(Z237)),FALSE,AND(N262="",OR(AG262&lt;=Y248+COUNTIF(L249:L262,$W$218),AG262&lt;=Z248+COUNTIF(M249:M262,$W$218))))</f>
        <v>0</v>
      </c>
      <c r="AS262" s="323"/>
      <c r="AT262" s="323"/>
      <c r="AW262" s="485"/>
      <c r="AY262" s="323"/>
      <c r="BA262" s="323"/>
      <c r="BC262" s="323"/>
      <c r="BE262" s="323"/>
      <c r="BG262" s="323"/>
      <c r="BI262" s="323"/>
      <c r="BK262" s="323"/>
      <c r="BM262" s="323"/>
      <c r="BO262" s="323"/>
      <c r="BQ262" s="323"/>
      <c r="BS262" s="323"/>
      <c r="BU262" s="323"/>
      <c r="BW262" s="323"/>
      <c r="BY262" s="323"/>
      <c r="CA262" s="323"/>
      <c r="CC262" s="323"/>
      <c r="CE262" s="323"/>
      <c r="CG262" s="323"/>
      <c r="CI262" s="323"/>
      <c r="CK262" s="323"/>
      <c r="CM262" s="323"/>
      <c r="CO262" s="323"/>
      <c r="CQ262" s="323"/>
      <c r="CS262" s="323"/>
      <c r="CU262" s="323"/>
      <c r="CW262" s="323"/>
      <c r="CY262" s="323"/>
      <c r="DA262" s="323"/>
      <c r="DC262" s="323"/>
      <c r="DE262" s="323"/>
      <c r="DG262" s="323"/>
      <c r="DI262" s="323"/>
      <c r="DJ262" s="485"/>
    </row>
    <row r="263" spans="1:115" ht="10.5" hidden="1" customHeight="1" x14ac:dyDescent="0.3">
      <c r="A263" s="76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AQ263" s="323"/>
      <c r="AR263" s="323"/>
      <c r="AS263" s="323"/>
      <c r="AT263" s="323"/>
      <c r="AW263" s="485"/>
      <c r="AY263" s="323"/>
      <c r="BA263" s="323"/>
      <c r="BC263" s="323"/>
      <c r="BE263" s="323"/>
      <c r="BG263" s="323"/>
      <c r="BI263" s="323"/>
      <c r="BK263" s="323"/>
      <c r="BM263" s="323"/>
      <c r="BO263" s="323"/>
      <c r="BQ263" s="323"/>
      <c r="BS263" s="323"/>
      <c r="BU263" s="323"/>
      <c r="BW263" s="323"/>
      <c r="BY263" s="323"/>
      <c r="CA263" s="323"/>
      <c r="CC263" s="323"/>
      <c r="CE263" s="323"/>
      <c r="CG263" s="323"/>
      <c r="CI263" s="323"/>
      <c r="CK263" s="323"/>
      <c r="CM263" s="323"/>
      <c r="CO263" s="323"/>
      <c r="CQ263" s="323"/>
      <c r="CS263" s="323"/>
      <c r="CU263" s="323"/>
      <c r="CW263" s="323"/>
      <c r="CY263" s="323"/>
      <c r="DA263" s="323"/>
      <c r="DC263" s="323"/>
      <c r="DE263" s="323"/>
      <c r="DG263" s="323"/>
      <c r="DI263" s="323"/>
    </row>
    <row r="264" spans="1:115" ht="10.5" customHeight="1" x14ac:dyDescent="0.3">
      <c r="A264" s="76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AQ264" s="323"/>
      <c r="AR264" s="323"/>
      <c r="AS264" s="323"/>
      <c r="AT264" s="323"/>
      <c r="AW264" s="485"/>
      <c r="AY264" s="323"/>
      <c r="BA264" s="323"/>
      <c r="BC264" s="323"/>
      <c r="BE264" s="323"/>
      <c r="BG264" s="323"/>
      <c r="BI264" s="323"/>
      <c r="BK264" s="323"/>
      <c r="BM264" s="323"/>
      <c r="BO264" s="323"/>
      <c r="BQ264" s="323"/>
      <c r="BS264" s="323"/>
      <c r="BU264" s="323"/>
      <c r="BW264" s="323"/>
      <c r="BY264" s="323"/>
      <c r="CA264" s="323"/>
      <c r="CC264" s="323"/>
      <c r="CE264" s="323"/>
      <c r="CG264" s="323"/>
      <c r="CI264" s="323"/>
      <c r="CK264" s="323"/>
      <c r="CM264" s="323"/>
      <c r="CO264" s="323"/>
      <c r="CQ264" s="323"/>
      <c r="CS264" s="323"/>
      <c r="CU264" s="323"/>
      <c r="CW264" s="323"/>
      <c r="CY264" s="323"/>
      <c r="DA264" s="323"/>
      <c r="DC264" s="323"/>
      <c r="DE264" s="323"/>
      <c r="DG264" s="323"/>
      <c r="DI264" s="323"/>
    </row>
    <row r="265" spans="1:115" ht="3.75" customHeight="1" x14ac:dyDescent="0.3">
      <c r="A265" s="765"/>
      <c r="AQ265" s="323"/>
      <c r="AR265" s="323"/>
      <c r="AS265" s="323"/>
      <c r="AT265" s="323"/>
      <c r="AY265" s="323"/>
      <c r="BA265" s="323"/>
      <c r="BC265" s="323"/>
      <c r="BE265" s="323"/>
      <c r="BG265" s="323"/>
      <c r="BI265" s="323"/>
      <c r="BK265" s="323"/>
      <c r="BM265" s="323"/>
      <c r="BO265" s="323"/>
      <c r="BQ265" s="323"/>
      <c r="BS265" s="323"/>
      <c r="BU265" s="323"/>
      <c r="BW265" s="323"/>
      <c r="BY265" s="323"/>
      <c r="CA265" s="323"/>
      <c r="CC265" s="323"/>
      <c r="CE265" s="323"/>
      <c r="CG265" s="323"/>
      <c r="CI265" s="323"/>
      <c r="CK265" s="323"/>
      <c r="CM265" s="323"/>
      <c r="CO265" s="323"/>
      <c r="CQ265" s="323"/>
      <c r="CS265" s="323"/>
      <c r="CU265" s="323"/>
      <c r="CW265" s="323"/>
      <c r="CY265" s="323"/>
      <c r="DA265" s="323"/>
      <c r="DC265" s="323"/>
      <c r="DE265" s="323"/>
      <c r="DG265" s="323"/>
      <c r="DI265" s="323"/>
    </row>
    <row r="266" spans="1:115" ht="12" customHeight="1" x14ac:dyDescent="0.3">
      <c r="A266" s="765"/>
      <c r="C266" s="247" t="str">
        <f>W271</f>
        <v>JÚNIUS 21. – HÉTFŐ 21:00</v>
      </c>
      <c r="D266" s="227"/>
      <c r="E266" s="228"/>
      <c r="F266" s="229"/>
      <c r="G266" s="230"/>
      <c r="H266" s="231" t="str">
        <f>W272</f>
        <v>3. CSOPORTMÉRKŐZÉS</v>
      </c>
      <c r="I266" s="138"/>
      <c r="J266" s="246" t="str">
        <f>Y271</f>
        <v>JÚNIUS 21. – HÉTFŐ 21:00</v>
      </c>
      <c r="K266" s="227"/>
      <c r="L266" s="228"/>
      <c r="M266" s="229"/>
      <c r="N266" s="230"/>
      <c r="O266" s="226" t="str">
        <f>Y272</f>
        <v>3. CSOPORTMÉRKŐZÉS</v>
      </c>
      <c r="AQ266" s="323"/>
      <c r="AR266" s="323"/>
      <c r="AS266" s="323"/>
      <c r="AT266" s="323"/>
      <c r="AY266" s="323"/>
      <c r="BA266" s="323"/>
      <c r="BC266" s="323"/>
      <c r="BE266" s="323"/>
      <c r="BG266" s="323"/>
      <c r="BI266" s="323"/>
      <c r="BK266" s="323"/>
      <c r="BM266" s="323"/>
      <c r="BO266" s="323"/>
      <c r="BQ266" s="323"/>
      <c r="BS266" s="323"/>
      <c r="BU266" s="323"/>
      <c r="BW266" s="323"/>
      <c r="BY266" s="323"/>
      <c r="CA266" s="323"/>
      <c r="CC266" s="323"/>
      <c r="CE266" s="323"/>
      <c r="CG266" s="323"/>
      <c r="CI266" s="323"/>
      <c r="CK266" s="323"/>
      <c r="CM266" s="323"/>
      <c r="CO266" s="323"/>
      <c r="CQ266" s="323"/>
      <c r="CS266" s="323"/>
      <c r="CU266" s="323"/>
      <c r="CW266" s="323"/>
      <c r="CY266" s="323"/>
      <c r="DA266" s="323"/>
      <c r="DC266" s="323"/>
      <c r="DE266" s="323"/>
      <c r="DG266" s="323"/>
      <c r="DI266" s="323"/>
    </row>
    <row r="267" spans="1:115" s="138" customFormat="1" ht="14.25" customHeight="1" x14ac:dyDescent="0.3">
      <c r="A267" s="765"/>
      <c r="B267" s="137"/>
      <c r="C267" s="233" t="str">
        <f>IF(W274=0,"",IF(W274&gt;0,CONCATENATE("még ",W274," gól"),CONCATENATE("túl sok (",W274," gól)")))</f>
        <v/>
      </c>
      <c r="D267" s="714" t="str">
        <f>W275</f>
        <v>Finnország</v>
      </c>
      <c r="E267" s="716" t="str">
        <f>W276</f>
        <v/>
      </c>
      <c r="F267" s="717" t="str">
        <f>X276</f>
        <v/>
      </c>
      <c r="G267" s="715" t="str">
        <f>X275</f>
        <v>Belgium</v>
      </c>
      <c r="H267" s="232" t="str">
        <f>IF(X274=0,"",IF(X274&gt;0,CONCATENATE("még ",X274," gól"),CONCATENATE("túl sok (",X274," gól)")))</f>
        <v/>
      </c>
      <c r="I267" s="127"/>
      <c r="J267" s="233" t="str">
        <f>IF(Y274=0,"",IF(Y274&gt;0,CONCATENATE("még ",Y274," gól"),CONCATENATE("túl sok (",Y274," gól)")))</f>
        <v/>
      </c>
      <c r="K267" s="714" t="str">
        <f>Y275</f>
        <v>Oroszország</v>
      </c>
      <c r="L267" s="716" t="str">
        <f>Y276</f>
        <v/>
      </c>
      <c r="M267" s="717" t="str">
        <f>Z276</f>
        <v/>
      </c>
      <c r="N267" s="715" t="str">
        <f>Z275</f>
        <v>Dánia</v>
      </c>
      <c r="O267" s="232" t="str">
        <f>IF(Z274=0,"",IF(Z274&gt;0,CONCATENATE("még ",Z274," gól"),CONCATENATE("túl sok (",Z274," gól)")))</f>
        <v/>
      </c>
      <c r="P267" s="10"/>
      <c r="Q267" s="140"/>
      <c r="R267" s="141"/>
      <c r="S267" s="141"/>
      <c r="T267" s="484"/>
      <c r="U267" s="485"/>
      <c r="V267" s="485"/>
      <c r="W267" s="485"/>
      <c r="X267" s="485"/>
      <c r="Y267" s="485"/>
      <c r="Z267" s="485"/>
      <c r="AA267" s="485"/>
      <c r="AB267" s="242" t="str">
        <f>HLOOKUP(D267,nevek.li,2,FALSE)</f>
        <v>nevek.06</v>
      </c>
      <c r="AC267" s="242" t="str">
        <f>HLOOKUP(G267,nevek.li,2,FALSE)</f>
        <v>nevek.07</v>
      </c>
      <c r="AD267" s="242" t="str">
        <f>HLOOKUP(K267,nevek.li,2,FALSE)</f>
        <v>nevek.08</v>
      </c>
      <c r="AE267" s="242" t="str">
        <f>HLOOKUP(N267,nevek.li,2,FALSE)</f>
        <v>nevek.05</v>
      </c>
      <c r="AF267" s="485"/>
      <c r="AG267" s="485"/>
      <c r="AH267" s="485"/>
      <c r="AI267" s="485"/>
      <c r="AJ267" s="485"/>
      <c r="AK267" s="485"/>
      <c r="AL267" s="485"/>
      <c r="AM267" s="485"/>
      <c r="AN267" s="485"/>
      <c r="AO267" s="485"/>
      <c r="AP267" s="485"/>
      <c r="AQ267" s="485"/>
      <c r="AR267" s="485"/>
      <c r="AS267" s="485"/>
      <c r="AT267" s="485"/>
      <c r="AU267" s="485"/>
      <c r="AV267" s="500"/>
      <c r="AW267" s="323"/>
      <c r="AX267" s="323"/>
      <c r="AY267" s="323"/>
      <c r="AZ267" s="323"/>
      <c r="BA267" s="323"/>
      <c r="BB267" s="323"/>
      <c r="BC267" s="323"/>
      <c r="BD267" s="323"/>
      <c r="BE267" s="323"/>
      <c r="BF267" s="323"/>
      <c r="BG267" s="323"/>
      <c r="BH267" s="323"/>
      <c r="BI267" s="323"/>
      <c r="BJ267" s="323"/>
      <c r="BK267" s="323"/>
      <c r="BL267" s="323"/>
      <c r="BM267" s="323"/>
      <c r="BN267" s="323"/>
      <c r="BO267" s="323"/>
      <c r="BP267" s="323"/>
      <c r="BQ267" s="323"/>
      <c r="BR267" s="323"/>
      <c r="BS267" s="323"/>
      <c r="BT267" s="323"/>
      <c r="BU267" s="323"/>
      <c r="BV267" s="323"/>
      <c r="BW267" s="323"/>
      <c r="BX267" s="323"/>
      <c r="BY267" s="323"/>
      <c r="BZ267" s="323"/>
      <c r="CA267" s="323"/>
      <c r="CB267" s="323"/>
      <c r="CC267" s="323"/>
      <c r="CD267" s="323"/>
      <c r="CE267" s="323"/>
      <c r="CF267" s="323"/>
      <c r="CG267" s="323"/>
      <c r="CH267" s="323"/>
      <c r="CI267" s="323"/>
      <c r="CJ267" s="323"/>
      <c r="CK267" s="323"/>
      <c r="CL267" s="323"/>
      <c r="CM267" s="323"/>
      <c r="CN267" s="323"/>
      <c r="CO267" s="323"/>
      <c r="CP267" s="323"/>
      <c r="CQ267" s="323"/>
      <c r="CR267" s="323"/>
      <c r="CS267" s="323"/>
      <c r="CT267" s="323"/>
      <c r="CU267" s="323"/>
      <c r="CV267" s="323"/>
      <c r="CW267" s="323"/>
      <c r="CX267" s="323"/>
      <c r="CY267" s="323"/>
      <c r="CZ267" s="323"/>
      <c r="DA267" s="323"/>
      <c r="DB267" s="323"/>
      <c r="DC267" s="323"/>
      <c r="DD267" s="323"/>
      <c r="DE267" s="323"/>
      <c r="DF267" s="323"/>
      <c r="DG267" s="323"/>
      <c r="DH267" s="323"/>
      <c r="DI267" s="323"/>
      <c r="DJ267" s="323"/>
      <c r="DK267" s="500"/>
    </row>
    <row r="268" spans="1:115" ht="12" customHeight="1" x14ac:dyDescent="0.3">
      <c r="A268" s="765"/>
      <c r="C268" s="218"/>
      <c r="D268" s="220"/>
      <c r="E268" s="221"/>
      <c r="F268" s="222"/>
      <c r="G268" s="223"/>
      <c r="H268" s="218"/>
      <c r="J268" s="218"/>
      <c r="K268" s="220"/>
      <c r="L268" s="221"/>
      <c r="M268" s="222"/>
      <c r="N268" s="223"/>
      <c r="O268" s="218"/>
      <c r="V268" s="487" t="s">
        <v>706</v>
      </c>
      <c r="W268" s="242">
        <v>29</v>
      </c>
      <c r="X268" s="485" t="str">
        <f>""</f>
        <v/>
      </c>
      <c r="Y268" s="242">
        <v>30</v>
      </c>
      <c r="AB268" s="327" t="str">
        <f>IF(C268="öngól",AC267,AB267)</f>
        <v>nevek.06</v>
      </c>
      <c r="AC268" s="327" t="str">
        <f>IF(H268="öngól",AB267,AC267)</f>
        <v>nevek.07</v>
      </c>
      <c r="AD268" s="327" t="str">
        <f>IF(J268="öngól",AE267,AD267)</f>
        <v>nevek.08</v>
      </c>
      <c r="AE268" s="327" t="str">
        <f>IF(O268="öngól",AD267,AE267)</f>
        <v>nevek.05</v>
      </c>
      <c r="AF268" s="325"/>
      <c r="AG268" s="485">
        <v>1</v>
      </c>
      <c r="AH268" s="488" t="b">
        <f ca="1">AND(W270,X271,D268="",AG268&lt;=W276)</f>
        <v>0</v>
      </c>
      <c r="AI268" s="488" t="b">
        <f ca="1">AND(W270,X271,E268="",AG268&lt;=W276)</f>
        <v>0</v>
      </c>
      <c r="AJ268" s="488" t="b">
        <f ca="1">AND(W270,X271,F268="",AG268&lt;=X276)</f>
        <v>0</v>
      </c>
      <c r="AK268" s="488" t="b">
        <f ca="1">AND(W270,X271,G268="",AG268&lt;=X276)</f>
        <v>0</v>
      </c>
      <c r="AL268" s="488" t="b">
        <f ca="1">AND(Y270,Z271,K268="",AG268&lt;=Y276)</f>
        <v>0</v>
      </c>
      <c r="AM268" s="488" t="b">
        <f ca="1">AND(Y270,Z271,L268="",AG268&lt;=Y276)</f>
        <v>0</v>
      </c>
      <c r="AN268" s="488" t="b">
        <f ca="1">AND(Y270,Z271,M268="",AG268&lt;=Z276)</f>
        <v>0</v>
      </c>
      <c r="AO268" s="488" t="b">
        <f ca="1">AND(Y270,Z271,N268="",AG268&lt;=Z276)</f>
        <v>0</v>
      </c>
      <c r="AQ268" s="326" t="str">
        <f>IF(OR(NOT(Góllista!$E$6),D268=""),"",IF(C268="öngól","ö"&amp;G267&amp;D268,D267&amp;D268))</f>
        <v/>
      </c>
      <c r="AR268" s="326" t="str">
        <f>IF(OR(NOT(Góllista!$E$6),G268=""),"",IF(H268="öngól","ö"&amp;D267&amp;G268,G267&amp;G268))</f>
        <v/>
      </c>
      <c r="AS268" s="326" t="str">
        <f>IF(OR(NOT(Góllista!$E$6),K268=""),"",IF(J268="öngól","ö"&amp;N267&amp;K268,K267&amp;K268))</f>
        <v/>
      </c>
      <c r="AT268" s="326" t="str">
        <f>IF(OR(NOT(Góllista!$E$6),N268=""),"",IF(O268="öngól","ö"&amp;K267&amp;N268,N267&amp;N268))</f>
        <v/>
      </c>
      <c r="AY268" s="323"/>
      <c r="BA268" s="323"/>
      <c r="BC268" s="323"/>
      <c r="BE268" s="323"/>
      <c r="BG268" s="323"/>
      <c r="BI268" s="323"/>
      <c r="BK268" s="323"/>
      <c r="BM268" s="323"/>
      <c r="BO268" s="323"/>
      <c r="BQ268" s="323"/>
      <c r="BS268" s="323"/>
      <c r="BU268" s="323"/>
      <c r="BW268" s="323"/>
      <c r="BY268" s="323"/>
      <c r="CA268" s="323"/>
      <c r="CC268" s="323"/>
      <c r="CE268" s="323"/>
      <c r="CG268" s="323"/>
      <c r="CI268" s="323"/>
      <c r="CK268" s="323"/>
      <c r="CM268" s="323"/>
      <c r="CO268" s="323"/>
      <c r="CQ268" s="323"/>
      <c r="CS268" s="323"/>
      <c r="CU268" s="323"/>
      <c r="CW268" s="323"/>
      <c r="CY268" s="323"/>
      <c r="DA268" s="323"/>
      <c r="DC268" s="323"/>
      <c r="DE268" s="323"/>
      <c r="DG268" s="323"/>
      <c r="DI268" s="323"/>
    </row>
    <row r="269" spans="1:115" ht="12" customHeight="1" x14ac:dyDescent="0.3">
      <c r="A269" s="765"/>
      <c r="C269" s="219"/>
      <c r="D269" s="220"/>
      <c r="E269" s="224"/>
      <c r="F269" s="222"/>
      <c r="G269" s="223"/>
      <c r="H269" s="219"/>
      <c r="J269" s="219"/>
      <c r="K269" s="220"/>
      <c r="L269" s="224"/>
      <c r="M269" s="222"/>
      <c r="N269" s="223"/>
      <c r="O269" s="219"/>
      <c r="V269" s="487" t="s">
        <v>711</v>
      </c>
      <c r="W269" s="327">
        <f>MATCH(W268,n.er.index,0)</f>
        <v>69</v>
      </c>
      <c r="X269" s="485" t="str">
        <f>""</f>
        <v/>
      </c>
      <c r="Y269" s="327">
        <f>MATCH(Y268,n.er.index,0)</f>
        <v>70</v>
      </c>
      <c r="AB269" s="327" t="str">
        <f>IF(C269="öngól",AC267,AB267)</f>
        <v>nevek.06</v>
      </c>
      <c r="AC269" s="327" t="str">
        <f>IF(H269="öngól",AB267,AC267)</f>
        <v>nevek.07</v>
      </c>
      <c r="AD269" s="327" t="str">
        <f>IF(J269="öngól",AE267,AD267)</f>
        <v>nevek.08</v>
      </c>
      <c r="AE269" s="327" t="str">
        <f>IF(O269="öngól",AD267,AE267)</f>
        <v>nevek.05</v>
      </c>
      <c r="AF269" s="325"/>
      <c r="AG269" s="485">
        <v>2</v>
      </c>
      <c r="AH269" s="488" t="b">
        <f ca="1">AND(W270,X271,D269="",AG269&lt;=W276)</f>
        <v>0</v>
      </c>
      <c r="AI269" s="488" t="b">
        <f ca="1">AND(W270,X271,E269="",AG269&lt;=W276)</f>
        <v>0</v>
      </c>
      <c r="AJ269" s="488" t="b">
        <f ca="1">AND(W270,X271,F269="",AG269&lt;=X276)</f>
        <v>0</v>
      </c>
      <c r="AK269" s="488" t="b">
        <f ca="1">AND(W270,X271,G269="",AG269&lt;=X276)</f>
        <v>0</v>
      </c>
      <c r="AL269" s="488" t="b">
        <f ca="1">AND(Y270,Z271,K269="",AG269&lt;=Y276)</f>
        <v>0</v>
      </c>
      <c r="AM269" s="488" t="b">
        <f ca="1">AND(Y270,Z271,L269="",AG269&lt;=Y276)</f>
        <v>0</v>
      </c>
      <c r="AN269" s="488" t="b">
        <f ca="1">AND(Y270,Z271,M269="",AG269&lt;=Z276)</f>
        <v>0</v>
      </c>
      <c r="AO269" s="488" t="b">
        <f ca="1">AND(Y270,Z271,N269="",AG269&lt;=Z276)</f>
        <v>0</v>
      </c>
      <c r="AQ269" s="326" t="str">
        <f>IF(OR(NOT(Góllista!$E$6),D269=""),"",IF(C269="öngól","ö"&amp;G267&amp;D269,D267&amp;D269))</f>
        <v/>
      </c>
      <c r="AR269" s="326" t="str">
        <f>IF(OR(NOT(Góllista!$E$6),G269=""),"",IF(H269="öngól","ö"&amp;D267&amp;G269,G267&amp;G269))</f>
        <v/>
      </c>
      <c r="AS269" s="326" t="str">
        <f>IF(OR(NOT(Góllista!$E$6),K269=""),"",IF(J269="öngól","ö"&amp;N267&amp;K269,K267&amp;K269))</f>
        <v/>
      </c>
      <c r="AT269" s="326" t="str">
        <f>IF(OR(NOT(Góllista!$E$6),N269=""),"",IF(O269="öngól","ö"&amp;K267&amp;N269,N267&amp;N269))</f>
        <v/>
      </c>
      <c r="AY269" s="323"/>
      <c r="BA269" s="323"/>
      <c r="BC269" s="323"/>
      <c r="BE269" s="323"/>
      <c r="BG269" s="323"/>
      <c r="BI269" s="323"/>
      <c r="BK269" s="323"/>
      <c r="BM269" s="323"/>
      <c r="BO269" s="323"/>
      <c r="BQ269" s="323"/>
      <c r="BS269" s="323"/>
      <c r="BU269" s="323"/>
      <c r="BW269" s="323"/>
      <c r="BY269" s="323"/>
      <c r="CA269" s="323"/>
      <c r="CC269" s="323"/>
      <c r="CE269" s="323"/>
      <c r="CG269" s="323"/>
      <c r="CI269" s="323"/>
      <c r="CK269" s="323"/>
      <c r="CM269" s="323"/>
      <c r="CO269" s="323"/>
      <c r="CQ269" s="323"/>
      <c r="CS269" s="323"/>
      <c r="CU269" s="323"/>
      <c r="CW269" s="323"/>
      <c r="CY269" s="323"/>
      <c r="DA269" s="323"/>
      <c r="DC269" s="323"/>
      <c r="DE269" s="323"/>
      <c r="DG269" s="323"/>
      <c r="DI269" s="323"/>
    </row>
    <row r="270" spans="1:115" ht="12" customHeight="1" x14ac:dyDescent="0.3">
      <c r="A270" s="765"/>
      <c r="C270" s="219"/>
      <c r="D270" s="220"/>
      <c r="E270" s="224"/>
      <c r="F270" s="222"/>
      <c r="G270" s="223"/>
      <c r="H270" s="219"/>
      <c r="J270" s="219"/>
      <c r="K270" s="220"/>
      <c r="L270" s="224"/>
      <c r="M270" s="222"/>
      <c r="N270" s="223"/>
      <c r="O270" s="219"/>
      <c r="V270" s="487" t="s">
        <v>710</v>
      </c>
      <c r="W270" s="489" t="b">
        <f>INDEX(n.er,W269,3)</f>
        <v>0</v>
      </c>
      <c r="X270" s="485" t="str">
        <f>""</f>
        <v/>
      </c>
      <c r="Y270" s="489" t="b">
        <f>INDEX(n.er,Y269,3)</f>
        <v>0</v>
      </c>
      <c r="AB270" s="327" t="str">
        <f>IF(C270="öngól",AC267,AB267)</f>
        <v>nevek.06</v>
      </c>
      <c r="AC270" s="327" t="str">
        <f>IF(H270="öngól",AB267,AC267)</f>
        <v>nevek.07</v>
      </c>
      <c r="AD270" s="327" t="str">
        <f>IF(J270="öngól",AE267,AD267)</f>
        <v>nevek.08</v>
      </c>
      <c r="AE270" s="327" t="str">
        <f>IF(O270="öngól",AD267,AE267)</f>
        <v>nevek.05</v>
      </c>
      <c r="AF270" s="325"/>
      <c r="AG270" s="485">
        <v>3</v>
      </c>
      <c r="AH270" s="488" t="b">
        <f ca="1">AND(W270,X271,D270="",AG270&lt;=W276)</f>
        <v>0</v>
      </c>
      <c r="AI270" s="488" t="b">
        <f ca="1">AND(W270,X271,E270="",AG270&lt;=W276)</f>
        <v>0</v>
      </c>
      <c r="AJ270" s="488" t="b">
        <f ca="1">AND(W270,X271,F270="",AG270&lt;=X276)</f>
        <v>0</v>
      </c>
      <c r="AK270" s="488" t="b">
        <f ca="1">AND(W270,X271,G270="",AG270&lt;=X276)</f>
        <v>0</v>
      </c>
      <c r="AL270" s="488" t="b">
        <f ca="1">AND(Y270,Z271,K270="",AG270&lt;=Y276)</f>
        <v>0</v>
      </c>
      <c r="AM270" s="488" t="b">
        <f ca="1">AND(Y270,Z271,L270="",AG270&lt;=Y276)</f>
        <v>0</v>
      </c>
      <c r="AN270" s="488" t="b">
        <f ca="1">AND(Y270,Z271,M270="",AG270&lt;=Z276)</f>
        <v>0</v>
      </c>
      <c r="AO270" s="488" t="b">
        <f ca="1">AND(Y270,Z271,N270="",AG270&lt;=Z276)</f>
        <v>0</v>
      </c>
      <c r="AQ270" s="326" t="str">
        <f>IF(OR(NOT(Góllista!$E$6),D270=""),"",IF(C270="öngól","ö"&amp;G267&amp;D270,D267&amp;D270))</f>
        <v/>
      </c>
      <c r="AR270" s="326" t="str">
        <f>IF(OR(NOT(Góllista!$E$6),G270=""),"",IF(H270="öngól","ö"&amp;D267&amp;G270,G267&amp;G270))</f>
        <v/>
      </c>
      <c r="AS270" s="326" t="str">
        <f>IF(OR(NOT(Góllista!$E$6),K270=""),"",IF(J270="öngól","ö"&amp;N267&amp;K270,K267&amp;K270))</f>
        <v/>
      </c>
      <c r="AT270" s="326" t="str">
        <f>IF(OR(NOT(Góllista!$E$6),N270=""),"",IF(O270="öngól","ö"&amp;K267&amp;N270,N267&amp;N270))</f>
        <v/>
      </c>
      <c r="AY270" s="323"/>
      <c r="BA270" s="323"/>
      <c r="BC270" s="323"/>
      <c r="BE270" s="323"/>
      <c r="BG270" s="323"/>
      <c r="BI270" s="323"/>
      <c r="BK270" s="323"/>
      <c r="BM270" s="323"/>
      <c r="BO270" s="323"/>
      <c r="BQ270" s="323"/>
      <c r="BS270" s="323"/>
      <c r="BU270" s="323"/>
      <c r="BW270" s="323"/>
      <c r="BY270" s="323"/>
      <c r="CA270" s="323"/>
      <c r="CC270" s="323"/>
      <c r="CE270" s="323"/>
      <c r="CG270" s="323"/>
      <c r="CI270" s="323"/>
      <c r="CK270" s="323"/>
      <c r="CM270" s="323"/>
      <c r="CO270" s="323"/>
      <c r="CQ270" s="323"/>
      <c r="CS270" s="323"/>
      <c r="CU270" s="323"/>
      <c r="CW270" s="323"/>
      <c r="CY270" s="323"/>
      <c r="DA270" s="323"/>
      <c r="DC270" s="323"/>
      <c r="DE270" s="323"/>
      <c r="DG270" s="323"/>
      <c r="DI270" s="323"/>
    </row>
    <row r="271" spans="1:115" ht="12" customHeight="1" x14ac:dyDescent="0.3">
      <c r="A271" s="765"/>
      <c r="C271" s="219"/>
      <c r="D271" s="220"/>
      <c r="E271" s="224"/>
      <c r="F271" s="222"/>
      <c r="G271" s="223"/>
      <c r="H271" s="219"/>
      <c r="J271" s="219"/>
      <c r="K271" s="220"/>
      <c r="L271" s="224"/>
      <c r="M271" s="222"/>
      <c r="N271" s="223"/>
      <c r="O271" s="219"/>
      <c r="V271" s="487" t="s">
        <v>705</v>
      </c>
      <c r="W271" s="490" t="str">
        <f>VLOOKUP(W268,schedule,18,FALSE)</f>
        <v>JÚNIUS 21. – HÉTFŐ 21:00</v>
      </c>
      <c r="X271" s="489" t="b">
        <f ca="1">VLOOKUP(W268,schedule,14,FALSE)&lt;=NOW()</f>
        <v>0</v>
      </c>
      <c r="Y271" s="490" t="str">
        <f>VLOOKUP(Y268,schedule,18,FALSE)</f>
        <v>JÚNIUS 21. – HÉTFŐ 21:00</v>
      </c>
      <c r="Z271" s="489" t="b">
        <f ca="1">VLOOKUP(Y268,schedule,14,FALSE)&lt;=NOW()</f>
        <v>0</v>
      </c>
      <c r="AB271" s="327" t="str">
        <f>IF(C271="öngól",AC267,AB267)</f>
        <v>nevek.06</v>
      </c>
      <c r="AC271" s="327" t="str">
        <f>IF(H271="öngól",AB267,AC267)</f>
        <v>nevek.07</v>
      </c>
      <c r="AD271" s="327" t="str">
        <f>IF(J271="öngól",AE267,AD267)</f>
        <v>nevek.08</v>
      </c>
      <c r="AE271" s="327" t="str">
        <f>IF(O271="öngól",AD267,AE267)</f>
        <v>nevek.05</v>
      </c>
      <c r="AF271" s="325"/>
      <c r="AG271" s="485">
        <v>4</v>
      </c>
      <c r="AH271" s="488" t="b">
        <f ca="1">AND(W270,X271,D271="",AG271&lt;=W276)</f>
        <v>0</v>
      </c>
      <c r="AI271" s="488" t="b">
        <f ca="1">AND(W270,X271,E271="",AG271&lt;=W276)</f>
        <v>0</v>
      </c>
      <c r="AJ271" s="488" t="b">
        <f ca="1">AND(W270,X271,F271="",AG271&lt;=X276)</f>
        <v>0</v>
      </c>
      <c r="AK271" s="488" t="b">
        <f ca="1">AND(W270,X271,G271="",AG271&lt;=X276)</f>
        <v>0</v>
      </c>
      <c r="AL271" s="488" t="b">
        <f ca="1">AND(Y270,Z271,K271="",AG271&lt;=Y276)</f>
        <v>0</v>
      </c>
      <c r="AM271" s="488" t="b">
        <f ca="1">AND(Y270,Z271,L271="",AG271&lt;=Y276)</f>
        <v>0</v>
      </c>
      <c r="AN271" s="488" t="b">
        <f ca="1">AND(Y270,Z271,M271="",AG271&lt;=Z276)</f>
        <v>0</v>
      </c>
      <c r="AO271" s="488" t="b">
        <f ca="1">AND(Y270,Z271,N271="",AG271&lt;=Z276)</f>
        <v>0</v>
      </c>
      <c r="AQ271" s="326" t="str">
        <f>IF(OR(NOT(Góllista!$E$6),D271=""),"",IF(C271="öngól","ö"&amp;G267&amp;D271,D267&amp;D271))</f>
        <v/>
      </c>
      <c r="AR271" s="326" t="str">
        <f>IF(OR(NOT(Góllista!$E$6),G271=""),"",IF(H271="öngól","ö"&amp;D267&amp;G271,G267&amp;G271))</f>
        <v/>
      </c>
      <c r="AS271" s="326" t="str">
        <f>IF(OR(NOT(Góllista!$E$6),K271=""),"",IF(J271="öngól","ö"&amp;N267&amp;K271,K267&amp;K271))</f>
        <v/>
      </c>
      <c r="AT271" s="326" t="str">
        <f>IF(OR(NOT(Góllista!$E$6),N271=""),"",IF(O271="öngól","ö"&amp;K267&amp;N271,N267&amp;N271))</f>
        <v/>
      </c>
      <c r="AY271" s="323"/>
      <c r="BA271" s="323"/>
      <c r="BC271" s="323"/>
      <c r="BE271" s="323"/>
      <c r="BG271" s="323"/>
      <c r="BI271" s="323"/>
      <c r="BK271" s="323"/>
      <c r="BM271" s="323"/>
      <c r="BO271" s="323"/>
      <c r="BQ271" s="323"/>
      <c r="BS271" s="323"/>
      <c r="BU271" s="323"/>
      <c r="BW271" s="323"/>
      <c r="BY271" s="323"/>
      <c r="CA271" s="323"/>
      <c r="CC271" s="323"/>
      <c r="CE271" s="323"/>
      <c r="CG271" s="323"/>
      <c r="CI271" s="323"/>
      <c r="CK271" s="323"/>
      <c r="CM271" s="323"/>
      <c r="CO271" s="323"/>
      <c r="CQ271" s="323"/>
      <c r="CS271" s="323"/>
      <c r="CU271" s="323"/>
      <c r="CW271" s="323"/>
      <c r="CY271" s="323"/>
      <c r="DA271" s="323"/>
      <c r="DC271" s="323"/>
      <c r="DE271" s="323"/>
      <c r="DG271" s="323"/>
      <c r="DI271" s="323"/>
    </row>
    <row r="272" spans="1:115" ht="12" customHeight="1" x14ac:dyDescent="0.3">
      <c r="A272" s="765"/>
      <c r="C272" s="219"/>
      <c r="D272" s="220"/>
      <c r="E272" s="224"/>
      <c r="F272" s="222"/>
      <c r="G272" s="223"/>
      <c r="H272" s="219"/>
      <c r="J272" s="219"/>
      <c r="K272" s="220"/>
      <c r="L272" s="224"/>
      <c r="M272" s="222"/>
      <c r="N272" s="223"/>
      <c r="O272" s="219"/>
      <c r="V272" s="487" t="s">
        <v>1265</v>
      </c>
      <c r="W272" s="491" t="str">
        <f>VLOOKUP(W268,schedule,12,FALSE)</f>
        <v>3. CSOPORTMÉRKŐZÉS</v>
      </c>
      <c r="X272" s="485" t="str">
        <f>""</f>
        <v/>
      </c>
      <c r="Y272" s="491" t="str">
        <f>VLOOKUP(Y268,schedule,12,FALSE)</f>
        <v>3. CSOPORTMÉRKŐZÉS</v>
      </c>
      <c r="AB272" s="327" t="str">
        <f>IF(C272="öngól",AC267,AB267)</f>
        <v>nevek.06</v>
      </c>
      <c r="AC272" s="327" t="str">
        <f>IF(H272="öngól",AB267,AC267)</f>
        <v>nevek.07</v>
      </c>
      <c r="AD272" s="327" t="str">
        <f>IF(J272="öngól",AE267,AD267)</f>
        <v>nevek.08</v>
      </c>
      <c r="AE272" s="327" t="str">
        <f>IF(O272="öngól",AD267,AE267)</f>
        <v>nevek.05</v>
      </c>
      <c r="AF272" s="325"/>
      <c r="AG272" s="485">
        <v>5</v>
      </c>
      <c r="AH272" s="488" t="b">
        <f ca="1">AND(W270,X271,D272="",AG272&lt;=W276)</f>
        <v>0</v>
      </c>
      <c r="AI272" s="488" t="b">
        <f ca="1">AND(W270,X271,E272="",AG272&lt;=W276)</f>
        <v>0</v>
      </c>
      <c r="AJ272" s="488" t="b">
        <f ca="1">AND(W270,X271,F272="",AG272&lt;=X276)</f>
        <v>0</v>
      </c>
      <c r="AK272" s="488" t="b">
        <f ca="1">AND(W270,X271,G272="",AG272&lt;=X276)</f>
        <v>0</v>
      </c>
      <c r="AL272" s="488" t="b">
        <f ca="1">AND(Y270,Z271,K272="",AG272&lt;=Y276)</f>
        <v>0</v>
      </c>
      <c r="AM272" s="488" t="b">
        <f ca="1">AND(Y270,Z271,L272="",AG272&lt;=Y276)</f>
        <v>0</v>
      </c>
      <c r="AN272" s="488" t="b">
        <f ca="1">AND(Y270,Z271,M272="",AG272&lt;=Z276)</f>
        <v>0</v>
      </c>
      <c r="AO272" s="488" t="b">
        <f ca="1">AND(Y270,Z271,N272="",AG272&lt;=Z276)</f>
        <v>0</v>
      </c>
      <c r="AQ272" s="326" t="str">
        <f>IF(OR(NOT(Góllista!$E$6),D272=""),"",IF(C272="öngól","ö"&amp;G267&amp;D272,D267&amp;D272))</f>
        <v/>
      </c>
      <c r="AR272" s="326" t="str">
        <f>IF(OR(NOT(Góllista!$E$6),G272=""),"",IF(H272="öngól","ö"&amp;D267&amp;G272,G267&amp;G272))</f>
        <v/>
      </c>
      <c r="AS272" s="326" t="str">
        <f>IF(OR(NOT(Góllista!$E$6),K272=""),"",IF(J272="öngól","ö"&amp;N267&amp;K272,K267&amp;K272))</f>
        <v/>
      </c>
      <c r="AT272" s="326" t="str">
        <f>IF(OR(NOT(Góllista!$E$6),N272=""),"",IF(O272="öngól","ö"&amp;K267&amp;N272,N267&amp;N272))</f>
        <v/>
      </c>
      <c r="AY272" s="323"/>
      <c r="BA272" s="323"/>
      <c r="BC272" s="323"/>
      <c r="BE272" s="323"/>
      <c r="BG272" s="323"/>
      <c r="BI272" s="323"/>
      <c r="BK272" s="323"/>
      <c r="BM272" s="323"/>
      <c r="BO272" s="323"/>
      <c r="BQ272" s="323"/>
      <c r="BS272" s="323"/>
      <c r="BU272" s="323"/>
      <c r="BW272" s="323"/>
      <c r="BY272" s="323"/>
      <c r="CA272" s="323"/>
      <c r="CC272" s="323"/>
      <c r="CE272" s="323"/>
      <c r="CG272" s="323"/>
      <c r="CI272" s="323"/>
      <c r="CK272" s="323"/>
      <c r="CM272" s="323"/>
      <c r="CO272" s="323"/>
      <c r="CQ272" s="323"/>
      <c r="CS272" s="323"/>
      <c r="CU272" s="323"/>
      <c r="CW272" s="323"/>
      <c r="CY272" s="323"/>
      <c r="DA272" s="323"/>
      <c r="DC272" s="323"/>
      <c r="DE272" s="323"/>
      <c r="DG272" s="323"/>
      <c r="DI272" s="323"/>
    </row>
    <row r="273" spans="1:114" ht="12" customHeight="1" x14ac:dyDescent="0.3">
      <c r="A273" s="765"/>
      <c r="C273" s="219"/>
      <c r="D273" s="220"/>
      <c r="E273" s="224"/>
      <c r="F273" s="222"/>
      <c r="G273" s="223"/>
      <c r="H273" s="219"/>
      <c r="J273" s="219"/>
      <c r="K273" s="220"/>
      <c r="L273" s="224"/>
      <c r="M273" s="222"/>
      <c r="N273" s="223"/>
      <c r="O273" s="219"/>
      <c r="V273" s="487" t="s">
        <v>1264</v>
      </c>
      <c r="W273" s="327" t="str">
        <f>VLOOKUP(W268,schedule,3,FALSE)</f>
        <v>B</v>
      </c>
      <c r="X273" s="485" t="str">
        <f>""</f>
        <v/>
      </c>
      <c r="Y273" s="327" t="str">
        <f>VLOOKUP(Y268,schedule,3,FALSE)</f>
        <v>B</v>
      </c>
      <c r="AB273" s="327" t="str">
        <f>IF(C273="öngól",AC267,AB267)</f>
        <v>nevek.06</v>
      </c>
      <c r="AC273" s="327" t="str">
        <f>IF(H273="öngól",AB267,AC267)</f>
        <v>nevek.07</v>
      </c>
      <c r="AD273" s="327" t="str">
        <f>IF(J273="öngól",AE267,AD267)</f>
        <v>nevek.08</v>
      </c>
      <c r="AE273" s="327" t="str">
        <f>IF(O273="öngól",AD267,AE267)</f>
        <v>nevek.05</v>
      </c>
      <c r="AF273" s="325"/>
      <c r="AG273" s="485">
        <v>6</v>
      </c>
      <c r="AH273" s="488" t="b">
        <f ca="1">AND(W270,X271,D273="",AG273&lt;=W276)</f>
        <v>0</v>
      </c>
      <c r="AI273" s="488" t="b">
        <f ca="1">AND(W270,X271,E273="",AG273&lt;=W276)</f>
        <v>0</v>
      </c>
      <c r="AJ273" s="488" t="b">
        <f ca="1">AND(W270,X271,F273="",AG273&lt;=X276)</f>
        <v>0</v>
      </c>
      <c r="AK273" s="488" t="b">
        <f ca="1">AND(W270,X271,G273="",AG273&lt;=X276)</f>
        <v>0</v>
      </c>
      <c r="AL273" s="488" t="b">
        <f ca="1">AND(Y270,Z271,K273="",AG273&lt;=Y276)</f>
        <v>0</v>
      </c>
      <c r="AM273" s="488" t="b">
        <f ca="1">AND(Y270,Z271,L273="",AG273&lt;=Y276)</f>
        <v>0</v>
      </c>
      <c r="AN273" s="488" t="b">
        <f ca="1">AND(Y270,Z271,M273="",AG273&lt;=Z276)</f>
        <v>0</v>
      </c>
      <c r="AO273" s="488" t="b">
        <f ca="1">AND(Y270,Z271,N273="",AG273&lt;=Z276)</f>
        <v>0</v>
      </c>
      <c r="AQ273" s="326" t="str">
        <f>IF(OR(NOT(Góllista!$E$6),D273=""),"",IF(C273="öngól","ö"&amp;G267&amp;D273,D267&amp;D273))</f>
        <v/>
      </c>
      <c r="AR273" s="326" t="str">
        <f>IF(OR(NOT(Góllista!$E$6),G273=""),"",IF(H273="öngól","ö"&amp;D267&amp;G273,G267&amp;G273))</f>
        <v/>
      </c>
      <c r="AS273" s="326" t="str">
        <f>IF(OR(NOT(Góllista!$E$6),K273=""),"",IF(J273="öngól","ö"&amp;N267&amp;K273,K267&amp;K273))</f>
        <v/>
      </c>
      <c r="AT273" s="326" t="str">
        <f>IF(OR(NOT(Góllista!$E$6),N273=""),"",IF(O273="öngól","ö"&amp;K267&amp;N273,N267&amp;N273))</f>
        <v/>
      </c>
      <c r="AY273" s="323"/>
      <c r="BA273" s="323"/>
      <c r="BC273" s="323"/>
      <c r="BE273" s="323"/>
      <c r="BG273" s="323"/>
      <c r="BI273" s="323"/>
      <c r="BK273" s="323"/>
      <c r="BM273" s="323"/>
      <c r="BO273" s="323"/>
      <c r="BQ273" s="323"/>
      <c r="BS273" s="323"/>
      <c r="BU273" s="323"/>
      <c r="BW273" s="323"/>
      <c r="BY273" s="323"/>
      <c r="CA273" s="323"/>
      <c r="CC273" s="323"/>
      <c r="CE273" s="323"/>
      <c r="CG273" s="323"/>
      <c r="CI273" s="323"/>
      <c r="CK273" s="323"/>
      <c r="CM273" s="323"/>
      <c r="CO273" s="323"/>
      <c r="CQ273" s="323"/>
      <c r="CS273" s="323"/>
      <c r="CU273" s="323"/>
      <c r="CW273" s="323"/>
      <c r="CY273" s="323"/>
      <c r="DA273" s="323"/>
      <c r="DC273" s="323"/>
      <c r="DE273" s="323"/>
      <c r="DG273" s="323"/>
      <c r="DI273" s="323"/>
    </row>
    <row r="274" spans="1:114" ht="12" customHeight="1" x14ac:dyDescent="0.3">
      <c r="A274" s="765"/>
      <c r="C274" s="219"/>
      <c r="D274" s="220"/>
      <c r="E274" s="224"/>
      <c r="F274" s="222"/>
      <c r="G274" s="223"/>
      <c r="H274" s="219"/>
      <c r="J274" s="219"/>
      <c r="K274" s="220"/>
      <c r="L274" s="224"/>
      <c r="M274" s="222"/>
      <c r="N274" s="223"/>
      <c r="O274" s="219"/>
      <c r="V274" s="485" t="s">
        <v>707</v>
      </c>
      <c r="W274" s="327">
        <f>IF(NOT(W270),0,E267-9+COUNTBLANK(D268:D276))</f>
        <v>0</v>
      </c>
      <c r="X274" s="327">
        <f>IF(NOT(W270),0,F267-9+COUNTBLANK(G268:G276))</f>
        <v>0</v>
      </c>
      <c r="Y274" s="327">
        <f>IF(NOT(Y270),0,L267-9+COUNTBLANK(K268:K276))</f>
        <v>0</v>
      </c>
      <c r="Z274" s="327">
        <f>IF(NOT(Y270),0,M267-9+COUNTBLANK(N268:N276))</f>
        <v>0</v>
      </c>
      <c r="AB274" s="327" t="str">
        <f>IF(C274="öngól",AC267,AB267)</f>
        <v>nevek.06</v>
      </c>
      <c r="AC274" s="327" t="str">
        <f>IF(H274="öngól",AB267,AC267)</f>
        <v>nevek.07</v>
      </c>
      <c r="AD274" s="327" t="str">
        <f>IF(J274="öngól",AE267,AD267)</f>
        <v>nevek.08</v>
      </c>
      <c r="AE274" s="327" t="str">
        <f>IF(O274="öngól",AD267,AE267)</f>
        <v>nevek.05</v>
      </c>
      <c r="AF274" s="325"/>
      <c r="AG274" s="485">
        <v>7</v>
      </c>
      <c r="AH274" s="488" t="b">
        <f ca="1">AND(W270,X271,D274="",AG274&lt;=W276)</f>
        <v>0</v>
      </c>
      <c r="AI274" s="488" t="b">
        <f ca="1">AND(W270,X271,E274="",AG274&lt;=W276)</f>
        <v>0</v>
      </c>
      <c r="AJ274" s="488" t="b">
        <f ca="1">AND(W270,X271,F274="",AG274&lt;=X276)</f>
        <v>0</v>
      </c>
      <c r="AK274" s="488" t="b">
        <f ca="1">AND(W270,X271,G274="",AG274&lt;=X276)</f>
        <v>0</v>
      </c>
      <c r="AL274" s="488" t="b">
        <f ca="1">AND(Y270,Z271,K274="",AG274&lt;=Y276)</f>
        <v>0</v>
      </c>
      <c r="AM274" s="488" t="b">
        <f ca="1">AND(Y270,Z271,L274="",AG274&lt;=Y276)</f>
        <v>0</v>
      </c>
      <c r="AN274" s="488" t="b">
        <f ca="1">AND(Y270,Z271,M274="",AG274&lt;=Z276)</f>
        <v>0</v>
      </c>
      <c r="AO274" s="488" t="b">
        <f ca="1">AND(Y270,Z271,N274="",AG274&lt;=Z276)</f>
        <v>0</v>
      </c>
      <c r="AQ274" s="326" t="str">
        <f>IF(OR(NOT(Góllista!$E$6),D274=""),"",IF(C274="öngól","ö"&amp;G267&amp;D274,D267&amp;D274))</f>
        <v/>
      </c>
      <c r="AR274" s="326" t="str">
        <f>IF(OR(NOT(Góllista!$E$6),G274=""),"",IF(H274="öngól","ö"&amp;D267&amp;G274,G267&amp;G274))</f>
        <v/>
      </c>
      <c r="AS274" s="326" t="str">
        <f>IF(OR(NOT(Góllista!$E$6),K274=""),"",IF(J274="öngól","ö"&amp;N267&amp;K274,K267&amp;K274))</f>
        <v/>
      </c>
      <c r="AT274" s="326" t="str">
        <f>IF(OR(NOT(Góllista!$E$6),N274=""),"",IF(O274="öngól","ö"&amp;K267&amp;N274,N267&amp;N274))</f>
        <v/>
      </c>
      <c r="AY274" s="323"/>
      <c r="BA274" s="323"/>
      <c r="BC274" s="323"/>
      <c r="BE274" s="323"/>
      <c r="BG274" s="323"/>
      <c r="BI274" s="323"/>
      <c r="BK274" s="323"/>
      <c r="BM274" s="323"/>
      <c r="BO274" s="323"/>
      <c r="BQ274" s="323"/>
      <c r="BS274" s="323"/>
      <c r="BU274" s="323"/>
      <c r="BW274" s="323"/>
      <c r="BY274" s="323"/>
      <c r="CA274" s="323"/>
      <c r="CC274" s="323"/>
      <c r="CE274" s="323"/>
      <c r="CG274" s="323"/>
      <c r="CI274" s="323"/>
      <c r="CK274" s="323"/>
      <c r="CM274" s="323"/>
      <c r="CO274" s="323"/>
      <c r="CQ274" s="323"/>
      <c r="CS274" s="323"/>
      <c r="CU274" s="323"/>
      <c r="CW274" s="323"/>
      <c r="CY274" s="323"/>
      <c r="DA274" s="323"/>
      <c r="DC274" s="323"/>
      <c r="DE274" s="323"/>
      <c r="DG274" s="323"/>
      <c r="DI274" s="323"/>
    </row>
    <row r="275" spans="1:114" ht="12" customHeight="1" x14ac:dyDescent="0.3">
      <c r="A275" s="765"/>
      <c r="C275" s="219"/>
      <c r="D275" s="220"/>
      <c r="E275" s="224"/>
      <c r="F275" s="222"/>
      <c r="G275" s="223"/>
      <c r="H275" s="219"/>
      <c r="J275" s="219"/>
      <c r="K275" s="220"/>
      <c r="L275" s="224"/>
      <c r="M275" s="222"/>
      <c r="N275" s="223"/>
      <c r="O275" s="219"/>
      <c r="V275" s="485" t="s">
        <v>708</v>
      </c>
      <c r="W275" s="411" t="str">
        <f>VLOOKUP(W268,schedule,8,FALSE)</f>
        <v>Finnország</v>
      </c>
      <c r="X275" s="411" t="str">
        <f>VLOOKUP(W268,schedule,9,FALSE)</f>
        <v>Belgium</v>
      </c>
      <c r="Y275" s="411" t="str">
        <f>VLOOKUP(Y268,schedule,8,FALSE)</f>
        <v>Oroszország</v>
      </c>
      <c r="Z275" s="491" t="str">
        <f>VLOOKUP(Y268,schedule,9,FALSE)</f>
        <v>Dánia</v>
      </c>
      <c r="AB275" s="327" t="str">
        <f>IF(C275="öngól",AC267,AB267)</f>
        <v>nevek.06</v>
      </c>
      <c r="AC275" s="327" t="str">
        <f>IF(H275="öngól",AB267,AC267)</f>
        <v>nevek.07</v>
      </c>
      <c r="AD275" s="327" t="str">
        <f>IF(J275="öngól",AE267,AD267)</f>
        <v>nevek.08</v>
      </c>
      <c r="AE275" s="327" t="str">
        <f>IF(O275="öngól",AD267,AE267)</f>
        <v>nevek.05</v>
      </c>
      <c r="AF275" s="325"/>
      <c r="AG275" s="485">
        <v>8</v>
      </c>
      <c r="AH275" s="488" t="b">
        <f ca="1">AND(W270,X271,D275="",AG275&lt;=W276)</f>
        <v>0</v>
      </c>
      <c r="AI275" s="488" t="b">
        <f ca="1">AND(W270,X271,E275="",AG275&lt;=W276)</f>
        <v>0</v>
      </c>
      <c r="AJ275" s="488" t="b">
        <f ca="1">AND(W270,X271,F275="",AG275&lt;=X276)</f>
        <v>0</v>
      </c>
      <c r="AK275" s="488" t="b">
        <f ca="1">AND(W270,X271,G275="",AG275&lt;=X276)</f>
        <v>0</v>
      </c>
      <c r="AL275" s="488" t="b">
        <f ca="1">AND(Y270,Z271,K275="",AG275&lt;=Y276)</f>
        <v>0</v>
      </c>
      <c r="AM275" s="488" t="b">
        <f ca="1">AND(Y270,Z271,L275="",AG275&lt;=Y276)</f>
        <v>0</v>
      </c>
      <c r="AN275" s="488" t="b">
        <f ca="1">AND(Y270,Z271,M275="",AG275&lt;=Z276)</f>
        <v>0</v>
      </c>
      <c r="AO275" s="488" t="b">
        <f ca="1">AND(Y270,Z271,N275="",AG275&lt;=Z276)</f>
        <v>0</v>
      </c>
      <c r="AQ275" s="326" t="str">
        <f>IF(OR(NOT(Góllista!$E$6),D275=""),"",IF(C275="öngól","ö"&amp;G267&amp;D275,D267&amp;D275))</f>
        <v/>
      </c>
      <c r="AR275" s="326" t="str">
        <f>IF(OR(NOT(Góllista!$E$6),G275=""),"",IF(H275="öngól","ö"&amp;D267&amp;G275,G267&amp;G275))</f>
        <v/>
      </c>
      <c r="AS275" s="326" t="str">
        <f>IF(OR(NOT(Góllista!$E$6),K275=""),"",IF(J275="öngól","ö"&amp;N267&amp;K275,K267&amp;K275))</f>
        <v/>
      </c>
      <c r="AT275" s="326" t="str">
        <f>IF(OR(NOT(Góllista!$E$6),N275=""),"",IF(O275="öngól","ö"&amp;K267&amp;N275,N267&amp;N275))</f>
        <v/>
      </c>
      <c r="AY275" s="323"/>
      <c r="BA275" s="323"/>
      <c r="BC275" s="323"/>
      <c r="BE275" s="323"/>
      <c r="BG275" s="323"/>
      <c r="BI275" s="323"/>
      <c r="BK275" s="323"/>
      <c r="BM275" s="323"/>
      <c r="BO275" s="323"/>
      <c r="BQ275" s="323"/>
      <c r="BS275" s="323"/>
      <c r="BU275" s="323"/>
      <c r="BW275" s="323"/>
      <c r="BY275" s="323"/>
      <c r="CA275" s="323"/>
      <c r="CC275" s="323"/>
      <c r="CE275" s="323"/>
      <c r="CG275" s="323"/>
      <c r="CI275" s="323"/>
      <c r="CK275" s="323"/>
      <c r="CM275" s="323"/>
      <c r="CO275" s="323"/>
      <c r="CQ275" s="323"/>
      <c r="CS275" s="323"/>
      <c r="CU275" s="323"/>
      <c r="CW275" s="323"/>
      <c r="CY275" s="323"/>
      <c r="DA275" s="323"/>
      <c r="DC275" s="323"/>
      <c r="DE275" s="323"/>
      <c r="DG275" s="323"/>
      <c r="DI275" s="323"/>
    </row>
    <row r="276" spans="1:114" ht="12" customHeight="1" x14ac:dyDescent="0.3">
      <c r="A276" s="765"/>
      <c r="C276" s="219"/>
      <c r="D276" s="220"/>
      <c r="E276" s="225"/>
      <c r="F276" s="222"/>
      <c r="G276" s="223"/>
      <c r="H276" s="219"/>
      <c r="J276" s="219"/>
      <c r="K276" s="220"/>
      <c r="L276" s="225"/>
      <c r="M276" s="222"/>
      <c r="N276" s="223"/>
      <c r="O276" s="219"/>
      <c r="V276" s="485" t="s">
        <v>709</v>
      </c>
      <c r="W276" s="492" t="str">
        <f>INDEX(n.er,W269,9)</f>
        <v/>
      </c>
      <c r="X276" s="493" t="str">
        <f>INDEX(n.er,W269,10)</f>
        <v/>
      </c>
      <c r="Y276" s="492" t="str">
        <f>INDEX(n.er,Y269,9)</f>
        <v/>
      </c>
      <c r="Z276" s="493" t="str">
        <f>INDEX(n.er,Y269,10)</f>
        <v/>
      </c>
      <c r="AB276" s="327" t="str">
        <f>IF(C276="öngól",AC267,AB267)</f>
        <v>nevek.06</v>
      </c>
      <c r="AC276" s="327" t="str">
        <f>IF(H276="öngól",AB267,AC267)</f>
        <v>nevek.07</v>
      </c>
      <c r="AD276" s="327" t="str">
        <f>IF(J276="öngól",AE267,AD267)</f>
        <v>nevek.08</v>
      </c>
      <c r="AE276" s="327" t="str">
        <f>IF(O276="öngól",AD267,AE267)</f>
        <v>nevek.05</v>
      </c>
      <c r="AF276" s="325"/>
      <c r="AG276" s="485">
        <v>9</v>
      </c>
      <c r="AH276" s="488" t="b">
        <f ca="1">AND(W270,X271,D276="",AG276&lt;=W276)</f>
        <v>0</v>
      </c>
      <c r="AI276" s="488" t="b">
        <f ca="1">AND(W270,X271,E276="",AG276&lt;=W276)</f>
        <v>0</v>
      </c>
      <c r="AJ276" s="488" t="b">
        <f ca="1">AND(W270,X271,F276="",AG276&lt;=X276)</f>
        <v>0</v>
      </c>
      <c r="AK276" s="488" t="b">
        <f ca="1">AND(W270,X271,G276="",AG276&lt;=X276)</f>
        <v>0</v>
      </c>
      <c r="AL276" s="488" t="b">
        <f ca="1">AND(Y270,Z271,K276="",AG276&lt;=Y276)</f>
        <v>0</v>
      </c>
      <c r="AM276" s="488" t="b">
        <f ca="1">AND(Y270,Z271,L276="",AG276&lt;=Y276)</f>
        <v>0</v>
      </c>
      <c r="AN276" s="488" t="b">
        <f ca="1">AND(Y270,Z271,M276="",AG276&lt;=Z276)</f>
        <v>0</v>
      </c>
      <c r="AO276" s="488" t="b">
        <f ca="1">AND(Y270,Z271,N276="",AG276&lt;=Z276)</f>
        <v>0</v>
      </c>
      <c r="AQ276" s="326" t="str">
        <f>IF(OR(NOT(Góllista!$E$6),D276=""),"",IF(C276="öngól","ö"&amp;G267&amp;D276,D267&amp;D276))</f>
        <v/>
      </c>
      <c r="AR276" s="326" t="str">
        <f>IF(OR(NOT(Góllista!$E$6),G276=""),"",IF(H276="öngól","ö"&amp;D267&amp;G276,G267&amp;G276))</f>
        <v/>
      </c>
      <c r="AS276" s="326" t="str">
        <f>IF(OR(NOT(Góllista!$E$6),K276=""),"",IF(J276="öngól","ö"&amp;N267&amp;K276,K267&amp;K276))</f>
        <v/>
      </c>
      <c r="AT276" s="326" t="str">
        <f>IF(OR(NOT(Góllista!$E$6),N276=""),"",IF(O276="öngól","ö"&amp;K267&amp;N276,N267&amp;N276))</f>
        <v/>
      </c>
      <c r="AY276" s="323"/>
      <c r="BA276" s="323"/>
      <c r="BC276" s="323"/>
      <c r="BE276" s="323"/>
      <c r="BG276" s="323"/>
      <c r="BI276" s="323"/>
      <c r="BK276" s="323"/>
      <c r="BM276" s="323"/>
      <c r="BO276" s="323"/>
      <c r="BQ276" s="323"/>
      <c r="BS276" s="323"/>
      <c r="BU276" s="323"/>
      <c r="BW276" s="323"/>
      <c r="BY276" s="323"/>
      <c r="CA276" s="323"/>
      <c r="CC276" s="323"/>
      <c r="CE276" s="323"/>
      <c r="CG276" s="323"/>
      <c r="CI276" s="323"/>
      <c r="CK276" s="323"/>
      <c r="CM276" s="323"/>
      <c r="CO276" s="323"/>
      <c r="CQ276" s="323"/>
      <c r="CS276" s="323"/>
      <c r="CU276" s="323"/>
      <c r="CW276" s="323"/>
      <c r="CY276" s="323"/>
      <c r="DA276" s="323"/>
      <c r="DC276" s="323"/>
      <c r="DE276" s="323"/>
      <c r="DG276" s="323"/>
      <c r="DI276" s="323"/>
    </row>
    <row r="277" spans="1:114" ht="12" customHeight="1" x14ac:dyDescent="0.3">
      <c r="A277" s="765"/>
      <c r="C277" s="768"/>
      <c r="D277" s="768"/>
      <c r="E277" s="768"/>
      <c r="F277" s="768"/>
      <c r="G277" s="768"/>
      <c r="H277" s="768"/>
      <c r="J277" s="768"/>
      <c r="K277" s="768"/>
      <c r="L277" s="768"/>
      <c r="M277" s="768"/>
      <c r="N277" s="768"/>
      <c r="O277" s="768"/>
      <c r="AY277" s="323"/>
      <c r="BA277" s="323"/>
      <c r="BC277" s="323"/>
      <c r="BE277" s="323"/>
      <c r="BG277" s="323"/>
      <c r="BI277" s="323"/>
      <c r="BK277" s="323"/>
      <c r="BM277" s="323"/>
      <c r="BO277" s="323"/>
      <c r="BQ277" s="323"/>
      <c r="BS277" s="323"/>
      <c r="BU277" s="323"/>
      <c r="BW277" s="323"/>
      <c r="BY277" s="323"/>
      <c r="CA277" s="323"/>
      <c r="CC277" s="323"/>
      <c r="CE277" s="323"/>
      <c r="CG277" s="323"/>
      <c r="CI277" s="323"/>
      <c r="CK277" s="323"/>
      <c r="CM277" s="323"/>
      <c r="CO277" s="323"/>
      <c r="CQ277" s="323"/>
      <c r="CS277" s="323"/>
      <c r="CU277" s="323"/>
      <c r="CW277" s="323"/>
      <c r="CY277" s="323"/>
      <c r="DA277" s="323"/>
      <c r="DC277" s="323"/>
      <c r="DE277" s="323"/>
      <c r="DG277" s="323"/>
      <c r="DI277" s="323"/>
    </row>
    <row r="278" spans="1:114" ht="12" hidden="1" customHeight="1" x14ac:dyDescent="0.3">
      <c r="A278" s="765"/>
      <c r="C278" s="767"/>
      <c r="D278" s="767"/>
      <c r="E278" s="767"/>
      <c r="F278" s="767"/>
      <c r="G278" s="767"/>
      <c r="H278" s="767"/>
      <c r="J278" s="767"/>
      <c r="K278" s="767"/>
      <c r="L278" s="767"/>
      <c r="M278" s="767"/>
      <c r="N278" s="767"/>
      <c r="O278" s="767"/>
      <c r="AY278" s="323"/>
      <c r="BA278" s="323"/>
      <c r="BC278" s="323"/>
      <c r="BE278" s="323"/>
      <c r="BG278" s="323"/>
      <c r="BI278" s="323"/>
      <c r="BK278" s="323"/>
      <c r="BM278" s="323"/>
      <c r="BO278" s="323"/>
      <c r="BQ278" s="323"/>
      <c r="BS278" s="323"/>
      <c r="BU278" s="323"/>
      <c r="BW278" s="323"/>
      <c r="BY278" s="323"/>
      <c r="CA278" s="323"/>
      <c r="CC278" s="323"/>
      <c r="CE278" s="323"/>
      <c r="CG278" s="323"/>
      <c r="CI278" s="323"/>
      <c r="CK278" s="323"/>
      <c r="CM278" s="323"/>
      <c r="CO278" s="323"/>
      <c r="CQ278" s="323"/>
      <c r="CS278" s="323"/>
      <c r="CU278" s="323"/>
      <c r="CW278" s="323"/>
      <c r="CY278" s="323"/>
      <c r="DA278" s="323"/>
      <c r="DC278" s="323"/>
      <c r="DE278" s="323"/>
      <c r="DG278" s="323"/>
      <c r="DI278" s="323"/>
    </row>
    <row r="279" spans="1:114" ht="12" hidden="1" customHeight="1" x14ac:dyDescent="0.3">
      <c r="A279" s="765"/>
      <c r="C279" s="767"/>
      <c r="D279" s="767"/>
      <c r="E279" s="767"/>
      <c r="F279" s="767"/>
      <c r="G279" s="767"/>
      <c r="H279" s="767"/>
      <c r="J279" s="767"/>
      <c r="K279" s="767"/>
      <c r="L279" s="767"/>
      <c r="M279" s="767"/>
      <c r="N279" s="767"/>
      <c r="O279" s="767"/>
      <c r="AY279" s="323"/>
      <c r="BA279" s="323"/>
      <c r="BC279" s="323"/>
      <c r="BE279" s="323"/>
      <c r="BG279" s="323"/>
      <c r="BI279" s="323"/>
      <c r="BK279" s="323"/>
      <c r="BM279" s="323"/>
      <c r="BO279" s="323"/>
      <c r="BQ279" s="323"/>
      <c r="BS279" s="323"/>
      <c r="BU279" s="323"/>
      <c r="BW279" s="323"/>
      <c r="BY279" s="323"/>
      <c r="CA279" s="323"/>
      <c r="CC279" s="323"/>
      <c r="CE279" s="323"/>
      <c r="CG279" s="323"/>
      <c r="CI279" s="323"/>
      <c r="CK279" s="323"/>
      <c r="CM279" s="323"/>
      <c r="CO279" s="323"/>
      <c r="CQ279" s="323"/>
      <c r="CS279" s="323"/>
      <c r="CU279" s="323"/>
      <c r="CW279" s="323"/>
      <c r="CY279" s="323"/>
      <c r="DA279" s="323"/>
      <c r="DC279" s="323"/>
      <c r="DE279" s="323"/>
      <c r="DG279" s="323"/>
      <c r="DI279" s="323"/>
    </row>
    <row r="280" spans="1:114" ht="3.75" customHeight="1" x14ac:dyDescent="0.3">
      <c r="A280" s="765"/>
      <c r="AH280" s="494"/>
      <c r="AY280" s="323"/>
      <c r="BA280" s="323"/>
      <c r="BC280" s="323"/>
      <c r="BE280" s="323"/>
      <c r="BG280" s="323"/>
      <c r="BI280" s="323"/>
      <c r="BK280" s="323"/>
      <c r="BM280" s="323"/>
      <c r="BO280" s="323"/>
      <c r="BQ280" s="323"/>
      <c r="BS280" s="323"/>
      <c r="BU280" s="323"/>
      <c r="BW280" s="323"/>
      <c r="BY280" s="323"/>
      <c r="CA280" s="323"/>
      <c r="CC280" s="323"/>
      <c r="CE280" s="323"/>
      <c r="CG280" s="323"/>
      <c r="CI280" s="323"/>
      <c r="CK280" s="323"/>
      <c r="CM280" s="323"/>
      <c r="CO280" s="323"/>
      <c r="CQ280" s="323"/>
      <c r="CS280" s="323"/>
      <c r="CU280" s="323"/>
      <c r="CW280" s="323"/>
      <c r="CY280" s="323"/>
      <c r="DA280" s="323"/>
      <c r="DC280" s="323"/>
      <c r="DE280" s="323"/>
      <c r="DG280" s="323"/>
      <c r="DI280" s="323"/>
    </row>
    <row r="281" spans="1:114" ht="11.25" customHeight="1" x14ac:dyDescent="0.3">
      <c r="A281" s="765"/>
      <c r="B281" s="15"/>
      <c r="D281" s="235"/>
      <c r="E281" s="722" t="str">
        <f>IF(W281,"  BÜNTETŐK:","  BÜNTETŐK:  –")</f>
        <v xml:space="preserve">  BÜNTETŐK:  –</v>
      </c>
      <c r="F281" s="235"/>
      <c r="G281" s="235"/>
      <c r="H281" s="235"/>
      <c r="I281" s="37"/>
      <c r="J281" s="234"/>
      <c r="K281" s="235"/>
      <c r="L281" s="722" t="str">
        <f>IF(AD281,"  BÜNTETŐK:","  BÜNTETŐK:  –")</f>
        <v xml:space="preserve">  BÜNTETŐK:  –</v>
      </c>
      <c r="M281" s="235"/>
      <c r="N281" s="235"/>
      <c r="O281" s="235"/>
      <c r="V281" s="487" t="s">
        <v>712</v>
      </c>
      <c r="W281" s="489" t="b">
        <f>INDEX(n.er,W269,14)</f>
        <v>0</v>
      </c>
      <c r="Y281" s="489" t="b">
        <f>INDEX(n.er,Y269,14)</f>
        <v>0</v>
      </c>
      <c r="AF281" s="325"/>
      <c r="AQ281" s="323"/>
      <c r="AR281" s="323"/>
      <c r="AS281" s="323"/>
      <c r="AT281" s="323"/>
      <c r="AW281" s="485"/>
      <c r="AY281" s="323"/>
      <c r="BA281" s="323"/>
      <c r="BC281" s="323"/>
      <c r="BE281" s="323"/>
      <c r="BG281" s="323"/>
      <c r="BI281" s="323"/>
      <c r="BK281" s="323"/>
      <c r="BM281" s="323"/>
      <c r="BO281" s="323"/>
      <c r="BQ281" s="323"/>
      <c r="BS281" s="323"/>
      <c r="BU281" s="323"/>
      <c r="BW281" s="323"/>
      <c r="BY281" s="323"/>
      <c r="CA281" s="323"/>
      <c r="CC281" s="323"/>
      <c r="CE281" s="323"/>
      <c r="CG281" s="323"/>
      <c r="CI281" s="323"/>
      <c r="CK281" s="323"/>
      <c r="CM281" s="323"/>
      <c r="CO281" s="323"/>
      <c r="CQ281" s="323"/>
      <c r="CS281" s="323"/>
      <c r="CU281" s="323"/>
      <c r="CW281" s="323"/>
      <c r="CY281" s="323"/>
      <c r="DA281" s="323"/>
      <c r="DC281" s="323"/>
      <c r="DE281" s="323"/>
      <c r="DG281" s="323"/>
      <c r="DI281" s="323"/>
      <c r="DJ281" s="485"/>
    </row>
    <row r="282" spans="1:114" ht="11.25" customHeight="1" x14ac:dyDescent="0.3">
      <c r="A282" s="765"/>
      <c r="C282" s="241" t="str">
        <f>IF(W283=0,"",IF(W283&gt;0,CONCATENATE("még ",W283," büntető"),CONCATENATE("túl sok (",W283," büntető)")))</f>
        <v/>
      </c>
      <c r="D282" s="237" t="str">
        <f>IF(W281,W275,"")</f>
        <v/>
      </c>
      <c r="E282" s="239" t="str">
        <f>IF(W281,W282,"")</f>
        <v/>
      </c>
      <c r="F282" s="240" t="str">
        <f>IF(W281,X282,"")</f>
        <v/>
      </c>
      <c r="G282" s="238" t="str">
        <f>IF(W281,X275,"")</f>
        <v/>
      </c>
      <c r="H282" s="241" t="str">
        <f>IF(X283=0,"",IF(X283&gt;0,CONCATENATE("még ",X283," büntető"),CONCATENATE("túl sok (",X283," büntető)")))</f>
        <v/>
      </c>
      <c r="J282" s="241" t="str">
        <f>IF(Y283=0,"",IF(Y283&gt;0,CONCATENATE("még ",Y283," büntető"),CONCATENATE("túl sok (",Y283," büntető)")))</f>
        <v/>
      </c>
      <c r="K282" s="237" t="str">
        <f>IF(Y281,Y275,"")</f>
        <v/>
      </c>
      <c r="L282" s="239" t="str">
        <f>IF(Y281,Y282,"")</f>
        <v/>
      </c>
      <c r="M282" s="240" t="str">
        <f>IF(Y281,Z282,"")</f>
        <v/>
      </c>
      <c r="N282" s="238" t="str">
        <f>IF(Y281,Z275,"")</f>
        <v/>
      </c>
      <c r="O282" s="241" t="str">
        <f>IF(Z283=0,"",IF(Z283&gt;0,CONCATENATE("még ",Z283," büntető"),CONCATENATE("túl sok (",Z283," büntető)")))</f>
        <v/>
      </c>
      <c r="V282" s="487" t="s">
        <v>709</v>
      </c>
      <c r="W282" s="492" t="str">
        <f>IF(NOT(W281),"",INDEX(n.er,W269,17))</f>
        <v/>
      </c>
      <c r="X282" s="493" t="str">
        <f>IF(NOT(W281),"",INDEX(n.er,W269,18))</f>
        <v/>
      </c>
      <c r="Y282" s="492" t="str">
        <f>IF(NOT(Y281),"",INDEX(n.er,Y269,17))</f>
        <v/>
      </c>
      <c r="Z282" s="493" t="str">
        <f>IF(NOT(Y281),"",INDEX(n.er,Y269,18))</f>
        <v/>
      </c>
      <c r="AF282" s="325"/>
      <c r="AH282" s="494"/>
      <c r="AQ282" s="323"/>
      <c r="AR282" s="323"/>
      <c r="AS282" s="323"/>
      <c r="AT282" s="323"/>
      <c r="AW282" s="485"/>
      <c r="AY282" s="323"/>
      <c r="BA282" s="323"/>
      <c r="BC282" s="323"/>
      <c r="BE282" s="323"/>
      <c r="BG282" s="323"/>
      <c r="BI282" s="323"/>
      <c r="BK282" s="323"/>
      <c r="BM282" s="323"/>
      <c r="BO282" s="323"/>
      <c r="BQ282" s="323"/>
      <c r="BS282" s="323"/>
      <c r="BU282" s="323"/>
      <c r="BW282" s="323"/>
      <c r="BY282" s="323"/>
      <c r="CA282" s="323"/>
      <c r="CC282" s="323"/>
      <c r="CE282" s="323"/>
      <c r="CG282" s="323"/>
      <c r="CI282" s="323"/>
      <c r="CK282" s="323"/>
      <c r="CM282" s="323"/>
      <c r="CO282" s="323"/>
      <c r="CQ282" s="323"/>
      <c r="CS282" s="323"/>
      <c r="CU282" s="323"/>
      <c r="CW282" s="323"/>
      <c r="CY282" s="323"/>
      <c r="DA282" s="323"/>
      <c r="DC282" s="323"/>
      <c r="DE282" s="323"/>
      <c r="DG282" s="323"/>
      <c r="DI282" s="323"/>
    </row>
    <row r="283" spans="1:114" ht="11.25" customHeight="1" x14ac:dyDescent="0.3">
      <c r="A283" s="765"/>
      <c r="C283" s="236"/>
      <c r="D283" s="220"/>
      <c r="E283" s="515"/>
      <c r="F283" s="516"/>
      <c r="G283" s="223"/>
      <c r="H283" s="236"/>
      <c r="J283" s="236"/>
      <c r="K283" s="220"/>
      <c r="L283" s="515"/>
      <c r="M283" s="516"/>
      <c r="N283" s="223"/>
      <c r="O283" s="236"/>
      <c r="V283" s="485" t="s">
        <v>707</v>
      </c>
      <c r="W283" s="327">
        <f>IF(W282="",0,E282-COUNTIF(E283:E296,"O"))</f>
        <v>0</v>
      </c>
      <c r="X283" s="327">
        <f>IF(X282="",0,F282-COUNTIF(F283:F296,"O"))</f>
        <v>0</v>
      </c>
      <c r="Y283" s="327">
        <f>IF(Y282="",0,L282-COUNTIF(L283:L298,"O"))</f>
        <v>0</v>
      </c>
      <c r="Z283" s="327">
        <f>IF(Z282="",0,M282-COUNTIF(M283:M298,"O"))</f>
        <v>0</v>
      </c>
      <c r="AB283" s="52" t="str">
        <f>IF(NOT(W281),"",HLOOKUP(D282,nevek.li,2,FALSE))</f>
        <v/>
      </c>
      <c r="AC283" s="52" t="str">
        <f>IF(NOT(W281),"",HLOOKUP(G282,nevek.li,2,FALSE))</f>
        <v/>
      </c>
      <c r="AD283" s="52" t="str">
        <f>IF(NOT(Y281),"",HLOOKUP(K282,nevek.li,2,FALSE))</f>
        <v/>
      </c>
      <c r="AE283" s="52" t="str">
        <f>IF(NOT(Y281),"",HLOOKUP(N282,nevek.li,2,FALSE))</f>
        <v/>
      </c>
      <c r="AF283" s="325"/>
      <c r="AG283" s="485">
        <v>1</v>
      </c>
      <c r="AH283" s="488" t="b">
        <f ca="1">IF(OR(NOT(W281),NOT(X271)),FALSE,D283="")</f>
        <v>0</v>
      </c>
      <c r="AI283" s="488" t="b">
        <f ca="1">IF(OR(NOT(W281),NOT(X271)),FALSE,E283="")</f>
        <v>0</v>
      </c>
      <c r="AJ283" s="488" t="b">
        <f ca="1">IF(OR(NOT(W281),NOT(X271)),FALSE,F283="")</f>
        <v>0</v>
      </c>
      <c r="AK283" s="488" t="b">
        <f ca="1">IF(OR(NOT(W281),NOT(X271)),FALSE,G283="")</f>
        <v>0</v>
      </c>
      <c r="AL283" s="488" t="b">
        <f ca="1">IF(OR(NOT(Y281),NOT(Z271)),FALSE,K283="")</f>
        <v>0</v>
      </c>
      <c r="AM283" s="488" t="b">
        <f ca="1">IF(OR(NOT(Y281),NOT(Z271)),FALSE,L283="")</f>
        <v>0</v>
      </c>
      <c r="AN283" s="488" t="b">
        <f ca="1">IF(OR(NOT(Y281),NOT(Z271)),FALSE,M283="")</f>
        <v>0</v>
      </c>
      <c r="AO283" s="488" t="b">
        <f ca="1">IF(OR(NOT(Y281),NOT(Z271)),FALSE,N283="")</f>
        <v>0</v>
      </c>
      <c r="AS283" s="323"/>
      <c r="AT283" s="323"/>
      <c r="AY283" s="323"/>
      <c r="BA283" s="323"/>
      <c r="BC283" s="323"/>
      <c r="BE283" s="323"/>
      <c r="BG283" s="323"/>
      <c r="BI283" s="323"/>
      <c r="BK283" s="323"/>
      <c r="BM283" s="323"/>
      <c r="BO283" s="323"/>
      <c r="BQ283" s="323"/>
      <c r="BS283" s="323"/>
      <c r="BU283" s="323"/>
      <c r="BW283" s="323"/>
      <c r="BY283" s="323"/>
      <c r="CA283" s="323"/>
      <c r="CC283" s="323"/>
      <c r="CE283" s="323"/>
      <c r="CG283" s="323"/>
      <c r="CI283" s="323"/>
      <c r="CK283" s="323"/>
      <c r="CM283" s="323"/>
      <c r="CO283" s="323"/>
      <c r="CQ283" s="323"/>
      <c r="CS283" s="323"/>
      <c r="CU283" s="323"/>
      <c r="CW283" s="323"/>
      <c r="CY283" s="323"/>
      <c r="DA283" s="323"/>
      <c r="DC283" s="323"/>
      <c r="DE283" s="323"/>
      <c r="DG283" s="323"/>
      <c r="DI283" s="323"/>
      <c r="DJ283" s="485"/>
    </row>
    <row r="284" spans="1:114" ht="11.25" customHeight="1" x14ac:dyDescent="0.3">
      <c r="A284" s="765"/>
      <c r="C284" s="219"/>
      <c r="D284" s="220"/>
      <c r="E284" s="517"/>
      <c r="F284" s="516"/>
      <c r="G284" s="223"/>
      <c r="H284" s="219"/>
      <c r="J284" s="219"/>
      <c r="K284" s="220"/>
      <c r="L284" s="517"/>
      <c r="M284" s="516"/>
      <c r="N284" s="223"/>
      <c r="O284" s="219"/>
      <c r="AB284" s="327" t="str">
        <f>AB283</f>
        <v/>
      </c>
      <c r="AC284" s="327" t="str">
        <f>AC283</f>
        <v/>
      </c>
      <c r="AD284" s="327" t="str">
        <f>AD283</f>
        <v/>
      </c>
      <c r="AE284" s="327" t="str">
        <f>AE283</f>
        <v/>
      </c>
      <c r="AF284" s="325"/>
      <c r="AG284" s="485">
        <v>2</v>
      </c>
      <c r="AH284" s="488" t="b">
        <f ca="1">IF(OR(NOT(W281),NOT(X271)),FALSE,D284="")</f>
        <v>0</v>
      </c>
      <c r="AI284" s="488" t="b">
        <f ca="1">IF(OR(NOT(W281),NOT(X271)),FALSE,E284="")</f>
        <v>0</v>
      </c>
      <c r="AJ284" s="488" t="b">
        <f ca="1">IF(OR(NOT(W281),NOT(X271)),FALSE,F284="")</f>
        <v>0</v>
      </c>
      <c r="AK284" s="488" t="b">
        <f ca="1">IF(OR(NOT(W281),NOT(X271)),FALSE,G284="")</f>
        <v>0</v>
      </c>
      <c r="AL284" s="488" t="b">
        <f ca="1">IF(OR(NOT(Y281),NOT(Z271)),FALSE,K284="")</f>
        <v>0</v>
      </c>
      <c r="AM284" s="488" t="b">
        <f ca="1">IF(OR(NOT(Y281),NOT(Z271)),FALSE,L284="")</f>
        <v>0</v>
      </c>
      <c r="AN284" s="488" t="b">
        <f ca="1">IF(OR(NOT(Y281),NOT(Z271)),FALSE,M284="")</f>
        <v>0</v>
      </c>
      <c r="AO284" s="488" t="b">
        <f ca="1">IF(OR(NOT(Y281),NOT(Z271)),FALSE,N284="")</f>
        <v>0</v>
      </c>
      <c r="AS284" s="323"/>
      <c r="AT284" s="323"/>
      <c r="AW284" s="485"/>
      <c r="AY284" s="323"/>
      <c r="BA284" s="323"/>
      <c r="BC284" s="323"/>
      <c r="BE284" s="323"/>
      <c r="BG284" s="323"/>
      <c r="BI284" s="323"/>
      <c r="BK284" s="323"/>
      <c r="BM284" s="323"/>
      <c r="BO284" s="323"/>
      <c r="BQ284" s="323"/>
      <c r="BS284" s="323"/>
      <c r="BU284" s="323"/>
      <c r="BW284" s="323"/>
      <c r="BY284" s="323"/>
      <c r="CA284" s="323"/>
      <c r="CC284" s="323"/>
      <c r="CE284" s="323"/>
      <c r="CG284" s="323"/>
      <c r="CI284" s="323"/>
      <c r="CK284" s="323"/>
      <c r="CM284" s="323"/>
      <c r="CO284" s="323"/>
      <c r="CQ284" s="323"/>
      <c r="CS284" s="323"/>
      <c r="CU284" s="323"/>
      <c r="CW284" s="323"/>
      <c r="CY284" s="323"/>
      <c r="DA284" s="323"/>
      <c r="DC284" s="323"/>
      <c r="DE284" s="323"/>
      <c r="DG284" s="323"/>
      <c r="DI284" s="323"/>
      <c r="DJ284" s="485"/>
    </row>
    <row r="285" spans="1:114" ht="11.25" customHeight="1" x14ac:dyDescent="0.3">
      <c r="A285" s="765"/>
      <c r="C285" s="219"/>
      <c r="D285" s="220"/>
      <c r="E285" s="517"/>
      <c r="F285" s="516"/>
      <c r="G285" s="223"/>
      <c r="H285" s="219"/>
      <c r="J285" s="219"/>
      <c r="K285" s="220"/>
      <c r="L285" s="517"/>
      <c r="M285" s="516"/>
      <c r="N285" s="223"/>
      <c r="O285" s="219"/>
      <c r="AB285" s="327" t="str">
        <f t="shared" ref="AB285:AB296" si="88">AB284</f>
        <v/>
      </c>
      <c r="AC285" s="327" t="str">
        <f t="shared" ref="AC285:AC296" si="89">AC284</f>
        <v/>
      </c>
      <c r="AD285" s="327" t="str">
        <f t="shared" ref="AD285:AD296" si="90">AD284</f>
        <v/>
      </c>
      <c r="AE285" s="327" t="str">
        <f t="shared" ref="AE285:AE296" si="91">AE284</f>
        <v/>
      </c>
      <c r="AF285" s="325"/>
      <c r="AG285" s="485">
        <v>3</v>
      </c>
      <c r="AH285" s="488" t="b">
        <f ca="1">IF(OR(NOT(W281),NOT(X271)),FALSE,D285="")</f>
        <v>0</v>
      </c>
      <c r="AI285" s="488" t="b">
        <f ca="1">IF(OR(NOT(W281),NOT(X271)),FALSE,E285="")</f>
        <v>0</v>
      </c>
      <c r="AJ285" s="488" t="b">
        <f ca="1">IF(OR(NOT(W281),NOT(X271)),FALSE,F285="")</f>
        <v>0</v>
      </c>
      <c r="AK285" s="488" t="b">
        <f ca="1">IF(OR(NOT(W281),NOT(X271)),FALSE,G285="")</f>
        <v>0</v>
      </c>
      <c r="AL285" s="488" t="b">
        <f ca="1">IF(OR(NOT(Y281),NOT(Z271)),FALSE,K285="")</f>
        <v>0</v>
      </c>
      <c r="AM285" s="488" t="b">
        <f ca="1">IF(OR(NOT(Y281),NOT(Z271)),FALSE,L285="")</f>
        <v>0</v>
      </c>
      <c r="AN285" s="488" t="b">
        <f ca="1">IF(OR(NOT(Y281),NOT(Z271)),FALSE,M285="")</f>
        <v>0</v>
      </c>
      <c r="AO285" s="488" t="b">
        <f ca="1">IF(OR(NOT(Y281),NOT(Z271)),FALSE,N285="")</f>
        <v>0</v>
      </c>
      <c r="AS285" s="323"/>
      <c r="AT285" s="323"/>
      <c r="AW285" s="485"/>
      <c r="AY285" s="323"/>
      <c r="BA285" s="323"/>
      <c r="BC285" s="323"/>
      <c r="BE285" s="323"/>
      <c r="BG285" s="323"/>
      <c r="BI285" s="323"/>
      <c r="BK285" s="323"/>
      <c r="BM285" s="323"/>
      <c r="BO285" s="323"/>
      <c r="BQ285" s="323"/>
      <c r="BS285" s="323"/>
      <c r="BU285" s="323"/>
      <c r="BW285" s="323"/>
      <c r="BY285" s="323"/>
      <c r="CA285" s="323"/>
      <c r="CC285" s="323"/>
      <c r="CE285" s="323"/>
      <c r="CG285" s="323"/>
      <c r="CI285" s="323"/>
      <c r="CK285" s="323"/>
      <c r="CM285" s="323"/>
      <c r="CO285" s="323"/>
      <c r="CQ285" s="323"/>
      <c r="CS285" s="323"/>
      <c r="CU285" s="323"/>
      <c r="CW285" s="323"/>
      <c r="CY285" s="323"/>
      <c r="DA285" s="323"/>
      <c r="DC285" s="323"/>
      <c r="DE285" s="323"/>
      <c r="DG285" s="323"/>
      <c r="DI285" s="323"/>
      <c r="DJ285" s="485"/>
    </row>
    <row r="286" spans="1:114" ht="11.25" customHeight="1" x14ac:dyDescent="0.3">
      <c r="A286" s="765"/>
      <c r="C286" s="219"/>
      <c r="D286" s="220"/>
      <c r="E286" s="517"/>
      <c r="F286" s="516"/>
      <c r="G286" s="223"/>
      <c r="H286" s="219"/>
      <c r="J286" s="219"/>
      <c r="K286" s="220"/>
      <c r="L286" s="517"/>
      <c r="M286" s="516"/>
      <c r="N286" s="223"/>
      <c r="O286" s="219"/>
      <c r="AB286" s="327" t="str">
        <f t="shared" si="88"/>
        <v/>
      </c>
      <c r="AC286" s="327" t="str">
        <f t="shared" si="89"/>
        <v/>
      </c>
      <c r="AD286" s="327" t="str">
        <f t="shared" si="90"/>
        <v/>
      </c>
      <c r="AE286" s="327" t="str">
        <f t="shared" si="91"/>
        <v/>
      </c>
      <c r="AF286" s="325"/>
      <c r="AG286" s="485">
        <v>4</v>
      </c>
      <c r="AH286" s="488" t="b">
        <f ca="1">IF(OR(NOT(W281),NOT(X271)),FALSE,D286="")</f>
        <v>0</v>
      </c>
      <c r="AI286" s="488" t="b">
        <f ca="1">IF(OR(NOT(W281),NOT(X271)),FALSE,E286="")</f>
        <v>0</v>
      </c>
      <c r="AJ286" s="488" t="b">
        <f ca="1">IF(OR(NOT(W281),NOT(X271)),FALSE,F286="")</f>
        <v>0</v>
      </c>
      <c r="AK286" s="488" t="b">
        <f ca="1">IF(OR(NOT(W281),NOT(X271)),FALSE,G286="")</f>
        <v>0</v>
      </c>
      <c r="AL286" s="488" t="b">
        <f ca="1">IF(OR(NOT(Y281),NOT(Z271)),FALSE,K286="")</f>
        <v>0</v>
      </c>
      <c r="AM286" s="488" t="b">
        <f ca="1">IF(OR(NOT(Y281),NOT(Z271)),FALSE,L286="")</f>
        <v>0</v>
      </c>
      <c r="AN286" s="488" t="b">
        <f ca="1">IF(OR(NOT(Y281),NOT(Z271)),FALSE,M286="")</f>
        <v>0</v>
      </c>
      <c r="AO286" s="488" t="b">
        <f ca="1">IF(OR(NOT(Y281),NOT(Z271)),FALSE,N286="")</f>
        <v>0</v>
      </c>
      <c r="AS286" s="323"/>
      <c r="AT286" s="323"/>
      <c r="AW286" s="485"/>
      <c r="AY286" s="323"/>
      <c r="BA286" s="323"/>
      <c r="BC286" s="323"/>
      <c r="BE286" s="323"/>
      <c r="BG286" s="323"/>
      <c r="BI286" s="323"/>
      <c r="BK286" s="323"/>
      <c r="BM286" s="323"/>
      <c r="BO286" s="323"/>
      <c r="BQ286" s="323"/>
      <c r="BS286" s="323"/>
      <c r="BU286" s="323"/>
      <c r="BW286" s="323"/>
      <c r="BY286" s="323"/>
      <c r="CA286" s="323"/>
      <c r="CC286" s="323"/>
      <c r="CE286" s="323"/>
      <c r="CG286" s="323"/>
      <c r="CI286" s="323"/>
      <c r="CK286" s="323"/>
      <c r="CM286" s="323"/>
      <c r="CO286" s="323"/>
      <c r="CQ286" s="323"/>
      <c r="CS286" s="323"/>
      <c r="CU286" s="323"/>
      <c r="CW286" s="323"/>
      <c r="CY286" s="323"/>
      <c r="DA286" s="323"/>
      <c r="DC286" s="323"/>
      <c r="DE286" s="323"/>
      <c r="DG286" s="323"/>
      <c r="DI286" s="323"/>
      <c r="DJ286" s="485"/>
    </row>
    <row r="287" spans="1:114" ht="11.25" customHeight="1" x14ac:dyDescent="0.3">
      <c r="A287" s="765"/>
      <c r="C287" s="219"/>
      <c r="D287" s="220"/>
      <c r="E287" s="517"/>
      <c r="F287" s="516"/>
      <c r="G287" s="223"/>
      <c r="H287" s="219"/>
      <c r="J287" s="219"/>
      <c r="K287" s="220"/>
      <c r="L287" s="517"/>
      <c r="M287" s="516"/>
      <c r="N287" s="223"/>
      <c r="O287" s="219"/>
      <c r="AB287" s="327" t="str">
        <f t="shared" si="88"/>
        <v/>
      </c>
      <c r="AC287" s="327" t="str">
        <f t="shared" si="89"/>
        <v/>
      </c>
      <c r="AD287" s="327" t="str">
        <f t="shared" si="90"/>
        <v/>
      </c>
      <c r="AE287" s="327" t="str">
        <f t="shared" si="91"/>
        <v/>
      </c>
      <c r="AF287" s="325"/>
      <c r="AG287" s="495">
        <v>5</v>
      </c>
      <c r="AH287" s="488" t="b">
        <f ca="1">IF(OR(NOT(W281),NOT(X271)),FALSE,D287="")</f>
        <v>0</v>
      </c>
      <c r="AI287" s="488" t="b">
        <f ca="1">IF(OR(NOT(W281),NOT(X271)),FALSE,E287="")</f>
        <v>0</v>
      </c>
      <c r="AJ287" s="488" t="b">
        <f ca="1">IF(OR(NOT(W281),NOT(X271)),FALSE,F287="")</f>
        <v>0</v>
      </c>
      <c r="AK287" s="488" t="b">
        <f ca="1">IF(OR(NOT(W281),NOT(X271)),FALSE,G287="")</f>
        <v>0</v>
      </c>
      <c r="AL287" s="488" t="b">
        <f ca="1">IF(OR(NOT(Y281),NOT(Z271)),FALSE,K287="")</f>
        <v>0</v>
      </c>
      <c r="AM287" s="488" t="b">
        <f ca="1">IF(OR(NOT(Y281),NOT(Z271)),FALSE,L287="")</f>
        <v>0</v>
      </c>
      <c r="AN287" s="488" t="b">
        <f ca="1">IF(OR(NOT(Y281),NOT(Z271)),FALSE,M287="")</f>
        <v>0</v>
      </c>
      <c r="AO287" s="488" t="b">
        <f ca="1">IF(OR(NOT(Y281),NOT(Z271)),FALSE,N287="")</f>
        <v>0</v>
      </c>
      <c r="AP287" s="495"/>
      <c r="AS287" s="323"/>
      <c r="AT287" s="323"/>
      <c r="AW287" s="485"/>
      <c r="AY287" s="323"/>
      <c r="BA287" s="323"/>
      <c r="BC287" s="323"/>
      <c r="BE287" s="323"/>
      <c r="BG287" s="323"/>
      <c r="BI287" s="323"/>
      <c r="BK287" s="323"/>
      <c r="BM287" s="323"/>
      <c r="BO287" s="323"/>
      <c r="BQ287" s="323"/>
      <c r="BS287" s="323"/>
      <c r="BU287" s="323"/>
      <c r="BW287" s="323"/>
      <c r="BY287" s="323"/>
      <c r="CA287" s="323"/>
      <c r="CC287" s="323"/>
      <c r="CE287" s="323"/>
      <c r="CG287" s="323"/>
      <c r="CI287" s="323"/>
      <c r="CK287" s="323"/>
      <c r="CM287" s="323"/>
      <c r="CO287" s="323"/>
      <c r="CQ287" s="323"/>
      <c r="CS287" s="323"/>
      <c r="CU287" s="323"/>
      <c r="CW287" s="323"/>
      <c r="CY287" s="323"/>
      <c r="DA287" s="323"/>
      <c r="DC287" s="323"/>
      <c r="DE287" s="323"/>
      <c r="DG287" s="323"/>
      <c r="DI287" s="323"/>
      <c r="DJ287" s="485"/>
    </row>
    <row r="288" spans="1:114" ht="11.25" customHeight="1" x14ac:dyDescent="0.3">
      <c r="A288" s="765"/>
      <c r="C288" s="219"/>
      <c r="D288" s="220"/>
      <c r="E288" s="517"/>
      <c r="F288" s="516"/>
      <c r="G288" s="223"/>
      <c r="H288" s="219"/>
      <c r="J288" s="219"/>
      <c r="K288" s="220"/>
      <c r="L288" s="517"/>
      <c r="M288" s="516"/>
      <c r="N288" s="223"/>
      <c r="O288" s="219"/>
      <c r="AB288" s="327" t="str">
        <f t="shared" si="88"/>
        <v/>
      </c>
      <c r="AC288" s="327" t="str">
        <f t="shared" si="89"/>
        <v/>
      </c>
      <c r="AD288" s="327" t="str">
        <f t="shared" si="90"/>
        <v/>
      </c>
      <c r="AE288" s="327" t="str">
        <f t="shared" si="91"/>
        <v/>
      </c>
      <c r="AF288" s="325"/>
      <c r="AG288" s="485">
        <v>6</v>
      </c>
      <c r="AH288" s="496" t="b">
        <f ca="1">IF(OR(NOT(W281),NOT(X271)),FALSE,AND(D288="",OR(AG288&lt;=W282+COUNTIF(E283:E288,$W$218),AG288&lt;=X282+COUNTIF(F283:F288,$W$218))))</f>
        <v>0</v>
      </c>
      <c r="AI288" s="496" t="b">
        <f ca="1">IF(OR(NOT(W281),NOT(X271)),FALSE,AND(E288="",OR(AG288&lt;=W282+COUNTIF(E283:E288,$W$218),AG288&lt;=X282+COUNTIF(F283:F288,$W$218))))</f>
        <v>0</v>
      </c>
      <c r="AJ288" s="496" t="b">
        <f ca="1">IF(OR(NOT(W281),NOT(X271)),FALSE,AND(F288="",OR(AG288&lt;=W282+COUNTIF(E283:E288,$W$218),AG288&lt;=X282+COUNTIF(F283:F288,$W$218))))</f>
        <v>0</v>
      </c>
      <c r="AK288" s="496" t="b">
        <f ca="1">IF(OR(NOT(W281),NOT(X271)),FALSE,AND(G288="",OR(AG288&lt;=W282+COUNTIF(E283:E288,$W$218),AG288&lt;=X282+COUNTIF(F283:F288,$W$218))))</f>
        <v>0</v>
      </c>
      <c r="AL288" s="496" t="b">
        <f ca="1">IF(OR(NOT(Y281),NOT(Z271)),FALSE,AND(K288="",OR(AG288&lt;=Y282+COUNTIF(L283:L288,$W$218),AG288&lt;=Z282+COUNTIF(M283:M288,$W$218))))</f>
        <v>0</v>
      </c>
      <c r="AM288" s="496" t="b">
        <f ca="1">IF(OR(NOT(Y281),NOT(Z271)),FALSE,AND(L288="",OR(AG288&lt;=Y282+COUNTIF(L283:L288,$W$218),AG288&lt;=Z282+COUNTIF(M283:M288,$W$218))))</f>
        <v>0</v>
      </c>
      <c r="AN288" s="496" t="b">
        <f ca="1">IF(OR(NOT(Y281),NOT(Z271)),FALSE,AND(M288="",OR(AG288&lt;=Y282+COUNTIF(L283:L288,$W$218),AG288&lt;=Z282+COUNTIF(M283:M288,$W$218))))</f>
        <v>0</v>
      </c>
      <c r="AO288" s="496" t="b">
        <f ca="1">IF(OR(NOT(Y281),NOT(Z271)),FALSE,AND(N288="",OR(AG288&lt;=Y282+COUNTIF(L283:L288,$W$218),AG288&lt;=Z282+COUNTIF(M283:M288,$W$218))))</f>
        <v>0</v>
      </c>
      <c r="AS288" s="323"/>
      <c r="AT288" s="323"/>
      <c r="AW288" s="485"/>
      <c r="AY288" s="323"/>
      <c r="BA288" s="323"/>
      <c r="BC288" s="323"/>
      <c r="BE288" s="323"/>
      <c r="BG288" s="323"/>
      <c r="BI288" s="323"/>
      <c r="BK288" s="323"/>
      <c r="BM288" s="323"/>
      <c r="BO288" s="323"/>
      <c r="BQ288" s="323"/>
      <c r="BS288" s="323"/>
      <c r="BU288" s="323"/>
      <c r="BW288" s="323"/>
      <c r="BY288" s="323"/>
      <c r="CA288" s="323"/>
      <c r="CC288" s="323"/>
      <c r="CE288" s="323"/>
      <c r="CG288" s="323"/>
      <c r="CI288" s="323"/>
      <c r="CK288" s="323"/>
      <c r="CM288" s="323"/>
      <c r="CO288" s="323"/>
      <c r="CQ288" s="323"/>
      <c r="CS288" s="323"/>
      <c r="CU288" s="323"/>
      <c r="CW288" s="323"/>
      <c r="CY288" s="323"/>
      <c r="DA288" s="323"/>
      <c r="DC288" s="323"/>
      <c r="DE288" s="323"/>
      <c r="DG288" s="323"/>
      <c r="DI288" s="323"/>
      <c r="DJ288" s="485"/>
    </row>
    <row r="289" spans="1:115" ht="11.25" customHeight="1" x14ac:dyDescent="0.3">
      <c r="A289" s="765"/>
      <c r="C289" s="219"/>
      <c r="D289" s="220"/>
      <c r="E289" s="517"/>
      <c r="F289" s="516"/>
      <c r="G289" s="223"/>
      <c r="H289" s="219"/>
      <c r="J289" s="219"/>
      <c r="K289" s="220"/>
      <c r="L289" s="517"/>
      <c r="M289" s="516"/>
      <c r="N289" s="223"/>
      <c r="O289" s="219"/>
      <c r="AB289" s="327" t="str">
        <f t="shared" si="88"/>
        <v/>
      </c>
      <c r="AC289" s="327" t="str">
        <f t="shared" si="89"/>
        <v/>
      </c>
      <c r="AD289" s="327" t="str">
        <f t="shared" si="90"/>
        <v/>
      </c>
      <c r="AE289" s="327" t="str">
        <f t="shared" si="91"/>
        <v/>
      </c>
      <c r="AF289" s="325"/>
      <c r="AG289" s="485">
        <v>7</v>
      </c>
      <c r="AH289" s="496" t="b">
        <f ca="1">IF(OR(NOT(W281),NOT(X271)),FALSE,AND(D289="",OR(AG289&lt;=W282+COUNTIF(E283:E289,$W$218),AG289&lt;=X282+COUNTIF(F283:F289,$W$218))))</f>
        <v>0</v>
      </c>
      <c r="AI289" s="496" t="b">
        <f ca="1">IF(OR(NOT(W281),NOT(X271)),FALSE,AND(E289="",OR(AG289&lt;=W282+COUNTIF(E283:E289,$W$218),AG289&lt;=X282+COUNTIF(F283:F289,$W$218))))</f>
        <v>0</v>
      </c>
      <c r="AJ289" s="496" t="b">
        <f ca="1">IF(OR(NOT(W281),NOT(X271)),FALSE,AND(F289="",OR(AG289&lt;=W282+COUNTIF(E283:E289,$W$218),AG289&lt;=X282+COUNTIF(F283:F289,$W$218))))</f>
        <v>0</v>
      </c>
      <c r="AK289" s="496" t="b">
        <f ca="1">IF(OR(NOT(W281),NOT(X271)),FALSE,AND(G289="",OR(AG289&lt;=W282+COUNTIF(E283:E289,$W$218),AG289&lt;=X282+COUNTIF(F283:F289,$W$218))))</f>
        <v>0</v>
      </c>
      <c r="AL289" s="496" t="b">
        <f ca="1">IF(OR(NOT(Y281),NOT(Z271)),FALSE,AND(K289="",OR(AG289&lt;=Y282+COUNTIF(L283:L289,$W$218),AG289&lt;=Z282+COUNTIF(M283:M289,$W$218))))</f>
        <v>0</v>
      </c>
      <c r="AM289" s="496" t="b">
        <f ca="1">IF(OR(NOT(Y281),NOT(Z271)),FALSE,AND(L289="",OR(AG289&lt;=Y282+COUNTIF(L283:L289,$W$218),AG289&lt;=Z282+COUNTIF(M283:M289,$W$218))))</f>
        <v>0</v>
      </c>
      <c r="AN289" s="496" t="b">
        <f ca="1">IF(OR(NOT(Y281),NOT(Z271)),FALSE,AND(M289="",OR(AG289&lt;=Y282+COUNTIF(L283:L289,$W$218),AG289&lt;=Z282+COUNTIF(M283:M289,$W$218))))</f>
        <v>0</v>
      </c>
      <c r="AO289" s="496" t="b">
        <f ca="1">IF(OR(NOT(Y281),NOT(Z271)),FALSE,AND(N289="",OR(AG289&lt;=Y282+COUNTIF(L283:L289,$W$218),AG289&lt;=Z282+COUNTIF(M283:M289,$W$218))))</f>
        <v>0</v>
      </c>
      <c r="AS289" s="323"/>
      <c r="AT289" s="323"/>
      <c r="AW289" s="485"/>
      <c r="AY289" s="323"/>
      <c r="BA289" s="323"/>
      <c r="BC289" s="323"/>
      <c r="BE289" s="323"/>
      <c r="BG289" s="323"/>
      <c r="BI289" s="323"/>
      <c r="BK289" s="323"/>
      <c r="BM289" s="323"/>
      <c r="BO289" s="323"/>
      <c r="BQ289" s="323"/>
      <c r="BS289" s="323"/>
      <c r="BU289" s="323"/>
      <c r="BW289" s="323"/>
      <c r="BY289" s="323"/>
      <c r="CA289" s="323"/>
      <c r="CC289" s="323"/>
      <c r="CE289" s="323"/>
      <c r="CG289" s="323"/>
      <c r="CI289" s="323"/>
      <c r="CK289" s="323"/>
      <c r="CM289" s="323"/>
      <c r="CO289" s="323"/>
      <c r="CQ289" s="323"/>
      <c r="CS289" s="323"/>
      <c r="CU289" s="323"/>
      <c r="CW289" s="323"/>
      <c r="CY289" s="323"/>
      <c r="DA289" s="323"/>
      <c r="DC289" s="323"/>
      <c r="DE289" s="323"/>
      <c r="DG289" s="323"/>
      <c r="DI289" s="323"/>
      <c r="DJ289" s="485"/>
    </row>
    <row r="290" spans="1:115" ht="11.25" customHeight="1" x14ac:dyDescent="0.3">
      <c r="A290" s="765"/>
      <c r="C290" s="219"/>
      <c r="D290" s="220"/>
      <c r="E290" s="517"/>
      <c r="F290" s="516"/>
      <c r="G290" s="223"/>
      <c r="H290" s="219"/>
      <c r="J290" s="219"/>
      <c r="K290" s="220"/>
      <c r="L290" s="517"/>
      <c r="M290" s="516"/>
      <c r="N290" s="223"/>
      <c r="O290" s="219"/>
      <c r="AB290" s="327" t="str">
        <f t="shared" si="88"/>
        <v/>
      </c>
      <c r="AC290" s="327" t="str">
        <f t="shared" si="89"/>
        <v/>
      </c>
      <c r="AD290" s="327" t="str">
        <f t="shared" si="90"/>
        <v/>
      </c>
      <c r="AE290" s="327" t="str">
        <f t="shared" si="91"/>
        <v/>
      </c>
      <c r="AF290" s="325"/>
      <c r="AG290" s="485">
        <v>8</v>
      </c>
      <c r="AH290" s="496" t="b">
        <f ca="1">IF(OR(NOT(W281),NOT(X271)),FALSE,AND(D290="",OR(AG290&lt;=W282+COUNTIF(E283:E290,$W$218),AG290&lt;=X282+COUNTIF(F283:F290,$W$218))))</f>
        <v>0</v>
      </c>
      <c r="AI290" s="496" t="b">
        <f ca="1">IF(OR(NOT(W281),NOT(X271)),FALSE,AND(E290="",OR(AG290&lt;=W282+COUNTIF(E283:E290,$W$218),AG290&lt;=X282+COUNTIF(F283:F290,$W$218))))</f>
        <v>0</v>
      </c>
      <c r="AJ290" s="496" t="b">
        <f ca="1">IF(OR(NOT(W281),NOT(X271)),FALSE,AND(F290="",OR(AG290&lt;=W282+COUNTIF(E283:E290,$W$218),AG290&lt;=X282+COUNTIF(F283:F290,$W$218))))</f>
        <v>0</v>
      </c>
      <c r="AK290" s="496" t="b">
        <f ca="1">IF(OR(NOT(W281),NOT(X271)),FALSE,AND(G290="",OR(AG290&lt;=W282+COUNTIF(E283:E290,$W$218),AG290&lt;=X282+COUNTIF(F283:F290,$W$218))))</f>
        <v>0</v>
      </c>
      <c r="AL290" s="496" t="b">
        <f ca="1">IF(OR(NOT(Y281),NOT(Z271)),FALSE,AND(K290="",OR(AG290&lt;=Y282+COUNTIF(L283:L290,$W$218),AG290&lt;=Z282+COUNTIF(M283:M290,$W$218))))</f>
        <v>0</v>
      </c>
      <c r="AM290" s="496" t="b">
        <f ca="1">IF(OR(NOT(Y281),NOT(Z271)),FALSE,AND(L290="",OR(AG290&lt;=Y282+COUNTIF(L283:L290,$W$218),AG290&lt;=Z282+COUNTIF(M283:M290,$W$218))))</f>
        <v>0</v>
      </c>
      <c r="AN290" s="496" t="b">
        <f ca="1">IF(OR(NOT(Y281),NOT(Z271)),FALSE,AND(M290="",OR(AG290&lt;=Y282+COUNTIF(L283:L290,$W$218),AG290&lt;=Z282+COUNTIF(M283:M290,$W$218))))</f>
        <v>0</v>
      </c>
      <c r="AO290" s="496" t="b">
        <f ca="1">IF(OR(NOT(Y281),NOT(Z271)),FALSE,AND(N290="",OR(AG290&lt;=Y282+COUNTIF(L283:L290,$W$218),AG290&lt;=Z282+COUNTIF(M283:M290,$W$218))))</f>
        <v>0</v>
      </c>
      <c r="AS290" s="323"/>
      <c r="AT290" s="323"/>
      <c r="AW290" s="485"/>
      <c r="AY290" s="323"/>
      <c r="BA290" s="323"/>
      <c r="BC290" s="323"/>
      <c r="BE290" s="323"/>
      <c r="BG290" s="323"/>
      <c r="BI290" s="323"/>
      <c r="BK290" s="323"/>
      <c r="BM290" s="323"/>
      <c r="BO290" s="323"/>
      <c r="BQ290" s="323"/>
      <c r="BS290" s="323"/>
      <c r="BU290" s="323"/>
      <c r="BW290" s="323"/>
      <c r="BY290" s="323"/>
      <c r="CA290" s="323"/>
      <c r="CC290" s="323"/>
      <c r="CE290" s="323"/>
      <c r="CG290" s="323"/>
      <c r="CI290" s="323"/>
      <c r="CK290" s="323"/>
      <c r="CM290" s="323"/>
      <c r="CO290" s="323"/>
      <c r="CQ290" s="323"/>
      <c r="CS290" s="323"/>
      <c r="CU290" s="323"/>
      <c r="CW290" s="323"/>
      <c r="CY290" s="323"/>
      <c r="DA290" s="323"/>
      <c r="DC290" s="323"/>
      <c r="DE290" s="323"/>
      <c r="DG290" s="323"/>
      <c r="DI290" s="323"/>
      <c r="DJ290" s="485"/>
    </row>
    <row r="291" spans="1:115" ht="11.25" customHeight="1" x14ac:dyDescent="0.3">
      <c r="A291" s="765"/>
      <c r="C291" s="219"/>
      <c r="D291" s="220"/>
      <c r="E291" s="517"/>
      <c r="F291" s="516"/>
      <c r="G291" s="223"/>
      <c r="H291" s="219"/>
      <c r="J291" s="219"/>
      <c r="K291" s="220"/>
      <c r="L291" s="517"/>
      <c r="M291" s="516"/>
      <c r="N291" s="223"/>
      <c r="O291" s="219"/>
      <c r="AB291" s="327" t="str">
        <f t="shared" si="88"/>
        <v/>
      </c>
      <c r="AC291" s="327" t="str">
        <f t="shared" si="89"/>
        <v/>
      </c>
      <c r="AD291" s="327" t="str">
        <f t="shared" si="90"/>
        <v/>
      </c>
      <c r="AE291" s="327" t="str">
        <f t="shared" si="91"/>
        <v/>
      </c>
      <c r="AF291" s="325"/>
      <c r="AG291" s="485">
        <v>9</v>
      </c>
      <c r="AH291" s="496" t="b">
        <f ca="1">IF(OR(NOT(W281),NOT(X271)),FALSE,AND(D291="",OR(AG291&lt;=W282+COUNTIF(E283:E291,$W$218),AG291&lt;=X282+COUNTIF(F283:F291,$W$218))))</f>
        <v>0</v>
      </c>
      <c r="AI291" s="496" t="b">
        <f ca="1">IF(OR(NOT(W281),NOT(X271)),FALSE,AND(E291="",OR(AG291&lt;=W282+COUNTIF(E283:E291,$W$218),AG291&lt;=X282+COUNTIF(F283:F291,$W$218))))</f>
        <v>0</v>
      </c>
      <c r="AJ291" s="496" t="b">
        <f ca="1">IF(OR(NOT(W281),NOT(X271)),FALSE,AND(F291="",OR(AG291&lt;=W282+COUNTIF(E283:E291,$W$218),AG291&lt;=X282+COUNTIF(F283:F291,$W$218))))</f>
        <v>0</v>
      </c>
      <c r="AK291" s="496" t="b">
        <f ca="1">IF(OR(NOT(W281),NOT(X271)),FALSE,AND(G291="",OR(AG291&lt;=W282+COUNTIF(E283:E291,$W$218),AG291&lt;=X282+COUNTIF(F283:F291,$W$218))))</f>
        <v>0</v>
      </c>
      <c r="AL291" s="496" t="b">
        <f ca="1">IF(OR(NOT(Y281),NOT(Z271)),FALSE,AND(K291="",OR(AG291&lt;=Y282+COUNTIF(L283:L291,$W$218),AG291&lt;=Z282+COUNTIF(M283:M291,$W$218))))</f>
        <v>0</v>
      </c>
      <c r="AM291" s="496" t="b">
        <f ca="1">IF(OR(NOT(Y281),NOT(Z271)),FALSE,AND(L291="",OR(AG291&lt;=Y282+COUNTIF(L283:L291,$W$218),AG291&lt;=Z282+COUNTIF(M283:M291,$W$218))))</f>
        <v>0</v>
      </c>
      <c r="AN291" s="496" t="b">
        <f ca="1">IF(OR(NOT(Y281),NOT(Z271)),FALSE,AND(M291="",OR(AG291&lt;=Y282+COUNTIF(L283:L291,$W$218),AG291&lt;=Z282+COUNTIF(M283:M291,$W$218))))</f>
        <v>0</v>
      </c>
      <c r="AO291" s="496" t="b">
        <f ca="1">IF(OR(NOT(Y281),NOT(Z271)),FALSE,AND(N291="",OR(AG291&lt;=Y282+COUNTIF(L283:L291,$W$218),AG291&lt;=Z282+COUNTIF(M283:M291,$W$218))))</f>
        <v>0</v>
      </c>
      <c r="AS291" s="323"/>
      <c r="AT291" s="323"/>
      <c r="AW291" s="485"/>
      <c r="AY291" s="323"/>
      <c r="BA291" s="323"/>
      <c r="BC291" s="323"/>
      <c r="BE291" s="323"/>
      <c r="BG291" s="323"/>
      <c r="BI291" s="323"/>
      <c r="BK291" s="323"/>
      <c r="BM291" s="323"/>
      <c r="BO291" s="323"/>
      <c r="BQ291" s="323"/>
      <c r="BS291" s="323"/>
      <c r="BU291" s="323"/>
      <c r="BW291" s="323"/>
      <c r="BY291" s="323"/>
      <c r="CA291" s="323"/>
      <c r="CC291" s="323"/>
      <c r="CE291" s="323"/>
      <c r="CG291" s="323"/>
      <c r="CI291" s="323"/>
      <c r="CK291" s="323"/>
      <c r="CM291" s="323"/>
      <c r="CO291" s="323"/>
      <c r="CQ291" s="323"/>
      <c r="CS291" s="323"/>
      <c r="CU291" s="323"/>
      <c r="CW291" s="323"/>
      <c r="CY291" s="323"/>
      <c r="DA291" s="323"/>
      <c r="DC291" s="323"/>
      <c r="DE291" s="323"/>
      <c r="DG291" s="323"/>
      <c r="DI291" s="323"/>
      <c r="DJ291" s="485"/>
    </row>
    <row r="292" spans="1:115" ht="11.25" customHeight="1" x14ac:dyDescent="0.3">
      <c r="A292" s="765"/>
      <c r="C292" s="219"/>
      <c r="D292" s="220"/>
      <c r="E292" s="517"/>
      <c r="F292" s="516"/>
      <c r="G292" s="223"/>
      <c r="H292" s="219"/>
      <c r="J292" s="219"/>
      <c r="K292" s="220"/>
      <c r="L292" s="517"/>
      <c r="M292" s="516"/>
      <c r="N292" s="223"/>
      <c r="O292" s="219"/>
      <c r="AB292" s="327" t="str">
        <f t="shared" si="88"/>
        <v/>
      </c>
      <c r="AC292" s="327" t="str">
        <f t="shared" si="89"/>
        <v/>
      </c>
      <c r="AD292" s="327" t="str">
        <f t="shared" si="90"/>
        <v/>
      </c>
      <c r="AE292" s="327" t="str">
        <f t="shared" si="91"/>
        <v/>
      </c>
      <c r="AF292" s="325"/>
      <c r="AG292" s="485">
        <v>10</v>
      </c>
      <c r="AH292" s="496" t="b">
        <f ca="1">IF(OR(NOT(W281),NOT(X271)),FALSE,AND(D292="",OR(AG292&lt;=W282+COUNTIF(E283:E292,$W$218),AG292&lt;=X282+COUNTIF(F283:F292,$W$218))))</f>
        <v>0</v>
      </c>
      <c r="AI292" s="496" t="b">
        <f ca="1">IF(OR(NOT(W281),NOT(X271)),FALSE,AND(E292="",OR(AG292&lt;=W282+COUNTIF(E283:E292,$W$218),AG292&lt;=X282+COUNTIF(F283:F292,$W$218))))</f>
        <v>0</v>
      </c>
      <c r="AJ292" s="496" t="b">
        <f ca="1">IF(OR(NOT(W281),NOT(X271)),FALSE,AND(F292="",OR(AG292&lt;=W282+COUNTIF(E283:E292,$W$218),AG292&lt;=X282+COUNTIF(F283:F292,$W$218))))</f>
        <v>0</v>
      </c>
      <c r="AK292" s="496" t="b">
        <f ca="1">IF(OR(NOT(W281),NOT(X271)),FALSE,AND(G292="",OR(AG292&lt;=W282+COUNTIF(E283:E292,$W$218),AG292&lt;=X282+COUNTIF(F283:F292,$W$218))))</f>
        <v>0</v>
      </c>
      <c r="AL292" s="496" t="b">
        <f ca="1">IF(OR(NOT(Y281),NOT(Z271)),FALSE,AND(K292="",OR(AG292&lt;=Y282+COUNTIF(L283:L292,$W$218),AG292&lt;=Z282+COUNTIF(M283:M292,$W$218))))</f>
        <v>0</v>
      </c>
      <c r="AM292" s="496" t="b">
        <f ca="1">IF(OR(NOT(Y281),NOT(Z271)),FALSE,AND(L292="",OR(AG292&lt;=Y282+COUNTIF(L283:L292,$W$218),AG292&lt;=Z282+COUNTIF(M283:M292,$W$218))))</f>
        <v>0</v>
      </c>
      <c r="AN292" s="496" t="b">
        <f ca="1">IF(OR(NOT(Y281),NOT(Z271)),FALSE,AND(M292="",OR(AG292&lt;=Y282+COUNTIF(L283:L292,$W$218),AG292&lt;=Z282+COUNTIF(M283:M292,$W$218))))</f>
        <v>0</v>
      </c>
      <c r="AO292" s="496" t="b">
        <f ca="1">IF(OR(NOT(Y281),NOT(Z271)),FALSE,AND(N292="",OR(AG292&lt;=Y282+COUNTIF(L283:L292,$W$218),AG292&lt;=Z282+COUNTIF(M283:M292,$W$218))))</f>
        <v>0</v>
      </c>
      <c r="AW292" s="485"/>
      <c r="AY292" s="323"/>
      <c r="BA292" s="323"/>
      <c r="BC292" s="323"/>
      <c r="BE292" s="323"/>
      <c r="BG292" s="323"/>
      <c r="BI292" s="323"/>
      <c r="BK292" s="323"/>
      <c r="BM292" s="323"/>
      <c r="BO292" s="323"/>
      <c r="BQ292" s="323"/>
      <c r="BS292" s="323"/>
      <c r="BU292" s="323"/>
      <c r="BW292" s="323"/>
      <c r="BY292" s="323"/>
      <c r="CA292" s="323"/>
      <c r="CC292" s="323"/>
      <c r="CE292" s="323"/>
      <c r="CG292" s="323"/>
      <c r="CI292" s="323"/>
      <c r="CK292" s="323"/>
      <c r="CM292" s="323"/>
      <c r="CO292" s="323"/>
      <c r="CQ292" s="323"/>
      <c r="CS292" s="323"/>
      <c r="CU292" s="323"/>
      <c r="CW292" s="323"/>
      <c r="CY292" s="323"/>
      <c r="DA292" s="323"/>
      <c r="DC292" s="323"/>
      <c r="DE292" s="323"/>
      <c r="DG292" s="323"/>
      <c r="DI292" s="323"/>
      <c r="DJ292" s="485"/>
    </row>
    <row r="293" spans="1:115" ht="11.25" customHeight="1" x14ac:dyDescent="0.3">
      <c r="A293" s="765"/>
      <c r="C293" s="219"/>
      <c r="D293" s="220"/>
      <c r="E293" s="517"/>
      <c r="F293" s="516"/>
      <c r="G293" s="223"/>
      <c r="H293" s="219"/>
      <c r="J293" s="219"/>
      <c r="K293" s="220"/>
      <c r="L293" s="517"/>
      <c r="M293" s="516"/>
      <c r="N293" s="223"/>
      <c r="O293" s="219"/>
      <c r="AB293" s="327" t="str">
        <f t="shared" si="88"/>
        <v/>
      </c>
      <c r="AC293" s="327" t="str">
        <f t="shared" si="89"/>
        <v/>
      </c>
      <c r="AD293" s="327" t="str">
        <f t="shared" si="90"/>
        <v/>
      </c>
      <c r="AE293" s="327" t="str">
        <f t="shared" si="91"/>
        <v/>
      </c>
      <c r="AF293" s="325"/>
      <c r="AG293" s="485">
        <v>11</v>
      </c>
      <c r="AH293" s="496" t="b">
        <f ca="1">IF(OR(NOT(W281),NOT(X271)),FALSE,AND(D293="",OR(AG293&lt;=W282+COUNTIF(E283:E293,$W$218),AG293&lt;=X282+COUNTIF(F283:F293,$W$218))))</f>
        <v>0</v>
      </c>
      <c r="AI293" s="496" t="b">
        <f ca="1">IF(OR(NOT(W281),NOT(X271)),FALSE,AND(E293="",OR(AG293&lt;=W282+COUNTIF(E283:E293,$W$218),AG293&lt;=X282+COUNTIF(F283:F293,$W$218))))</f>
        <v>0</v>
      </c>
      <c r="AJ293" s="496" t="b">
        <f ca="1">IF(OR(NOT(W281),NOT(X271)),FALSE,AND(F293="",OR(AG293&lt;=W282+COUNTIF(E283:E293,$W$218),AG293&lt;=X282+COUNTIF(F283:F293,$W$218))))</f>
        <v>0</v>
      </c>
      <c r="AK293" s="496" t="b">
        <f ca="1">IF(OR(NOT(W281),NOT(X271)),FALSE,AND(G293="",OR(AG293&lt;=W282+COUNTIF(E283:E293,$W$218),AG293&lt;=X282+COUNTIF(F283:F293,$W$218))))</f>
        <v>0</v>
      </c>
      <c r="AL293" s="496" t="b">
        <f ca="1">IF(OR(NOT(Y281),NOT(Z271)),FALSE,AND(K293="",OR(AG293&lt;=Y282+COUNTIF(L283:L293,$W$218),AG293&lt;=Z282+COUNTIF(M283:M293,$W$218))))</f>
        <v>0</v>
      </c>
      <c r="AM293" s="496" t="b">
        <f ca="1">IF(OR(NOT(Y281),NOT(Z271)),FALSE,AND(L293="",OR(AG293&lt;=Y282+COUNTIF(L283:L293,$W$218),AG293&lt;=Z282+COUNTIF(M283:M293,$W$218))))</f>
        <v>0</v>
      </c>
      <c r="AN293" s="496" t="b">
        <f ca="1">IF(OR(NOT(Y281),NOT(Z271)),FALSE,AND(M293="",OR(AG293&lt;=Y282+COUNTIF(L283:L293,$W$218),AG293&lt;=Z282+COUNTIF(M283:M293,$W$218))))</f>
        <v>0</v>
      </c>
      <c r="AO293" s="496" t="b">
        <f ca="1">IF(OR(NOT(Y281),NOT(Z271)),FALSE,AND(N293="",OR(AG293&lt;=Y282+COUNTIF(L283:L293,$W$218),AG293&lt;=Z282+COUNTIF(M283:M293,$W$218))))</f>
        <v>0</v>
      </c>
      <c r="AW293" s="485"/>
      <c r="AY293" s="323"/>
      <c r="BA293" s="323"/>
      <c r="BC293" s="323"/>
      <c r="BE293" s="323"/>
      <c r="BG293" s="323"/>
      <c r="BI293" s="323"/>
      <c r="BK293" s="323"/>
      <c r="BM293" s="323"/>
      <c r="BO293" s="323"/>
      <c r="BQ293" s="323"/>
      <c r="BS293" s="323"/>
      <c r="BU293" s="323"/>
      <c r="BW293" s="323"/>
      <c r="BY293" s="323"/>
      <c r="CA293" s="323"/>
      <c r="CC293" s="323"/>
      <c r="CE293" s="323"/>
      <c r="CG293" s="323"/>
      <c r="CI293" s="323"/>
      <c r="CK293" s="323"/>
      <c r="CM293" s="323"/>
      <c r="CO293" s="323"/>
      <c r="CQ293" s="323"/>
      <c r="CS293" s="323"/>
      <c r="CU293" s="323"/>
      <c r="CW293" s="323"/>
      <c r="CY293" s="323"/>
      <c r="DA293" s="323"/>
      <c r="DC293" s="323"/>
      <c r="DE293" s="323"/>
      <c r="DG293" s="323"/>
      <c r="DI293" s="323"/>
      <c r="DJ293" s="485"/>
    </row>
    <row r="294" spans="1:115" ht="11.25" customHeight="1" x14ac:dyDescent="0.3">
      <c r="A294" s="765"/>
      <c r="C294" s="219"/>
      <c r="D294" s="220"/>
      <c r="E294" s="517"/>
      <c r="F294" s="516"/>
      <c r="G294" s="223"/>
      <c r="H294" s="219"/>
      <c r="J294" s="219"/>
      <c r="K294" s="220"/>
      <c r="L294" s="517"/>
      <c r="M294" s="516"/>
      <c r="N294" s="223"/>
      <c r="O294" s="219"/>
      <c r="AB294" s="327" t="str">
        <f t="shared" si="88"/>
        <v/>
      </c>
      <c r="AC294" s="327" t="str">
        <f t="shared" si="89"/>
        <v/>
      </c>
      <c r="AD294" s="327" t="str">
        <f t="shared" si="90"/>
        <v/>
      </c>
      <c r="AE294" s="327" t="str">
        <f t="shared" si="91"/>
        <v/>
      </c>
      <c r="AF294" s="325"/>
      <c r="AG294" s="485">
        <v>12</v>
      </c>
      <c r="AH294" s="496" t="b">
        <f ca="1">IF(OR(NOT(W281),NOT(X271)),FALSE,AND(D294="",OR(AG294&lt;=W282+COUNTIF(E283:E294,$W$218),AG294&lt;=X282+COUNTIF(F283:F294,$W$218))))</f>
        <v>0</v>
      </c>
      <c r="AI294" s="496" t="b">
        <f ca="1">IF(OR(NOT(W281),NOT(X271)),FALSE,AND(E294="",OR(AG294&lt;=W282+COUNTIF(E283:E294,$W$218),AG294&lt;=X282+COUNTIF(F283:F294,$W$218))))</f>
        <v>0</v>
      </c>
      <c r="AJ294" s="496" t="b">
        <f ca="1">IF(OR(NOT(W281),NOT(X271)),FALSE,AND(F294="",OR(AG294&lt;=W282+COUNTIF(E283:E294,$W$218),AG294&lt;=X282+COUNTIF(F283:F294,$W$218))))</f>
        <v>0</v>
      </c>
      <c r="AK294" s="496" t="b">
        <f ca="1">IF(OR(NOT(W281),NOT(X271)),FALSE,AND(G294="",OR(AG294&lt;=W282+COUNTIF(E283:E294,$W$218),AG294&lt;=X282+COUNTIF(F283:F294,$W$218))))</f>
        <v>0</v>
      </c>
      <c r="AL294" s="496" t="b">
        <f ca="1">IF(OR(NOT(Y281),NOT(Z271)),FALSE,AND(K294="",OR(AG294&lt;=Y282+COUNTIF(L283:L294,$W$218),AG294&lt;=Z282+COUNTIF(M283:M294,$W$218))))</f>
        <v>0</v>
      </c>
      <c r="AM294" s="496" t="b">
        <f ca="1">IF(OR(NOT(Y281),NOT(Z271)),FALSE,AND(L294="",OR(AG294&lt;=Y282+COUNTIF(L283:L294,$W$218),AG294&lt;=Z282+COUNTIF(M283:M294,$W$218))))</f>
        <v>0</v>
      </c>
      <c r="AN294" s="496" t="b">
        <f ca="1">IF(OR(NOT(Y281),NOT(Z271)),FALSE,AND(M294="",OR(AG294&lt;=Y282+COUNTIF(L283:L294,$W$218),AG294&lt;=Z282+COUNTIF(M283:M294,$W$218))))</f>
        <v>0</v>
      </c>
      <c r="AO294" s="496" t="b">
        <f ca="1">IF(OR(NOT(Y281),NOT(Z271)),FALSE,AND(N294="",OR(AG294&lt;=Y282+COUNTIF(L283:L294,$W$218),AG294&lt;=Z282+COUNTIF(M283:M294,$W$218))))</f>
        <v>0</v>
      </c>
      <c r="AW294" s="485"/>
      <c r="AY294" s="323"/>
      <c r="BA294" s="323"/>
      <c r="BC294" s="323"/>
      <c r="BE294" s="323"/>
      <c r="BG294" s="323"/>
      <c r="BI294" s="323"/>
      <c r="BK294" s="323"/>
      <c r="BM294" s="323"/>
      <c r="BO294" s="323"/>
      <c r="BQ294" s="323"/>
      <c r="BS294" s="323"/>
      <c r="BU294" s="323"/>
      <c r="BW294" s="323"/>
      <c r="BY294" s="323"/>
      <c r="CA294" s="323"/>
      <c r="CC294" s="323"/>
      <c r="CE294" s="323"/>
      <c r="CG294" s="323"/>
      <c r="CI294" s="323"/>
      <c r="CK294" s="323"/>
      <c r="CM294" s="323"/>
      <c r="CO294" s="323"/>
      <c r="CQ294" s="323"/>
      <c r="CS294" s="323"/>
      <c r="CU294" s="323"/>
      <c r="CW294" s="323"/>
      <c r="CY294" s="323"/>
      <c r="DA294" s="323"/>
      <c r="DC294" s="323"/>
      <c r="DE294" s="323"/>
      <c r="DG294" s="323"/>
      <c r="DI294" s="323"/>
      <c r="DJ294" s="485"/>
    </row>
    <row r="295" spans="1:115" ht="11.25" customHeight="1" x14ac:dyDescent="0.3">
      <c r="A295" s="765"/>
      <c r="C295" s="219"/>
      <c r="D295" s="220"/>
      <c r="E295" s="516"/>
      <c r="F295" s="516"/>
      <c r="G295" s="223"/>
      <c r="H295" s="219"/>
      <c r="J295" s="219"/>
      <c r="K295" s="220"/>
      <c r="L295" s="516"/>
      <c r="M295" s="516"/>
      <c r="N295" s="223"/>
      <c r="O295" s="219"/>
      <c r="AB295" s="327" t="str">
        <f t="shared" si="88"/>
        <v/>
      </c>
      <c r="AC295" s="327" t="str">
        <f t="shared" si="89"/>
        <v/>
      </c>
      <c r="AD295" s="327" t="str">
        <f t="shared" si="90"/>
        <v/>
      </c>
      <c r="AE295" s="327" t="str">
        <f t="shared" si="91"/>
        <v/>
      </c>
      <c r="AG295" s="485">
        <v>13</v>
      </c>
      <c r="AH295" s="496" t="b">
        <f ca="1">IF(OR(NOT(W281),NOT(X271)),FALSE,AND(D295="",OR(AG295&lt;=W282+COUNTIF(E283:E295,$W$218),AG295&lt;=X282+COUNTIF(F283:F295,$W$218))))</f>
        <v>0</v>
      </c>
      <c r="AI295" s="496" t="b">
        <f ca="1">IF(OR(NOT(W281),NOT(X271)),FALSE,AND(E295="",OR(AG295&lt;=W282+COUNTIF(E283:E295,$W$218),AG295&lt;=X282+COUNTIF(F283:F295,$W$218))))</f>
        <v>0</v>
      </c>
      <c r="AJ295" s="496" t="b">
        <f ca="1">IF(OR(NOT(W281),NOT(X271)),FALSE,AND(F295="",OR(AG295&lt;=W282+COUNTIF(E283:E295,$W$218),AG295&lt;=X282+COUNTIF(F283:F295,$W$218))))</f>
        <v>0</v>
      </c>
      <c r="AK295" s="496" t="b">
        <f ca="1">IF(OR(NOT(W281),NOT(X271)),FALSE,AND(G295="",OR(AG295&lt;=W282+COUNTIF(E283:E295,$W$218),AG295&lt;=X282+COUNTIF(F283:F295,$W$218))))</f>
        <v>0</v>
      </c>
      <c r="AL295" s="496" t="b">
        <f ca="1">IF(OR(NOT(Y281),NOT(Z271)),FALSE,AND(K295="",OR(AG295&lt;=Y282+COUNTIF(L283:L295,$W$218),AG295&lt;=Z282+COUNTIF(M283:M295,$W$218))))</f>
        <v>0</v>
      </c>
      <c r="AM295" s="496" t="b">
        <f ca="1">IF(OR(NOT(Y281),NOT(Z271)),FALSE,AND(L295="",OR(AG295&lt;=Y282+COUNTIF(L283:L295,$W$218),AG295&lt;=Z282+COUNTIF(M283:M295,$W$218))))</f>
        <v>0</v>
      </c>
      <c r="AN295" s="496" t="b">
        <f ca="1">IF(OR(NOT(Y281),NOT(Z271)),FALSE,AND(M295="",OR(AG295&lt;=Y282+COUNTIF(L283:L295,$W$218),AG295&lt;=Z282+COUNTIF(M283:M295,$W$218))))</f>
        <v>0</v>
      </c>
      <c r="AO295" s="496" t="b">
        <f ca="1">IF(OR(NOT(Y281),NOT(Z271)),FALSE,AND(N295="",OR(AG295&lt;=Y282+COUNTIF(L283:L295,$W$218),AG295&lt;=Z282+COUNTIF(M283:M295,$W$218))))</f>
        <v>0</v>
      </c>
      <c r="AW295" s="485"/>
      <c r="AY295" s="323"/>
      <c r="BA295" s="323"/>
      <c r="BC295" s="323"/>
      <c r="BE295" s="323"/>
      <c r="BG295" s="323"/>
      <c r="BI295" s="323"/>
      <c r="BK295" s="323"/>
      <c r="BM295" s="323"/>
      <c r="BO295" s="323"/>
      <c r="BQ295" s="323"/>
      <c r="BS295" s="323"/>
      <c r="BU295" s="323"/>
      <c r="BW295" s="323"/>
      <c r="BY295" s="323"/>
      <c r="CA295" s="323"/>
      <c r="CC295" s="323"/>
      <c r="CE295" s="323"/>
      <c r="CG295" s="323"/>
      <c r="CI295" s="323"/>
      <c r="CK295" s="323"/>
      <c r="CM295" s="323"/>
      <c r="CO295" s="323"/>
      <c r="CQ295" s="323"/>
      <c r="CS295" s="323"/>
      <c r="CU295" s="323"/>
      <c r="CW295" s="323"/>
      <c r="CY295" s="323"/>
      <c r="DA295" s="323"/>
      <c r="DC295" s="323"/>
      <c r="DE295" s="323"/>
      <c r="DG295" s="323"/>
      <c r="DI295" s="323"/>
      <c r="DJ295" s="485"/>
    </row>
    <row r="296" spans="1:115" ht="11.25" hidden="1" customHeight="1" x14ac:dyDescent="0.3">
      <c r="A296" s="765"/>
      <c r="C296" s="219"/>
      <c r="D296" s="220"/>
      <c r="E296" s="517"/>
      <c r="F296" s="516"/>
      <c r="G296" s="223"/>
      <c r="H296" s="219"/>
      <c r="J296" s="219"/>
      <c r="K296" s="220"/>
      <c r="L296" s="517"/>
      <c r="M296" s="516"/>
      <c r="N296" s="223"/>
      <c r="O296" s="219"/>
      <c r="AB296" s="327" t="str">
        <f t="shared" si="88"/>
        <v/>
      </c>
      <c r="AC296" s="327" t="str">
        <f t="shared" si="89"/>
        <v/>
      </c>
      <c r="AD296" s="327" t="str">
        <f t="shared" si="90"/>
        <v/>
      </c>
      <c r="AE296" s="327" t="str">
        <f t="shared" si="91"/>
        <v/>
      </c>
      <c r="AG296" s="485">
        <v>14</v>
      </c>
      <c r="AH296" s="496" t="b">
        <f ca="1">IF(OR(NOT(W281),NOT(X271)),FALSE,AND(D296="",OR(AG296&lt;=W282+COUNTIF(E283:E296,$W$218),AG296&lt;=X282+COUNTIF(F283:F296,$W$218))))</f>
        <v>0</v>
      </c>
      <c r="AI296" s="496" t="b">
        <f ca="1">IF(OR(NOT(W281),NOT(X271)),FALSE,AND(E296="",OR(AG296&lt;=W282+COUNTIF(E283:E296,$W$218),AG296&lt;=X282+COUNTIF(F283:F296,$W$218))))</f>
        <v>0</v>
      </c>
      <c r="AJ296" s="496" t="b">
        <f ca="1">IF(OR(NOT(W281),NOT(X271)),FALSE,AND(F296="",OR(AG296&lt;=W282+COUNTIF(E283:E296,$W$218),AG296&lt;=X282+COUNTIF(F283:F296,$W$218))))</f>
        <v>0</v>
      </c>
      <c r="AK296" s="496" t="b">
        <f ca="1">IF(OR(NOT(W281),NOT(X271)),FALSE,AND(G296="",OR(AG296&lt;=W282+COUNTIF(E283:E296,$W$218),AG296&lt;=X282+COUNTIF(F283:F296,$W$218))))</f>
        <v>0</v>
      </c>
      <c r="AL296" s="496" t="b">
        <f ca="1">IF(OR(NOT(Y281),NOT(Z271)),FALSE,AND(K296="",OR(AG296&lt;=Y282+COUNTIF(L283:L296,$W$218),AG296&lt;=Z282+COUNTIF(M283:M296,$W$218))))</f>
        <v>0</v>
      </c>
      <c r="AM296" s="496" t="b">
        <f ca="1">IF(OR(NOT(Y281),NOT(Z271)),FALSE,AND(L296="",OR(AG296&lt;=Y282+COUNTIF(L283:L296,$W$218),AG296&lt;=Z282+COUNTIF(M283:M296,$W$218))))</f>
        <v>0</v>
      </c>
      <c r="AN296" s="496" t="b">
        <f ca="1">IF(OR(NOT(Y281),NOT(Z271)),FALSE,AND(M296="",OR(AG296&lt;=Y282+COUNTIF(L283:L296,$W$218),AG296&lt;=Z282+COUNTIF(M283:M296,$W$218))))</f>
        <v>0</v>
      </c>
      <c r="AO296" s="496" t="b">
        <f ca="1">IF(OR(NOT(Y281),NOT(Z271)),FALSE,AND(N296="",OR(AG296&lt;=Y282+COUNTIF(L283:L296,$W$218),AG296&lt;=Z282+COUNTIF(M283:M296,$W$218))))</f>
        <v>0</v>
      </c>
      <c r="AS296" s="323"/>
      <c r="AT296" s="323"/>
      <c r="AW296" s="485"/>
      <c r="AY296" s="323"/>
      <c r="BA296" s="323"/>
      <c r="BC296" s="323"/>
      <c r="BE296" s="323"/>
      <c r="BG296" s="323"/>
      <c r="BI296" s="323"/>
      <c r="BK296" s="323"/>
      <c r="BM296" s="323"/>
      <c r="BO296" s="323"/>
      <c r="BQ296" s="323"/>
      <c r="BS296" s="323"/>
      <c r="BU296" s="323"/>
      <c r="BW296" s="323"/>
      <c r="BY296" s="323"/>
      <c r="CA296" s="323"/>
      <c r="CC296" s="323"/>
      <c r="CE296" s="323"/>
      <c r="CG296" s="323"/>
      <c r="CI296" s="323"/>
      <c r="CK296" s="323"/>
      <c r="CM296" s="323"/>
      <c r="CO296" s="323"/>
      <c r="CQ296" s="323"/>
      <c r="CS296" s="323"/>
      <c r="CU296" s="323"/>
      <c r="CW296" s="323"/>
      <c r="CY296" s="323"/>
      <c r="DA296" s="323"/>
      <c r="DC296" s="323"/>
      <c r="DE296" s="323"/>
      <c r="DG296" s="323"/>
      <c r="DI296" s="323"/>
      <c r="DJ296" s="485"/>
    </row>
    <row r="297" spans="1:115" ht="10.5" hidden="1" customHeight="1" x14ac:dyDescent="0.3">
      <c r="A297" s="76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AQ297" s="323"/>
      <c r="AR297" s="323"/>
      <c r="AS297" s="323"/>
      <c r="AT297" s="323"/>
      <c r="AW297" s="485"/>
      <c r="AY297" s="323"/>
      <c r="BA297" s="323"/>
      <c r="BC297" s="323"/>
      <c r="BE297" s="323"/>
      <c r="BG297" s="323"/>
      <c r="BI297" s="323"/>
      <c r="BK297" s="323"/>
      <c r="BM297" s="323"/>
      <c r="BO297" s="323"/>
      <c r="BQ297" s="323"/>
      <c r="BS297" s="323"/>
      <c r="BU297" s="323"/>
      <c r="BW297" s="323"/>
      <c r="BY297" s="323"/>
      <c r="CA297" s="323"/>
      <c r="CC297" s="323"/>
      <c r="CE297" s="323"/>
      <c r="CG297" s="323"/>
      <c r="CI297" s="323"/>
      <c r="CK297" s="323"/>
      <c r="CM297" s="323"/>
      <c r="CO297" s="323"/>
      <c r="CQ297" s="323"/>
      <c r="CS297" s="323"/>
      <c r="CU297" s="323"/>
      <c r="CW297" s="323"/>
      <c r="CY297" s="323"/>
      <c r="DA297" s="323"/>
      <c r="DC297" s="323"/>
      <c r="DE297" s="323"/>
      <c r="DG297" s="323"/>
      <c r="DI297" s="323"/>
    </row>
    <row r="298" spans="1:115" ht="10.5" customHeight="1" x14ac:dyDescent="0.3">
      <c r="A298" s="76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AQ298" s="323"/>
      <c r="AR298" s="323"/>
      <c r="AS298" s="323"/>
      <c r="AT298" s="323"/>
      <c r="AW298" s="485"/>
      <c r="AY298" s="323"/>
      <c r="BA298" s="323"/>
      <c r="BC298" s="323"/>
      <c r="BE298" s="323"/>
      <c r="BG298" s="323"/>
      <c r="BI298" s="323"/>
      <c r="BK298" s="323"/>
      <c r="BM298" s="323"/>
      <c r="BO298" s="323"/>
      <c r="BQ298" s="323"/>
      <c r="BS298" s="323"/>
      <c r="BU298" s="323"/>
      <c r="BW298" s="323"/>
      <c r="BY298" s="323"/>
      <c r="CA298" s="323"/>
      <c r="CC298" s="323"/>
      <c r="CE298" s="323"/>
      <c r="CG298" s="323"/>
      <c r="CI298" s="323"/>
      <c r="CK298" s="323"/>
      <c r="CM298" s="323"/>
      <c r="CO298" s="323"/>
      <c r="CQ298" s="323"/>
      <c r="CS298" s="323"/>
      <c r="CU298" s="323"/>
      <c r="CW298" s="323"/>
      <c r="CY298" s="323"/>
      <c r="DA298" s="323"/>
      <c r="DC298" s="323"/>
      <c r="DE298" s="323"/>
      <c r="DG298" s="323"/>
      <c r="DI298" s="323"/>
    </row>
    <row r="299" spans="1:115" ht="3.75" customHeight="1" x14ac:dyDescent="0.3">
      <c r="A299" s="765"/>
      <c r="AQ299" s="323"/>
      <c r="AR299" s="323"/>
      <c r="AS299" s="323"/>
      <c r="AT299" s="323"/>
      <c r="AY299" s="323"/>
      <c r="BA299" s="323"/>
      <c r="BC299" s="323"/>
      <c r="BE299" s="323"/>
      <c r="BG299" s="323"/>
      <c r="BI299" s="323"/>
      <c r="BK299" s="323"/>
      <c r="BM299" s="323"/>
      <c r="BO299" s="323"/>
      <c r="BQ299" s="323"/>
      <c r="BS299" s="323"/>
      <c r="BU299" s="323"/>
      <c r="BW299" s="323"/>
      <c r="BY299" s="323"/>
      <c r="CA299" s="323"/>
      <c r="CC299" s="323"/>
      <c r="CE299" s="323"/>
      <c r="CG299" s="323"/>
      <c r="CI299" s="323"/>
      <c r="CK299" s="323"/>
      <c r="CM299" s="323"/>
      <c r="CO299" s="323"/>
      <c r="CQ299" s="323"/>
      <c r="CS299" s="323"/>
      <c r="CU299" s="323"/>
      <c r="CW299" s="323"/>
      <c r="CY299" s="323"/>
      <c r="DA299" s="323"/>
      <c r="DC299" s="323"/>
      <c r="DE299" s="323"/>
      <c r="DG299" s="323"/>
      <c r="DI299" s="323"/>
    </row>
    <row r="300" spans="1:115" ht="12" customHeight="1" x14ac:dyDescent="0.3">
      <c r="A300" s="765"/>
      <c r="C300" s="247" t="str">
        <f>W305</f>
        <v>JÚNIUS 22. – KEDD 21:00</v>
      </c>
      <c r="D300" s="227"/>
      <c r="E300" s="228"/>
      <c r="F300" s="229"/>
      <c r="G300" s="230"/>
      <c r="H300" s="231" t="str">
        <f>W306</f>
        <v>3. CSOPORTMÉRKŐZÉS</v>
      </c>
      <c r="I300" s="138"/>
      <c r="J300" s="246" t="str">
        <f>Y305</f>
        <v>JÚNIUS 22. – KEDD 21:00</v>
      </c>
      <c r="K300" s="227"/>
      <c r="L300" s="228"/>
      <c r="M300" s="229"/>
      <c r="N300" s="230"/>
      <c r="O300" s="226" t="str">
        <f>Y306</f>
        <v>3. CSOPORTMÉRKŐZÉS</v>
      </c>
      <c r="AQ300" s="323"/>
      <c r="AR300" s="323"/>
      <c r="AS300" s="323"/>
      <c r="AT300" s="323"/>
      <c r="AY300" s="323"/>
      <c r="BA300" s="323"/>
      <c r="BC300" s="323"/>
      <c r="BE300" s="323"/>
      <c r="BG300" s="323"/>
      <c r="BI300" s="323"/>
      <c r="BK300" s="323"/>
      <c r="BM300" s="323"/>
      <c r="BO300" s="323"/>
      <c r="BQ300" s="323"/>
      <c r="BS300" s="323"/>
      <c r="BU300" s="323"/>
      <c r="BW300" s="323"/>
      <c r="BY300" s="323"/>
      <c r="CA300" s="323"/>
      <c r="CC300" s="323"/>
      <c r="CE300" s="323"/>
      <c r="CG300" s="323"/>
      <c r="CI300" s="323"/>
      <c r="CK300" s="323"/>
      <c r="CM300" s="323"/>
      <c r="CO300" s="323"/>
      <c r="CQ300" s="323"/>
      <c r="CS300" s="323"/>
      <c r="CU300" s="323"/>
      <c r="CW300" s="323"/>
      <c r="CY300" s="323"/>
      <c r="DA300" s="323"/>
      <c r="DC300" s="323"/>
      <c r="DE300" s="323"/>
      <c r="DG300" s="323"/>
      <c r="DI300" s="323"/>
    </row>
    <row r="301" spans="1:115" s="138" customFormat="1" ht="14.25" customHeight="1" x14ac:dyDescent="0.3">
      <c r="A301" s="765"/>
      <c r="B301" s="137"/>
      <c r="C301" s="233" t="str">
        <f>IF(W308=0,"",IF(W308&gt;0,CONCATENATE("még ",W308," gól"),CONCATENATE("túl sok (",W308," gól)")))</f>
        <v/>
      </c>
      <c r="D301" s="714" t="str">
        <f>W309</f>
        <v>Csehország</v>
      </c>
      <c r="E301" s="716" t="str">
        <f>W310</f>
        <v/>
      </c>
      <c r="F301" s="717" t="str">
        <f>X310</f>
        <v/>
      </c>
      <c r="G301" s="715" t="str">
        <f>X309</f>
        <v>Anglia</v>
      </c>
      <c r="H301" s="232" t="str">
        <f>IF(X308=0,"",IF(X308&gt;0,CONCATENATE("még ",X308," gól"),CONCATENATE("túl sok (",X308," gól)")))</f>
        <v/>
      </c>
      <c r="I301" s="127"/>
      <c r="J301" s="233" t="str">
        <f>IF(Y308=0,"",IF(Y308&gt;0,CONCATENATE("még ",Y308," gól"),CONCATENATE("túl sok (",Y308," gól)")))</f>
        <v/>
      </c>
      <c r="K301" s="714" t="str">
        <f>Y309</f>
        <v>Horvátország</v>
      </c>
      <c r="L301" s="716" t="str">
        <f>Y310</f>
        <v/>
      </c>
      <c r="M301" s="717" t="str">
        <f>Z310</f>
        <v/>
      </c>
      <c r="N301" s="715" t="str">
        <f>Z309</f>
        <v>Skócia</v>
      </c>
      <c r="O301" s="232" t="str">
        <f>IF(Z308=0,"",IF(Z308&gt;0,CONCATENATE("még ",Z308," gól"),CONCATENATE("túl sok (",Z308," gól)")))</f>
        <v/>
      </c>
      <c r="P301" s="10"/>
      <c r="Q301" s="140"/>
      <c r="R301" s="141"/>
      <c r="S301" s="141"/>
      <c r="T301" s="484"/>
      <c r="U301" s="485"/>
      <c r="V301" s="485"/>
      <c r="W301" s="485"/>
      <c r="X301" s="485"/>
      <c r="Y301" s="485"/>
      <c r="Z301" s="485"/>
      <c r="AA301" s="485"/>
      <c r="AB301" s="242" t="str">
        <f>HLOOKUP(D301,nevek.li,2,FALSE)</f>
        <v>nevek.16</v>
      </c>
      <c r="AC301" s="242" t="str">
        <f>HLOOKUP(G301,nevek.li,2,FALSE)</f>
        <v>nevek.13</v>
      </c>
      <c r="AD301" s="242" t="str">
        <f>HLOOKUP(K301,nevek.li,2,FALSE)</f>
        <v>nevek.14</v>
      </c>
      <c r="AE301" s="242" t="str">
        <f>HLOOKUP(N301,nevek.li,2,FALSE)</f>
        <v>nevek.15</v>
      </c>
      <c r="AF301" s="485"/>
      <c r="AG301" s="485"/>
      <c r="AH301" s="485"/>
      <c r="AI301" s="485"/>
      <c r="AJ301" s="485"/>
      <c r="AK301" s="485"/>
      <c r="AL301" s="485"/>
      <c r="AM301" s="485"/>
      <c r="AN301" s="485"/>
      <c r="AO301" s="485"/>
      <c r="AP301" s="485"/>
      <c r="AQ301" s="485"/>
      <c r="AR301" s="485"/>
      <c r="AS301" s="485"/>
      <c r="AT301" s="485"/>
      <c r="AU301" s="485"/>
      <c r="AV301" s="500"/>
      <c r="AW301" s="323"/>
      <c r="AX301" s="323"/>
      <c r="AY301" s="323"/>
      <c r="AZ301" s="323"/>
      <c r="BA301" s="323"/>
      <c r="BB301" s="323"/>
      <c r="BC301" s="323"/>
      <c r="BD301" s="323"/>
      <c r="BE301" s="323"/>
      <c r="BF301" s="323"/>
      <c r="BG301" s="323"/>
      <c r="BH301" s="323"/>
      <c r="BI301" s="323"/>
      <c r="BJ301" s="323"/>
      <c r="BK301" s="323"/>
      <c r="BL301" s="323"/>
      <c r="BM301" s="323"/>
      <c r="BN301" s="323"/>
      <c r="BO301" s="323"/>
      <c r="BP301" s="323"/>
      <c r="BQ301" s="323"/>
      <c r="BR301" s="323"/>
      <c r="BS301" s="323"/>
      <c r="BT301" s="323"/>
      <c r="BU301" s="323"/>
      <c r="BV301" s="323"/>
      <c r="BW301" s="323"/>
      <c r="BX301" s="323"/>
      <c r="BY301" s="323"/>
      <c r="BZ301" s="323"/>
      <c r="CA301" s="323"/>
      <c r="CB301" s="323"/>
      <c r="CC301" s="323"/>
      <c r="CD301" s="323"/>
      <c r="CE301" s="323"/>
      <c r="CF301" s="323"/>
      <c r="CG301" s="323"/>
      <c r="CH301" s="323"/>
      <c r="CI301" s="323"/>
      <c r="CJ301" s="323"/>
      <c r="CK301" s="323"/>
      <c r="CL301" s="323"/>
      <c r="CM301" s="323"/>
      <c r="CN301" s="323"/>
      <c r="CO301" s="323"/>
      <c r="CP301" s="323"/>
      <c r="CQ301" s="323"/>
      <c r="CR301" s="323"/>
      <c r="CS301" s="323"/>
      <c r="CT301" s="323"/>
      <c r="CU301" s="323"/>
      <c r="CV301" s="323"/>
      <c r="CW301" s="323"/>
      <c r="CX301" s="323"/>
      <c r="CY301" s="323"/>
      <c r="CZ301" s="323"/>
      <c r="DA301" s="323"/>
      <c r="DB301" s="323"/>
      <c r="DC301" s="323"/>
      <c r="DD301" s="323"/>
      <c r="DE301" s="323"/>
      <c r="DF301" s="323"/>
      <c r="DG301" s="323"/>
      <c r="DH301" s="323"/>
      <c r="DI301" s="323"/>
      <c r="DJ301" s="323"/>
      <c r="DK301" s="500"/>
    </row>
    <row r="302" spans="1:115" ht="12" customHeight="1" x14ac:dyDescent="0.3">
      <c r="A302" s="765"/>
      <c r="C302" s="218"/>
      <c r="D302" s="220"/>
      <c r="E302" s="221"/>
      <c r="F302" s="222"/>
      <c r="G302" s="223"/>
      <c r="H302" s="218"/>
      <c r="J302" s="218"/>
      <c r="K302" s="220"/>
      <c r="L302" s="221"/>
      <c r="M302" s="222"/>
      <c r="N302" s="223"/>
      <c r="O302" s="218"/>
      <c r="V302" s="487" t="s">
        <v>706</v>
      </c>
      <c r="W302" s="242">
        <v>31</v>
      </c>
      <c r="X302" s="485" t="str">
        <f>""</f>
        <v/>
      </c>
      <c r="Y302" s="242">
        <v>32</v>
      </c>
      <c r="AB302" s="327" t="str">
        <f>IF(C302="öngól",AC301,AB301)</f>
        <v>nevek.16</v>
      </c>
      <c r="AC302" s="327" t="str">
        <f>IF(H302="öngól",AB301,AC301)</f>
        <v>nevek.13</v>
      </c>
      <c r="AD302" s="327" t="str">
        <f>IF(J302="öngól",AE301,AD301)</f>
        <v>nevek.14</v>
      </c>
      <c r="AE302" s="327" t="str">
        <f>IF(O302="öngól",AD301,AE301)</f>
        <v>nevek.15</v>
      </c>
      <c r="AF302" s="325"/>
      <c r="AG302" s="485">
        <v>1</v>
      </c>
      <c r="AH302" s="488" t="b">
        <f ca="1">AND(W304,X305,D302="",AG302&lt;=W310)</f>
        <v>0</v>
      </c>
      <c r="AI302" s="488" t="b">
        <f ca="1">AND(W304,X305,E302="",AG302&lt;=W310)</f>
        <v>0</v>
      </c>
      <c r="AJ302" s="488" t="b">
        <f ca="1">AND(W304,X305,F302="",AG302&lt;=X310)</f>
        <v>0</v>
      </c>
      <c r="AK302" s="488" t="b">
        <f ca="1">AND(W304,X305,G302="",AG302&lt;=X310)</f>
        <v>0</v>
      </c>
      <c r="AL302" s="488" t="b">
        <f ca="1">AND(Y304,Z305,K302="",AG302&lt;=Y310)</f>
        <v>0</v>
      </c>
      <c r="AM302" s="488" t="b">
        <f ca="1">AND(Y304,Z305,L302="",AG302&lt;=Y310)</f>
        <v>0</v>
      </c>
      <c r="AN302" s="488" t="b">
        <f ca="1">AND(Y304,Z305,M302="",AG302&lt;=Z310)</f>
        <v>0</v>
      </c>
      <c r="AO302" s="488" t="b">
        <f ca="1">AND(Y304,Z305,N302="",AG302&lt;=Z310)</f>
        <v>0</v>
      </c>
      <c r="AQ302" s="326" t="str">
        <f>IF(OR(NOT(Góllista!$E$6),D302=""),"",IF(C302="öngól","ö"&amp;G301&amp;D302,D301&amp;D302))</f>
        <v/>
      </c>
      <c r="AR302" s="326" t="str">
        <f>IF(OR(NOT(Góllista!$E$6),G302=""),"",IF(H302="öngól","ö"&amp;D301&amp;G302,G301&amp;G302))</f>
        <v/>
      </c>
      <c r="AS302" s="326" t="str">
        <f>IF(OR(NOT(Góllista!$E$6),K302=""),"",IF(J302="öngól","ö"&amp;N301&amp;K302,K301&amp;K302))</f>
        <v/>
      </c>
      <c r="AT302" s="326" t="str">
        <f>IF(OR(NOT(Góllista!$E$6),N302=""),"",IF(O302="öngól","ö"&amp;K301&amp;N302,N301&amp;N302))</f>
        <v/>
      </c>
      <c r="AY302" s="323"/>
      <c r="BA302" s="323"/>
      <c r="BC302" s="323"/>
      <c r="BE302" s="323"/>
      <c r="BG302" s="323"/>
      <c r="BI302" s="323"/>
      <c r="BK302" s="323"/>
      <c r="BM302" s="323"/>
      <c r="BO302" s="323"/>
      <c r="BQ302" s="323"/>
      <c r="BS302" s="323"/>
      <c r="BU302" s="323"/>
      <c r="BW302" s="323"/>
      <c r="BY302" s="323"/>
      <c r="CA302" s="323"/>
      <c r="CC302" s="323"/>
      <c r="CE302" s="323"/>
      <c r="CG302" s="323"/>
      <c r="CI302" s="323"/>
      <c r="CK302" s="323"/>
      <c r="CM302" s="323"/>
      <c r="CO302" s="323"/>
      <c r="CQ302" s="323"/>
      <c r="CS302" s="323"/>
      <c r="CU302" s="323"/>
      <c r="CW302" s="323"/>
      <c r="CY302" s="323"/>
      <c r="DA302" s="323"/>
      <c r="DC302" s="323"/>
      <c r="DE302" s="323"/>
      <c r="DG302" s="323"/>
      <c r="DI302" s="323"/>
    </row>
    <row r="303" spans="1:115" ht="12" customHeight="1" x14ac:dyDescent="0.3">
      <c r="A303" s="765"/>
      <c r="C303" s="219"/>
      <c r="D303" s="220"/>
      <c r="E303" s="224"/>
      <c r="F303" s="222"/>
      <c r="G303" s="223"/>
      <c r="H303" s="219"/>
      <c r="J303" s="219"/>
      <c r="K303" s="220"/>
      <c r="L303" s="224"/>
      <c r="M303" s="222"/>
      <c r="N303" s="223"/>
      <c r="O303" s="219"/>
      <c r="V303" s="487" t="s">
        <v>711</v>
      </c>
      <c r="W303" s="327">
        <f>MATCH(W302,n.er.index,0)</f>
        <v>75</v>
      </c>
      <c r="X303" s="485" t="str">
        <f>""</f>
        <v/>
      </c>
      <c r="Y303" s="327">
        <f>MATCH(Y302,n.er.index,0)</f>
        <v>76</v>
      </c>
      <c r="AB303" s="327" t="str">
        <f>IF(C303="öngól",AC301,AB301)</f>
        <v>nevek.16</v>
      </c>
      <c r="AC303" s="327" t="str">
        <f>IF(H303="öngól",AB301,AC301)</f>
        <v>nevek.13</v>
      </c>
      <c r="AD303" s="327" t="str">
        <f>IF(J303="öngól",AE301,AD301)</f>
        <v>nevek.14</v>
      </c>
      <c r="AE303" s="327" t="str">
        <f>IF(O303="öngól",AD301,AE301)</f>
        <v>nevek.15</v>
      </c>
      <c r="AF303" s="325"/>
      <c r="AG303" s="485">
        <v>2</v>
      </c>
      <c r="AH303" s="488" t="b">
        <f ca="1">AND(W304,X305,D303="",AG303&lt;=W310)</f>
        <v>0</v>
      </c>
      <c r="AI303" s="488" t="b">
        <f ca="1">AND(W304,X305,E303="",AG303&lt;=W310)</f>
        <v>0</v>
      </c>
      <c r="AJ303" s="488" t="b">
        <f ca="1">AND(W304,X305,F303="",AG303&lt;=X310)</f>
        <v>0</v>
      </c>
      <c r="AK303" s="488" t="b">
        <f ca="1">AND(W304,X305,G303="",AG303&lt;=X310)</f>
        <v>0</v>
      </c>
      <c r="AL303" s="488" t="b">
        <f ca="1">AND(Y304,Z305,K303="",AG303&lt;=Y310)</f>
        <v>0</v>
      </c>
      <c r="AM303" s="488" t="b">
        <f ca="1">AND(Y304,Z305,L303="",AG303&lt;=Y310)</f>
        <v>0</v>
      </c>
      <c r="AN303" s="488" t="b">
        <f ca="1">AND(Y304,Z305,M303="",AG303&lt;=Z310)</f>
        <v>0</v>
      </c>
      <c r="AO303" s="488" t="b">
        <f ca="1">AND(Y304,Z305,N303="",AG303&lt;=Z310)</f>
        <v>0</v>
      </c>
      <c r="AQ303" s="326" t="str">
        <f>IF(OR(NOT(Góllista!$E$6),D303=""),"",IF(C303="öngól","ö"&amp;G301&amp;D303,D301&amp;D303))</f>
        <v/>
      </c>
      <c r="AR303" s="326" t="str">
        <f>IF(OR(NOT(Góllista!$E$6),G303=""),"",IF(H303="öngól","ö"&amp;D301&amp;G303,G301&amp;G303))</f>
        <v/>
      </c>
      <c r="AS303" s="326" t="str">
        <f>IF(OR(NOT(Góllista!$E$6),K303=""),"",IF(J303="öngól","ö"&amp;N301&amp;K303,K301&amp;K303))</f>
        <v/>
      </c>
      <c r="AT303" s="326" t="str">
        <f>IF(OR(NOT(Góllista!$E$6),N303=""),"",IF(O303="öngól","ö"&amp;K301&amp;N303,N301&amp;N303))</f>
        <v/>
      </c>
      <c r="AY303" s="323"/>
      <c r="BA303" s="323"/>
      <c r="BC303" s="323"/>
      <c r="BE303" s="323"/>
      <c r="BG303" s="323"/>
      <c r="BI303" s="323"/>
      <c r="BK303" s="323"/>
      <c r="BM303" s="323"/>
      <c r="BO303" s="323"/>
      <c r="BQ303" s="323"/>
      <c r="BS303" s="323"/>
      <c r="BU303" s="323"/>
      <c r="BW303" s="323"/>
      <c r="BY303" s="323"/>
      <c r="CA303" s="323"/>
      <c r="CC303" s="323"/>
      <c r="CE303" s="323"/>
      <c r="CG303" s="323"/>
      <c r="CI303" s="323"/>
      <c r="CK303" s="323"/>
      <c r="CM303" s="323"/>
      <c r="CO303" s="323"/>
      <c r="CQ303" s="323"/>
      <c r="CS303" s="323"/>
      <c r="CU303" s="323"/>
      <c r="CW303" s="323"/>
      <c r="CY303" s="323"/>
      <c r="DA303" s="323"/>
      <c r="DC303" s="323"/>
      <c r="DE303" s="323"/>
      <c r="DG303" s="323"/>
      <c r="DI303" s="323"/>
    </row>
    <row r="304" spans="1:115" ht="12" customHeight="1" x14ac:dyDescent="0.3">
      <c r="A304" s="765"/>
      <c r="C304" s="219"/>
      <c r="D304" s="220"/>
      <c r="E304" s="224"/>
      <c r="F304" s="222"/>
      <c r="G304" s="223"/>
      <c r="H304" s="219"/>
      <c r="J304" s="219"/>
      <c r="K304" s="220"/>
      <c r="L304" s="224"/>
      <c r="M304" s="222"/>
      <c r="N304" s="223"/>
      <c r="O304" s="219"/>
      <c r="V304" s="487" t="s">
        <v>710</v>
      </c>
      <c r="W304" s="489" t="b">
        <f>INDEX(n.er,W303,3)</f>
        <v>0</v>
      </c>
      <c r="X304" s="485" t="str">
        <f>""</f>
        <v/>
      </c>
      <c r="Y304" s="489" t="b">
        <f>INDEX(n.er,Y303,3)</f>
        <v>0</v>
      </c>
      <c r="AB304" s="327" t="str">
        <f>IF(C304="öngól",AC301,AB301)</f>
        <v>nevek.16</v>
      </c>
      <c r="AC304" s="327" t="str">
        <f>IF(H304="öngól",AB301,AC301)</f>
        <v>nevek.13</v>
      </c>
      <c r="AD304" s="327" t="str">
        <f>IF(J304="öngól",AE301,AD301)</f>
        <v>nevek.14</v>
      </c>
      <c r="AE304" s="327" t="str">
        <f>IF(O304="öngól",AD301,AE301)</f>
        <v>nevek.15</v>
      </c>
      <c r="AF304" s="325"/>
      <c r="AG304" s="485">
        <v>3</v>
      </c>
      <c r="AH304" s="488" t="b">
        <f ca="1">AND(W304,X305,D304="",AG304&lt;=W310)</f>
        <v>0</v>
      </c>
      <c r="AI304" s="488" t="b">
        <f ca="1">AND(W304,X305,E304="",AG304&lt;=W310)</f>
        <v>0</v>
      </c>
      <c r="AJ304" s="488" t="b">
        <f ca="1">AND(W304,X305,F304="",AG304&lt;=X310)</f>
        <v>0</v>
      </c>
      <c r="AK304" s="488" t="b">
        <f ca="1">AND(W304,X305,G304="",AG304&lt;=X310)</f>
        <v>0</v>
      </c>
      <c r="AL304" s="488" t="b">
        <f ca="1">AND(Y304,Z305,K304="",AG304&lt;=Y310)</f>
        <v>0</v>
      </c>
      <c r="AM304" s="488" t="b">
        <f ca="1">AND(Y304,Z305,L304="",AG304&lt;=Y310)</f>
        <v>0</v>
      </c>
      <c r="AN304" s="488" t="b">
        <f ca="1">AND(Y304,Z305,M304="",AG304&lt;=Z310)</f>
        <v>0</v>
      </c>
      <c r="AO304" s="488" t="b">
        <f ca="1">AND(Y304,Z305,N304="",AG304&lt;=Z310)</f>
        <v>0</v>
      </c>
      <c r="AQ304" s="326" t="str">
        <f>IF(OR(NOT(Góllista!$E$6),D304=""),"",IF(C304="öngól","ö"&amp;G301&amp;D304,D301&amp;D304))</f>
        <v/>
      </c>
      <c r="AR304" s="326" t="str">
        <f>IF(OR(NOT(Góllista!$E$6),G304=""),"",IF(H304="öngól","ö"&amp;D301&amp;G304,G301&amp;G304))</f>
        <v/>
      </c>
      <c r="AS304" s="326" t="str">
        <f>IF(OR(NOT(Góllista!$E$6),K304=""),"",IF(J304="öngól","ö"&amp;N301&amp;K304,K301&amp;K304))</f>
        <v/>
      </c>
      <c r="AT304" s="326" t="str">
        <f>IF(OR(NOT(Góllista!$E$6),N304=""),"",IF(O304="öngól","ö"&amp;K301&amp;N304,N301&amp;N304))</f>
        <v/>
      </c>
      <c r="AY304" s="323"/>
      <c r="BA304" s="323"/>
      <c r="BC304" s="323"/>
      <c r="BE304" s="323"/>
      <c r="BG304" s="323"/>
      <c r="BI304" s="323"/>
      <c r="BK304" s="323"/>
      <c r="BM304" s="323"/>
      <c r="BO304" s="323"/>
      <c r="BQ304" s="323"/>
      <c r="BS304" s="323"/>
      <c r="BU304" s="323"/>
      <c r="BW304" s="323"/>
      <c r="BY304" s="323"/>
      <c r="CA304" s="323"/>
      <c r="CC304" s="323"/>
      <c r="CE304" s="323"/>
      <c r="CG304" s="323"/>
      <c r="CI304" s="323"/>
      <c r="CK304" s="323"/>
      <c r="CM304" s="323"/>
      <c r="CO304" s="323"/>
      <c r="CQ304" s="323"/>
      <c r="CS304" s="323"/>
      <c r="CU304" s="323"/>
      <c r="CW304" s="323"/>
      <c r="CY304" s="323"/>
      <c r="DA304" s="323"/>
      <c r="DC304" s="323"/>
      <c r="DE304" s="323"/>
      <c r="DG304" s="323"/>
      <c r="DI304" s="323"/>
    </row>
    <row r="305" spans="1:114" ht="12" customHeight="1" x14ac:dyDescent="0.3">
      <c r="A305" s="765"/>
      <c r="C305" s="219"/>
      <c r="D305" s="220"/>
      <c r="E305" s="224"/>
      <c r="F305" s="222"/>
      <c r="G305" s="223"/>
      <c r="H305" s="219"/>
      <c r="J305" s="219"/>
      <c r="K305" s="220"/>
      <c r="L305" s="224"/>
      <c r="M305" s="222"/>
      <c r="N305" s="223"/>
      <c r="O305" s="219"/>
      <c r="V305" s="487" t="s">
        <v>705</v>
      </c>
      <c r="W305" s="490" t="str">
        <f>VLOOKUP(W302,schedule,18,FALSE)</f>
        <v>JÚNIUS 22. – KEDD 21:00</v>
      </c>
      <c r="X305" s="489" t="b">
        <f ca="1">VLOOKUP(W302,schedule,14,FALSE)&lt;=NOW()</f>
        <v>0</v>
      </c>
      <c r="Y305" s="490" t="str">
        <f>VLOOKUP(Y302,schedule,18,FALSE)</f>
        <v>JÚNIUS 22. – KEDD 21:00</v>
      </c>
      <c r="Z305" s="489" t="b">
        <f ca="1">VLOOKUP(Y302,schedule,14,FALSE)&lt;=NOW()</f>
        <v>0</v>
      </c>
      <c r="AB305" s="327" t="str">
        <f>IF(C305="öngól",AC301,AB301)</f>
        <v>nevek.16</v>
      </c>
      <c r="AC305" s="327" t="str">
        <f>IF(H305="öngól",AB301,AC301)</f>
        <v>nevek.13</v>
      </c>
      <c r="AD305" s="327" t="str">
        <f>IF(J305="öngól",AE301,AD301)</f>
        <v>nevek.14</v>
      </c>
      <c r="AE305" s="327" t="str">
        <f>IF(O305="öngól",AD301,AE301)</f>
        <v>nevek.15</v>
      </c>
      <c r="AF305" s="325"/>
      <c r="AG305" s="485">
        <v>4</v>
      </c>
      <c r="AH305" s="488" t="b">
        <f ca="1">AND(W304,X305,D305="",AG305&lt;=W310)</f>
        <v>0</v>
      </c>
      <c r="AI305" s="488" t="b">
        <f ca="1">AND(W304,X305,E305="",AG305&lt;=W310)</f>
        <v>0</v>
      </c>
      <c r="AJ305" s="488" t="b">
        <f ca="1">AND(W304,X305,F305="",AG305&lt;=X310)</f>
        <v>0</v>
      </c>
      <c r="AK305" s="488" t="b">
        <f ca="1">AND(W304,X305,G305="",AG305&lt;=X310)</f>
        <v>0</v>
      </c>
      <c r="AL305" s="488" t="b">
        <f ca="1">AND(Y304,Z305,K305="",AG305&lt;=Y310)</f>
        <v>0</v>
      </c>
      <c r="AM305" s="488" t="b">
        <f ca="1">AND(Y304,Z305,L305="",AG305&lt;=Y310)</f>
        <v>0</v>
      </c>
      <c r="AN305" s="488" t="b">
        <f ca="1">AND(Y304,Z305,M305="",AG305&lt;=Z310)</f>
        <v>0</v>
      </c>
      <c r="AO305" s="488" t="b">
        <f ca="1">AND(Y304,Z305,N305="",AG305&lt;=Z310)</f>
        <v>0</v>
      </c>
      <c r="AQ305" s="326" t="str">
        <f>IF(OR(NOT(Góllista!$E$6),D305=""),"",IF(C305="öngól","ö"&amp;G301&amp;D305,D301&amp;D305))</f>
        <v/>
      </c>
      <c r="AR305" s="326" t="str">
        <f>IF(OR(NOT(Góllista!$E$6),G305=""),"",IF(H305="öngól","ö"&amp;D301&amp;G305,G301&amp;G305))</f>
        <v/>
      </c>
      <c r="AS305" s="326" t="str">
        <f>IF(OR(NOT(Góllista!$E$6),K305=""),"",IF(J305="öngól","ö"&amp;N301&amp;K305,K301&amp;K305))</f>
        <v/>
      </c>
      <c r="AT305" s="326" t="str">
        <f>IF(OR(NOT(Góllista!$E$6),N305=""),"",IF(O305="öngól","ö"&amp;K301&amp;N305,N301&amp;N305))</f>
        <v/>
      </c>
      <c r="AY305" s="323"/>
      <c r="BA305" s="323"/>
      <c r="BC305" s="323"/>
      <c r="BE305" s="323"/>
      <c r="BG305" s="323"/>
      <c r="BI305" s="323"/>
      <c r="BK305" s="323"/>
      <c r="BM305" s="323"/>
      <c r="BO305" s="323"/>
      <c r="BQ305" s="323"/>
      <c r="BS305" s="323"/>
      <c r="BU305" s="323"/>
      <c r="BW305" s="323"/>
      <c r="BY305" s="323"/>
      <c r="CA305" s="323"/>
      <c r="CC305" s="323"/>
      <c r="CE305" s="323"/>
      <c r="CG305" s="323"/>
      <c r="CI305" s="323"/>
      <c r="CK305" s="323"/>
      <c r="CM305" s="323"/>
      <c r="CO305" s="323"/>
      <c r="CQ305" s="323"/>
      <c r="CS305" s="323"/>
      <c r="CU305" s="323"/>
      <c r="CW305" s="323"/>
      <c r="CY305" s="323"/>
      <c r="DA305" s="323"/>
      <c r="DC305" s="323"/>
      <c r="DE305" s="323"/>
      <c r="DG305" s="323"/>
      <c r="DI305" s="323"/>
    </row>
    <row r="306" spans="1:114" ht="12" customHeight="1" x14ac:dyDescent="0.3">
      <c r="A306" s="765"/>
      <c r="C306" s="219"/>
      <c r="D306" s="220"/>
      <c r="E306" s="224"/>
      <c r="F306" s="222"/>
      <c r="G306" s="223"/>
      <c r="H306" s="219"/>
      <c r="J306" s="219"/>
      <c r="K306" s="220"/>
      <c r="L306" s="224"/>
      <c r="M306" s="222"/>
      <c r="N306" s="223"/>
      <c r="O306" s="219"/>
      <c r="V306" s="487" t="s">
        <v>1265</v>
      </c>
      <c r="W306" s="491" t="str">
        <f>VLOOKUP(W302,schedule,12,FALSE)</f>
        <v>3. CSOPORTMÉRKŐZÉS</v>
      </c>
      <c r="X306" s="485" t="str">
        <f>""</f>
        <v/>
      </c>
      <c r="Y306" s="491" t="str">
        <f>VLOOKUP(Y302,schedule,12,FALSE)</f>
        <v>3. CSOPORTMÉRKŐZÉS</v>
      </c>
      <c r="AB306" s="327" t="str">
        <f>IF(C306="öngól",AC301,AB301)</f>
        <v>nevek.16</v>
      </c>
      <c r="AC306" s="327" t="str">
        <f>IF(H306="öngól",AB301,AC301)</f>
        <v>nevek.13</v>
      </c>
      <c r="AD306" s="327" t="str">
        <f>IF(J306="öngól",AE301,AD301)</f>
        <v>nevek.14</v>
      </c>
      <c r="AE306" s="327" t="str">
        <f>IF(O306="öngól",AD301,AE301)</f>
        <v>nevek.15</v>
      </c>
      <c r="AF306" s="325"/>
      <c r="AG306" s="485">
        <v>5</v>
      </c>
      <c r="AH306" s="488" t="b">
        <f ca="1">AND(W304,X305,D306="",AG306&lt;=W310)</f>
        <v>0</v>
      </c>
      <c r="AI306" s="488" t="b">
        <f ca="1">AND(W304,X305,E306="",AG306&lt;=W310)</f>
        <v>0</v>
      </c>
      <c r="AJ306" s="488" t="b">
        <f ca="1">AND(W304,X305,F306="",AG306&lt;=X310)</f>
        <v>0</v>
      </c>
      <c r="AK306" s="488" t="b">
        <f ca="1">AND(W304,X305,G306="",AG306&lt;=X310)</f>
        <v>0</v>
      </c>
      <c r="AL306" s="488" t="b">
        <f ca="1">AND(Y304,Z305,K306="",AG306&lt;=Y310)</f>
        <v>0</v>
      </c>
      <c r="AM306" s="488" t="b">
        <f ca="1">AND(Y304,Z305,L306="",AG306&lt;=Y310)</f>
        <v>0</v>
      </c>
      <c r="AN306" s="488" t="b">
        <f ca="1">AND(Y304,Z305,M306="",AG306&lt;=Z310)</f>
        <v>0</v>
      </c>
      <c r="AO306" s="488" t="b">
        <f ca="1">AND(Y304,Z305,N306="",AG306&lt;=Z310)</f>
        <v>0</v>
      </c>
      <c r="AQ306" s="326" t="str">
        <f>IF(OR(NOT(Góllista!$E$6),D306=""),"",IF(C306="öngól","ö"&amp;G301&amp;D306,D301&amp;D306))</f>
        <v/>
      </c>
      <c r="AR306" s="326" t="str">
        <f>IF(OR(NOT(Góllista!$E$6),G306=""),"",IF(H306="öngól","ö"&amp;D301&amp;G306,G301&amp;G306))</f>
        <v/>
      </c>
      <c r="AS306" s="326" t="str">
        <f>IF(OR(NOT(Góllista!$E$6),K306=""),"",IF(J306="öngól","ö"&amp;N301&amp;K306,K301&amp;K306))</f>
        <v/>
      </c>
      <c r="AT306" s="326" t="str">
        <f>IF(OR(NOT(Góllista!$E$6),N306=""),"",IF(O306="öngól","ö"&amp;K301&amp;N306,N301&amp;N306))</f>
        <v/>
      </c>
      <c r="AY306" s="323"/>
      <c r="BA306" s="323"/>
      <c r="BC306" s="323"/>
      <c r="BE306" s="323"/>
      <c r="BG306" s="323"/>
      <c r="BI306" s="323"/>
      <c r="BK306" s="323"/>
      <c r="BM306" s="323"/>
      <c r="BO306" s="323"/>
      <c r="BQ306" s="323"/>
      <c r="BS306" s="323"/>
      <c r="BU306" s="323"/>
      <c r="BW306" s="323"/>
      <c r="BY306" s="323"/>
      <c r="CA306" s="323"/>
      <c r="CC306" s="323"/>
      <c r="CE306" s="323"/>
      <c r="CG306" s="323"/>
      <c r="CI306" s="323"/>
      <c r="CK306" s="323"/>
      <c r="CM306" s="323"/>
      <c r="CO306" s="323"/>
      <c r="CQ306" s="323"/>
      <c r="CS306" s="323"/>
      <c r="CU306" s="323"/>
      <c r="CW306" s="323"/>
      <c r="CY306" s="323"/>
      <c r="DA306" s="323"/>
      <c r="DC306" s="323"/>
      <c r="DE306" s="323"/>
      <c r="DG306" s="323"/>
      <c r="DI306" s="323"/>
    </row>
    <row r="307" spans="1:114" ht="12" customHeight="1" x14ac:dyDescent="0.3">
      <c r="A307" s="765"/>
      <c r="C307" s="219"/>
      <c r="D307" s="220"/>
      <c r="E307" s="224"/>
      <c r="F307" s="222"/>
      <c r="G307" s="223"/>
      <c r="H307" s="219"/>
      <c r="J307" s="219"/>
      <c r="K307" s="220"/>
      <c r="L307" s="224"/>
      <c r="M307" s="222"/>
      <c r="N307" s="223"/>
      <c r="O307" s="219"/>
      <c r="V307" s="487" t="s">
        <v>1264</v>
      </c>
      <c r="W307" s="327" t="str">
        <f>VLOOKUP(W302,schedule,3,FALSE)</f>
        <v>D</v>
      </c>
      <c r="X307" s="485" t="str">
        <f>""</f>
        <v/>
      </c>
      <c r="Y307" s="327" t="str">
        <f>VLOOKUP(Y302,schedule,3,FALSE)</f>
        <v>D</v>
      </c>
      <c r="AB307" s="327" t="str">
        <f>IF(C307="öngól",AC301,AB301)</f>
        <v>nevek.16</v>
      </c>
      <c r="AC307" s="327" t="str">
        <f>IF(H307="öngól",AB301,AC301)</f>
        <v>nevek.13</v>
      </c>
      <c r="AD307" s="327" t="str">
        <f>IF(J307="öngól",AE301,AD301)</f>
        <v>nevek.14</v>
      </c>
      <c r="AE307" s="327" t="str">
        <f>IF(O307="öngól",AD301,AE301)</f>
        <v>nevek.15</v>
      </c>
      <c r="AF307" s="325"/>
      <c r="AG307" s="485">
        <v>6</v>
      </c>
      <c r="AH307" s="488" t="b">
        <f ca="1">AND(W304,X305,D307="",AG307&lt;=W310)</f>
        <v>0</v>
      </c>
      <c r="AI307" s="488" t="b">
        <f ca="1">AND(W304,X305,E307="",AG307&lt;=W310)</f>
        <v>0</v>
      </c>
      <c r="AJ307" s="488" t="b">
        <f ca="1">AND(W304,X305,F307="",AG307&lt;=X310)</f>
        <v>0</v>
      </c>
      <c r="AK307" s="488" t="b">
        <f ca="1">AND(W304,X305,G307="",AG307&lt;=X310)</f>
        <v>0</v>
      </c>
      <c r="AL307" s="488" t="b">
        <f ca="1">AND(Y304,Z305,K307="",AG307&lt;=Y310)</f>
        <v>0</v>
      </c>
      <c r="AM307" s="488" t="b">
        <f ca="1">AND(Y304,Z305,L307="",AG307&lt;=Y310)</f>
        <v>0</v>
      </c>
      <c r="AN307" s="488" t="b">
        <f ca="1">AND(Y304,Z305,M307="",AG307&lt;=Z310)</f>
        <v>0</v>
      </c>
      <c r="AO307" s="488" t="b">
        <f ca="1">AND(Y304,Z305,N307="",AG307&lt;=Z310)</f>
        <v>0</v>
      </c>
      <c r="AQ307" s="326" t="str">
        <f>IF(OR(NOT(Góllista!$E$6),D307=""),"",IF(C307="öngól","ö"&amp;G301&amp;D307,D301&amp;D307))</f>
        <v/>
      </c>
      <c r="AR307" s="326" t="str">
        <f>IF(OR(NOT(Góllista!$E$6),G307=""),"",IF(H307="öngól","ö"&amp;D301&amp;G307,G301&amp;G307))</f>
        <v/>
      </c>
      <c r="AS307" s="326" t="str">
        <f>IF(OR(NOT(Góllista!$E$6),K307=""),"",IF(J307="öngól","ö"&amp;N301&amp;K307,K301&amp;K307))</f>
        <v/>
      </c>
      <c r="AT307" s="326" t="str">
        <f>IF(OR(NOT(Góllista!$E$6),N307=""),"",IF(O307="öngól","ö"&amp;K301&amp;N307,N301&amp;N307))</f>
        <v/>
      </c>
      <c r="AY307" s="323"/>
      <c r="BA307" s="323"/>
      <c r="BC307" s="323"/>
      <c r="BE307" s="323"/>
      <c r="BG307" s="323"/>
      <c r="BI307" s="323"/>
      <c r="BK307" s="323"/>
      <c r="BM307" s="323"/>
      <c r="BO307" s="323"/>
      <c r="BQ307" s="323"/>
      <c r="BS307" s="323"/>
      <c r="BU307" s="323"/>
      <c r="BW307" s="323"/>
      <c r="BY307" s="323"/>
      <c r="CA307" s="323"/>
      <c r="CC307" s="323"/>
      <c r="CE307" s="323"/>
      <c r="CG307" s="323"/>
      <c r="CI307" s="323"/>
      <c r="CK307" s="323"/>
      <c r="CM307" s="323"/>
      <c r="CO307" s="323"/>
      <c r="CQ307" s="323"/>
      <c r="CS307" s="323"/>
      <c r="CU307" s="323"/>
      <c r="CW307" s="323"/>
      <c r="CY307" s="323"/>
      <c r="DA307" s="323"/>
      <c r="DC307" s="323"/>
      <c r="DE307" s="323"/>
      <c r="DG307" s="323"/>
      <c r="DI307" s="323"/>
    </row>
    <row r="308" spans="1:114" ht="12" customHeight="1" x14ac:dyDescent="0.3">
      <c r="A308" s="765"/>
      <c r="C308" s="219"/>
      <c r="D308" s="220"/>
      <c r="E308" s="224"/>
      <c r="F308" s="222"/>
      <c r="G308" s="223"/>
      <c r="H308" s="219"/>
      <c r="J308" s="219"/>
      <c r="K308" s="220"/>
      <c r="L308" s="224"/>
      <c r="M308" s="222"/>
      <c r="N308" s="223"/>
      <c r="O308" s="219"/>
      <c r="V308" s="485" t="s">
        <v>707</v>
      </c>
      <c r="W308" s="327">
        <f>IF(NOT(W304),0,E301-9+COUNTBLANK(D302:D310))</f>
        <v>0</v>
      </c>
      <c r="X308" s="327">
        <f>IF(NOT(W304),0,F301-9+COUNTBLANK(G302:G310))</f>
        <v>0</v>
      </c>
      <c r="Y308" s="327">
        <f>IF(NOT(Y304),0,L301-9+COUNTBLANK(K302:K310))</f>
        <v>0</v>
      </c>
      <c r="Z308" s="327">
        <f>IF(NOT(Y304),0,M301-9+COUNTBLANK(N302:N310))</f>
        <v>0</v>
      </c>
      <c r="AB308" s="327" t="str">
        <f>IF(C308="öngól",AC301,AB301)</f>
        <v>nevek.16</v>
      </c>
      <c r="AC308" s="327" t="str">
        <f>IF(H308="öngól",AB301,AC301)</f>
        <v>nevek.13</v>
      </c>
      <c r="AD308" s="327" t="str">
        <f>IF(J308="öngól",AE301,AD301)</f>
        <v>nevek.14</v>
      </c>
      <c r="AE308" s="327" t="str">
        <f>IF(O308="öngól",AD301,AE301)</f>
        <v>nevek.15</v>
      </c>
      <c r="AF308" s="325"/>
      <c r="AG308" s="485">
        <v>7</v>
      </c>
      <c r="AH308" s="488" t="b">
        <f ca="1">AND(W304,X305,D308="",AG308&lt;=W310)</f>
        <v>0</v>
      </c>
      <c r="AI308" s="488" t="b">
        <f ca="1">AND(W304,X305,E308="",AG308&lt;=W310)</f>
        <v>0</v>
      </c>
      <c r="AJ308" s="488" t="b">
        <f ca="1">AND(W304,X305,F308="",AG308&lt;=X310)</f>
        <v>0</v>
      </c>
      <c r="AK308" s="488" t="b">
        <f ca="1">AND(W304,X305,G308="",AG308&lt;=X310)</f>
        <v>0</v>
      </c>
      <c r="AL308" s="488" t="b">
        <f ca="1">AND(Y304,Z305,K308="",AG308&lt;=Y310)</f>
        <v>0</v>
      </c>
      <c r="AM308" s="488" t="b">
        <f ca="1">AND(Y304,Z305,L308="",AG308&lt;=Y310)</f>
        <v>0</v>
      </c>
      <c r="AN308" s="488" t="b">
        <f ca="1">AND(Y304,Z305,M308="",AG308&lt;=Z310)</f>
        <v>0</v>
      </c>
      <c r="AO308" s="488" t="b">
        <f ca="1">AND(Y304,Z305,N308="",AG308&lt;=Z310)</f>
        <v>0</v>
      </c>
      <c r="AQ308" s="326" t="str">
        <f>IF(OR(NOT(Góllista!$E$6),D308=""),"",IF(C308="öngól","ö"&amp;G301&amp;D308,D301&amp;D308))</f>
        <v/>
      </c>
      <c r="AR308" s="326" t="str">
        <f>IF(OR(NOT(Góllista!$E$6),G308=""),"",IF(H308="öngól","ö"&amp;D301&amp;G308,G301&amp;G308))</f>
        <v/>
      </c>
      <c r="AS308" s="326" t="str">
        <f>IF(OR(NOT(Góllista!$E$6),K308=""),"",IF(J308="öngól","ö"&amp;N301&amp;K308,K301&amp;K308))</f>
        <v/>
      </c>
      <c r="AT308" s="326" t="str">
        <f>IF(OR(NOT(Góllista!$E$6),N308=""),"",IF(O308="öngól","ö"&amp;K301&amp;N308,N301&amp;N308))</f>
        <v/>
      </c>
      <c r="AY308" s="323"/>
      <c r="BA308" s="323"/>
      <c r="BC308" s="323"/>
      <c r="BE308" s="323"/>
      <c r="BG308" s="323"/>
      <c r="BI308" s="323"/>
      <c r="BK308" s="323"/>
      <c r="BM308" s="323"/>
      <c r="BO308" s="323"/>
      <c r="BQ308" s="323"/>
      <c r="BS308" s="323"/>
      <c r="BU308" s="323"/>
      <c r="BW308" s="323"/>
      <c r="BY308" s="323"/>
      <c r="CA308" s="323"/>
      <c r="CC308" s="323"/>
      <c r="CE308" s="323"/>
      <c r="CG308" s="323"/>
      <c r="CI308" s="323"/>
      <c r="CK308" s="323"/>
      <c r="CM308" s="323"/>
      <c r="CO308" s="323"/>
      <c r="CQ308" s="323"/>
      <c r="CS308" s="323"/>
      <c r="CU308" s="323"/>
      <c r="CW308" s="323"/>
      <c r="CY308" s="323"/>
      <c r="DA308" s="323"/>
      <c r="DC308" s="323"/>
      <c r="DE308" s="323"/>
      <c r="DG308" s="323"/>
      <c r="DI308" s="323"/>
    </row>
    <row r="309" spans="1:114" ht="12" customHeight="1" x14ac:dyDescent="0.3">
      <c r="A309" s="765"/>
      <c r="C309" s="219"/>
      <c r="D309" s="220"/>
      <c r="E309" s="224"/>
      <c r="F309" s="222"/>
      <c r="G309" s="223"/>
      <c r="H309" s="219"/>
      <c r="J309" s="219"/>
      <c r="K309" s="220"/>
      <c r="L309" s="224"/>
      <c r="M309" s="222"/>
      <c r="N309" s="223"/>
      <c r="O309" s="219"/>
      <c r="V309" s="485" t="s">
        <v>708</v>
      </c>
      <c r="W309" s="411" t="str">
        <f>VLOOKUP(W302,schedule,8,FALSE)</f>
        <v>Csehország</v>
      </c>
      <c r="X309" s="411" t="str">
        <f>VLOOKUP(W302,schedule,9,FALSE)</f>
        <v>Anglia</v>
      </c>
      <c r="Y309" s="411" t="str">
        <f>VLOOKUP(Y302,schedule,8,FALSE)</f>
        <v>Horvátország</v>
      </c>
      <c r="Z309" s="491" t="str">
        <f>VLOOKUP(Y302,schedule,9,FALSE)</f>
        <v>Skócia</v>
      </c>
      <c r="AB309" s="327" t="str">
        <f>IF(C309="öngól",AC301,AB301)</f>
        <v>nevek.16</v>
      </c>
      <c r="AC309" s="327" t="str">
        <f>IF(H309="öngól",AB301,AC301)</f>
        <v>nevek.13</v>
      </c>
      <c r="AD309" s="327" t="str">
        <f>IF(J309="öngól",AE301,AD301)</f>
        <v>nevek.14</v>
      </c>
      <c r="AE309" s="327" t="str">
        <f>IF(O309="öngól",AD301,AE301)</f>
        <v>nevek.15</v>
      </c>
      <c r="AF309" s="325"/>
      <c r="AG309" s="485">
        <v>8</v>
      </c>
      <c r="AH309" s="488" t="b">
        <f ca="1">AND(W304,X305,D309="",AG309&lt;=W310)</f>
        <v>0</v>
      </c>
      <c r="AI309" s="488" t="b">
        <f ca="1">AND(W304,X305,E309="",AG309&lt;=W310)</f>
        <v>0</v>
      </c>
      <c r="AJ309" s="488" t="b">
        <f ca="1">AND(W304,X305,F309="",AG309&lt;=X310)</f>
        <v>0</v>
      </c>
      <c r="AK309" s="488" t="b">
        <f ca="1">AND(W304,X305,G309="",AG309&lt;=X310)</f>
        <v>0</v>
      </c>
      <c r="AL309" s="488" t="b">
        <f ca="1">AND(Y304,Z305,K309="",AG309&lt;=Y310)</f>
        <v>0</v>
      </c>
      <c r="AM309" s="488" t="b">
        <f ca="1">AND(Y304,Z305,L309="",AG309&lt;=Y310)</f>
        <v>0</v>
      </c>
      <c r="AN309" s="488" t="b">
        <f ca="1">AND(Y304,Z305,M309="",AG309&lt;=Z310)</f>
        <v>0</v>
      </c>
      <c r="AO309" s="488" t="b">
        <f ca="1">AND(Y304,Z305,N309="",AG309&lt;=Z310)</f>
        <v>0</v>
      </c>
      <c r="AQ309" s="326" t="str">
        <f>IF(OR(NOT(Góllista!$E$6),D309=""),"",IF(C309="öngól","ö"&amp;G301&amp;D309,D301&amp;D309))</f>
        <v/>
      </c>
      <c r="AR309" s="326" t="str">
        <f>IF(OR(NOT(Góllista!$E$6),G309=""),"",IF(H309="öngól","ö"&amp;D301&amp;G309,G301&amp;G309))</f>
        <v/>
      </c>
      <c r="AS309" s="326" t="str">
        <f>IF(OR(NOT(Góllista!$E$6),K309=""),"",IF(J309="öngól","ö"&amp;N301&amp;K309,K301&amp;K309))</f>
        <v/>
      </c>
      <c r="AT309" s="326" t="str">
        <f>IF(OR(NOT(Góllista!$E$6),N309=""),"",IF(O309="öngól","ö"&amp;K301&amp;N309,N301&amp;N309))</f>
        <v/>
      </c>
      <c r="AY309" s="323"/>
      <c r="BA309" s="323"/>
      <c r="BC309" s="323"/>
      <c r="BE309" s="323"/>
      <c r="BG309" s="323"/>
      <c r="BI309" s="323"/>
      <c r="BK309" s="323"/>
      <c r="BM309" s="323"/>
      <c r="BO309" s="323"/>
      <c r="BQ309" s="323"/>
      <c r="BS309" s="323"/>
      <c r="BU309" s="323"/>
      <c r="BW309" s="323"/>
      <c r="BY309" s="323"/>
      <c r="CA309" s="323"/>
      <c r="CC309" s="323"/>
      <c r="CE309" s="323"/>
      <c r="CG309" s="323"/>
      <c r="CI309" s="323"/>
      <c r="CK309" s="323"/>
      <c r="CM309" s="323"/>
      <c r="CO309" s="323"/>
      <c r="CQ309" s="323"/>
      <c r="CS309" s="323"/>
      <c r="CU309" s="323"/>
      <c r="CW309" s="323"/>
      <c r="CY309" s="323"/>
      <c r="DA309" s="323"/>
      <c r="DC309" s="323"/>
      <c r="DE309" s="323"/>
      <c r="DG309" s="323"/>
      <c r="DI309" s="323"/>
    </row>
    <row r="310" spans="1:114" ht="12" customHeight="1" x14ac:dyDescent="0.3">
      <c r="A310" s="765"/>
      <c r="C310" s="219"/>
      <c r="D310" s="220"/>
      <c r="E310" s="225"/>
      <c r="F310" s="222"/>
      <c r="G310" s="223"/>
      <c r="H310" s="219"/>
      <c r="J310" s="219"/>
      <c r="K310" s="220"/>
      <c r="L310" s="225"/>
      <c r="M310" s="222"/>
      <c r="N310" s="223"/>
      <c r="O310" s="219"/>
      <c r="V310" s="485" t="s">
        <v>709</v>
      </c>
      <c r="W310" s="492" t="str">
        <f>INDEX(n.er,W303,9)</f>
        <v/>
      </c>
      <c r="X310" s="493" t="str">
        <f>INDEX(n.er,W303,10)</f>
        <v/>
      </c>
      <c r="Y310" s="492" t="str">
        <f>INDEX(n.er,Y303,9)</f>
        <v/>
      </c>
      <c r="Z310" s="493" t="str">
        <f>INDEX(n.er,Y303,10)</f>
        <v/>
      </c>
      <c r="AB310" s="327" t="str">
        <f>IF(C310="öngól",AC301,AB301)</f>
        <v>nevek.16</v>
      </c>
      <c r="AC310" s="327" t="str">
        <f>IF(H310="öngól",AB301,AC301)</f>
        <v>nevek.13</v>
      </c>
      <c r="AD310" s="327" t="str">
        <f>IF(J310="öngól",AE301,AD301)</f>
        <v>nevek.14</v>
      </c>
      <c r="AE310" s="327" t="str">
        <f>IF(O310="öngól",AD301,AE301)</f>
        <v>nevek.15</v>
      </c>
      <c r="AF310" s="325"/>
      <c r="AG310" s="485">
        <v>9</v>
      </c>
      <c r="AH310" s="488" t="b">
        <f ca="1">AND(W304,X305,D310="",AG310&lt;=W310)</f>
        <v>0</v>
      </c>
      <c r="AI310" s="488" t="b">
        <f ca="1">AND(W304,X305,E310="",AG310&lt;=W310)</f>
        <v>0</v>
      </c>
      <c r="AJ310" s="488" t="b">
        <f ca="1">AND(W304,X305,F310="",AG310&lt;=X310)</f>
        <v>0</v>
      </c>
      <c r="AK310" s="488" t="b">
        <f ca="1">AND(W304,X305,G310="",AG310&lt;=X310)</f>
        <v>0</v>
      </c>
      <c r="AL310" s="488" t="b">
        <f ca="1">AND(Y304,Z305,K310="",AG310&lt;=Y310)</f>
        <v>0</v>
      </c>
      <c r="AM310" s="488" t="b">
        <f ca="1">AND(Y304,Z305,L310="",AG310&lt;=Y310)</f>
        <v>0</v>
      </c>
      <c r="AN310" s="488" t="b">
        <f ca="1">AND(Y304,Z305,M310="",AG310&lt;=Z310)</f>
        <v>0</v>
      </c>
      <c r="AO310" s="488" t="b">
        <f ca="1">AND(Y304,Z305,N310="",AG310&lt;=Z310)</f>
        <v>0</v>
      </c>
      <c r="AQ310" s="326" t="str">
        <f>IF(OR(NOT(Góllista!$E$6),D310=""),"",IF(C310="öngól","ö"&amp;G301&amp;D310,D301&amp;D310))</f>
        <v/>
      </c>
      <c r="AR310" s="326" t="str">
        <f>IF(OR(NOT(Góllista!$E$6),G310=""),"",IF(H310="öngól","ö"&amp;D301&amp;G310,G301&amp;G310))</f>
        <v/>
      </c>
      <c r="AS310" s="326" t="str">
        <f>IF(OR(NOT(Góllista!$E$6),K310=""),"",IF(J310="öngól","ö"&amp;N301&amp;K310,K301&amp;K310))</f>
        <v/>
      </c>
      <c r="AT310" s="326" t="str">
        <f>IF(OR(NOT(Góllista!$E$6),N310=""),"",IF(O310="öngól","ö"&amp;K301&amp;N310,N301&amp;N310))</f>
        <v/>
      </c>
      <c r="AY310" s="323"/>
      <c r="BA310" s="323"/>
      <c r="BC310" s="323"/>
      <c r="BE310" s="323"/>
      <c r="BG310" s="323"/>
      <c r="BI310" s="323"/>
      <c r="BK310" s="323"/>
      <c r="BM310" s="323"/>
      <c r="BO310" s="323"/>
      <c r="BQ310" s="323"/>
      <c r="BS310" s="323"/>
      <c r="BU310" s="323"/>
      <c r="BW310" s="323"/>
      <c r="BY310" s="323"/>
      <c r="CA310" s="323"/>
      <c r="CC310" s="323"/>
      <c r="CE310" s="323"/>
      <c r="CG310" s="323"/>
      <c r="CI310" s="323"/>
      <c r="CK310" s="323"/>
      <c r="CM310" s="323"/>
      <c r="CO310" s="323"/>
      <c r="CQ310" s="323"/>
      <c r="CS310" s="323"/>
      <c r="CU310" s="323"/>
      <c r="CW310" s="323"/>
      <c r="CY310" s="323"/>
      <c r="DA310" s="323"/>
      <c r="DC310" s="323"/>
      <c r="DE310" s="323"/>
      <c r="DG310" s="323"/>
      <c r="DI310" s="323"/>
    </row>
    <row r="311" spans="1:114" ht="12" customHeight="1" x14ac:dyDescent="0.3">
      <c r="A311" s="765"/>
      <c r="C311" s="768"/>
      <c r="D311" s="768"/>
      <c r="E311" s="768"/>
      <c r="F311" s="768"/>
      <c r="G311" s="768"/>
      <c r="H311" s="768"/>
      <c r="J311" s="768"/>
      <c r="K311" s="768"/>
      <c r="L311" s="768"/>
      <c r="M311" s="768"/>
      <c r="N311" s="768"/>
      <c r="O311" s="768"/>
      <c r="AY311" s="323"/>
      <c r="BA311" s="323"/>
      <c r="BC311" s="323"/>
      <c r="BE311" s="323"/>
      <c r="BG311" s="323"/>
      <c r="BI311" s="323"/>
      <c r="BK311" s="323"/>
      <c r="BM311" s="323"/>
      <c r="BO311" s="323"/>
      <c r="BQ311" s="323"/>
      <c r="BS311" s="323"/>
      <c r="BU311" s="323"/>
      <c r="BW311" s="323"/>
      <c r="BY311" s="323"/>
      <c r="CA311" s="323"/>
      <c r="CC311" s="323"/>
      <c r="CE311" s="323"/>
      <c r="CG311" s="323"/>
      <c r="CI311" s="323"/>
      <c r="CK311" s="323"/>
      <c r="CM311" s="323"/>
      <c r="CO311" s="323"/>
      <c r="CQ311" s="323"/>
      <c r="CS311" s="323"/>
      <c r="CU311" s="323"/>
      <c r="CW311" s="323"/>
      <c r="CY311" s="323"/>
      <c r="DA311" s="323"/>
      <c r="DC311" s="323"/>
      <c r="DE311" s="323"/>
      <c r="DG311" s="323"/>
      <c r="DI311" s="323"/>
    </row>
    <row r="312" spans="1:114" ht="12" hidden="1" customHeight="1" x14ac:dyDescent="0.3">
      <c r="A312" s="765"/>
      <c r="C312" s="767"/>
      <c r="D312" s="767"/>
      <c r="E312" s="767"/>
      <c r="F312" s="767"/>
      <c r="G312" s="767"/>
      <c r="H312" s="767"/>
      <c r="J312" s="767"/>
      <c r="K312" s="767"/>
      <c r="L312" s="767"/>
      <c r="M312" s="767"/>
      <c r="N312" s="767"/>
      <c r="O312" s="767"/>
      <c r="AY312" s="323"/>
      <c r="BA312" s="323"/>
      <c r="BC312" s="323"/>
      <c r="BE312" s="323"/>
      <c r="BG312" s="323"/>
      <c r="BI312" s="323"/>
      <c r="BK312" s="323"/>
      <c r="BM312" s="323"/>
      <c r="BO312" s="323"/>
      <c r="BQ312" s="323"/>
      <c r="BS312" s="323"/>
      <c r="BU312" s="323"/>
      <c r="BW312" s="323"/>
      <c r="BY312" s="323"/>
      <c r="CA312" s="323"/>
      <c r="CC312" s="323"/>
      <c r="CE312" s="323"/>
      <c r="CG312" s="323"/>
      <c r="CI312" s="323"/>
      <c r="CK312" s="323"/>
      <c r="CM312" s="323"/>
      <c r="CO312" s="323"/>
      <c r="CQ312" s="323"/>
      <c r="CS312" s="323"/>
      <c r="CU312" s="323"/>
      <c r="CW312" s="323"/>
      <c r="CY312" s="323"/>
      <c r="DA312" s="323"/>
      <c r="DC312" s="323"/>
      <c r="DE312" s="323"/>
      <c r="DG312" s="323"/>
      <c r="DI312" s="323"/>
    </row>
    <row r="313" spans="1:114" ht="12" hidden="1" customHeight="1" x14ac:dyDescent="0.3">
      <c r="A313" s="765"/>
      <c r="C313" s="767"/>
      <c r="D313" s="767"/>
      <c r="E313" s="767"/>
      <c r="F313" s="767"/>
      <c r="G313" s="767"/>
      <c r="H313" s="767"/>
      <c r="J313" s="767"/>
      <c r="K313" s="767"/>
      <c r="L313" s="767"/>
      <c r="M313" s="767"/>
      <c r="N313" s="767"/>
      <c r="O313" s="767"/>
      <c r="AY313" s="323"/>
      <c r="BA313" s="323"/>
      <c r="BC313" s="323"/>
      <c r="BE313" s="323"/>
      <c r="BG313" s="323"/>
      <c r="BI313" s="323"/>
      <c r="BK313" s="323"/>
      <c r="BM313" s="323"/>
      <c r="BO313" s="323"/>
      <c r="BQ313" s="323"/>
      <c r="BS313" s="323"/>
      <c r="BU313" s="323"/>
      <c r="BW313" s="323"/>
      <c r="BY313" s="323"/>
      <c r="CA313" s="323"/>
      <c r="CC313" s="323"/>
      <c r="CE313" s="323"/>
      <c r="CG313" s="323"/>
      <c r="CI313" s="323"/>
      <c r="CK313" s="323"/>
      <c r="CM313" s="323"/>
      <c r="CO313" s="323"/>
      <c r="CQ313" s="323"/>
      <c r="CS313" s="323"/>
      <c r="CU313" s="323"/>
      <c r="CW313" s="323"/>
      <c r="CY313" s="323"/>
      <c r="DA313" s="323"/>
      <c r="DC313" s="323"/>
      <c r="DE313" s="323"/>
      <c r="DG313" s="323"/>
      <c r="DI313" s="323"/>
    </row>
    <row r="314" spans="1:114" ht="3.75" customHeight="1" x14ac:dyDescent="0.3">
      <c r="A314" s="765"/>
      <c r="AH314" s="494"/>
      <c r="AY314" s="323"/>
      <c r="BA314" s="323"/>
      <c r="BC314" s="323"/>
      <c r="BE314" s="323"/>
      <c r="BG314" s="323"/>
      <c r="BI314" s="323"/>
      <c r="BK314" s="323"/>
      <c r="BM314" s="323"/>
      <c r="BO314" s="323"/>
      <c r="BQ314" s="323"/>
      <c r="BS314" s="323"/>
      <c r="BU314" s="323"/>
      <c r="BW314" s="323"/>
      <c r="BY314" s="323"/>
      <c r="CA314" s="323"/>
      <c r="CC314" s="323"/>
      <c r="CE314" s="323"/>
      <c r="CG314" s="323"/>
      <c r="CI314" s="323"/>
      <c r="CK314" s="323"/>
      <c r="CM314" s="323"/>
      <c r="CO314" s="323"/>
      <c r="CQ314" s="323"/>
      <c r="CS314" s="323"/>
      <c r="CU314" s="323"/>
      <c r="CW314" s="323"/>
      <c r="CY314" s="323"/>
      <c r="DA314" s="323"/>
      <c r="DC314" s="323"/>
      <c r="DE314" s="323"/>
      <c r="DG314" s="323"/>
      <c r="DI314" s="323"/>
    </row>
    <row r="315" spans="1:114" ht="11.25" customHeight="1" x14ac:dyDescent="0.3">
      <c r="A315" s="765"/>
      <c r="B315" s="15"/>
      <c r="D315" s="235"/>
      <c r="E315" s="722" t="str">
        <f>IF(W315,"  BÜNTETŐK:","  BÜNTETŐK:  –")</f>
        <v xml:space="preserve">  BÜNTETŐK:  –</v>
      </c>
      <c r="F315" s="235"/>
      <c r="G315" s="235"/>
      <c r="H315" s="235"/>
      <c r="I315" s="37"/>
      <c r="J315" s="234"/>
      <c r="K315" s="235"/>
      <c r="L315" s="722" t="str">
        <f>IF(AD315,"  BÜNTETŐK:","  BÜNTETŐK:  –")</f>
        <v xml:space="preserve">  BÜNTETŐK:  –</v>
      </c>
      <c r="M315" s="235"/>
      <c r="N315" s="235"/>
      <c r="O315" s="235"/>
      <c r="V315" s="487" t="s">
        <v>712</v>
      </c>
      <c r="W315" s="489" t="b">
        <f>INDEX(n.er,W303,14)</f>
        <v>0</v>
      </c>
      <c r="Y315" s="489" t="b">
        <f>INDEX(n.er,Y303,14)</f>
        <v>0</v>
      </c>
      <c r="AF315" s="325"/>
      <c r="AQ315" s="323"/>
      <c r="AR315" s="323"/>
      <c r="AS315" s="323"/>
      <c r="AT315" s="323"/>
      <c r="AW315" s="485"/>
      <c r="AY315" s="323"/>
      <c r="BA315" s="323"/>
      <c r="BC315" s="323"/>
      <c r="BE315" s="323"/>
      <c r="BG315" s="323"/>
      <c r="BI315" s="323"/>
      <c r="BK315" s="323"/>
      <c r="BM315" s="323"/>
      <c r="BO315" s="323"/>
      <c r="BQ315" s="323"/>
      <c r="BS315" s="323"/>
      <c r="BU315" s="323"/>
      <c r="BW315" s="323"/>
      <c r="BY315" s="323"/>
      <c r="CA315" s="323"/>
      <c r="CC315" s="323"/>
      <c r="CE315" s="323"/>
      <c r="CG315" s="323"/>
      <c r="CI315" s="323"/>
      <c r="CK315" s="323"/>
      <c r="CM315" s="323"/>
      <c r="CO315" s="323"/>
      <c r="CQ315" s="323"/>
      <c r="CS315" s="323"/>
      <c r="CU315" s="323"/>
      <c r="CW315" s="323"/>
      <c r="CY315" s="323"/>
      <c r="DA315" s="323"/>
      <c r="DC315" s="323"/>
      <c r="DE315" s="323"/>
      <c r="DG315" s="323"/>
      <c r="DI315" s="323"/>
      <c r="DJ315" s="485"/>
    </row>
    <row r="316" spans="1:114" ht="11.25" customHeight="1" x14ac:dyDescent="0.3">
      <c r="A316" s="765"/>
      <c r="C316" s="241" t="str">
        <f>IF(W317=0,"",IF(W317&gt;0,CONCATENATE("még ",W317," büntető"),CONCATENATE("túl sok (",W317," büntető)")))</f>
        <v/>
      </c>
      <c r="D316" s="237" t="str">
        <f>IF(W315,W309,"")</f>
        <v/>
      </c>
      <c r="E316" s="239" t="str">
        <f>IF(W315,W316,"")</f>
        <v/>
      </c>
      <c r="F316" s="240" t="str">
        <f>IF(W315,X316,"")</f>
        <v/>
      </c>
      <c r="G316" s="238" t="str">
        <f>IF(W315,X309,"")</f>
        <v/>
      </c>
      <c r="H316" s="241" t="str">
        <f>IF(X317=0,"",IF(X317&gt;0,CONCATENATE("még ",X317," büntető"),CONCATENATE("túl sok (",X317," büntető)")))</f>
        <v/>
      </c>
      <c r="J316" s="241" t="str">
        <f>IF(Y317=0,"",IF(Y317&gt;0,CONCATENATE("még ",Y317," büntető"),CONCATENATE("túl sok (",Y317," büntető)")))</f>
        <v/>
      </c>
      <c r="K316" s="237" t="str">
        <f>IF(Y315,Y309,"")</f>
        <v/>
      </c>
      <c r="L316" s="239" t="str">
        <f>IF(Y315,Y316,"")</f>
        <v/>
      </c>
      <c r="M316" s="240" t="str">
        <f>IF(Y315,Z316,"")</f>
        <v/>
      </c>
      <c r="N316" s="238" t="str">
        <f>IF(Y315,Z309,"")</f>
        <v/>
      </c>
      <c r="O316" s="241" t="str">
        <f>IF(Z317=0,"",IF(Z317&gt;0,CONCATENATE("még ",Z317," büntető"),CONCATENATE("túl sok (",Z317," büntető)")))</f>
        <v/>
      </c>
      <c r="V316" s="487" t="s">
        <v>709</v>
      </c>
      <c r="W316" s="492" t="str">
        <f>IF(NOT(W315),"",INDEX(n.er,W303,17))</f>
        <v/>
      </c>
      <c r="X316" s="493" t="str">
        <f>IF(NOT(W315),"",INDEX(n.er,W303,18))</f>
        <v/>
      </c>
      <c r="Y316" s="492" t="str">
        <f>IF(NOT(Y315),"",INDEX(n.er,Y303,17))</f>
        <v/>
      </c>
      <c r="Z316" s="493" t="str">
        <f>IF(NOT(Y315),"",INDEX(n.er,Y303,18))</f>
        <v/>
      </c>
      <c r="AF316" s="325"/>
      <c r="AH316" s="494"/>
      <c r="AQ316" s="323"/>
      <c r="AR316" s="323"/>
      <c r="AS316" s="323"/>
      <c r="AT316" s="323"/>
      <c r="AW316" s="485"/>
      <c r="AY316" s="323"/>
      <c r="BA316" s="323"/>
      <c r="BC316" s="323"/>
      <c r="BE316" s="323"/>
      <c r="BG316" s="323"/>
      <c r="BI316" s="323"/>
      <c r="BK316" s="323"/>
      <c r="BM316" s="323"/>
      <c r="BO316" s="323"/>
      <c r="BQ316" s="323"/>
      <c r="BS316" s="323"/>
      <c r="BU316" s="323"/>
      <c r="BW316" s="323"/>
      <c r="BY316" s="323"/>
      <c r="CA316" s="323"/>
      <c r="CC316" s="323"/>
      <c r="CE316" s="323"/>
      <c r="CG316" s="323"/>
      <c r="CI316" s="323"/>
      <c r="CK316" s="323"/>
      <c r="CM316" s="323"/>
      <c r="CO316" s="323"/>
      <c r="CQ316" s="323"/>
      <c r="CS316" s="323"/>
      <c r="CU316" s="323"/>
      <c r="CW316" s="323"/>
      <c r="CY316" s="323"/>
      <c r="DA316" s="323"/>
      <c r="DC316" s="323"/>
      <c r="DE316" s="323"/>
      <c r="DG316" s="323"/>
      <c r="DI316" s="323"/>
    </row>
    <row r="317" spans="1:114" ht="11.25" customHeight="1" x14ac:dyDescent="0.3">
      <c r="A317" s="765"/>
      <c r="C317" s="236"/>
      <c r="D317" s="220"/>
      <c r="E317" s="515"/>
      <c r="F317" s="516"/>
      <c r="G317" s="223"/>
      <c r="H317" s="236"/>
      <c r="J317" s="236"/>
      <c r="K317" s="220"/>
      <c r="L317" s="515"/>
      <c r="M317" s="516"/>
      <c r="N317" s="223"/>
      <c r="O317" s="236"/>
      <c r="V317" s="485" t="s">
        <v>707</v>
      </c>
      <c r="W317" s="327">
        <f>IF(W316="",0,E316-COUNTIF(E317:E330,"O"))</f>
        <v>0</v>
      </c>
      <c r="X317" s="327">
        <f>IF(X316="",0,F316-COUNTIF(F317:F330,"O"))</f>
        <v>0</v>
      </c>
      <c r="Y317" s="327">
        <f>IF(Y316="",0,L316-COUNTIF(L317:L332,"O"))</f>
        <v>0</v>
      </c>
      <c r="Z317" s="327">
        <f>IF(Z316="",0,M316-COUNTIF(M317:M332,"O"))</f>
        <v>0</v>
      </c>
      <c r="AB317" s="52" t="str">
        <f>IF(NOT(W315),"",HLOOKUP(D316,nevek.li,2,FALSE))</f>
        <v/>
      </c>
      <c r="AC317" s="52" t="str">
        <f>IF(NOT(W315),"",HLOOKUP(G316,nevek.li,2,FALSE))</f>
        <v/>
      </c>
      <c r="AD317" s="52" t="str">
        <f>IF(NOT(Y315),"",HLOOKUP(K316,nevek.li,2,FALSE))</f>
        <v/>
      </c>
      <c r="AE317" s="52" t="str">
        <f>IF(NOT(Y315),"",HLOOKUP(N316,nevek.li,2,FALSE))</f>
        <v/>
      </c>
      <c r="AF317" s="325"/>
      <c r="AG317" s="485">
        <v>1</v>
      </c>
      <c r="AH317" s="488" t="b">
        <f ca="1">IF(OR(NOT(W315),NOT(X305)),FALSE,D317="")</f>
        <v>0</v>
      </c>
      <c r="AI317" s="488" t="b">
        <f ca="1">IF(OR(NOT(W315),NOT(X305)),FALSE,E317="")</f>
        <v>0</v>
      </c>
      <c r="AJ317" s="488" t="b">
        <f ca="1">IF(OR(NOT(W315),NOT(X305)),FALSE,F317="")</f>
        <v>0</v>
      </c>
      <c r="AK317" s="488" t="b">
        <f ca="1">IF(OR(NOT(W315),NOT(X305)),FALSE,G317="")</f>
        <v>0</v>
      </c>
      <c r="AL317" s="488" t="b">
        <f ca="1">IF(OR(NOT(Y315),NOT(Z305)),FALSE,K317="")</f>
        <v>0</v>
      </c>
      <c r="AM317" s="488" t="b">
        <f ca="1">IF(OR(NOT(Y315),NOT(Z305)),FALSE,L317="")</f>
        <v>0</v>
      </c>
      <c r="AN317" s="488" t="b">
        <f ca="1">IF(OR(NOT(Y315),NOT(Z305)),FALSE,M317="")</f>
        <v>0</v>
      </c>
      <c r="AO317" s="488" t="b">
        <f ca="1">IF(OR(NOT(Y315),NOT(Z305)),FALSE,N317="")</f>
        <v>0</v>
      </c>
      <c r="AS317" s="323"/>
      <c r="AT317" s="323"/>
      <c r="AY317" s="323"/>
      <c r="BA317" s="323"/>
      <c r="BC317" s="323"/>
      <c r="BE317" s="323"/>
      <c r="BG317" s="323"/>
      <c r="BI317" s="323"/>
      <c r="BK317" s="323"/>
      <c r="BM317" s="323"/>
      <c r="BO317" s="323"/>
      <c r="BQ317" s="323"/>
      <c r="BS317" s="323"/>
      <c r="BU317" s="323"/>
      <c r="BW317" s="323"/>
      <c r="BY317" s="323"/>
      <c r="CA317" s="323"/>
      <c r="CC317" s="323"/>
      <c r="CE317" s="323"/>
      <c r="CG317" s="323"/>
      <c r="CI317" s="323"/>
      <c r="CK317" s="323"/>
      <c r="CM317" s="323"/>
      <c r="CO317" s="323"/>
      <c r="CQ317" s="323"/>
      <c r="CS317" s="323"/>
      <c r="CU317" s="323"/>
      <c r="CW317" s="323"/>
      <c r="CY317" s="323"/>
      <c r="DA317" s="323"/>
      <c r="DC317" s="323"/>
      <c r="DE317" s="323"/>
      <c r="DG317" s="323"/>
      <c r="DI317" s="323"/>
      <c r="DJ317" s="485"/>
    </row>
    <row r="318" spans="1:114" ht="11.25" customHeight="1" x14ac:dyDescent="0.3">
      <c r="A318" s="765"/>
      <c r="C318" s="219"/>
      <c r="D318" s="220"/>
      <c r="E318" s="517"/>
      <c r="F318" s="516"/>
      <c r="G318" s="223"/>
      <c r="H318" s="219"/>
      <c r="J318" s="219"/>
      <c r="K318" s="220"/>
      <c r="L318" s="517"/>
      <c r="M318" s="516"/>
      <c r="N318" s="223"/>
      <c r="O318" s="219"/>
      <c r="AB318" s="327" t="str">
        <f>AB317</f>
        <v/>
      </c>
      <c r="AC318" s="327" t="str">
        <f>AC317</f>
        <v/>
      </c>
      <c r="AD318" s="327" t="str">
        <f>AD317</f>
        <v/>
      </c>
      <c r="AE318" s="327" t="str">
        <f>AE317</f>
        <v/>
      </c>
      <c r="AF318" s="325"/>
      <c r="AG318" s="485">
        <v>2</v>
      </c>
      <c r="AH318" s="488" t="b">
        <f ca="1">IF(OR(NOT(W315),NOT(X305)),FALSE,D318="")</f>
        <v>0</v>
      </c>
      <c r="AI318" s="488" t="b">
        <f ca="1">IF(OR(NOT(W315),NOT(X305)),FALSE,E318="")</f>
        <v>0</v>
      </c>
      <c r="AJ318" s="488" t="b">
        <f ca="1">IF(OR(NOT(W315),NOT(X305)),FALSE,F318="")</f>
        <v>0</v>
      </c>
      <c r="AK318" s="488" t="b">
        <f ca="1">IF(OR(NOT(W315),NOT(X305)),FALSE,G318="")</f>
        <v>0</v>
      </c>
      <c r="AL318" s="488" t="b">
        <f ca="1">IF(OR(NOT(Y315),NOT(Z305)),FALSE,K318="")</f>
        <v>0</v>
      </c>
      <c r="AM318" s="488" t="b">
        <f ca="1">IF(OR(NOT(Y315),NOT(Z305)),FALSE,L318="")</f>
        <v>0</v>
      </c>
      <c r="AN318" s="488" t="b">
        <f ca="1">IF(OR(NOT(Y315),NOT(Z305)),FALSE,M318="")</f>
        <v>0</v>
      </c>
      <c r="AO318" s="488" t="b">
        <f ca="1">IF(OR(NOT(Y315),NOT(Z305)),FALSE,N318="")</f>
        <v>0</v>
      </c>
      <c r="AS318" s="323"/>
      <c r="AT318" s="323"/>
      <c r="AW318" s="485"/>
      <c r="AY318" s="323"/>
      <c r="BA318" s="323"/>
      <c r="BC318" s="323"/>
      <c r="BE318" s="323"/>
      <c r="BG318" s="323"/>
      <c r="BI318" s="323"/>
      <c r="BK318" s="323"/>
      <c r="BM318" s="323"/>
      <c r="BO318" s="323"/>
      <c r="BQ318" s="323"/>
      <c r="BS318" s="323"/>
      <c r="BU318" s="323"/>
      <c r="BW318" s="323"/>
      <c r="BY318" s="323"/>
      <c r="CA318" s="323"/>
      <c r="CC318" s="323"/>
      <c r="CE318" s="323"/>
      <c r="CG318" s="323"/>
      <c r="CI318" s="323"/>
      <c r="CK318" s="323"/>
      <c r="CM318" s="323"/>
      <c r="CO318" s="323"/>
      <c r="CQ318" s="323"/>
      <c r="CS318" s="323"/>
      <c r="CU318" s="323"/>
      <c r="CW318" s="323"/>
      <c r="CY318" s="323"/>
      <c r="DA318" s="323"/>
      <c r="DC318" s="323"/>
      <c r="DE318" s="323"/>
      <c r="DG318" s="323"/>
      <c r="DI318" s="323"/>
      <c r="DJ318" s="485"/>
    </row>
    <row r="319" spans="1:114" ht="11.25" customHeight="1" x14ac:dyDescent="0.3">
      <c r="A319" s="765"/>
      <c r="C319" s="219"/>
      <c r="D319" s="220"/>
      <c r="E319" s="517"/>
      <c r="F319" s="516"/>
      <c r="G319" s="223"/>
      <c r="H319" s="219"/>
      <c r="J319" s="219"/>
      <c r="K319" s="220"/>
      <c r="L319" s="517"/>
      <c r="M319" s="516"/>
      <c r="N319" s="223"/>
      <c r="O319" s="219"/>
      <c r="AB319" s="327" t="str">
        <f t="shared" ref="AB319:AB330" si="92">AB318</f>
        <v/>
      </c>
      <c r="AC319" s="327" t="str">
        <f t="shared" ref="AC319:AC330" si="93">AC318</f>
        <v/>
      </c>
      <c r="AD319" s="327" t="str">
        <f t="shared" ref="AD319:AD330" si="94">AD318</f>
        <v/>
      </c>
      <c r="AE319" s="327" t="str">
        <f t="shared" ref="AE319:AE330" si="95">AE318</f>
        <v/>
      </c>
      <c r="AF319" s="325"/>
      <c r="AG319" s="485">
        <v>3</v>
      </c>
      <c r="AH319" s="488" t="b">
        <f ca="1">IF(OR(NOT(W315),NOT(X305)),FALSE,D319="")</f>
        <v>0</v>
      </c>
      <c r="AI319" s="488" t="b">
        <f ca="1">IF(OR(NOT(W315),NOT(X305)),FALSE,E319="")</f>
        <v>0</v>
      </c>
      <c r="AJ319" s="488" t="b">
        <f ca="1">IF(OR(NOT(W315),NOT(X305)),FALSE,F319="")</f>
        <v>0</v>
      </c>
      <c r="AK319" s="488" t="b">
        <f ca="1">IF(OR(NOT(W315),NOT(X305)),FALSE,G319="")</f>
        <v>0</v>
      </c>
      <c r="AL319" s="488" t="b">
        <f ca="1">IF(OR(NOT(Y315),NOT(Z305)),FALSE,K319="")</f>
        <v>0</v>
      </c>
      <c r="AM319" s="488" t="b">
        <f ca="1">IF(OR(NOT(Y315),NOT(Z305)),FALSE,L319="")</f>
        <v>0</v>
      </c>
      <c r="AN319" s="488" t="b">
        <f ca="1">IF(OR(NOT(Y315),NOT(Z305)),FALSE,M319="")</f>
        <v>0</v>
      </c>
      <c r="AO319" s="488" t="b">
        <f ca="1">IF(OR(NOT(Y315),NOT(Z305)),FALSE,N319="")</f>
        <v>0</v>
      </c>
      <c r="AS319" s="323"/>
      <c r="AT319" s="323"/>
      <c r="AW319" s="485"/>
      <c r="AY319" s="323"/>
      <c r="BA319" s="323"/>
      <c r="BC319" s="323"/>
      <c r="BE319" s="323"/>
      <c r="BG319" s="323"/>
      <c r="BI319" s="323"/>
      <c r="BK319" s="323"/>
      <c r="BM319" s="323"/>
      <c r="BO319" s="323"/>
      <c r="BQ319" s="323"/>
      <c r="BS319" s="323"/>
      <c r="BU319" s="323"/>
      <c r="BW319" s="323"/>
      <c r="BY319" s="323"/>
      <c r="CA319" s="323"/>
      <c r="CC319" s="323"/>
      <c r="CE319" s="323"/>
      <c r="CG319" s="323"/>
      <c r="CI319" s="323"/>
      <c r="CK319" s="323"/>
      <c r="CM319" s="323"/>
      <c r="CO319" s="323"/>
      <c r="CQ319" s="323"/>
      <c r="CS319" s="323"/>
      <c r="CU319" s="323"/>
      <c r="CW319" s="323"/>
      <c r="CY319" s="323"/>
      <c r="DA319" s="323"/>
      <c r="DC319" s="323"/>
      <c r="DE319" s="323"/>
      <c r="DG319" s="323"/>
      <c r="DI319" s="323"/>
      <c r="DJ319" s="485"/>
    </row>
    <row r="320" spans="1:114" ht="11.25" customHeight="1" x14ac:dyDescent="0.3">
      <c r="A320" s="765"/>
      <c r="C320" s="219"/>
      <c r="D320" s="220"/>
      <c r="E320" s="517"/>
      <c r="F320" s="516"/>
      <c r="G320" s="223"/>
      <c r="H320" s="219"/>
      <c r="J320" s="219"/>
      <c r="K320" s="220"/>
      <c r="L320" s="517"/>
      <c r="M320" s="516"/>
      <c r="N320" s="223"/>
      <c r="O320" s="219"/>
      <c r="AB320" s="327" t="str">
        <f t="shared" si="92"/>
        <v/>
      </c>
      <c r="AC320" s="327" t="str">
        <f t="shared" si="93"/>
        <v/>
      </c>
      <c r="AD320" s="327" t="str">
        <f t="shared" si="94"/>
        <v/>
      </c>
      <c r="AE320" s="327" t="str">
        <f t="shared" si="95"/>
        <v/>
      </c>
      <c r="AF320" s="325"/>
      <c r="AG320" s="485">
        <v>4</v>
      </c>
      <c r="AH320" s="488" t="b">
        <f ca="1">IF(OR(NOT(W315),NOT(X305)),FALSE,D320="")</f>
        <v>0</v>
      </c>
      <c r="AI320" s="488" t="b">
        <f ca="1">IF(OR(NOT(W315),NOT(X305)),FALSE,E320="")</f>
        <v>0</v>
      </c>
      <c r="AJ320" s="488" t="b">
        <f ca="1">IF(OR(NOT(W315),NOT(X305)),FALSE,F320="")</f>
        <v>0</v>
      </c>
      <c r="AK320" s="488" t="b">
        <f ca="1">IF(OR(NOT(W315),NOT(X305)),FALSE,G320="")</f>
        <v>0</v>
      </c>
      <c r="AL320" s="488" t="b">
        <f ca="1">IF(OR(NOT(Y315),NOT(Z305)),FALSE,K320="")</f>
        <v>0</v>
      </c>
      <c r="AM320" s="488" t="b">
        <f ca="1">IF(OR(NOT(Y315),NOT(Z305)),FALSE,L320="")</f>
        <v>0</v>
      </c>
      <c r="AN320" s="488" t="b">
        <f ca="1">IF(OR(NOT(Y315),NOT(Z305)),FALSE,M320="")</f>
        <v>0</v>
      </c>
      <c r="AO320" s="488" t="b">
        <f ca="1">IF(OR(NOT(Y315),NOT(Z305)),FALSE,N320="")</f>
        <v>0</v>
      </c>
      <c r="AS320" s="323"/>
      <c r="AT320" s="323"/>
      <c r="AW320" s="485"/>
      <c r="AY320" s="323"/>
      <c r="BA320" s="323"/>
      <c r="BC320" s="323"/>
      <c r="BE320" s="323"/>
      <c r="BG320" s="323"/>
      <c r="BI320" s="323"/>
      <c r="BK320" s="323"/>
      <c r="BM320" s="323"/>
      <c r="BO320" s="323"/>
      <c r="BQ320" s="323"/>
      <c r="BS320" s="323"/>
      <c r="BU320" s="323"/>
      <c r="BW320" s="323"/>
      <c r="BY320" s="323"/>
      <c r="CA320" s="323"/>
      <c r="CC320" s="323"/>
      <c r="CE320" s="323"/>
      <c r="CG320" s="323"/>
      <c r="CI320" s="323"/>
      <c r="CK320" s="323"/>
      <c r="CM320" s="323"/>
      <c r="CO320" s="323"/>
      <c r="CQ320" s="323"/>
      <c r="CS320" s="323"/>
      <c r="CU320" s="323"/>
      <c r="CW320" s="323"/>
      <c r="CY320" s="323"/>
      <c r="DA320" s="323"/>
      <c r="DC320" s="323"/>
      <c r="DE320" s="323"/>
      <c r="DG320" s="323"/>
      <c r="DI320" s="323"/>
      <c r="DJ320" s="485"/>
    </row>
    <row r="321" spans="1:115" ht="11.25" customHeight="1" x14ac:dyDescent="0.3">
      <c r="A321" s="765"/>
      <c r="C321" s="219"/>
      <c r="D321" s="220"/>
      <c r="E321" s="517"/>
      <c r="F321" s="516"/>
      <c r="G321" s="223"/>
      <c r="H321" s="219"/>
      <c r="J321" s="219"/>
      <c r="K321" s="220"/>
      <c r="L321" s="517"/>
      <c r="M321" s="516"/>
      <c r="N321" s="223"/>
      <c r="O321" s="219"/>
      <c r="AB321" s="327" t="str">
        <f t="shared" si="92"/>
        <v/>
      </c>
      <c r="AC321" s="327" t="str">
        <f t="shared" si="93"/>
        <v/>
      </c>
      <c r="AD321" s="327" t="str">
        <f t="shared" si="94"/>
        <v/>
      </c>
      <c r="AE321" s="327" t="str">
        <f t="shared" si="95"/>
        <v/>
      </c>
      <c r="AF321" s="325"/>
      <c r="AG321" s="495">
        <v>5</v>
      </c>
      <c r="AH321" s="488" t="b">
        <f ca="1">IF(OR(NOT(W315),NOT(X305)),FALSE,D321="")</f>
        <v>0</v>
      </c>
      <c r="AI321" s="488" t="b">
        <f ca="1">IF(OR(NOT(W315),NOT(X305)),FALSE,E321="")</f>
        <v>0</v>
      </c>
      <c r="AJ321" s="488" t="b">
        <f ca="1">IF(OR(NOT(W315),NOT(X305)),FALSE,F321="")</f>
        <v>0</v>
      </c>
      <c r="AK321" s="488" t="b">
        <f ca="1">IF(OR(NOT(W315),NOT(X305)),FALSE,G321="")</f>
        <v>0</v>
      </c>
      <c r="AL321" s="488" t="b">
        <f ca="1">IF(OR(NOT(Y315),NOT(Z305)),FALSE,K321="")</f>
        <v>0</v>
      </c>
      <c r="AM321" s="488" t="b">
        <f ca="1">IF(OR(NOT(Y315),NOT(Z305)),FALSE,L321="")</f>
        <v>0</v>
      </c>
      <c r="AN321" s="488" t="b">
        <f ca="1">IF(OR(NOT(Y315),NOT(Z305)),FALSE,M321="")</f>
        <v>0</v>
      </c>
      <c r="AO321" s="488" t="b">
        <f ca="1">IF(OR(NOT(Y315),NOT(Z305)),FALSE,N321="")</f>
        <v>0</v>
      </c>
      <c r="AP321" s="495"/>
      <c r="AS321" s="323"/>
      <c r="AT321" s="323"/>
      <c r="AW321" s="485"/>
      <c r="AY321" s="323"/>
      <c r="BA321" s="323"/>
      <c r="BC321" s="323"/>
      <c r="BE321" s="323"/>
      <c r="BG321" s="323"/>
      <c r="BI321" s="323"/>
      <c r="BK321" s="323"/>
      <c r="BM321" s="323"/>
      <c r="BO321" s="323"/>
      <c r="BQ321" s="323"/>
      <c r="BS321" s="323"/>
      <c r="BU321" s="323"/>
      <c r="BW321" s="323"/>
      <c r="BY321" s="323"/>
      <c r="CA321" s="323"/>
      <c r="CC321" s="323"/>
      <c r="CE321" s="323"/>
      <c r="CG321" s="323"/>
      <c r="CI321" s="323"/>
      <c r="CK321" s="323"/>
      <c r="CM321" s="323"/>
      <c r="CO321" s="323"/>
      <c r="CQ321" s="323"/>
      <c r="CS321" s="323"/>
      <c r="CU321" s="323"/>
      <c r="CW321" s="323"/>
      <c r="CY321" s="323"/>
      <c r="DA321" s="323"/>
      <c r="DC321" s="323"/>
      <c r="DE321" s="323"/>
      <c r="DG321" s="323"/>
      <c r="DI321" s="323"/>
      <c r="DJ321" s="485"/>
    </row>
    <row r="322" spans="1:115" ht="11.25" customHeight="1" x14ac:dyDescent="0.3">
      <c r="A322" s="765"/>
      <c r="C322" s="219"/>
      <c r="D322" s="220"/>
      <c r="E322" s="517"/>
      <c r="F322" s="516"/>
      <c r="G322" s="223"/>
      <c r="H322" s="219"/>
      <c r="J322" s="219"/>
      <c r="K322" s="220"/>
      <c r="L322" s="517"/>
      <c r="M322" s="516"/>
      <c r="N322" s="223"/>
      <c r="O322" s="219"/>
      <c r="AB322" s="327" t="str">
        <f t="shared" si="92"/>
        <v/>
      </c>
      <c r="AC322" s="327" t="str">
        <f t="shared" si="93"/>
        <v/>
      </c>
      <c r="AD322" s="327" t="str">
        <f t="shared" si="94"/>
        <v/>
      </c>
      <c r="AE322" s="327" t="str">
        <f t="shared" si="95"/>
        <v/>
      </c>
      <c r="AF322" s="325"/>
      <c r="AG322" s="485">
        <v>6</v>
      </c>
      <c r="AH322" s="496" t="b">
        <f ca="1">IF(OR(NOT(W315),NOT(X305)),FALSE,AND(D322="",OR(AG322&lt;=W316+COUNTIF(E317:E322,$W$218),AG322&lt;=X316+COUNTIF(F317:F322,$W$218))))</f>
        <v>0</v>
      </c>
      <c r="AI322" s="496" t="b">
        <f ca="1">IF(OR(NOT(W315),NOT(X305)),FALSE,AND(E322="",OR(AG322&lt;=W316+COUNTIF(E317:E322,$W$218),AG322&lt;=X316+COUNTIF(F317:F322,$W$218))))</f>
        <v>0</v>
      </c>
      <c r="AJ322" s="496" t="b">
        <f ca="1">IF(OR(NOT(W315),NOT(X305)),FALSE,AND(F322="",OR(AG322&lt;=W316+COUNTIF(E317:E322,$W$218),AG322&lt;=X316+COUNTIF(F317:F322,$W$218))))</f>
        <v>0</v>
      </c>
      <c r="AK322" s="496" t="b">
        <f ca="1">IF(OR(NOT(W315),NOT(X305)),FALSE,AND(G322="",OR(AG322&lt;=W316+COUNTIF(E317:E322,$W$218),AG322&lt;=X316+COUNTIF(F317:F322,$W$218))))</f>
        <v>0</v>
      </c>
      <c r="AL322" s="496" t="b">
        <f ca="1">IF(OR(NOT(Y315),NOT(Z305)),FALSE,AND(K322="",OR(AG322&lt;=Y316+COUNTIF(L317:L322,$W$218),AG322&lt;=Z316+COUNTIF(M317:M322,$W$218))))</f>
        <v>0</v>
      </c>
      <c r="AM322" s="496" t="b">
        <f ca="1">IF(OR(NOT(Y315),NOT(Z305)),FALSE,AND(L322="",OR(AG322&lt;=Y316+COUNTIF(L317:L322,$W$218),AG322&lt;=Z316+COUNTIF(M317:M322,$W$218))))</f>
        <v>0</v>
      </c>
      <c r="AN322" s="496" t="b">
        <f ca="1">IF(OR(NOT(Y315),NOT(Z305)),FALSE,AND(M322="",OR(AG322&lt;=Y316+COUNTIF(L317:L322,$W$218),AG322&lt;=Z316+COUNTIF(M317:M322,$W$218))))</f>
        <v>0</v>
      </c>
      <c r="AO322" s="496" t="b">
        <f ca="1">IF(OR(NOT(Y315),NOT(Z305)),FALSE,AND(N322="",OR(AG322&lt;=Y316+COUNTIF(L317:L322,$W$218),AG322&lt;=Z316+COUNTIF(M317:M322,$W$218))))</f>
        <v>0</v>
      </c>
      <c r="AS322" s="323"/>
      <c r="AT322" s="323"/>
      <c r="AW322" s="485"/>
      <c r="AY322" s="323"/>
      <c r="BA322" s="323"/>
      <c r="BC322" s="323"/>
      <c r="BE322" s="323"/>
      <c r="BG322" s="323"/>
      <c r="BI322" s="323"/>
      <c r="BK322" s="323"/>
      <c r="BM322" s="323"/>
      <c r="BO322" s="323"/>
      <c r="BQ322" s="323"/>
      <c r="BS322" s="323"/>
      <c r="BU322" s="323"/>
      <c r="BW322" s="323"/>
      <c r="BY322" s="323"/>
      <c r="CA322" s="323"/>
      <c r="CC322" s="323"/>
      <c r="CE322" s="323"/>
      <c r="CG322" s="323"/>
      <c r="CI322" s="323"/>
      <c r="CK322" s="323"/>
      <c r="CM322" s="323"/>
      <c r="CO322" s="323"/>
      <c r="CQ322" s="323"/>
      <c r="CS322" s="323"/>
      <c r="CU322" s="323"/>
      <c r="CW322" s="323"/>
      <c r="CY322" s="323"/>
      <c r="DA322" s="323"/>
      <c r="DC322" s="323"/>
      <c r="DE322" s="323"/>
      <c r="DG322" s="323"/>
      <c r="DI322" s="323"/>
      <c r="DJ322" s="485"/>
    </row>
    <row r="323" spans="1:115" ht="11.25" customHeight="1" x14ac:dyDescent="0.3">
      <c r="A323" s="765"/>
      <c r="C323" s="219"/>
      <c r="D323" s="220"/>
      <c r="E323" s="517"/>
      <c r="F323" s="516"/>
      <c r="G323" s="223"/>
      <c r="H323" s="219"/>
      <c r="J323" s="219"/>
      <c r="K323" s="220"/>
      <c r="L323" s="517"/>
      <c r="M323" s="516"/>
      <c r="N323" s="223"/>
      <c r="O323" s="219"/>
      <c r="AB323" s="327" t="str">
        <f t="shared" si="92"/>
        <v/>
      </c>
      <c r="AC323" s="327" t="str">
        <f t="shared" si="93"/>
        <v/>
      </c>
      <c r="AD323" s="327" t="str">
        <f t="shared" si="94"/>
        <v/>
      </c>
      <c r="AE323" s="327" t="str">
        <f t="shared" si="95"/>
        <v/>
      </c>
      <c r="AF323" s="325"/>
      <c r="AG323" s="485">
        <v>7</v>
      </c>
      <c r="AH323" s="496" t="b">
        <f ca="1">IF(OR(NOT(W315),NOT(X305)),FALSE,AND(D323="",OR(AG323&lt;=W316+COUNTIF(E317:E323,$W$218),AG323&lt;=X316+COUNTIF(F317:F323,$W$218))))</f>
        <v>0</v>
      </c>
      <c r="AI323" s="496" t="b">
        <f ca="1">IF(OR(NOT(W315),NOT(X305)),FALSE,AND(E323="",OR(AG323&lt;=W316+COUNTIF(E317:E323,$W$218),AG323&lt;=X316+COUNTIF(F317:F323,$W$218))))</f>
        <v>0</v>
      </c>
      <c r="AJ323" s="496" t="b">
        <f ca="1">IF(OR(NOT(W315),NOT(X305)),FALSE,AND(F323="",OR(AG323&lt;=W316+COUNTIF(E317:E323,$W$218),AG323&lt;=X316+COUNTIF(F317:F323,$W$218))))</f>
        <v>0</v>
      </c>
      <c r="AK323" s="496" t="b">
        <f ca="1">IF(OR(NOT(W315),NOT(X305)),FALSE,AND(G323="",OR(AG323&lt;=W316+COUNTIF(E317:E323,$W$218),AG323&lt;=X316+COUNTIF(F317:F323,$W$218))))</f>
        <v>0</v>
      </c>
      <c r="AL323" s="496" t="b">
        <f ca="1">IF(OR(NOT(Y315),NOT(Z305)),FALSE,AND(K323="",OR(AG323&lt;=Y316+COUNTIF(L317:L323,$W$218),AG323&lt;=Z316+COUNTIF(M317:M323,$W$218))))</f>
        <v>0</v>
      </c>
      <c r="AM323" s="496" t="b">
        <f ca="1">IF(OR(NOT(Y315),NOT(Z305)),FALSE,AND(L323="",OR(AG323&lt;=Y316+COUNTIF(L317:L323,$W$218),AG323&lt;=Z316+COUNTIF(M317:M323,$W$218))))</f>
        <v>0</v>
      </c>
      <c r="AN323" s="496" t="b">
        <f ca="1">IF(OR(NOT(Y315),NOT(Z305)),FALSE,AND(M323="",OR(AG323&lt;=Y316+COUNTIF(L317:L323,$W$218),AG323&lt;=Z316+COUNTIF(M317:M323,$W$218))))</f>
        <v>0</v>
      </c>
      <c r="AO323" s="496" t="b">
        <f ca="1">IF(OR(NOT(Y315),NOT(Z305)),FALSE,AND(N323="",OR(AG323&lt;=Y316+COUNTIF(L317:L323,$W$218),AG323&lt;=Z316+COUNTIF(M317:M323,$W$218))))</f>
        <v>0</v>
      </c>
      <c r="AS323" s="323"/>
      <c r="AT323" s="323"/>
      <c r="AW323" s="485"/>
      <c r="AY323" s="323"/>
      <c r="BA323" s="323"/>
      <c r="BC323" s="323"/>
      <c r="BE323" s="323"/>
      <c r="BG323" s="323"/>
      <c r="BI323" s="323"/>
      <c r="BK323" s="323"/>
      <c r="BM323" s="323"/>
      <c r="BO323" s="323"/>
      <c r="BQ323" s="323"/>
      <c r="BS323" s="323"/>
      <c r="BU323" s="323"/>
      <c r="BW323" s="323"/>
      <c r="BY323" s="323"/>
      <c r="CA323" s="323"/>
      <c r="CC323" s="323"/>
      <c r="CE323" s="323"/>
      <c r="CG323" s="323"/>
      <c r="CI323" s="323"/>
      <c r="CK323" s="323"/>
      <c r="CM323" s="323"/>
      <c r="CO323" s="323"/>
      <c r="CQ323" s="323"/>
      <c r="CS323" s="323"/>
      <c r="CU323" s="323"/>
      <c r="CW323" s="323"/>
      <c r="CY323" s="323"/>
      <c r="DA323" s="323"/>
      <c r="DC323" s="323"/>
      <c r="DE323" s="323"/>
      <c r="DG323" s="323"/>
      <c r="DI323" s="323"/>
      <c r="DJ323" s="485"/>
    </row>
    <row r="324" spans="1:115" ht="11.25" customHeight="1" x14ac:dyDescent="0.3">
      <c r="A324" s="765"/>
      <c r="C324" s="219"/>
      <c r="D324" s="220"/>
      <c r="E324" s="517"/>
      <c r="F324" s="516"/>
      <c r="G324" s="223"/>
      <c r="H324" s="219"/>
      <c r="J324" s="219"/>
      <c r="K324" s="220"/>
      <c r="L324" s="517"/>
      <c r="M324" s="516"/>
      <c r="N324" s="223"/>
      <c r="O324" s="219"/>
      <c r="AB324" s="327" t="str">
        <f t="shared" si="92"/>
        <v/>
      </c>
      <c r="AC324" s="327" t="str">
        <f t="shared" si="93"/>
        <v/>
      </c>
      <c r="AD324" s="327" t="str">
        <f t="shared" si="94"/>
        <v/>
      </c>
      <c r="AE324" s="327" t="str">
        <f t="shared" si="95"/>
        <v/>
      </c>
      <c r="AF324" s="325"/>
      <c r="AG324" s="485">
        <v>8</v>
      </c>
      <c r="AH324" s="496" t="b">
        <f ca="1">IF(OR(NOT(W315),NOT(X305)),FALSE,AND(D324="",OR(AG324&lt;=W316+COUNTIF(E317:E324,$W$218),AG324&lt;=X316+COUNTIF(F317:F324,$W$218))))</f>
        <v>0</v>
      </c>
      <c r="AI324" s="496" t="b">
        <f ca="1">IF(OR(NOT(W315),NOT(X305)),FALSE,AND(E324="",OR(AG324&lt;=W316+COUNTIF(E317:E324,$W$218),AG324&lt;=X316+COUNTIF(F317:F324,$W$218))))</f>
        <v>0</v>
      </c>
      <c r="AJ324" s="496" t="b">
        <f ca="1">IF(OR(NOT(W315),NOT(X305)),FALSE,AND(F324="",OR(AG324&lt;=W316+COUNTIF(E317:E324,$W$218),AG324&lt;=X316+COUNTIF(F317:F324,$W$218))))</f>
        <v>0</v>
      </c>
      <c r="AK324" s="496" t="b">
        <f ca="1">IF(OR(NOT(W315),NOT(X305)),FALSE,AND(G324="",OR(AG324&lt;=W316+COUNTIF(E317:E324,$W$218),AG324&lt;=X316+COUNTIF(F317:F324,$W$218))))</f>
        <v>0</v>
      </c>
      <c r="AL324" s="496" t="b">
        <f ca="1">IF(OR(NOT(Y315),NOT(Z305)),FALSE,AND(K324="",OR(AG324&lt;=Y316+COUNTIF(L317:L324,$W$218),AG324&lt;=Z316+COUNTIF(M317:M324,$W$218))))</f>
        <v>0</v>
      </c>
      <c r="AM324" s="496" t="b">
        <f ca="1">IF(OR(NOT(Y315),NOT(Z305)),FALSE,AND(L324="",OR(AG324&lt;=Y316+COUNTIF(L317:L324,$W$218),AG324&lt;=Z316+COUNTIF(M317:M324,$W$218))))</f>
        <v>0</v>
      </c>
      <c r="AN324" s="496" t="b">
        <f ca="1">IF(OR(NOT(Y315),NOT(Z305)),FALSE,AND(M324="",OR(AG324&lt;=Y316+COUNTIF(L317:L324,$W$218),AG324&lt;=Z316+COUNTIF(M317:M324,$W$218))))</f>
        <v>0</v>
      </c>
      <c r="AO324" s="496" t="b">
        <f ca="1">IF(OR(NOT(Y315),NOT(Z305)),FALSE,AND(N324="",OR(AG324&lt;=Y316+COUNTIF(L317:L324,$W$218),AG324&lt;=Z316+COUNTIF(M317:M324,$W$218))))</f>
        <v>0</v>
      </c>
      <c r="AS324" s="323"/>
      <c r="AT324" s="323"/>
      <c r="AW324" s="485"/>
      <c r="AY324" s="323"/>
      <c r="BA324" s="323"/>
      <c r="BC324" s="323"/>
      <c r="BE324" s="323"/>
      <c r="BG324" s="323"/>
      <c r="BI324" s="323"/>
      <c r="BK324" s="323"/>
      <c r="BM324" s="323"/>
      <c r="BO324" s="323"/>
      <c r="BQ324" s="323"/>
      <c r="BS324" s="323"/>
      <c r="BU324" s="323"/>
      <c r="BW324" s="323"/>
      <c r="BY324" s="323"/>
      <c r="CA324" s="323"/>
      <c r="CC324" s="323"/>
      <c r="CE324" s="323"/>
      <c r="CG324" s="323"/>
      <c r="CI324" s="323"/>
      <c r="CK324" s="323"/>
      <c r="CM324" s="323"/>
      <c r="CO324" s="323"/>
      <c r="CQ324" s="323"/>
      <c r="CS324" s="323"/>
      <c r="CU324" s="323"/>
      <c r="CW324" s="323"/>
      <c r="CY324" s="323"/>
      <c r="DA324" s="323"/>
      <c r="DC324" s="323"/>
      <c r="DE324" s="323"/>
      <c r="DG324" s="323"/>
      <c r="DI324" s="323"/>
      <c r="DJ324" s="485"/>
    </row>
    <row r="325" spans="1:115" ht="11.25" customHeight="1" x14ac:dyDescent="0.3">
      <c r="A325" s="765"/>
      <c r="C325" s="219"/>
      <c r="D325" s="220"/>
      <c r="E325" s="517"/>
      <c r="F325" s="516"/>
      <c r="G325" s="223"/>
      <c r="H325" s="219"/>
      <c r="J325" s="219"/>
      <c r="K325" s="220"/>
      <c r="L325" s="517"/>
      <c r="M325" s="516"/>
      <c r="N325" s="223"/>
      <c r="O325" s="219"/>
      <c r="AB325" s="327" t="str">
        <f t="shared" si="92"/>
        <v/>
      </c>
      <c r="AC325" s="327" t="str">
        <f t="shared" si="93"/>
        <v/>
      </c>
      <c r="AD325" s="327" t="str">
        <f t="shared" si="94"/>
        <v/>
      </c>
      <c r="AE325" s="327" t="str">
        <f t="shared" si="95"/>
        <v/>
      </c>
      <c r="AF325" s="325"/>
      <c r="AG325" s="485">
        <v>9</v>
      </c>
      <c r="AH325" s="496" t="b">
        <f ca="1">IF(OR(NOT(W315),NOT(X305)),FALSE,AND(D325="",OR(AG325&lt;=W316+COUNTIF(E317:E325,$W$218),AG325&lt;=X316+COUNTIF(F317:F325,$W$218))))</f>
        <v>0</v>
      </c>
      <c r="AI325" s="496" t="b">
        <f ca="1">IF(OR(NOT(W315),NOT(X305)),FALSE,AND(E325="",OR(AG325&lt;=W316+COUNTIF(E317:E325,$W$218),AG325&lt;=X316+COUNTIF(F317:F325,$W$218))))</f>
        <v>0</v>
      </c>
      <c r="AJ325" s="496" t="b">
        <f ca="1">IF(OR(NOT(W315),NOT(X305)),FALSE,AND(F325="",OR(AG325&lt;=W316+COUNTIF(E317:E325,$W$218),AG325&lt;=X316+COUNTIF(F317:F325,$W$218))))</f>
        <v>0</v>
      </c>
      <c r="AK325" s="496" t="b">
        <f ca="1">IF(OR(NOT(W315),NOT(X305)),FALSE,AND(G325="",OR(AG325&lt;=W316+COUNTIF(E317:E325,$W$218),AG325&lt;=X316+COUNTIF(F317:F325,$W$218))))</f>
        <v>0</v>
      </c>
      <c r="AL325" s="496" t="b">
        <f ca="1">IF(OR(NOT(Y315),NOT(Z305)),FALSE,AND(K325="",OR(AG325&lt;=Y316+COUNTIF(L317:L325,$W$218),AG325&lt;=Z316+COUNTIF(M317:M325,$W$218))))</f>
        <v>0</v>
      </c>
      <c r="AM325" s="496" t="b">
        <f ca="1">IF(OR(NOT(Y315),NOT(Z305)),FALSE,AND(L325="",OR(AG325&lt;=Y316+COUNTIF(L317:L325,$W$218),AG325&lt;=Z316+COUNTIF(M317:M325,$W$218))))</f>
        <v>0</v>
      </c>
      <c r="AN325" s="496" t="b">
        <f ca="1">IF(OR(NOT(Y315),NOT(Z305)),FALSE,AND(M325="",OR(AG325&lt;=Y316+COUNTIF(L317:L325,$W$218),AG325&lt;=Z316+COUNTIF(M317:M325,$W$218))))</f>
        <v>0</v>
      </c>
      <c r="AO325" s="496" t="b">
        <f ca="1">IF(OR(NOT(Y315),NOT(Z305)),FALSE,AND(N325="",OR(AG325&lt;=Y316+COUNTIF(L317:L325,$W$218),AG325&lt;=Z316+COUNTIF(M317:M325,$W$218))))</f>
        <v>0</v>
      </c>
      <c r="AS325" s="323"/>
      <c r="AT325" s="323"/>
      <c r="AW325" s="485"/>
      <c r="AY325" s="323"/>
      <c r="BA325" s="323"/>
      <c r="BC325" s="323"/>
      <c r="BE325" s="323"/>
      <c r="BG325" s="323"/>
      <c r="BI325" s="323"/>
      <c r="BK325" s="323"/>
      <c r="BM325" s="323"/>
      <c r="BO325" s="323"/>
      <c r="BQ325" s="323"/>
      <c r="BS325" s="323"/>
      <c r="BU325" s="323"/>
      <c r="BW325" s="323"/>
      <c r="BY325" s="323"/>
      <c r="CA325" s="323"/>
      <c r="CC325" s="323"/>
      <c r="CE325" s="323"/>
      <c r="CG325" s="323"/>
      <c r="CI325" s="323"/>
      <c r="CK325" s="323"/>
      <c r="CM325" s="323"/>
      <c r="CO325" s="323"/>
      <c r="CQ325" s="323"/>
      <c r="CS325" s="323"/>
      <c r="CU325" s="323"/>
      <c r="CW325" s="323"/>
      <c r="CY325" s="323"/>
      <c r="DA325" s="323"/>
      <c r="DC325" s="323"/>
      <c r="DE325" s="323"/>
      <c r="DG325" s="323"/>
      <c r="DI325" s="323"/>
      <c r="DJ325" s="485"/>
    </row>
    <row r="326" spans="1:115" ht="11.25" customHeight="1" x14ac:dyDescent="0.3">
      <c r="A326" s="765"/>
      <c r="C326" s="219"/>
      <c r="D326" s="220"/>
      <c r="E326" s="517"/>
      <c r="F326" s="516"/>
      <c r="G326" s="223"/>
      <c r="H326" s="219"/>
      <c r="J326" s="219"/>
      <c r="K326" s="220"/>
      <c r="L326" s="517"/>
      <c r="M326" s="516"/>
      <c r="N326" s="223"/>
      <c r="O326" s="219"/>
      <c r="AB326" s="327" t="str">
        <f t="shared" si="92"/>
        <v/>
      </c>
      <c r="AC326" s="327" t="str">
        <f t="shared" si="93"/>
        <v/>
      </c>
      <c r="AD326" s="327" t="str">
        <f t="shared" si="94"/>
        <v/>
      </c>
      <c r="AE326" s="327" t="str">
        <f t="shared" si="95"/>
        <v/>
      </c>
      <c r="AF326" s="325"/>
      <c r="AG326" s="485">
        <v>10</v>
      </c>
      <c r="AH326" s="496" t="b">
        <f ca="1">IF(OR(NOT(W315),NOT(X305)),FALSE,AND(D326="",OR(AG326&lt;=W316+COUNTIF(E317:E326,$W$218),AG326&lt;=X316+COUNTIF(F317:F326,$W$218))))</f>
        <v>0</v>
      </c>
      <c r="AI326" s="496" t="b">
        <f ca="1">IF(OR(NOT(W315),NOT(X305)),FALSE,AND(E326="",OR(AG326&lt;=W316+COUNTIF(E317:E326,$W$218),AG326&lt;=X316+COUNTIF(F317:F326,$W$218))))</f>
        <v>0</v>
      </c>
      <c r="AJ326" s="496" t="b">
        <f ca="1">IF(OR(NOT(W315),NOT(X305)),FALSE,AND(F326="",OR(AG326&lt;=W316+COUNTIF(E317:E326,$W$218),AG326&lt;=X316+COUNTIF(F317:F326,$W$218))))</f>
        <v>0</v>
      </c>
      <c r="AK326" s="496" t="b">
        <f ca="1">IF(OR(NOT(W315),NOT(X305)),FALSE,AND(G326="",OR(AG326&lt;=W316+COUNTIF(E317:E326,$W$218),AG326&lt;=X316+COUNTIF(F317:F326,$W$218))))</f>
        <v>0</v>
      </c>
      <c r="AL326" s="496" t="b">
        <f ca="1">IF(OR(NOT(Y315),NOT(Z305)),FALSE,AND(K326="",OR(AG326&lt;=Y316+COUNTIF(L317:L326,$W$218),AG326&lt;=Z316+COUNTIF(M317:M326,$W$218))))</f>
        <v>0</v>
      </c>
      <c r="AM326" s="496" t="b">
        <f ca="1">IF(OR(NOT(Y315),NOT(Z305)),FALSE,AND(L326="",OR(AG326&lt;=Y316+COUNTIF(L317:L326,$W$218),AG326&lt;=Z316+COUNTIF(M317:M326,$W$218))))</f>
        <v>0</v>
      </c>
      <c r="AN326" s="496" t="b">
        <f ca="1">IF(OR(NOT(Y315),NOT(Z305)),FALSE,AND(M326="",OR(AG326&lt;=Y316+COUNTIF(L317:L326,$W$218),AG326&lt;=Z316+COUNTIF(M317:M326,$W$218))))</f>
        <v>0</v>
      </c>
      <c r="AO326" s="496" t="b">
        <f ca="1">IF(OR(NOT(Y315),NOT(Z305)),FALSE,AND(N326="",OR(AG326&lt;=Y316+COUNTIF(L317:L326,$W$218),AG326&lt;=Z316+COUNTIF(M317:M326,$W$218))))</f>
        <v>0</v>
      </c>
      <c r="AW326" s="485"/>
      <c r="AY326" s="323"/>
      <c r="BA326" s="323"/>
      <c r="BC326" s="323"/>
      <c r="BE326" s="323"/>
      <c r="BG326" s="323"/>
      <c r="BI326" s="323"/>
      <c r="BK326" s="323"/>
      <c r="BM326" s="323"/>
      <c r="BO326" s="323"/>
      <c r="BQ326" s="323"/>
      <c r="BS326" s="323"/>
      <c r="BU326" s="323"/>
      <c r="BW326" s="323"/>
      <c r="BY326" s="323"/>
      <c r="CA326" s="323"/>
      <c r="CC326" s="323"/>
      <c r="CE326" s="323"/>
      <c r="CG326" s="323"/>
      <c r="CI326" s="323"/>
      <c r="CK326" s="323"/>
      <c r="CM326" s="323"/>
      <c r="CO326" s="323"/>
      <c r="CQ326" s="323"/>
      <c r="CS326" s="323"/>
      <c r="CU326" s="323"/>
      <c r="CW326" s="323"/>
      <c r="CY326" s="323"/>
      <c r="DA326" s="323"/>
      <c r="DC326" s="323"/>
      <c r="DE326" s="323"/>
      <c r="DG326" s="323"/>
      <c r="DI326" s="323"/>
      <c r="DJ326" s="485"/>
    </row>
    <row r="327" spans="1:115" ht="11.25" customHeight="1" x14ac:dyDescent="0.3">
      <c r="A327" s="765"/>
      <c r="C327" s="219"/>
      <c r="D327" s="220"/>
      <c r="E327" s="517"/>
      <c r="F327" s="516"/>
      <c r="G327" s="223"/>
      <c r="H327" s="219"/>
      <c r="J327" s="219"/>
      <c r="K327" s="220"/>
      <c r="L327" s="517"/>
      <c r="M327" s="516"/>
      <c r="N327" s="223"/>
      <c r="O327" s="219"/>
      <c r="AB327" s="327" t="str">
        <f t="shared" si="92"/>
        <v/>
      </c>
      <c r="AC327" s="327" t="str">
        <f t="shared" si="93"/>
        <v/>
      </c>
      <c r="AD327" s="327" t="str">
        <f t="shared" si="94"/>
        <v/>
      </c>
      <c r="AE327" s="327" t="str">
        <f t="shared" si="95"/>
        <v/>
      </c>
      <c r="AF327" s="325"/>
      <c r="AG327" s="485">
        <v>11</v>
      </c>
      <c r="AH327" s="496" t="b">
        <f ca="1">IF(OR(NOT(W315),NOT(X305)),FALSE,AND(D327="",OR(AG327&lt;=W316+COUNTIF(E317:E327,$W$218),AG327&lt;=X316+COUNTIF(F317:F327,$W$218))))</f>
        <v>0</v>
      </c>
      <c r="AI327" s="496" t="b">
        <f ca="1">IF(OR(NOT(W315),NOT(X305)),FALSE,AND(E327="",OR(AG327&lt;=W316+COUNTIF(E317:E327,$W$218),AG327&lt;=X316+COUNTIF(F317:F327,$W$218))))</f>
        <v>0</v>
      </c>
      <c r="AJ327" s="496" t="b">
        <f ca="1">IF(OR(NOT(W315),NOT(X305)),FALSE,AND(F327="",OR(AG327&lt;=W316+COUNTIF(E317:E327,$W$218),AG327&lt;=X316+COUNTIF(F317:F327,$W$218))))</f>
        <v>0</v>
      </c>
      <c r="AK327" s="496" t="b">
        <f ca="1">IF(OR(NOT(W315),NOT(X305)),FALSE,AND(G327="",OR(AG327&lt;=W316+COUNTIF(E317:E327,$W$218),AG327&lt;=X316+COUNTIF(F317:F327,$W$218))))</f>
        <v>0</v>
      </c>
      <c r="AL327" s="496" t="b">
        <f ca="1">IF(OR(NOT(Y315),NOT(Z305)),FALSE,AND(K327="",OR(AG327&lt;=Y316+COUNTIF(L317:L327,$W$218),AG327&lt;=Z316+COUNTIF(M317:M327,$W$218))))</f>
        <v>0</v>
      </c>
      <c r="AM327" s="496" t="b">
        <f ca="1">IF(OR(NOT(Y315),NOT(Z305)),FALSE,AND(L327="",OR(AG327&lt;=Y316+COUNTIF(L317:L327,$W$218),AG327&lt;=Z316+COUNTIF(M317:M327,$W$218))))</f>
        <v>0</v>
      </c>
      <c r="AN327" s="496" t="b">
        <f ca="1">IF(OR(NOT(Y315),NOT(Z305)),FALSE,AND(M327="",OR(AG327&lt;=Y316+COUNTIF(L317:L327,$W$218),AG327&lt;=Z316+COUNTIF(M317:M327,$W$218))))</f>
        <v>0</v>
      </c>
      <c r="AO327" s="496" t="b">
        <f ca="1">IF(OR(NOT(Y315),NOT(Z305)),FALSE,AND(N327="",OR(AG327&lt;=Y316+COUNTIF(L317:L327,$W$218),AG327&lt;=Z316+COUNTIF(M317:M327,$W$218))))</f>
        <v>0</v>
      </c>
      <c r="AW327" s="485"/>
      <c r="AY327" s="323"/>
      <c r="BA327" s="323"/>
      <c r="BC327" s="323"/>
      <c r="BE327" s="323"/>
      <c r="BG327" s="323"/>
      <c r="BI327" s="323"/>
      <c r="BK327" s="323"/>
      <c r="BM327" s="323"/>
      <c r="BO327" s="323"/>
      <c r="BQ327" s="323"/>
      <c r="BS327" s="323"/>
      <c r="BU327" s="323"/>
      <c r="BW327" s="323"/>
      <c r="BY327" s="323"/>
      <c r="CA327" s="323"/>
      <c r="CC327" s="323"/>
      <c r="CE327" s="323"/>
      <c r="CG327" s="323"/>
      <c r="CI327" s="323"/>
      <c r="CK327" s="323"/>
      <c r="CM327" s="323"/>
      <c r="CO327" s="323"/>
      <c r="CQ327" s="323"/>
      <c r="CS327" s="323"/>
      <c r="CU327" s="323"/>
      <c r="CW327" s="323"/>
      <c r="CY327" s="323"/>
      <c r="DA327" s="323"/>
      <c r="DC327" s="323"/>
      <c r="DE327" s="323"/>
      <c r="DG327" s="323"/>
      <c r="DI327" s="323"/>
      <c r="DJ327" s="485"/>
    </row>
    <row r="328" spans="1:115" ht="11.25" customHeight="1" x14ac:dyDescent="0.3">
      <c r="A328" s="765"/>
      <c r="C328" s="219"/>
      <c r="D328" s="220"/>
      <c r="E328" s="517"/>
      <c r="F328" s="516"/>
      <c r="G328" s="223"/>
      <c r="H328" s="219"/>
      <c r="J328" s="219"/>
      <c r="K328" s="220"/>
      <c r="L328" s="517"/>
      <c r="M328" s="516"/>
      <c r="N328" s="223"/>
      <c r="O328" s="219"/>
      <c r="AB328" s="327" t="str">
        <f t="shared" si="92"/>
        <v/>
      </c>
      <c r="AC328" s="327" t="str">
        <f t="shared" si="93"/>
        <v/>
      </c>
      <c r="AD328" s="327" t="str">
        <f t="shared" si="94"/>
        <v/>
      </c>
      <c r="AE328" s="327" t="str">
        <f t="shared" si="95"/>
        <v/>
      </c>
      <c r="AF328" s="325"/>
      <c r="AG328" s="485">
        <v>12</v>
      </c>
      <c r="AH328" s="496" t="b">
        <f ca="1">IF(OR(NOT(W315),NOT(X305)),FALSE,AND(D328="",OR(AG328&lt;=W316+COUNTIF(E317:E328,$W$218),AG328&lt;=X316+COUNTIF(F317:F328,$W$218))))</f>
        <v>0</v>
      </c>
      <c r="AI328" s="496" t="b">
        <f ca="1">IF(OR(NOT(W315),NOT(X305)),FALSE,AND(E328="",OR(AG328&lt;=W316+COUNTIF(E317:E328,$W$218),AG328&lt;=X316+COUNTIF(F317:F328,$W$218))))</f>
        <v>0</v>
      </c>
      <c r="AJ328" s="496" t="b">
        <f ca="1">IF(OR(NOT(W315),NOT(X305)),FALSE,AND(F328="",OR(AG328&lt;=W316+COUNTIF(E317:E328,$W$218),AG328&lt;=X316+COUNTIF(F317:F328,$W$218))))</f>
        <v>0</v>
      </c>
      <c r="AK328" s="496" t="b">
        <f ca="1">IF(OR(NOT(W315),NOT(X305)),FALSE,AND(G328="",OR(AG328&lt;=W316+COUNTIF(E317:E328,$W$218),AG328&lt;=X316+COUNTIF(F317:F328,$W$218))))</f>
        <v>0</v>
      </c>
      <c r="AL328" s="496" t="b">
        <f ca="1">IF(OR(NOT(Y315),NOT(Z305)),FALSE,AND(K328="",OR(AG328&lt;=Y316+COUNTIF(L317:L328,$W$218),AG328&lt;=Z316+COUNTIF(M317:M328,$W$218))))</f>
        <v>0</v>
      </c>
      <c r="AM328" s="496" t="b">
        <f ca="1">IF(OR(NOT(Y315),NOT(Z305)),FALSE,AND(L328="",OR(AG328&lt;=Y316+COUNTIF(L317:L328,$W$218),AG328&lt;=Z316+COUNTIF(M317:M328,$W$218))))</f>
        <v>0</v>
      </c>
      <c r="AN328" s="496" t="b">
        <f ca="1">IF(OR(NOT(Y315),NOT(Z305)),FALSE,AND(M328="",OR(AG328&lt;=Y316+COUNTIF(L317:L328,$W$218),AG328&lt;=Z316+COUNTIF(M317:M328,$W$218))))</f>
        <v>0</v>
      </c>
      <c r="AO328" s="496" t="b">
        <f ca="1">IF(OR(NOT(Y315),NOT(Z305)),FALSE,AND(N328="",OR(AG328&lt;=Y316+COUNTIF(L317:L328,$W$218),AG328&lt;=Z316+COUNTIF(M317:M328,$W$218))))</f>
        <v>0</v>
      </c>
      <c r="AW328" s="485"/>
      <c r="AY328" s="323"/>
      <c r="BA328" s="323"/>
      <c r="BC328" s="323"/>
      <c r="BE328" s="323"/>
      <c r="BG328" s="323"/>
      <c r="BI328" s="323"/>
      <c r="BK328" s="323"/>
      <c r="BM328" s="323"/>
      <c r="BO328" s="323"/>
      <c r="BQ328" s="323"/>
      <c r="BS328" s="323"/>
      <c r="BU328" s="323"/>
      <c r="BW328" s="323"/>
      <c r="BY328" s="323"/>
      <c r="CA328" s="323"/>
      <c r="CC328" s="323"/>
      <c r="CE328" s="323"/>
      <c r="CG328" s="323"/>
      <c r="CI328" s="323"/>
      <c r="CK328" s="323"/>
      <c r="CM328" s="323"/>
      <c r="CO328" s="323"/>
      <c r="CQ328" s="323"/>
      <c r="CS328" s="323"/>
      <c r="CU328" s="323"/>
      <c r="CW328" s="323"/>
      <c r="CY328" s="323"/>
      <c r="DA328" s="323"/>
      <c r="DC328" s="323"/>
      <c r="DE328" s="323"/>
      <c r="DG328" s="323"/>
      <c r="DI328" s="323"/>
      <c r="DJ328" s="485"/>
    </row>
    <row r="329" spans="1:115" ht="11.25" customHeight="1" x14ac:dyDescent="0.3">
      <c r="A329" s="765"/>
      <c r="C329" s="219"/>
      <c r="D329" s="220"/>
      <c r="E329" s="516"/>
      <c r="F329" s="516"/>
      <c r="G329" s="223"/>
      <c r="H329" s="219"/>
      <c r="J329" s="219"/>
      <c r="K329" s="220"/>
      <c r="L329" s="516"/>
      <c r="M329" s="516"/>
      <c r="N329" s="223"/>
      <c r="O329" s="219"/>
      <c r="AB329" s="327" t="str">
        <f t="shared" si="92"/>
        <v/>
      </c>
      <c r="AC329" s="327" t="str">
        <f t="shared" si="93"/>
        <v/>
      </c>
      <c r="AD329" s="327" t="str">
        <f t="shared" si="94"/>
        <v/>
      </c>
      <c r="AE329" s="327" t="str">
        <f t="shared" si="95"/>
        <v/>
      </c>
      <c r="AG329" s="485">
        <v>13</v>
      </c>
      <c r="AH329" s="496" t="b">
        <f ca="1">IF(OR(NOT(W315),NOT(X305)),FALSE,AND(D329="",OR(AG329&lt;=W316+COUNTIF(E317:E329,$W$218),AG329&lt;=X316+COUNTIF(F317:F329,$W$218))))</f>
        <v>0</v>
      </c>
      <c r="AI329" s="496" t="b">
        <f ca="1">IF(OR(NOT(W315),NOT(X305)),FALSE,AND(E329="",OR(AG329&lt;=W316+COUNTIF(E317:E329,$W$218),AG329&lt;=X316+COUNTIF(F317:F329,$W$218))))</f>
        <v>0</v>
      </c>
      <c r="AJ329" s="496" t="b">
        <f ca="1">IF(OR(NOT(W315),NOT(X305)),FALSE,AND(F329="",OR(AG329&lt;=W316+COUNTIF(E317:E329,$W$218),AG329&lt;=X316+COUNTIF(F317:F329,$W$218))))</f>
        <v>0</v>
      </c>
      <c r="AK329" s="496" t="b">
        <f ca="1">IF(OR(NOT(W315),NOT(X305)),FALSE,AND(G329="",OR(AG329&lt;=W316+COUNTIF(E317:E329,$W$218),AG329&lt;=X316+COUNTIF(F317:F329,$W$218))))</f>
        <v>0</v>
      </c>
      <c r="AL329" s="496" t="b">
        <f ca="1">IF(OR(NOT(Y315),NOT(Z305)),FALSE,AND(K329="",OR(AG329&lt;=Y316+COUNTIF(L317:L329,$W$218),AG329&lt;=Z316+COUNTIF(M317:M329,$W$218))))</f>
        <v>0</v>
      </c>
      <c r="AM329" s="496" t="b">
        <f ca="1">IF(OR(NOT(Y315),NOT(Z305)),FALSE,AND(L329="",OR(AG329&lt;=Y316+COUNTIF(L317:L329,$W$218),AG329&lt;=Z316+COUNTIF(M317:M329,$W$218))))</f>
        <v>0</v>
      </c>
      <c r="AN329" s="496" t="b">
        <f ca="1">IF(OR(NOT(Y315),NOT(Z305)),FALSE,AND(M329="",OR(AG329&lt;=Y316+COUNTIF(L317:L329,$W$218),AG329&lt;=Z316+COUNTIF(M317:M329,$W$218))))</f>
        <v>0</v>
      </c>
      <c r="AO329" s="496" t="b">
        <f ca="1">IF(OR(NOT(Y315),NOT(Z305)),FALSE,AND(N329="",OR(AG329&lt;=Y316+COUNTIF(L317:L329,$W$218),AG329&lt;=Z316+COUNTIF(M317:M329,$W$218))))</f>
        <v>0</v>
      </c>
      <c r="AW329" s="485"/>
      <c r="AY329" s="323"/>
      <c r="BA329" s="323"/>
      <c r="BC329" s="323"/>
      <c r="BE329" s="323"/>
      <c r="BG329" s="323"/>
      <c r="BI329" s="323"/>
      <c r="BK329" s="323"/>
      <c r="BM329" s="323"/>
      <c r="BO329" s="323"/>
      <c r="BQ329" s="323"/>
      <c r="BS329" s="323"/>
      <c r="BU329" s="323"/>
      <c r="BW329" s="323"/>
      <c r="BY329" s="323"/>
      <c r="CA329" s="323"/>
      <c r="CC329" s="323"/>
      <c r="CE329" s="323"/>
      <c r="CG329" s="323"/>
      <c r="CI329" s="323"/>
      <c r="CK329" s="323"/>
      <c r="CM329" s="323"/>
      <c r="CO329" s="323"/>
      <c r="CQ329" s="323"/>
      <c r="CS329" s="323"/>
      <c r="CU329" s="323"/>
      <c r="CW329" s="323"/>
      <c r="CY329" s="323"/>
      <c r="DA329" s="323"/>
      <c r="DC329" s="323"/>
      <c r="DE329" s="323"/>
      <c r="DG329" s="323"/>
      <c r="DI329" s="323"/>
      <c r="DJ329" s="485"/>
    </row>
    <row r="330" spans="1:115" ht="11.25" hidden="1" customHeight="1" x14ac:dyDescent="0.3">
      <c r="A330" s="765"/>
      <c r="C330" s="219"/>
      <c r="D330" s="220"/>
      <c r="E330" s="517"/>
      <c r="F330" s="516"/>
      <c r="G330" s="223"/>
      <c r="H330" s="219"/>
      <c r="J330" s="219"/>
      <c r="K330" s="220"/>
      <c r="L330" s="517"/>
      <c r="M330" s="516"/>
      <c r="N330" s="223"/>
      <c r="O330" s="219"/>
      <c r="AB330" s="327" t="str">
        <f t="shared" si="92"/>
        <v/>
      </c>
      <c r="AC330" s="327" t="str">
        <f t="shared" si="93"/>
        <v/>
      </c>
      <c r="AD330" s="327" t="str">
        <f t="shared" si="94"/>
        <v/>
      </c>
      <c r="AE330" s="327" t="str">
        <f t="shared" si="95"/>
        <v/>
      </c>
      <c r="AG330" s="485">
        <v>14</v>
      </c>
      <c r="AH330" s="496" t="b">
        <f ca="1">IF(OR(NOT(W315),NOT(X305)),FALSE,AND(D330="",OR(AG330&lt;=W316+COUNTIF(E317:E330,$W$218),AG330&lt;=X316+COUNTIF(F317:F330,$W$218))))</f>
        <v>0</v>
      </c>
      <c r="AI330" s="496" t="b">
        <f ca="1">IF(OR(NOT(W315),NOT(X305)),FALSE,AND(E330="",OR(AG330&lt;=W316+COUNTIF(E317:E330,$W$218),AG330&lt;=X316+COUNTIF(F317:F330,$W$218))))</f>
        <v>0</v>
      </c>
      <c r="AJ330" s="496" t="b">
        <f ca="1">IF(OR(NOT(W315),NOT(X305)),FALSE,AND(F330="",OR(AG330&lt;=W316+COUNTIF(E317:E330,$W$218),AG330&lt;=X316+COUNTIF(F317:F330,$W$218))))</f>
        <v>0</v>
      </c>
      <c r="AK330" s="496" t="b">
        <f ca="1">IF(OR(NOT(W315),NOT(X305)),FALSE,AND(G330="",OR(AG330&lt;=W316+COUNTIF(E317:E330,$W$218),AG330&lt;=X316+COUNTIF(F317:F330,$W$218))))</f>
        <v>0</v>
      </c>
      <c r="AL330" s="496" t="b">
        <f ca="1">IF(OR(NOT(Y315),NOT(Z305)),FALSE,AND(K330="",OR(AG330&lt;=Y316+COUNTIF(L317:L330,$W$218),AG330&lt;=Z316+COUNTIF(M317:M330,$W$218))))</f>
        <v>0</v>
      </c>
      <c r="AM330" s="496" t="b">
        <f ca="1">IF(OR(NOT(Y315),NOT(Z305)),FALSE,AND(L330="",OR(AG330&lt;=Y316+COUNTIF(L317:L330,$W$218),AG330&lt;=Z316+COUNTIF(M317:M330,$W$218))))</f>
        <v>0</v>
      </c>
      <c r="AN330" s="496" t="b">
        <f ca="1">IF(OR(NOT(Y315),NOT(Z305)),FALSE,AND(M330="",OR(AG330&lt;=Y316+COUNTIF(L317:L330,$W$218),AG330&lt;=Z316+COUNTIF(M317:M330,$W$218))))</f>
        <v>0</v>
      </c>
      <c r="AO330" s="496" t="b">
        <f ca="1">IF(OR(NOT(Y315),NOT(Z305)),FALSE,AND(N330="",OR(AG330&lt;=Y316+COUNTIF(L317:L330,$W$218),AG330&lt;=Z316+COUNTIF(M317:M330,$W$218))))</f>
        <v>0</v>
      </c>
      <c r="AS330" s="323"/>
      <c r="AT330" s="323"/>
      <c r="AW330" s="485"/>
      <c r="AY330" s="323"/>
      <c r="BA330" s="323"/>
      <c r="BC330" s="323"/>
      <c r="BE330" s="323"/>
      <c r="BG330" s="323"/>
      <c r="BI330" s="323"/>
      <c r="BK330" s="323"/>
      <c r="BM330" s="323"/>
      <c r="BO330" s="323"/>
      <c r="BQ330" s="323"/>
      <c r="BS330" s="323"/>
      <c r="BU330" s="323"/>
      <c r="BW330" s="323"/>
      <c r="BY330" s="323"/>
      <c r="CA330" s="323"/>
      <c r="CC330" s="323"/>
      <c r="CE330" s="323"/>
      <c r="CG330" s="323"/>
      <c r="CI330" s="323"/>
      <c r="CK330" s="323"/>
      <c r="CM330" s="323"/>
      <c r="CO330" s="323"/>
      <c r="CQ330" s="323"/>
      <c r="CS330" s="323"/>
      <c r="CU330" s="323"/>
      <c r="CW330" s="323"/>
      <c r="CY330" s="323"/>
      <c r="DA330" s="323"/>
      <c r="DC330" s="323"/>
      <c r="DE330" s="323"/>
      <c r="DG330" s="323"/>
      <c r="DI330" s="323"/>
      <c r="DJ330" s="485"/>
    </row>
    <row r="331" spans="1:115" ht="10.5" hidden="1" customHeight="1" x14ac:dyDescent="0.3">
      <c r="A331" s="76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AQ331" s="323"/>
      <c r="AR331" s="323"/>
      <c r="AS331" s="323"/>
      <c r="AT331" s="323"/>
      <c r="AW331" s="485"/>
      <c r="AY331" s="323"/>
      <c r="BA331" s="323"/>
      <c r="BC331" s="323"/>
      <c r="BE331" s="323"/>
      <c r="BG331" s="323"/>
      <c r="BI331" s="323"/>
      <c r="BK331" s="323"/>
      <c r="BM331" s="323"/>
      <c r="BO331" s="323"/>
      <c r="BQ331" s="323"/>
      <c r="BS331" s="323"/>
      <c r="BU331" s="323"/>
      <c r="BW331" s="323"/>
      <c r="BY331" s="323"/>
      <c r="CA331" s="323"/>
      <c r="CC331" s="323"/>
      <c r="CE331" s="323"/>
      <c r="CG331" s="323"/>
      <c r="CI331" s="323"/>
      <c r="CK331" s="323"/>
      <c r="CM331" s="323"/>
      <c r="CO331" s="323"/>
      <c r="CQ331" s="323"/>
      <c r="CS331" s="323"/>
      <c r="CU331" s="323"/>
      <c r="CW331" s="323"/>
      <c r="CY331" s="323"/>
      <c r="DA331" s="323"/>
      <c r="DC331" s="323"/>
      <c r="DE331" s="323"/>
      <c r="DG331" s="323"/>
      <c r="DI331" s="323"/>
    </row>
    <row r="332" spans="1:115" ht="10.5" customHeight="1" x14ac:dyDescent="0.3">
      <c r="A332" s="76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AQ332" s="323"/>
      <c r="AR332" s="323"/>
      <c r="AS332" s="323"/>
      <c r="AT332" s="323"/>
      <c r="AW332" s="485"/>
      <c r="AY332" s="323"/>
      <c r="BA332" s="323"/>
      <c r="BC332" s="323"/>
      <c r="BE332" s="323"/>
      <c r="BG332" s="323"/>
      <c r="BI332" s="323"/>
      <c r="BK332" s="323"/>
      <c r="BM332" s="323"/>
      <c r="BO332" s="323"/>
      <c r="BQ332" s="323"/>
      <c r="BS332" s="323"/>
      <c r="BU332" s="323"/>
      <c r="BW332" s="323"/>
      <c r="BY332" s="323"/>
      <c r="CA332" s="323"/>
      <c r="CC332" s="323"/>
      <c r="CE332" s="323"/>
      <c r="CG332" s="323"/>
      <c r="CI332" s="323"/>
      <c r="CK332" s="323"/>
      <c r="CM332" s="323"/>
      <c r="CO332" s="323"/>
      <c r="CQ332" s="323"/>
      <c r="CS332" s="323"/>
      <c r="CU332" s="323"/>
      <c r="CW332" s="323"/>
      <c r="CY332" s="323"/>
      <c r="DA332" s="323"/>
      <c r="DC332" s="323"/>
      <c r="DE332" s="323"/>
      <c r="DG332" s="323"/>
      <c r="DI332" s="323"/>
    </row>
    <row r="333" spans="1:115" ht="3.75" customHeight="1" x14ac:dyDescent="0.3">
      <c r="A333" s="765"/>
      <c r="AQ333" s="323"/>
      <c r="AR333" s="323"/>
      <c r="AS333" s="323"/>
      <c r="AT333" s="323"/>
      <c r="AY333" s="323"/>
      <c r="BA333" s="323"/>
      <c r="BC333" s="323"/>
      <c r="BE333" s="323"/>
      <c r="BG333" s="323"/>
      <c r="BI333" s="323"/>
      <c r="BK333" s="323"/>
      <c r="BM333" s="323"/>
      <c r="BO333" s="323"/>
      <c r="BQ333" s="323"/>
      <c r="BS333" s="323"/>
      <c r="BU333" s="323"/>
      <c r="BW333" s="323"/>
      <c r="BY333" s="323"/>
      <c r="CA333" s="323"/>
      <c r="CC333" s="323"/>
      <c r="CE333" s="323"/>
      <c r="CG333" s="323"/>
      <c r="CI333" s="323"/>
      <c r="CK333" s="323"/>
      <c r="CM333" s="323"/>
      <c r="CO333" s="323"/>
      <c r="CQ333" s="323"/>
      <c r="CS333" s="323"/>
      <c r="CU333" s="323"/>
      <c r="CW333" s="323"/>
      <c r="CY333" s="323"/>
      <c r="DA333" s="323"/>
      <c r="DC333" s="323"/>
      <c r="DE333" s="323"/>
      <c r="DG333" s="323"/>
      <c r="DI333" s="323"/>
    </row>
    <row r="334" spans="1:115" ht="12" customHeight="1" x14ac:dyDescent="0.3">
      <c r="A334" s="765"/>
      <c r="C334" s="247" t="str">
        <f>W339</f>
        <v>JÚNIUS 23. – SZERDA 18:00</v>
      </c>
      <c r="D334" s="227"/>
      <c r="E334" s="228"/>
      <c r="F334" s="229"/>
      <c r="G334" s="230"/>
      <c r="H334" s="231" t="str">
        <f>W340</f>
        <v>3. CSOPORTMÉRKŐZÉS</v>
      </c>
      <c r="I334" s="138"/>
      <c r="J334" s="246" t="str">
        <f>Y339</f>
        <v>JÚNIUS 23. – SZERDA 18:00</v>
      </c>
      <c r="K334" s="227"/>
      <c r="L334" s="228"/>
      <c r="M334" s="229"/>
      <c r="N334" s="230"/>
      <c r="O334" s="226" t="str">
        <f>Y340</f>
        <v>3. CSOPORTMÉRKŐZÉS</v>
      </c>
      <c r="AQ334" s="323"/>
      <c r="AR334" s="323"/>
      <c r="AS334" s="323"/>
      <c r="AT334" s="323"/>
      <c r="AY334" s="323"/>
      <c r="BA334" s="323"/>
      <c r="BC334" s="323"/>
      <c r="BE334" s="323"/>
      <c r="BG334" s="323"/>
      <c r="BI334" s="323"/>
      <c r="BK334" s="323"/>
      <c r="BM334" s="323"/>
      <c r="BO334" s="323"/>
      <c r="BQ334" s="323"/>
      <c r="BS334" s="323"/>
      <c r="BU334" s="323"/>
      <c r="BW334" s="323"/>
      <c r="BY334" s="323"/>
      <c r="CA334" s="323"/>
      <c r="CC334" s="323"/>
      <c r="CE334" s="323"/>
      <c r="CG334" s="323"/>
      <c r="CI334" s="323"/>
      <c r="CK334" s="323"/>
      <c r="CM334" s="323"/>
      <c r="CO334" s="323"/>
      <c r="CQ334" s="323"/>
      <c r="CS334" s="323"/>
      <c r="CU334" s="323"/>
      <c r="CW334" s="323"/>
      <c r="CY334" s="323"/>
      <c r="DA334" s="323"/>
      <c r="DC334" s="323"/>
      <c r="DE334" s="323"/>
      <c r="DG334" s="323"/>
      <c r="DI334" s="323"/>
    </row>
    <row r="335" spans="1:115" s="138" customFormat="1" ht="14.25" customHeight="1" x14ac:dyDescent="0.3">
      <c r="A335" s="765"/>
      <c r="B335" s="137"/>
      <c r="C335" s="233" t="str">
        <f>IF(W342=0,"",IF(W342&gt;0,CONCATENATE("még ",W342," gól"),CONCATENATE("túl sok (",W342," gól)")))</f>
        <v/>
      </c>
      <c r="D335" s="714" t="str">
        <f>W343</f>
        <v>Szlovákia</v>
      </c>
      <c r="E335" s="716" t="str">
        <f>W344</f>
        <v/>
      </c>
      <c r="F335" s="717" t="str">
        <f>X344</f>
        <v/>
      </c>
      <c r="G335" s="715" t="str">
        <f>X343</f>
        <v>Spanyolország</v>
      </c>
      <c r="H335" s="232" t="str">
        <f>IF(X342=0,"",IF(X342&gt;0,CONCATENATE("még ",X342," gól"),CONCATENATE("túl sok (",X342," gól)")))</f>
        <v/>
      </c>
      <c r="I335" s="127"/>
      <c r="J335" s="233" t="str">
        <f>IF(Y342=0,"",IF(Y342&gt;0,CONCATENATE("még ",Y342," gól"),CONCATENATE("túl sok (",Y342," gól)")))</f>
        <v/>
      </c>
      <c r="K335" s="714" t="str">
        <f>Y343</f>
        <v>Svédország</v>
      </c>
      <c r="L335" s="716" t="str">
        <f>Y344</f>
        <v/>
      </c>
      <c r="M335" s="717" t="str">
        <f>Z344</f>
        <v/>
      </c>
      <c r="N335" s="715" t="str">
        <f>Z343</f>
        <v>Lengyelország</v>
      </c>
      <c r="O335" s="232" t="str">
        <f>IF(Z342=0,"",IF(Z342&gt;0,CONCATENATE("még ",Z342," gól"),CONCATENATE("túl sok (",Z342," gól)")))</f>
        <v/>
      </c>
      <c r="P335" s="10"/>
      <c r="Q335" s="140"/>
      <c r="R335" s="141"/>
      <c r="S335" s="141"/>
      <c r="T335" s="484"/>
      <c r="U335" s="485"/>
      <c r="V335" s="485"/>
      <c r="W335" s="485"/>
      <c r="X335" s="485"/>
      <c r="Y335" s="485"/>
      <c r="Z335" s="485"/>
      <c r="AA335" s="485"/>
      <c r="AB335" s="242" t="str">
        <f>HLOOKUP(D335,nevek.li,2,FALSE)</f>
        <v>nevek.20</v>
      </c>
      <c r="AC335" s="242" t="str">
        <f>HLOOKUP(G335,nevek.li,2,FALSE)</f>
        <v>nevek.17</v>
      </c>
      <c r="AD335" s="242" t="str">
        <f>HLOOKUP(K335,nevek.li,2,FALSE)</f>
        <v>nevek.18</v>
      </c>
      <c r="AE335" s="242" t="str">
        <f>HLOOKUP(N335,nevek.li,2,FALSE)</f>
        <v>nevek.19</v>
      </c>
      <c r="AF335" s="485"/>
      <c r="AG335" s="485"/>
      <c r="AH335" s="485"/>
      <c r="AI335" s="485"/>
      <c r="AJ335" s="485"/>
      <c r="AK335" s="485"/>
      <c r="AL335" s="485"/>
      <c r="AM335" s="485"/>
      <c r="AN335" s="485"/>
      <c r="AO335" s="485"/>
      <c r="AP335" s="485"/>
      <c r="AQ335" s="485"/>
      <c r="AR335" s="485"/>
      <c r="AS335" s="485"/>
      <c r="AT335" s="485"/>
      <c r="AU335" s="485"/>
      <c r="AV335" s="500"/>
      <c r="AW335" s="323"/>
      <c r="AX335" s="323"/>
      <c r="AY335" s="323"/>
      <c r="AZ335" s="323"/>
      <c r="BA335" s="323"/>
      <c r="BB335" s="323"/>
      <c r="BC335" s="323"/>
      <c r="BD335" s="323"/>
      <c r="BE335" s="323"/>
      <c r="BF335" s="323"/>
      <c r="BG335" s="323"/>
      <c r="BH335" s="323"/>
      <c r="BI335" s="323"/>
      <c r="BJ335" s="323"/>
      <c r="BK335" s="323"/>
      <c r="BL335" s="323"/>
      <c r="BM335" s="323"/>
      <c r="BN335" s="323"/>
      <c r="BO335" s="323"/>
      <c r="BP335" s="323"/>
      <c r="BQ335" s="323"/>
      <c r="BR335" s="323"/>
      <c r="BS335" s="323"/>
      <c r="BT335" s="323"/>
      <c r="BU335" s="323"/>
      <c r="BV335" s="323"/>
      <c r="BW335" s="323"/>
      <c r="BX335" s="323"/>
      <c r="BY335" s="323"/>
      <c r="BZ335" s="323"/>
      <c r="CA335" s="323"/>
      <c r="CB335" s="323"/>
      <c r="CC335" s="323"/>
      <c r="CD335" s="323"/>
      <c r="CE335" s="323"/>
      <c r="CF335" s="323"/>
      <c r="CG335" s="323"/>
      <c r="CH335" s="323"/>
      <c r="CI335" s="323"/>
      <c r="CJ335" s="323"/>
      <c r="CK335" s="323"/>
      <c r="CL335" s="323"/>
      <c r="CM335" s="323"/>
      <c r="CN335" s="323"/>
      <c r="CO335" s="323"/>
      <c r="CP335" s="323"/>
      <c r="CQ335" s="323"/>
      <c r="CR335" s="323"/>
      <c r="CS335" s="323"/>
      <c r="CT335" s="323"/>
      <c r="CU335" s="323"/>
      <c r="CV335" s="323"/>
      <c r="CW335" s="323"/>
      <c r="CX335" s="323"/>
      <c r="CY335" s="323"/>
      <c r="CZ335" s="323"/>
      <c r="DA335" s="323"/>
      <c r="DB335" s="323"/>
      <c r="DC335" s="323"/>
      <c r="DD335" s="323"/>
      <c r="DE335" s="323"/>
      <c r="DF335" s="323"/>
      <c r="DG335" s="323"/>
      <c r="DH335" s="323"/>
      <c r="DI335" s="323"/>
      <c r="DJ335" s="323"/>
      <c r="DK335" s="500"/>
    </row>
    <row r="336" spans="1:115" ht="12" customHeight="1" x14ac:dyDescent="0.3">
      <c r="A336" s="765"/>
      <c r="C336" s="218"/>
      <c r="D336" s="220"/>
      <c r="E336" s="221"/>
      <c r="F336" s="222"/>
      <c r="G336" s="223"/>
      <c r="H336" s="218"/>
      <c r="J336" s="218"/>
      <c r="K336" s="220"/>
      <c r="L336" s="221"/>
      <c r="M336" s="222"/>
      <c r="N336" s="223"/>
      <c r="O336" s="218"/>
      <c r="V336" s="487" t="s">
        <v>706</v>
      </c>
      <c r="W336" s="242">
        <v>33</v>
      </c>
      <c r="X336" s="485" t="str">
        <f>""</f>
        <v/>
      </c>
      <c r="Y336" s="242">
        <v>34</v>
      </c>
      <c r="AB336" s="327" t="str">
        <f>IF(C336="öngól",AC335,AB335)</f>
        <v>nevek.20</v>
      </c>
      <c r="AC336" s="327" t="str">
        <f>IF(H336="öngól",AB335,AC335)</f>
        <v>nevek.17</v>
      </c>
      <c r="AD336" s="327" t="str">
        <f>IF(J336="öngól",AE335,AD335)</f>
        <v>nevek.18</v>
      </c>
      <c r="AE336" s="327" t="str">
        <f>IF(O336="öngól",AD335,AE335)</f>
        <v>nevek.19</v>
      </c>
      <c r="AF336" s="325"/>
      <c r="AG336" s="485">
        <v>1</v>
      </c>
      <c r="AH336" s="488" t="b">
        <f ca="1">AND(W338,X339,D336="",AG336&lt;=W344)</f>
        <v>0</v>
      </c>
      <c r="AI336" s="488" t="b">
        <f ca="1">AND(W338,X339,E336="",AG336&lt;=W344)</f>
        <v>0</v>
      </c>
      <c r="AJ336" s="488" t="b">
        <f ca="1">AND(W338,X339,F336="",AG336&lt;=X344)</f>
        <v>0</v>
      </c>
      <c r="AK336" s="488" t="b">
        <f ca="1">AND(W338,X339,G336="",AG336&lt;=X344)</f>
        <v>0</v>
      </c>
      <c r="AL336" s="488" t="b">
        <f ca="1">AND(Y338,Z339,K336="",AG336&lt;=Y344)</f>
        <v>0</v>
      </c>
      <c r="AM336" s="488" t="b">
        <f ca="1">AND(Y338,Z339,L336="",AG336&lt;=Y344)</f>
        <v>0</v>
      </c>
      <c r="AN336" s="488" t="b">
        <f ca="1">AND(Y338,Z339,M336="",AG336&lt;=Z344)</f>
        <v>0</v>
      </c>
      <c r="AO336" s="488" t="b">
        <f ca="1">AND(Y338,Z339,N336="",AG336&lt;=Z344)</f>
        <v>0</v>
      </c>
      <c r="AQ336" s="326" t="str">
        <f>IF(OR(NOT(Góllista!$E$6),D336=""),"",IF(C336="öngól","ö"&amp;G335&amp;D336,D335&amp;D336))</f>
        <v/>
      </c>
      <c r="AR336" s="326" t="str">
        <f>IF(OR(NOT(Góllista!$E$6),G336=""),"",IF(H336="öngól","ö"&amp;D335&amp;G336,G335&amp;G336))</f>
        <v/>
      </c>
      <c r="AS336" s="326" t="str">
        <f>IF(OR(NOT(Góllista!$E$6),K336=""),"",IF(J336="öngól","ö"&amp;N335&amp;K336,K335&amp;K336))</f>
        <v/>
      </c>
      <c r="AT336" s="326" t="str">
        <f>IF(OR(NOT(Góllista!$E$6),N336=""),"",IF(O336="öngól","ö"&amp;K335&amp;N336,N335&amp;N336))</f>
        <v/>
      </c>
      <c r="AY336" s="323"/>
      <c r="BA336" s="323"/>
      <c r="BC336" s="323"/>
      <c r="BE336" s="323"/>
      <c r="BG336" s="323"/>
      <c r="BI336" s="323"/>
      <c r="BK336" s="323"/>
      <c r="BM336" s="323"/>
      <c r="BO336" s="323"/>
      <c r="BQ336" s="323"/>
      <c r="BS336" s="323"/>
      <c r="BU336" s="323"/>
      <c r="BW336" s="323"/>
      <c r="BY336" s="323"/>
      <c r="CA336" s="323"/>
      <c r="CC336" s="323"/>
      <c r="CE336" s="323"/>
      <c r="CG336" s="323"/>
      <c r="CI336" s="323"/>
      <c r="CK336" s="323"/>
      <c r="CM336" s="323"/>
      <c r="CO336" s="323"/>
      <c r="CQ336" s="323"/>
      <c r="CS336" s="323"/>
      <c r="CU336" s="323"/>
      <c r="CW336" s="323"/>
      <c r="CY336" s="323"/>
      <c r="DA336" s="323"/>
      <c r="DC336" s="323"/>
      <c r="DE336" s="323"/>
      <c r="DG336" s="323"/>
      <c r="DI336" s="323"/>
    </row>
    <row r="337" spans="1:114" ht="12" customHeight="1" x14ac:dyDescent="0.3">
      <c r="A337" s="765"/>
      <c r="C337" s="219"/>
      <c r="D337" s="220"/>
      <c r="E337" s="224"/>
      <c r="F337" s="222"/>
      <c r="G337" s="223"/>
      <c r="H337" s="219"/>
      <c r="J337" s="219"/>
      <c r="K337" s="220"/>
      <c r="L337" s="224"/>
      <c r="M337" s="222"/>
      <c r="N337" s="223"/>
      <c r="O337" s="219"/>
      <c r="V337" s="487" t="s">
        <v>711</v>
      </c>
      <c r="W337" s="327">
        <f>MATCH(W336,n.er.index,0)</f>
        <v>81</v>
      </c>
      <c r="X337" s="485" t="str">
        <f>""</f>
        <v/>
      </c>
      <c r="Y337" s="327">
        <f>MATCH(Y336,n.er.index,0)</f>
        <v>82</v>
      </c>
      <c r="AB337" s="327" t="str">
        <f>IF(C337="öngól",AC335,AB335)</f>
        <v>nevek.20</v>
      </c>
      <c r="AC337" s="327" t="str">
        <f>IF(H337="öngól",AB335,AC335)</f>
        <v>nevek.17</v>
      </c>
      <c r="AD337" s="327" t="str">
        <f>IF(J337="öngól",AE335,AD335)</f>
        <v>nevek.18</v>
      </c>
      <c r="AE337" s="327" t="str">
        <f>IF(O337="öngól",AD335,AE335)</f>
        <v>nevek.19</v>
      </c>
      <c r="AF337" s="325"/>
      <c r="AG337" s="485">
        <v>2</v>
      </c>
      <c r="AH337" s="488" t="b">
        <f ca="1">AND(W338,X339,D337="",AG337&lt;=W344)</f>
        <v>0</v>
      </c>
      <c r="AI337" s="488" t="b">
        <f ca="1">AND(W338,X339,E337="",AG337&lt;=W344)</f>
        <v>0</v>
      </c>
      <c r="AJ337" s="488" t="b">
        <f ca="1">AND(W338,X339,F337="",AG337&lt;=X344)</f>
        <v>0</v>
      </c>
      <c r="AK337" s="488" t="b">
        <f ca="1">AND(W338,X339,G337="",AG337&lt;=X344)</f>
        <v>0</v>
      </c>
      <c r="AL337" s="488" t="b">
        <f ca="1">AND(Y338,Z339,K337="",AG337&lt;=Y344)</f>
        <v>0</v>
      </c>
      <c r="AM337" s="488" t="b">
        <f ca="1">AND(Y338,Z339,L337="",AG337&lt;=Y344)</f>
        <v>0</v>
      </c>
      <c r="AN337" s="488" t="b">
        <f ca="1">AND(Y338,Z339,M337="",AG337&lt;=Z344)</f>
        <v>0</v>
      </c>
      <c r="AO337" s="488" t="b">
        <f ca="1">AND(Y338,Z339,N337="",AG337&lt;=Z344)</f>
        <v>0</v>
      </c>
      <c r="AQ337" s="326" t="str">
        <f>IF(OR(NOT(Góllista!$E$6),D337=""),"",IF(C337="öngól","ö"&amp;G335&amp;D337,D335&amp;D337))</f>
        <v/>
      </c>
      <c r="AR337" s="326" t="str">
        <f>IF(OR(NOT(Góllista!$E$6),G337=""),"",IF(H337="öngól","ö"&amp;D335&amp;G337,G335&amp;G337))</f>
        <v/>
      </c>
      <c r="AS337" s="326" t="str">
        <f>IF(OR(NOT(Góllista!$E$6),K337=""),"",IF(J337="öngól","ö"&amp;N335&amp;K337,K335&amp;K337))</f>
        <v/>
      </c>
      <c r="AT337" s="326" t="str">
        <f>IF(OR(NOT(Góllista!$E$6),N337=""),"",IF(O337="öngól","ö"&amp;K335&amp;N337,N335&amp;N337))</f>
        <v/>
      </c>
      <c r="AY337" s="323"/>
      <c r="BA337" s="323"/>
      <c r="BC337" s="323"/>
      <c r="BE337" s="323"/>
      <c r="BG337" s="323"/>
      <c r="BI337" s="323"/>
      <c r="BK337" s="323"/>
      <c r="BM337" s="323"/>
      <c r="BO337" s="323"/>
      <c r="BQ337" s="323"/>
      <c r="BS337" s="323"/>
      <c r="BU337" s="323"/>
      <c r="BW337" s="323"/>
      <c r="BY337" s="323"/>
      <c r="CA337" s="323"/>
      <c r="CC337" s="323"/>
      <c r="CE337" s="323"/>
      <c r="CG337" s="323"/>
      <c r="CI337" s="323"/>
      <c r="CK337" s="323"/>
      <c r="CM337" s="323"/>
      <c r="CO337" s="323"/>
      <c r="CQ337" s="323"/>
      <c r="CS337" s="323"/>
      <c r="CU337" s="323"/>
      <c r="CW337" s="323"/>
      <c r="CY337" s="323"/>
      <c r="DA337" s="323"/>
      <c r="DC337" s="323"/>
      <c r="DE337" s="323"/>
      <c r="DG337" s="323"/>
      <c r="DI337" s="323"/>
    </row>
    <row r="338" spans="1:114" ht="12" customHeight="1" x14ac:dyDescent="0.3">
      <c r="A338" s="765"/>
      <c r="C338" s="219"/>
      <c r="D338" s="220"/>
      <c r="E338" s="224"/>
      <c r="F338" s="222"/>
      <c r="G338" s="223"/>
      <c r="H338" s="219"/>
      <c r="J338" s="219"/>
      <c r="K338" s="220"/>
      <c r="L338" s="224"/>
      <c r="M338" s="222"/>
      <c r="N338" s="223"/>
      <c r="O338" s="219"/>
      <c r="V338" s="487" t="s">
        <v>710</v>
      </c>
      <c r="W338" s="489" t="b">
        <f>INDEX(n.er,W337,3)</f>
        <v>0</v>
      </c>
      <c r="X338" s="485" t="str">
        <f>""</f>
        <v/>
      </c>
      <c r="Y338" s="489" t="b">
        <f>INDEX(n.er,Y337,3)</f>
        <v>0</v>
      </c>
      <c r="AB338" s="327" t="str">
        <f>IF(C338="öngól",AC335,AB335)</f>
        <v>nevek.20</v>
      </c>
      <c r="AC338" s="327" t="str">
        <f>IF(H338="öngól",AB335,AC335)</f>
        <v>nevek.17</v>
      </c>
      <c r="AD338" s="327" t="str">
        <f>IF(J338="öngól",AE335,AD335)</f>
        <v>nevek.18</v>
      </c>
      <c r="AE338" s="327" t="str">
        <f>IF(O338="öngól",AD335,AE335)</f>
        <v>nevek.19</v>
      </c>
      <c r="AF338" s="325"/>
      <c r="AG338" s="485">
        <v>3</v>
      </c>
      <c r="AH338" s="488" t="b">
        <f ca="1">AND(W338,X339,D338="",AG338&lt;=W344)</f>
        <v>0</v>
      </c>
      <c r="AI338" s="488" t="b">
        <f ca="1">AND(W338,X339,E338="",AG338&lt;=W344)</f>
        <v>0</v>
      </c>
      <c r="AJ338" s="488" t="b">
        <f ca="1">AND(W338,X339,F338="",AG338&lt;=X344)</f>
        <v>0</v>
      </c>
      <c r="AK338" s="488" t="b">
        <f ca="1">AND(W338,X339,G338="",AG338&lt;=X344)</f>
        <v>0</v>
      </c>
      <c r="AL338" s="488" t="b">
        <f ca="1">AND(Y338,Z339,K338="",AG338&lt;=Y344)</f>
        <v>0</v>
      </c>
      <c r="AM338" s="488" t="b">
        <f ca="1">AND(Y338,Z339,L338="",AG338&lt;=Y344)</f>
        <v>0</v>
      </c>
      <c r="AN338" s="488" t="b">
        <f ca="1">AND(Y338,Z339,M338="",AG338&lt;=Z344)</f>
        <v>0</v>
      </c>
      <c r="AO338" s="488" t="b">
        <f ca="1">AND(Y338,Z339,N338="",AG338&lt;=Z344)</f>
        <v>0</v>
      </c>
      <c r="AQ338" s="326" t="str">
        <f>IF(OR(NOT(Góllista!$E$6),D338=""),"",IF(C338="öngól","ö"&amp;G335&amp;D338,D335&amp;D338))</f>
        <v/>
      </c>
      <c r="AR338" s="326" t="str">
        <f>IF(OR(NOT(Góllista!$E$6),G338=""),"",IF(H338="öngól","ö"&amp;D335&amp;G338,G335&amp;G338))</f>
        <v/>
      </c>
      <c r="AS338" s="326" t="str">
        <f>IF(OR(NOT(Góllista!$E$6),K338=""),"",IF(J338="öngól","ö"&amp;N335&amp;K338,K335&amp;K338))</f>
        <v/>
      </c>
      <c r="AT338" s="326" t="str">
        <f>IF(OR(NOT(Góllista!$E$6),N338=""),"",IF(O338="öngól","ö"&amp;K335&amp;N338,N335&amp;N338))</f>
        <v/>
      </c>
      <c r="AY338" s="323"/>
      <c r="BA338" s="323"/>
      <c r="BC338" s="323"/>
      <c r="BE338" s="323"/>
      <c r="BG338" s="323"/>
      <c r="BI338" s="323"/>
      <c r="BK338" s="323"/>
      <c r="BM338" s="323"/>
      <c r="BO338" s="323"/>
      <c r="BQ338" s="323"/>
      <c r="BS338" s="323"/>
      <c r="BU338" s="323"/>
      <c r="BW338" s="323"/>
      <c r="BY338" s="323"/>
      <c r="CA338" s="323"/>
      <c r="CC338" s="323"/>
      <c r="CE338" s="323"/>
      <c r="CG338" s="323"/>
      <c r="CI338" s="323"/>
      <c r="CK338" s="323"/>
      <c r="CM338" s="323"/>
      <c r="CO338" s="323"/>
      <c r="CQ338" s="323"/>
      <c r="CS338" s="323"/>
      <c r="CU338" s="323"/>
      <c r="CW338" s="323"/>
      <c r="CY338" s="323"/>
      <c r="DA338" s="323"/>
      <c r="DC338" s="323"/>
      <c r="DE338" s="323"/>
      <c r="DG338" s="323"/>
      <c r="DI338" s="323"/>
    </row>
    <row r="339" spans="1:114" ht="12" customHeight="1" x14ac:dyDescent="0.3">
      <c r="A339" s="765"/>
      <c r="C339" s="219"/>
      <c r="D339" s="220"/>
      <c r="E339" s="224"/>
      <c r="F339" s="222"/>
      <c r="G339" s="223"/>
      <c r="H339" s="219"/>
      <c r="J339" s="219"/>
      <c r="K339" s="220"/>
      <c r="L339" s="224"/>
      <c r="M339" s="222"/>
      <c r="N339" s="223"/>
      <c r="O339" s="219"/>
      <c r="V339" s="487" t="s">
        <v>705</v>
      </c>
      <c r="W339" s="490" t="str">
        <f>VLOOKUP(W336,schedule,18,FALSE)</f>
        <v>JÚNIUS 23. – SZERDA 18:00</v>
      </c>
      <c r="X339" s="489" t="b">
        <f ca="1">VLOOKUP(W336,schedule,14,FALSE)&lt;=NOW()</f>
        <v>0</v>
      </c>
      <c r="Y339" s="490" t="str">
        <f>VLOOKUP(Y336,schedule,18,FALSE)</f>
        <v>JÚNIUS 23. – SZERDA 18:00</v>
      </c>
      <c r="Z339" s="489" t="b">
        <f ca="1">VLOOKUP(Y336,schedule,14,FALSE)&lt;=NOW()</f>
        <v>0</v>
      </c>
      <c r="AB339" s="327" t="str">
        <f>IF(C339="öngól",AC335,AB335)</f>
        <v>nevek.20</v>
      </c>
      <c r="AC339" s="327" t="str">
        <f>IF(H339="öngól",AB335,AC335)</f>
        <v>nevek.17</v>
      </c>
      <c r="AD339" s="327" t="str">
        <f>IF(J339="öngól",AE335,AD335)</f>
        <v>nevek.18</v>
      </c>
      <c r="AE339" s="327" t="str">
        <f>IF(O339="öngól",AD335,AE335)</f>
        <v>nevek.19</v>
      </c>
      <c r="AF339" s="325"/>
      <c r="AG339" s="485">
        <v>4</v>
      </c>
      <c r="AH339" s="488" t="b">
        <f ca="1">AND(W338,X339,D339="",AG339&lt;=W344)</f>
        <v>0</v>
      </c>
      <c r="AI339" s="488" t="b">
        <f ca="1">AND(W338,X339,E339="",AG339&lt;=W344)</f>
        <v>0</v>
      </c>
      <c r="AJ339" s="488" t="b">
        <f ca="1">AND(W338,X339,F339="",AG339&lt;=X344)</f>
        <v>0</v>
      </c>
      <c r="AK339" s="488" t="b">
        <f ca="1">AND(W338,X339,G339="",AG339&lt;=X344)</f>
        <v>0</v>
      </c>
      <c r="AL339" s="488" t="b">
        <f ca="1">AND(Y338,Z339,K339="",AG339&lt;=Y344)</f>
        <v>0</v>
      </c>
      <c r="AM339" s="488" t="b">
        <f ca="1">AND(Y338,Z339,L339="",AG339&lt;=Y344)</f>
        <v>0</v>
      </c>
      <c r="AN339" s="488" t="b">
        <f ca="1">AND(Y338,Z339,M339="",AG339&lt;=Z344)</f>
        <v>0</v>
      </c>
      <c r="AO339" s="488" t="b">
        <f ca="1">AND(Y338,Z339,N339="",AG339&lt;=Z344)</f>
        <v>0</v>
      </c>
      <c r="AQ339" s="326" t="str">
        <f>IF(OR(NOT(Góllista!$E$6),D339=""),"",IF(C339="öngól","ö"&amp;G335&amp;D339,D335&amp;D339))</f>
        <v/>
      </c>
      <c r="AR339" s="326" t="str">
        <f>IF(OR(NOT(Góllista!$E$6),G339=""),"",IF(H339="öngól","ö"&amp;D335&amp;G339,G335&amp;G339))</f>
        <v/>
      </c>
      <c r="AS339" s="326" t="str">
        <f>IF(OR(NOT(Góllista!$E$6),K339=""),"",IF(J339="öngól","ö"&amp;N335&amp;K339,K335&amp;K339))</f>
        <v/>
      </c>
      <c r="AT339" s="326" t="str">
        <f>IF(OR(NOT(Góllista!$E$6),N339=""),"",IF(O339="öngól","ö"&amp;K335&amp;N339,N335&amp;N339))</f>
        <v/>
      </c>
      <c r="AY339" s="323"/>
      <c r="BA339" s="323"/>
      <c r="BC339" s="323"/>
      <c r="BE339" s="323"/>
      <c r="BG339" s="323"/>
      <c r="BI339" s="323"/>
      <c r="BK339" s="323"/>
      <c r="BM339" s="323"/>
      <c r="BO339" s="323"/>
      <c r="BQ339" s="323"/>
      <c r="BS339" s="323"/>
      <c r="BU339" s="323"/>
      <c r="BW339" s="323"/>
      <c r="BY339" s="323"/>
      <c r="CA339" s="323"/>
      <c r="CC339" s="323"/>
      <c r="CE339" s="323"/>
      <c r="CG339" s="323"/>
      <c r="CI339" s="323"/>
      <c r="CK339" s="323"/>
      <c r="CM339" s="323"/>
      <c r="CO339" s="323"/>
      <c r="CQ339" s="323"/>
      <c r="CS339" s="323"/>
      <c r="CU339" s="323"/>
      <c r="CW339" s="323"/>
      <c r="CY339" s="323"/>
      <c r="DA339" s="323"/>
      <c r="DC339" s="323"/>
      <c r="DE339" s="323"/>
      <c r="DG339" s="323"/>
      <c r="DI339" s="323"/>
    </row>
    <row r="340" spans="1:114" ht="12" customHeight="1" x14ac:dyDescent="0.3">
      <c r="A340" s="765"/>
      <c r="C340" s="219"/>
      <c r="D340" s="220"/>
      <c r="E340" s="224"/>
      <c r="F340" s="222"/>
      <c r="G340" s="223"/>
      <c r="H340" s="219"/>
      <c r="J340" s="219"/>
      <c r="K340" s="220"/>
      <c r="L340" s="224"/>
      <c r="M340" s="222"/>
      <c r="N340" s="223"/>
      <c r="O340" s="219"/>
      <c r="V340" s="487" t="s">
        <v>1265</v>
      </c>
      <c r="W340" s="491" t="str">
        <f>VLOOKUP(W336,schedule,12,FALSE)</f>
        <v>3. CSOPORTMÉRKŐZÉS</v>
      </c>
      <c r="X340" s="485" t="str">
        <f>""</f>
        <v/>
      </c>
      <c r="Y340" s="491" t="str">
        <f>VLOOKUP(Y336,schedule,12,FALSE)</f>
        <v>3. CSOPORTMÉRKŐZÉS</v>
      </c>
      <c r="AB340" s="327" t="str">
        <f>IF(C340="öngól",AC335,AB335)</f>
        <v>nevek.20</v>
      </c>
      <c r="AC340" s="327" t="str">
        <f>IF(H340="öngól",AB335,AC335)</f>
        <v>nevek.17</v>
      </c>
      <c r="AD340" s="327" t="str">
        <f>IF(J340="öngól",AE335,AD335)</f>
        <v>nevek.18</v>
      </c>
      <c r="AE340" s="327" t="str">
        <f>IF(O340="öngól",AD335,AE335)</f>
        <v>nevek.19</v>
      </c>
      <c r="AF340" s="325"/>
      <c r="AG340" s="485">
        <v>5</v>
      </c>
      <c r="AH340" s="488" t="b">
        <f ca="1">AND(W338,X339,D340="",AG340&lt;=W344)</f>
        <v>0</v>
      </c>
      <c r="AI340" s="488" t="b">
        <f ca="1">AND(W338,X339,E340="",AG340&lt;=W344)</f>
        <v>0</v>
      </c>
      <c r="AJ340" s="488" t="b">
        <f ca="1">AND(W338,X339,F340="",AG340&lt;=X344)</f>
        <v>0</v>
      </c>
      <c r="AK340" s="488" t="b">
        <f ca="1">AND(W338,X339,G340="",AG340&lt;=X344)</f>
        <v>0</v>
      </c>
      <c r="AL340" s="488" t="b">
        <f ca="1">AND(Y338,Z339,K340="",AG340&lt;=Y344)</f>
        <v>0</v>
      </c>
      <c r="AM340" s="488" t="b">
        <f ca="1">AND(Y338,Z339,L340="",AG340&lt;=Y344)</f>
        <v>0</v>
      </c>
      <c r="AN340" s="488" t="b">
        <f ca="1">AND(Y338,Z339,M340="",AG340&lt;=Z344)</f>
        <v>0</v>
      </c>
      <c r="AO340" s="488" t="b">
        <f ca="1">AND(Y338,Z339,N340="",AG340&lt;=Z344)</f>
        <v>0</v>
      </c>
      <c r="AQ340" s="326" t="str">
        <f>IF(OR(NOT(Góllista!$E$6),D340=""),"",IF(C340="öngól","ö"&amp;G335&amp;D340,D335&amp;D340))</f>
        <v/>
      </c>
      <c r="AR340" s="326" t="str">
        <f>IF(OR(NOT(Góllista!$E$6),G340=""),"",IF(H340="öngól","ö"&amp;D335&amp;G340,G335&amp;G340))</f>
        <v/>
      </c>
      <c r="AS340" s="326" t="str">
        <f>IF(OR(NOT(Góllista!$E$6),K340=""),"",IF(J340="öngól","ö"&amp;N335&amp;K340,K335&amp;K340))</f>
        <v/>
      </c>
      <c r="AT340" s="326" t="str">
        <f>IF(OR(NOT(Góllista!$E$6),N340=""),"",IF(O340="öngól","ö"&amp;K335&amp;N340,N335&amp;N340))</f>
        <v/>
      </c>
      <c r="AY340" s="323"/>
      <c r="BA340" s="323"/>
      <c r="BC340" s="323"/>
      <c r="BE340" s="323"/>
      <c r="BG340" s="323"/>
      <c r="BI340" s="323"/>
      <c r="BK340" s="323"/>
      <c r="BM340" s="323"/>
      <c r="BO340" s="323"/>
      <c r="BQ340" s="323"/>
      <c r="BS340" s="323"/>
      <c r="BU340" s="323"/>
      <c r="BW340" s="323"/>
      <c r="BY340" s="323"/>
      <c r="CA340" s="323"/>
      <c r="CC340" s="323"/>
      <c r="CE340" s="323"/>
      <c r="CG340" s="323"/>
      <c r="CI340" s="323"/>
      <c r="CK340" s="323"/>
      <c r="CM340" s="323"/>
      <c r="CO340" s="323"/>
      <c r="CQ340" s="323"/>
      <c r="CS340" s="323"/>
      <c r="CU340" s="323"/>
      <c r="CW340" s="323"/>
      <c r="CY340" s="323"/>
      <c r="DA340" s="323"/>
      <c r="DC340" s="323"/>
      <c r="DE340" s="323"/>
      <c r="DG340" s="323"/>
      <c r="DI340" s="323"/>
    </row>
    <row r="341" spans="1:114" ht="12" customHeight="1" x14ac:dyDescent="0.3">
      <c r="A341" s="765"/>
      <c r="C341" s="219"/>
      <c r="D341" s="220"/>
      <c r="E341" s="224"/>
      <c r="F341" s="222"/>
      <c r="G341" s="223"/>
      <c r="H341" s="219"/>
      <c r="J341" s="219"/>
      <c r="K341" s="220"/>
      <c r="L341" s="224"/>
      <c r="M341" s="222"/>
      <c r="N341" s="223"/>
      <c r="O341" s="219"/>
      <c r="V341" s="487" t="s">
        <v>1264</v>
      </c>
      <c r="W341" s="327" t="str">
        <f>VLOOKUP(W336,schedule,3,FALSE)</f>
        <v>E</v>
      </c>
      <c r="X341" s="485" t="str">
        <f>""</f>
        <v/>
      </c>
      <c r="Y341" s="327" t="str">
        <f>VLOOKUP(Y336,schedule,3,FALSE)</f>
        <v>E</v>
      </c>
      <c r="AB341" s="327" t="str">
        <f>IF(C341="öngól",AC335,AB335)</f>
        <v>nevek.20</v>
      </c>
      <c r="AC341" s="327" t="str">
        <f>IF(H341="öngól",AB335,AC335)</f>
        <v>nevek.17</v>
      </c>
      <c r="AD341" s="327" t="str">
        <f>IF(J341="öngól",AE335,AD335)</f>
        <v>nevek.18</v>
      </c>
      <c r="AE341" s="327" t="str">
        <f>IF(O341="öngól",AD335,AE335)</f>
        <v>nevek.19</v>
      </c>
      <c r="AF341" s="325"/>
      <c r="AG341" s="485">
        <v>6</v>
      </c>
      <c r="AH341" s="488" t="b">
        <f ca="1">AND(W338,X339,D341="",AG341&lt;=W344)</f>
        <v>0</v>
      </c>
      <c r="AI341" s="488" t="b">
        <f ca="1">AND(W338,X339,E341="",AG341&lt;=W344)</f>
        <v>0</v>
      </c>
      <c r="AJ341" s="488" t="b">
        <f ca="1">AND(W338,X339,F341="",AG341&lt;=X344)</f>
        <v>0</v>
      </c>
      <c r="AK341" s="488" t="b">
        <f ca="1">AND(W338,X339,G341="",AG341&lt;=X344)</f>
        <v>0</v>
      </c>
      <c r="AL341" s="488" t="b">
        <f ca="1">AND(Y338,Z339,K341="",AG341&lt;=Y344)</f>
        <v>0</v>
      </c>
      <c r="AM341" s="488" t="b">
        <f ca="1">AND(Y338,Z339,L341="",AG341&lt;=Y344)</f>
        <v>0</v>
      </c>
      <c r="AN341" s="488" t="b">
        <f ca="1">AND(Y338,Z339,M341="",AG341&lt;=Z344)</f>
        <v>0</v>
      </c>
      <c r="AO341" s="488" t="b">
        <f ca="1">AND(Y338,Z339,N341="",AG341&lt;=Z344)</f>
        <v>0</v>
      </c>
      <c r="AQ341" s="326" t="str">
        <f>IF(OR(NOT(Góllista!$E$6),D341=""),"",IF(C341="öngól","ö"&amp;G335&amp;D341,D335&amp;D341))</f>
        <v/>
      </c>
      <c r="AR341" s="326" t="str">
        <f>IF(OR(NOT(Góllista!$E$6),G341=""),"",IF(H341="öngól","ö"&amp;D335&amp;G341,G335&amp;G341))</f>
        <v/>
      </c>
      <c r="AS341" s="326" t="str">
        <f>IF(OR(NOT(Góllista!$E$6),K341=""),"",IF(J341="öngól","ö"&amp;N335&amp;K341,K335&amp;K341))</f>
        <v/>
      </c>
      <c r="AT341" s="326" t="str">
        <f>IF(OR(NOT(Góllista!$E$6),N341=""),"",IF(O341="öngól","ö"&amp;K335&amp;N341,N335&amp;N341))</f>
        <v/>
      </c>
      <c r="AY341" s="323"/>
      <c r="BA341" s="323"/>
      <c r="BC341" s="323"/>
      <c r="BE341" s="323"/>
      <c r="BG341" s="323"/>
      <c r="BI341" s="323"/>
      <c r="BK341" s="323"/>
      <c r="BM341" s="323"/>
      <c r="BO341" s="323"/>
      <c r="BQ341" s="323"/>
      <c r="BS341" s="323"/>
      <c r="BU341" s="323"/>
      <c r="BW341" s="323"/>
      <c r="BY341" s="323"/>
      <c r="CA341" s="323"/>
      <c r="CC341" s="323"/>
      <c r="CE341" s="323"/>
      <c r="CG341" s="323"/>
      <c r="CI341" s="323"/>
      <c r="CK341" s="323"/>
      <c r="CM341" s="323"/>
      <c r="CO341" s="323"/>
      <c r="CQ341" s="323"/>
      <c r="CS341" s="323"/>
      <c r="CU341" s="323"/>
      <c r="CW341" s="323"/>
      <c r="CY341" s="323"/>
      <c r="DA341" s="323"/>
      <c r="DC341" s="323"/>
      <c r="DE341" s="323"/>
      <c r="DG341" s="323"/>
      <c r="DI341" s="323"/>
    </row>
    <row r="342" spans="1:114" ht="12" customHeight="1" x14ac:dyDescent="0.3">
      <c r="A342" s="765"/>
      <c r="C342" s="219"/>
      <c r="D342" s="220"/>
      <c r="E342" s="224"/>
      <c r="F342" s="222"/>
      <c r="G342" s="223"/>
      <c r="H342" s="219"/>
      <c r="J342" s="219"/>
      <c r="K342" s="220"/>
      <c r="L342" s="224"/>
      <c r="M342" s="222"/>
      <c r="N342" s="223"/>
      <c r="O342" s="219"/>
      <c r="V342" s="485" t="s">
        <v>707</v>
      </c>
      <c r="W342" s="327">
        <f>IF(NOT(W338),0,E335-9+COUNTBLANK(D336:D344))</f>
        <v>0</v>
      </c>
      <c r="X342" s="327">
        <f>IF(NOT(W338),0,F335-9+COUNTBLANK(G336:G344))</f>
        <v>0</v>
      </c>
      <c r="Y342" s="327">
        <f>IF(NOT(Y338),0,L335-9+COUNTBLANK(K336:K344))</f>
        <v>0</v>
      </c>
      <c r="Z342" s="327">
        <f>IF(NOT(Y338),0,M335-9+COUNTBLANK(N336:N344))</f>
        <v>0</v>
      </c>
      <c r="AB342" s="327" t="str">
        <f>IF(C342="öngól",AC335,AB335)</f>
        <v>nevek.20</v>
      </c>
      <c r="AC342" s="327" t="str">
        <f>IF(H342="öngól",AB335,AC335)</f>
        <v>nevek.17</v>
      </c>
      <c r="AD342" s="327" t="str">
        <f>IF(J342="öngól",AE335,AD335)</f>
        <v>nevek.18</v>
      </c>
      <c r="AE342" s="327" t="str">
        <f>IF(O342="öngól",AD335,AE335)</f>
        <v>nevek.19</v>
      </c>
      <c r="AF342" s="325"/>
      <c r="AG342" s="485">
        <v>7</v>
      </c>
      <c r="AH342" s="488" t="b">
        <f ca="1">AND(W338,X339,D342="",AG342&lt;=W344)</f>
        <v>0</v>
      </c>
      <c r="AI342" s="488" t="b">
        <f ca="1">AND(W338,X339,E342="",AG342&lt;=W344)</f>
        <v>0</v>
      </c>
      <c r="AJ342" s="488" t="b">
        <f ca="1">AND(W338,X339,F342="",AG342&lt;=X344)</f>
        <v>0</v>
      </c>
      <c r="AK342" s="488" t="b">
        <f ca="1">AND(W338,X339,G342="",AG342&lt;=X344)</f>
        <v>0</v>
      </c>
      <c r="AL342" s="488" t="b">
        <f ca="1">AND(Y338,Z339,K342="",AG342&lt;=Y344)</f>
        <v>0</v>
      </c>
      <c r="AM342" s="488" t="b">
        <f ca="1">AND(Y338,Z339,L342="",AG342&lt;=Y344)</f>
        <v>0</v>
      </c>
      <c r="AN342" s="488" t="b">
        <f ca="1">AND(Y338,Z339,M342="",AG342&lt;=Z344)</f>
        <v>0</v>
      </c>
      <c r="AO342" s="488" t="b">
        <f ca="1">AND(Y338,Z339,N342="",AG342&lt;=Z344)</f>
        <v>0</v>
      </c>
      <c r="AQ342" s="326" t="str">
        <f>IF(OR(NOT(Góllista!$E$6),D342=""),"",IF(C342="öngól","ö"&amp;G335&amp;D342,D335&amp;D342))</f>
        <v/>
      </c>
      <c r="AR342" s="326" t="str">
        <f>IF(OR(NOT(Góllista!$E$6),G342=""),"",IF(H342="öngól","ö"&amp;D335&amp;G342,G335&amp;G342))</f>
        <v/>
      </c>
      <c r="AS342" s="326" t="str">
        <f>IF(OR(NOT(Góllista!$E$6),K342=""),"",IF(J342="öngól","ö"&amp;N335&amp;K342,K335&amp;K342))</f>
        <v/>
      </c>
      <c r="AT342" s="326" t="str">
        <f>IF(OR(NOT(Góllista!$E$6),N342=""),"",IF(O342="öngól","ö"&amp;K335&amp;N342,N335&amp;N342))</f>
        <v/>
      </c>
      <c r="AY342" s="323"/>
      <c r="BA342" s="323"/>
      <c r="BC342" s="323"/>
      <c r="BE342" s="323"/>
      <c r="BG342" s="323"/>
      <c r="BI342" s="323"/>
      <c r="BK342" s="323"/>
      <c r="BM342" s="323"/>
      <c r="BO342" s="323"/>
      <c r="BQ342" s="323"/>
      <c r="BS342" s="323"/>
      <c r="BU342" s="323"/>
      <c r="BW342" s="323"/>
      <c r="BY342" s="323"/>
      <c r="CA342" s="323"/>
      <c r="CC342" s="323"/>
      <c r="CE342" s="323"/>
      <c r="CG342" s="323"/>
      <c r="CI342" s="323"/>
      <c r="CK342" s="323"/>
      <c r="CM342" s="323"/>
      <c r="CO342" s="323"/>
      <c r="CQ342" s="323"/>
      <c r="CS342" s="323"/>
      <c r="CU342" s="323"/>
      <c r="CW342" s="323"/>
      <c r="CY342" s="323"/>
      <c r="DA342" s="323"/>
      <c r="DC342" s="323"/>
      <c r="DE342" s="323"/>
      <c r="DG342" s="323"/>
      <c r="DI342" s="323"/>
    </row>
    <row r="343" spans="1:114" ht="12" customHeight="1" x14ac:dyDescent="0.3">
      <c r="A343" s="765"/>
      <c r="C343" s="219"/>
      <c r="D343" s="220"/>
      <c r="E343" s="224"/>
      <c r="F343" s="222"/>
      <c r="G343" s="223"/>
      <c r="H343" s="219"/>
      <c r="J343" s="219"/>
      <c r="K343" s="220"/>
      <c r="L343" s="224"/>
      <c r="M343" s="222"/>
      <c r="N343" s="223"/>
      <c r="O343" s="219"/>
      <c r="V343" s="485" t="s">
        <v>708</v>
      </c>
      <c r="W343" s="411" t="str">
        <f>VLOOKUP(W336,schedule,8,FALSE)</f>
        <v>Szlovákia</v>
      </c>
      <c r="X343" s="411" t="str">
        <f>VLOOKUP(W336,schedule,9,FALSE)</f>
        <v>Spanyolország</v>
      </c>
      <c r="Y343" s="411" t="str">
        <f>VLOOKUP(Y336,schedule,8,FALSE)</f>
        <v>Svédország</v>
      </c>
      <c r="Z343" s="491" t="str">
        <f>VLOOKUP(Y336,schedule,9,FALSE)</f>
        <v>Lengyelország</v>
      </c>
      <c r="AB343" s="327" t="str">
        <f>IF(C343="öngól",AC335,AB335)</f>
        <v>nevek.20</v>
      </c>
      <c r="AC343" s="327" t="str">
        <f>IF(H343="öngól",AB335,AC335)</f>
        <v>nevek.17</v>
      </c>
      <c r="AD343" s="327" t="str">
        <f>IF(J343="öngól",AE335,AD335)</f>
        <v>nevek.18</v>
      </c>
      <c r="AE343" s="327" t="str">
        <f>IF(O343="öngól",AD335,AE335)</f>
        <v>nevek.19</v>
      </c>
      <c r="AF343" s="325"/>
      <c r="AG343" s="485">
        <v>8</v>
      </c>
      <c r="AH343" s="488" t="b">
        <f ca="1">AND(W338,X339,D343="",AG343&lt;=W344)</f>
        <v>0</v>
      </c>
      <c r="AI343" s="488" t="b">
        <f ca="1">AND(W338,X339,E343="",AG343&lt;=W344)</f>
        <v>0</v>
      </c>
      <c r="AJ343" s="488" t="b">
        <f ca="1">AND(W338,X339,F343="",AG343&lt;=X344)</f>
        <v>0</v>
      </c>
      <c r="AK343" s="488" t="b">
        <f ca="1">AND(W338,X339,G343="",AG343&lt;=X344)</f>
        <v>0</v>
      </c>
      <c r="AL343" s="488" t="b">
        <f ca="1">AND(Y338,Z339,K343="",AG343&lt;=Y344)</f>
        <v>0</v>
      </c>
      <c r="AM343" s="488" t="b">
        <f ca="1">AND(Y338,Z339,L343="",AG343&lt;=Y344)</f>
        <v>0</v>
      </c>
      <c r="AN343" s="488" t="b">
        <f ca="1">AND(Y338,Z339,M343="",AG343&lt;=Z344)</f>
        <v>0</v>
      </c>
      <c r="AO343" s="488" t="b">
        <f ca="1">AND(Y338,Z339,N343="",AG343&lt;=Z344)</f>
        <v>0</v>
      </c>
      <c r="AQ343" s="326" t="str">
        <f>IF(OR(NOT(Góllista!$E$6),D343=""),"",IF(C343="öngól","ö"&amp;G335&amp;D343,D335&amp;D343))</f>
        <v/>
      </c>
      <c r="AR343" s="326" t="str">
        <f>IF(OR(NOT(Góllista!$E$6),G343=""),"",IF(H343="öngól","ö"&amp;D335&amp;G343,G335&amp;G343))</f>
        <v/>
      </c>
      <c r="AS343" s="326" t="str">
        <f>IF(OR(NOT(Góllista!$E$6),K343=""),"",IF(J343="öngól","ö"&amp;N335&amp;K343,K335&amp;K343))</f>
        <v/>
      </c>
      <c r="AT343" s="326" t="str">
        <f>IF(OR(NOT(Góllista!$E$6),N343=""),"",IF(O343="öngól","ö"&amp;K335&amp;N343,N335&amp;N343))</f>
        <v/>
      </c>
      <c r="AY343" s="323"/>
      <c r="BA343" s="323"/>
      <c r="BC343" s="323"/>
      <c r="BE343" s="323"/>
      <c r="BG343" s="323"/>
      <c r="BI343" s="323"/>
      <c r="BK343" s="323"/>
      <c r="BM343" s="323"/>
      <c r="BO343" s="323"/>
      <c r="BQ343" s="323"/>
      <c r="BS343" s="323"/>
      <c r="BU343" s="323"/>
      <c r="BW343" s="323"/>
      <c r="BY343" s="323"/>
      <c r="CA343" s="323"/>
      <c r="CC343" s="323"/>
      <c r="CE343" s="323"/>
      <c r="CG343" s="323"/>
      <c r="CI343" s="323"/>
      <c r="CK343" s="323"/>
      <c r="CM343" s="323"/>
      <c r="CO343" s="323"/>
      <c r="CQ343" s="323"/>
      <c r="CS343" s="323"/>
      <c r="CU343" s="323"/>
      <c r="CW343" s="323"/>
      <c r="CY343" s="323"/>
      <c r="DA343" s="323"/>
      <c r="DC343" s="323"/>
      <c r="DE343" s="323"/>
      <c r="DG343" s="323"/>
      <c r="DI343" s="323"/>
    </row>
    <row r="344" spans="1:114" ht="12" customHeight="1" x14ac:dyDescent="0.3">
      <c r="A344" s="765"/>
      <c r="C344" s="219"/>
      <c r="D344" s="220"/>
      <c r="E344" s="225"/>
      <c r="F344" s="222"/>
      <c r="G344" s="223"/>
      <c r="H344" s="219"/>
      <c r="J344" s="219"/>
      <c r="K344" s="220"/>
      <c r="L344" s="225"/>
      <c r="M344" s="222"/>
      <c r="N344" s="223"/>
      <c r="O344" s="219"/>
      <c r="V344" s="485" t="s">
        <v>709</v>
      </c>
      <c r="W344" s="492" t="str">
        <f>INDEX(n.er,W337,9)</f>
        <v/>
      </c>
      <c r="X344" s="493" t="str">
        <f>INDEX(n.er,W337,10)</f>
        <v/>
      </c>
      <c r="Y344" s="492" t="str">
        <f>INDEX(n.er,Y337,9)</f>
        <v/>
      </c>
      <c r="Z344" s="493" t="str">
        <f>INDEX(n.er,Y337,10)</f>
        <v/>
      </c>
      <c r="AB344" s="327" t="str">
        <f>IF(C344="öngól",AC335,AB335)</f>
        <v>nevek.20</v>
      </c>
      <c r="AC344" s="327" t="str">
        <f>IF(H344="öngól",AB335,AC335)</f>
        <v>nevek.17</v>
      </c>
      <c r="AD344" s="327" t="str">
        <f>IF(J344="öngól",AE335,AD335)</f>
        <v>nevek.18</v>
      </c>
      <c r="AE344" s="327" t="str">
        <f>IF(O344="öngól",AD335,AE335)</f>
        <v>nevek.19</v>
      </c>
      <c r="AF344" s="325"/>
      <c r="AG344" s="485">
        <v>9</v>
      </c>
      <c r="AH344" s="488" t="b">
        <f ca="1">AND(W338,X339,D344="",AG344&lt;=W344)</f>
        <v>0</v>
      </c>
      <c r="AI344" s="488" t="b">
        <f ca="1">AND(W338,X339,E344="",AG344&lt;=W344)</f>
        <v>0</v>
      </c>
      <c r="AJ344" s="488" t="b">
        <f ca="1">AND(W338,X339,F344="",AG344&lt;=X344)</f>
        <v>0</v>
      </c>
      <c r="AK344" s="488" t="b">
        <f ca="1">AND(W338,X339,G344="",AG344&lt;=X344)</f>
        <v>0</v>
      </c>
      <c r="AL344" s="488" t="b">
        <f ca="1">AND(Y338,Z339,K344="",AG344&lt;=Y344)</f>
        <v>0</v>
      </c>
      <c r="AM344" s="488" t="b">
        <f ca="1">AND(Y338,Z339,L344="",AG344&lt;=Y344)</f>
        <v>0</v>
      </c>
      <c r="AN344" s="488" t="b">
        <f ca="1">AND(Y338,Z339,M344="",AG344&lt;=Z344)</f>
        <v>0</v>
      </c>
      <c r="AO344" s="488" t="b">
        <f ca="1">AND(Y338,Z339,N344="",AG344&lt;=Z344)</f>
        <v>0</v>
      </c>
      <c r="AQ344" s="326" t="str">
        <f>IF(OR(NOT(Góllista!$E$6),D344=""),"",IF(C344="öngól","ö"&amp;G335&amp;D344,D335&amp;D344))</f>
        <v/>
      </c>
      <c r="AR344" s="326" t="str">
        <f>IF(OR(NOT(Góllista!$E$6),G344=""),"",IF(H344="öngól","ö"&amp;D335&amp;G344,G335&amp;G344))</f>
        <v/>
      </c>
      <c r="AS344" s="326" t="str">
        <f>IF(OR(NOT(Góllista!$E$6),K344=""),"",IF(J344="öngól","ö"&amp;N335&amp;K344,K335&amp;K344))</f>
        <v/>
      </c>
      <c r="AT344" s="326" t="str">
        <f>IF(OR(NOT(Góllista!$E$6),N344=""),"",IF(O344="öngól","ö"&amp;K335&amp;N344,N335&amp;N344))</f>
        <v/>
      </c>
      <c r="AY344" s="323"/>
      <c r="BA344" s="323"/>
      <c r="BC344" s="323"/>
      <c r="BE344" s="323"/>
      <c r="BG344" s="323"/>
      <c r="BI344" s="323"/>
      <c r="BK344" s="323"/>
      <c r="BM344" s="323"/>
      <c r="BO344" s="323"/>
      <c r="BQ344" s="323"/>
      <c r="BS344" s="323"/>
      <c r="BU344" s="323"/>
      <c r="BW344" s="323"/>
      <c r="BY344" s="323"/>
      <c r="CA344" s="323"/>
      <c r="CC344" s="323"/>
      <c r="CE344" s="323"/>
      <c r="CG344" s="323"/>
      <c r="CI344" s="323"/>
      <c r="CK344" s="323"/>
      <c r="CM344" s="323"/>
      <c r="CO344" s="323"/>
      <c r="CQ344" s="323"/>
      <c r="CS344" s="323"/>
      <c r="CU344" s="323"/>
      <c r="CW344" s="323"/>
      <c r="CY344" s="323"/>
      <c r="DA344" s="323"/>
      <c r="DC344" s="323"/>
      <c r="DE344" s="323"/>
      <c r="DG344" s="323"/>
      <c r="DI344" s="323"/>
    </row>
    <row r="345" spans="1:114" ht="12" customHeight="1" x14ac:dyDescent="0.3">
      <c r="A345" s="765"/>
      <c r="C345" s="768"/>
      <c r="D345" s="768"/>
      <c r="E345" s="768"/>
      <c r="F345" s="768"/>
      <c r="G345" s="768"/>
      <c r="H345" s="768"/>
      <c r="J345" s="768"/>
      <c r="K345" s="768"/>
      <c r="L345" s="768"/>
      <c r="M345" s="768"/>
      <c r="N345" s="768"/>
      <c r="O345" s="768"/>
      <c r="AY345" s="323"/>
      <c r="BA345" s="323"/>
      <c r="BC345" s="323"/>
      <c r="BE345" s="323"/>
      <c r="BG345" s="323"/>
      <c r="BI345" s="323"/>
      <c r="BK345" s="323"/>
      <c r="BM345" s="323"/>
      <c r="BO345" s="323"/>
      <c r="BQ345" s="323"/>
      <c r="BS345" s="323"/>
      <c r="BU345" s="323"/>
      <c r="BW345" s="323"/>
      <c r="BY345" s="323"/>
      <c r="CA345" s="323"/>
      <c r="CC345" s="323"/>
      <c r="CE345" s="323"/>
      <c r="CG345" s="323"/>
      <c r="CI345" s="323"/>
      <c r="CK345" s="323"/>
      <c r="CM345" s="323"/>
      <c r="CO345" s="323"/>
      <c r="CQ345" s="323"/>
      <c r="CS345" s="323"/>
      <c r="CU345" s="323"/>
      <c r="CW345" s="323"/>
      <c r="CY345" s="323"/>
      <c r="DA345" s="323"/>
      <c r="DC345" s="323"/>
      <c r="DE345" s="323"/>
      <c r="DG345" s="323"/>
      <c r="DI345" s="323"/>
    </row>
    <row r="346" spans="1:114" ht="12" hidden="1" customHeight="1" x14ac:dyDescent="0.3">
      <c r="A346" s="765"/>
      <c r="C346" s="767"/>
      <c r="D346" s="767"/>
      <c r="E346" s="767"/>
      <c r="F346" s="767"/>
      <c r="G346" s="767"/>
      <c r="H346" s="767"/>
      <c r="J346" s="767"/>
      <c r="K346" s="767"/>
      <c r="L346" s="767"/>
      <c r="M346" s="767"/>
      <c r="N346" s="767"/>
      <c r="O346" s="767"/>
      <c r="AY346" s="323"/>
      <c r="BA346" s="323"/>
      <c r="BC346" s="323"/>
      <c r="BE346" s="323"/>
      <c r="BG346" s="323"/>
      <c r="BI346" s="323"/>
      <c r="BK346" s="323"/>
      <c r="BM346" s="323"/>
      <c r="BO346" s="323"/>
      <c r="BQ346" s="323"/>
      <c r="BS346" s="323"/>
      <c r="BU346" s="323"/>
      <c r="BW346" s="323"/>
      <c r="BY346" s="323"/>
      <c r="CA346" s="323"/>
      <c r="CC346" s="323"/>
      <c r="CE346" s="323"/>
      <c r="CG346" s="323"/>
      <c r="CI346" s="323"/>
      <c r="CK346" s="323"/>
      <c r="CM346" s="323"/>
      <c r="CO346" s="323"/>
      <c r="CQ346" s="323"/>
      <c r="CS346" s="323"/>
      <c r="CU346" s="323"/>
      <c r="CW346" s="323"/>
      <c r="CY346" s="323"/>
      <c r="DA346" s="323"/>
      <c r="DC346" s="323"/>
      <c r="DE346" s="323"/>
      <c r="DG346" s="323"/>
      <c r="DI346" s="323"/>
    </row>
    <row r="347" spans="1:114" ht="12" hidden="1" customHeight="1" x14ac:dyDescent="0.3">
      <c r="A347" s="765"/>
      <c r="C347" s="767"/>
      <c r="D347" s="767"/>
      <c r="E347" s="767"/>
      <c r="F347" s="767"/>
      <c r="G347" s="767"/>
      <c r="H347" s="767"/>
      <c r="J347" s="767"/>
      <c r="K347" s="767"/>
      <c r="L347" s="767"/>
      <c r="M347" s="767"/>
      <c r="N347" s="767"/>
      <c r="O347" s="767"/>
      <c r="AY347" s="323"/>
      <c r="BA347" s="323"/>
      <c r="BC347" s="323"/>
      <c r="BE347" s="323"/>
      <c r="BG347" s="323"/>
      <c r="BI347" s="323"/>
      <c r="BK347" s="323"/>
      <c r="BM347" s="323"/>
      <c r="BO347" s="323"/>
      <c r="BQ347" s="323"/>
      <c r="BS347" s="323"/>
      <c r="BU347" s="323"/>
      <c r="BW347" s="323"/>
      <c r="BY347" s="323"/>
      <c r="CA347" s="323"/>
      <c r="CC347" s="323"/>
      <c r="CE347" s="323"/>
      <c r="CG347" s="323"/>
      <c r="CI347" s="323"/>
      <c r="CK347" s="323"/>
      <c r="CM347" s="323"/>
      <c r="CO347" s="323"/>
      <c r="CQ347" s="323"/>
      <c r="CS347" s="323"/>
      <c r="CU347" s="323"/>
      <c r="CW347" s="323"/>
      <c r="CY347" s="323"/>
      <c r="DA347" s="323"/>
      <c r="DC347" s="323"/>
      <c r="DE347" s="323"/>
      <c r="DG347" s="323"/>
      <c r="DI347" s="323"/>
    </row>
    <row r="348" spans="1:114" ht="3.75" customHeight="1" x14ac:dyDescent="0.3">
      <c r="A348" s="765"/>
      <c r="AH348" s="494"/>
      <c r="AY348" s="323"/>
      <c r="BA348" s="323"/>
      <c r="BC348" s="323"/>
      <c r="BE348" s="323"/>
      <c r="BG348" s="323"/>
      <c r="BI348" s="323"/>
      <c r="BK348" s="323"/>
      <c r="BM348" s="323"/>
      <c r="BO348" s="323"/>
      <c r="BQ348" s="323"/>
      <c r="BS348" s="323"/>
      <c r="BU348" s="323"/>
      <c r="BW348" s="323"/>
      <c r="BY348" s="323"/>
      <c r="CA348" s="323"/>
      <c r="CC348" s="323"/>
      <c r="CE348" s="323"/>
      <c r="CG348" s="323"/>
      <c r="CI348" s="323"/>
      <c r="CK348" s="323"/>
      <c r="CM348" s="323"/>
      <c r="CO348" s="323"/>
      <c r="CQ348" s="323"/>
      <c r="CS348" s="323"/>
      <c r="CU348" s="323"/>
      <c r="CW348" s="323"/>
      <c r="CY348" s="323"/>
      <c r="DA348" s="323"/>
      <c r="DC348" s="323"/>
      <c r="DE348" s="323"/>
      <c r="DG348" s="323"/>
      <c r="DI348" s="323"/>
    </row>
    <row r="349" spans="1:114" ht="11.25" customHeight="1" x14ac:dyDescent="0.3">
      <c r="A349" s="765"/>
      <c r="B349" s="15"/>
      <c r="D349" s="235"/>
      <c r="E349" s="722" t="str">
        <f>IF(W349,"  BÜNTETŐK:","  BÜNTETŐK:  –")</f>
        <v xml:space="preserve">  BÜNTETŐK:  –</v>
      </c>
      <c r="F349" s="235"/>
      <c r="G349" s="235"/>
      <c r="H349" s="235"/>
      <c r="I349" s="37"/>
      <c r="J349" s="234"/>
      <c r="K349" s="235"/>
      <c r="L349" s="722" t="str">
        <f>IF(AD349,"  BÜNTETŐK:","  BÜNTETŐK:  –")</f>
        <v xml:space="preserve">  BÜNTETŐK:  –</v>
      </c>
      <c r="M349" s="235"/>
      <c r="N349" s="235"/>
      <c r="O349" s="235"/>
      <c r="V349" s="487" t="s">
        <v>712</v>
      </c>
      <c r="W349" s="489" t="b">
        <f>INDEX(n.er,W337,14)</f>
        <v>0</v>
      </c>
      <c r="Y349" s="489" t="b">
        <f>INDEX(n.er,Y337,14)</f>
        <v>0</v>
      </c>
      <c r="AF349" s="325"/>
      <c r="AQ349" s="323"/>
      <c r="AR349" s="323"/>
      <c r="AS349" s="323"/>
      <c r="AT349" s="323"/>
      <c r="AW349" s="485"/>
      <c r="AY349" s="323"/>
      <c r="BA349" s="323"/>
      <c r="BC349" s="323"/>
      <c r="BE349" s="323"/>
      <c r="BG349" s="323"/>
      <c r="BI349" s="323"/>
      <c r="BK349" s="323"/>
      <c r="BM349" s="323"/>
      <c r="BO349" s="323"/>
      <c r="BQ349" s="323"/>
      <c r="BS349" s="323"/>
      <c r="BU349" s="323"/>
      <c r="BW349" s="323"/>
      <c r="BY349" s="323"/>
      <c r="CA349" s="323"/>
      <c r="CC349" s="323"/>
      <c r="CE349" s="323"/>
      <c r="CG349" s="323"/>
      <c r="CI349" s="323"/>
      <c r="CK349" s="323"/>
      <c r="CM349" s="323"/>
      <c r="CO349" s="323"/>
      <c r="CQ349" s="323"/>
      <c r="CS349" s="323"/>
      <c r="CU349" s="323"/>
      <c r="CW349" s="323"/>
      <c r="CY349" s="323"/>
      <c r="DA349" s="323"/>
      <c r="DC349" s="323"/>
      <c r="DE349" s="323"/>
      <c r="DG349" s="323"/>
      <c r="DI349" s="323"/>
      <c r="DJ349" s="485"/>
    </row>
    <row r="350" spans="1:114" ht="11.25" customHeight="1" x14ac:dyDescent="0.3">
      <c r="A350" s="765"/>
      <c r="C350" s="241" t="str">
        <f>IF(W351=0,"",IF(W351&gt;0,CONCATENATE("még ",W351," büntető"),CONCATENATE("túl sok (",W351," büntető)")))</f>
        <v/>
      </c>
      <c r="D350" s="237" t="str">
        <f>IF(W349,W343,"")</f>
        <v/>
      </c>
      <c r="E350" s="239" t="str">
        <f>IF(W349,W350,"")</f>
        <v/>
      </c>
      <c r="F350" s="240" t="str">
        <f>IF(W349,X350,"")</f>
        <v/>
      </c>
      <c r="G350" s="238" t="str">
        <f>IF(W349,X343,"")</f>
        <v/>
      </c>
      <c r="H350" s="241" t="str">
        <f>IF(X351=0,"",IF(X351&gt;0,CONCATENATE("még ",X351," büntető"),CONCATENATE("túl sok (",X351," büntető)")))</f>
        <v/>
      </c>
      <c r="J350" s="241" t="str">
        <f>IF(Y351=0,"",IF(Y351&gt;0,CONCATENATE("még ",Y351," büntető"),CONCATENATE("túl sok (",Y351," büntető)")))</f>
        <v/>
      </c>
      <c r="K350" s="237" t="str">
        <f>IF(Y349,Y343,"")</f>
        <v/>
      </c>
      <c r="L350" s="239" t="str">
        <f>IF(Y349,Y350,"")</f>
        <v/>
      </c>
      <c r="M350" s="240" t="str">
        <f>IF(Y349,Z350,"")</f>
        <v/>
      </c>
      <c r="N350" s="238" t="str">
        <f>IF(Y349,Z343,"")</f>
        <v/>
      </c>
      <c r="O350" s="241" t="str">
        <f>IF(Z351=0,"",IF(Z351&gt;0,CONCATENATE("még ",Z351," büntető"),CONCATENATE("túl sok (",Z351," büntető)")))</f>
        <v/>
      </c>
      <c r="V350" s="487" t="s">
        <v>709</v>
      </c>
      <c r="W350" s="492" t="str">
        <f>IF(NOT(W349),"",INDEX(n.er,W337,17))</f>
        <v/>
      </c>
      <c r="X350" s="493" t="str">
        <f>IF(NOT(W349),"",INDEX(n.er,W337,18))</f>
        <v/>
      </c>
      <c r="Y350" s="492" t="str">
        <f>IF(NOT(Y349),"",INDEX(n.er,Y337,17))</f>
        <v/>
      </c>
      <c r="Z350" s="493" t="str">
        <f>IF(NOT(Y349),"",INDEX(n.er,Y337,18))</f>
        <v/>
      </c>
      <c r="AF350" s="325"/>
      <c r="AH350" s="494"/>
      <c r="AQ350" s="323"/>
      <c r="AR350" s="323"/>
      <c r="AS350" s="323"/>
      <c r="AT350" s="323"/>
      <c r="AW350" s="485"/>
      <c r="AY350" s="323"/>
      <c r="BA350" s="323"/>
      <c r="BC350" s="323"/>
      <c r="BE350" s="323"/>
      <c r="BG350" s="323"/>
      <c r="BI350" s="323"/>
      <c r="BK350" s="323"/>
      <c r="BM350" s="323"/>
      <c r="BO350" s="323"/>
      <c r="BQ350" s="323"/>
      <c r="BS350" s="323"/>
      <c r="BU350" s="323"/>
      <c r="BW350" s="323"/>
      <c r="BY350" s="323"/>
      <c r="CA350" s="323"/>
      <c r="CC350" s="323"/>
      <c r="CE350" s="323"/>
      <c r="CG350" s="323"/>
      <c r="CI350" s="323"/>
      <c r="CK350" s="323"/>
      <c r="CM350" s="323"/>
      <c r="CO350" s="323"/>
      <c r="CQ350" s="323"/>
      <c r="CS350" s="323"/>
      <c r="CU350" s="323"/>
      <c r="CW350" s="323"/>
      <c r="CY350" s="323"/>
      <c r="DA350" s="323"/>
      <c r="DC350" s="323"/>
      <c r="DE350" s="323"/>
      <c r="DG350" s="323"/>
      <c r="DI350" s="323"/>
    </row>
    <row r="351" spans="1:114" ht="11.25" customHeight="1" x14ac:dyDescent="0.3">
      <c r="A351" s="765"/>
      <c r="C351" s="236"/>
      <c r="D351" s="220"/>
      <c r="E351" s="515"/>
      <c r="F351" s="516"/>
      <c r="G351" s="223"/>
      <c r="H351" s="236"/>
      <c r="J351" s="236"/>
      <c r="K351" s="220"/>
      <c r="L351" s="515"/>
      <c r="M351" s="516"/>
      <c r="N351" s="223"/>
      <c r="O351" s="236"/>
      <c r="V351" s="485" t="s">
        <v>707</v>
      </c>
      <c r="W351" s="327">
        <f>IF(W350="",0,E350-COUNTIF(E351:E364,"O"))</f>
        <v>0</v>
      </c>
      <c r="X351" s="327">
        <f>IF(X350="",0,F350-COUNTIF(F351:F364,"O"))</f>
        <v>0</v>
      </c>
      <c r="Y351" s="327">
        <f>IF(Y350="",0,L350-COUNTIF(L351:L366,"O"))</f>
        <v>0</v>
      </c>
      <c r="Z351" s="327">
        <f>IF(Z350="",0,M350-COUNTIF(M351:M366,"O"))</f>
        <v>0</v>
      </c>
      <c r="AB351" s="52" t="str">
        <f>IF(NOT(W349),"",HLOOKUP(D350,nevek.li,2,FALSE))</f>
        <v/>
      </c>
      <c r="AC351" s="52" t="str">
        <f>IF(NOT(W349),"",HLOOKUP(G350,nevek.li,2,FALSE))</f>
        <v/>
      </c>
      <c r="AD351" s="52" t="str">
        <f>IF(NOT(Y349),"",HLOOKUP(K350,nevek.li,2,FALSE))</f>
        <v/>
      </c>
      <c r="AE351" s="52" t="str">
        <f>IF(NOT(Y349),"",HLOOKUP(N350,nevek.li,2,FALSE))</f>
        <v/>
      </c>
      <c r="AF351" s="325"/>
      <c r="AG351" s="485">
        <v>1</v>
      </c>
      <c r="AH351" s="488" t="b">
        <f ca="1">IF(OR(NOT(W349),NOT(X339)),FALSE,D351="")</f>
        <v>0</v>
      </c>
      <c r="AI351" s="488" t="b">
        <f ca="1">IF(OR(NOT(W349),NOT(X339)),FALSE,E351="")</f>
        <v>0</v>
      </c>
      <c r="AJ351" s="488" t="b">
        <f ca="1">IF(OR(NOT(W349),NOT(X339)),FALSE,F351="")</f>
        <v>0</v>
      </c>
      <c r="AK351" s="488" t="b">
        <f ca="1">IF(OR(NOT(W349),NOT(X339)),FALSE,G351="")</f>
        <v>0</v>
      </c>
      <c r="AL351" s="488" t="b">
        <f ca="1">IF(OR(NOT(Y349),NOT(Z339)),FALSE,K351="")</f>
        <v>0</v>
      </c>
      <c r="AM351" s="488" t="b">
        <f ca="1">IF(OR(NOT(Y349),NOT(Z339)),FALSE,L351="")</f>
        <v>0</v>
      </c>
      <c r="AN351" s="488" t="b">
        <f ca="1">IF(OR(NOT(Y349),NOT(Z339)),FALSE,M351="")</f>
        <v>0</v>
      </c>
      <c r="AO351" s="488" t="b">
        <f ca="1">IF(OR(NOT(Y349),NOT(Z339)),FALSE,N351="")</f>
        <v>0</v>
      </c>
      <c r="AS351" s="323"/>
      <c r="AT351" s="323"/>
      <c r="AY351" s="323"/>
      <c r="BA351" s="323"/>
      <c r="BC351" s="323"/>
      <c r="BE351" s="323"/>
      <c r="BG351" s="323"/>
      <c r="BI351" s="323"/>
      <c r="BK351" s="323"/>
      <c r="BM351" s="323"/>
      <c r="BO351" s="323"/>
      <c r="BQ351" s="323"/>
      <c r="BS351" s="323"/>
      <c r="BU351" s="323"/>
      <c r="BW351" s="323"/>
      <c r="BY351" s="323"/>
      <c r="CA351" s="323"/>
      <c r="CC351" s="323"/>
      <c r="CE351" s="323"/>
      <c r="CG351" s="323"/>
      <c r="CI351" s="323"/>
      <c r="CK351" s="323"/>
      <c r="CM351" s="323"/>
      <c r="CO351" s="323"/>
      <c r="CQ351" s="323"/>
      <c r="CS351" s="323"/>
      <c r="CU351" s="323"/>
      <c r="CW351" s="323"/>
      <c r="CY351" s="323"/>
      <c r="DA351" s="323"/>
      <c r="DC351" s="323"/>
      <c r="DE351" s="323"/>
      <c r="DG351" s="323"/>
      <c r="DI351" s="323"/>
      <c r="DJ351" s="485"/>
    </row>
    <row r="352" spans="1:114" ht="11.25" customHeight="1" x14ac:dyDescent="0.3">
      <c r="A352" s="765"/>
      <c r="C352" s="219"/>
      <c r="D352" s="220"/>
      <c r="E352" s="517"/>
      <c r="F352" s="516"/>
      <c r="G352" s="223"/>
      <c r="H352" s="219"/>
      <c r="J352" s="219"/>
      <c r="K352" s="220"/>
      <c r="L352" s="517"/>
      <c r="M352" s="516"/>
      <c r="N352" s="223"/>
      <c r="O352" s="219"/>
      <c r="AB352" s="327" t="str">
        <f>AB351</f>
        <v/>
      </c>
      <c r="AC352" s="327" t="str">
        <f>AC351</f>
        <v/>
      </c>
      <c r="AD352" s="327" t="str">
        <f>AD351</f>
        <v/>
      </c>
      <c r="AE352" s="327" t="str">
        <f>AE351</f>
        <v/>
      </c>
      <c r="AF352" s="325"/>
      <c r="AG352" s="485">
        <v>2</v>
      </c>
      <c r="AH352" s="488" t="b">
        <f ca="1">IF(OR(NOT(W349),NOT(X339)),FALSE,D352="")</f>
        <v>0</v>
      </c>
      <c r="AI352" s="488" t="b">
        <f ca="1">IF(OR(NOT(W349),NOT(X339)),FALSE,E352="")</f>
        <v>0</v>
      </c>
      <c r="AJ352" s="488" t="b">
        <f ca="1">IF(OR(NOT(W349),NOT(X339)),FALSE,F352="")</f>
        <v>0</v>
      </c>
      <c r="AK352" s="488" t="b">
        <f ca="1">IF(OR(NOT(W349),NOT(X339)),FALSE,G352="")</f>
        <v>0</v>
      </c>
      <c r="AL352" s="488" t="b">
        <f ca="1">IF(OR(NOT(Y349),NOT(Z339)),FALSE,K352="")</f>
        <v>0</v>
      </c>
      <c r="AM352" s="488" t="b">
        <f ca="1">IF(OR(NOT(Y349),NOT(Z339)),FALSE,L352="")</f>
        <v>0</v>
      </c>
      <c r="AN352" s="488" t="b">
        <f ca="1">IF(OR(NOT(Y349),NOT(Z339)),FALSE,M352="")</f>
        <v>0</v>
      </c>
      <c r="AO352" s="488" t="b">
        <f ca="1">IF(OR(NOT(Y349),NOT(Z339)),FALSE,N352="")</f>
        <v>0</v>
      </c>
      <c r="AS352" s="323"/>
      <c r="AT352" s="323"/>
      <c r="AW352" s="485"/>
      <c r="AY352" s="323"/>
      <c r="BA352" s="323"/>
      <c r="BC352" s="323"/>
      <c r="BE352" s="323"/>
      <c r="BG352" s="323"/>
      <c r="BI352" s="323"/>
      <c r="BK352" s="323"/>
      <c r="BM352" s="323"/>
      <c r="BO352" s="323"/>
      <c r="BQ352" s="323"/>
      <c r="BS352" s="323"/>
      <c r="BU352" s="323"/>
      <c r="BW352" s="323"/>
      <c r="BY352" s="323"/>
      <c r="CA352" s="323"/>
      <c r="CC352" s="323"/>
      <c r="CE352" s="323"/>
      <c r="CG352" s="323"/>
      <c r="CI352" s="323"/>
      <c r="CK352" s="323"/>
      <c r="CM352" s="323"/>
      <c r="CO352" s="323"/>
      <c r="CQ352" s="323"/>
      <c r="CS352" s="323"/>
      <c r="CU352" s="323"/>
      <c r="CW352" s="323"/>
      <c r="CY352" s="323"/>
      <c r="DA352" s="323"/>
      <c r="DC352" s="323"/>
      <c r="DE352" s="323"/>
      <c r="DG352" s="323"/>
      <c r="DI352" s="323"/>
      <c r="DJ352" s="485"/>
    </row>
    <row r="353" spans="1:114" ht="11.25" customHeight="1" x14ac:dyDescent="0.3">
      <c r="A353" s="765"/>
      <c r="C353" s="219"/>
      <c r="D353" s="220"/>
      <c r="E353" s="517"/>
      <c r="F353" s="516"/>
      <c r="G353" s="223"/>
      <c r="H353" s="219"/>
      <c r="J353" s="219"/>
      <c r="K353" s="220"/>
      <c r="L353" s="517"/>
      <c r="M353" s="516"/>
      <c r="N353" s="223"/>
      <c r="O353" s="219"/>
      <c r="AB353" s="327" t="str">
        <f t="shared" ref="AB353:AB364" si="96">AB352</f>
        <v/>
      </c>
      <c r="AC353" s="327" t="str">
        <f t="shared" ref="AC353:AC364" si="97">AC352</f>
        <v/>
      </c>
      <c r="AD353" s="327" t="str">
        <f t="shared" ref="AD353:AD364" si="98">AD352</f>
        <v/>
      </c>
      <c r="AE353" s="327" t="str">
        <f t="shared" ref="AE353:AE364" si="99">AE352</f>
        <v/>
      </c>
      <c r="AF353" s="325"/>
      <c r="AG353" s="485">
        <v>3</v>
      </c>
      <c r="AH353" s="488" t="b">
        <f ca="1">IF(OR(NOT(W349),NOT(X339)),FALSE,D353="")</f>
        <v>0</v>
      </c>
      <c r="AI353" s="488" t="b">
        <f ca="1">IF(OR(NOT(W349),NOT(X339)),FALSE,E353="")</f>
        <v>0</v>
      </c>
      <c r="AJ353" s="488" t="b">
        <f ca="1">IF(OR(NOT(W349),NOT(X339)),FALSE,F353="")</f>
        <v>0</v>
      </c>
      <c r="AK353" s="488" t="b">
        <f ca="1">IF(OR(NOT(W349),NOT(X339)),FALSE,G353="")</f>
        <v>0</v>
      </c>
      <c r="AL353" s="488" t="b">
        <f ca="1">IF(OR(NOT(Y349),NOT(Z339)),FALSE,K353="")</f>
        <v>0</v>
      </c>
      <c r="AM353" s="488" t="b">
        <f ca="1">IF(OR(NOT(Y349),NOT(Z339)),FALSE,L353="")</f>
        <v>0</v>
      </c>
      <c r="AN353" s="488" t="b">
        <f ca="1">IF(OR(NOT(Y349),NOT(Z339)),FALSE,M353="")</f>
        <v>0</v>
      </c>
      <c r="AO353" s="488" t="b">
        <f ca="1">IF(OR(NOT(Y349),NOT(Z339)),FALSE,N353="")</f>
        <v>0</v>
      </c>
      <c r="AS353" s="323"/>
      <c r="AT353" s="323"/>
      <c r="AW353" s="485"/>
      <c r="AY353" s="323"/>
      <c r="BA353" s="323"/>
      <c r="BC353" s="323"/>
      <c r="BE353" s="323"/>
      <c r="BG353" s="323"/>
      <c r="BI353" s="323"/>
      <c r="BK353" s="323"/>
      <c r="BM353" s="323"/>
      <c r="BO353" s="323"/>
      <c r="BQ353" s="323"/>
      <c r="BS353" s="323"/>
      <c r="BU353" s="323"/>
      <c r="BW353" s="323"/>
      <c r="BY353" s="323"/>
      <c r="CA353" s="323"/>
      <c r="CC353" s="323"/>
      <c r="CE353" s="323"/>
      <c r="CG353" s="323"/>
      <c r="CI353" s="323"/>
      <c r="CK353" s="323"/>
      <c r="CM353" s="323"/>
      <c r="CO353" s="323"/>
      <c r="CQ353" s="323"/>
      <c r="CS353" s="323"/>
      <c r="CU353" s="323"/>
      <c r="CW353" s="323"/>
      <c r="CY353" s="323"/>
      <c r="DA353" s="323"/>
      <c r="DC353" s="323"/>
      <c r="DE353" s="323"/>
      <c r="DG353" s="323"/>
      <c r="DI353" s="323"/>
      <c r="DJ353" s="485"/>
    </row>
    <row r="354" spans="1:114" ht="11.25" customHeight="1" x14ac:dyDescent="0.3">
      <c r="A354" s="765"/>
      <c r="C354" s="219"/>
      <c r="D354" s="220"/>
      <c r="E354" s="517"/>
      <c r="F354" s="516"/>
      <c r="G354" s="223"/>
      <c r="H354" s="219"/>
      <c r="J354" s="219"/>
      <c r="K354" s="220"/>
      <c r="L354" s="517"/>
      <c r="M354" s="516"/>
      <c r="N354" s="223"/>
      <c r="O354" s="219"/>
      <c r="AB354" s="327" t="str">
        <f t="shared" si="96"/>
        <v/>
      </c>
      <c r="AC354" s="327" t="str">
        <f t="shared" si="97"/>
        <v/>
      </c>
      <c r="AD354" s="327" t="str">
        <f t="shared" si="98"/>
        <v/>
      </c>
      <c r="AE354" s="327" t="str">
        <f t="shared" si="99"/>
        <v/>
      </c>
      <c r="AF354" s="325"/>
      <c r="AG354" s="485">
        <v>4</v>
      </c>
      <c r="AH354" s="488" t="b">
        <f ca="1">IF(OR(NOT(W349),NOT(X339)),FALSE,D354="")</f>
        <v>0</v>
      </c>
      <c r="AI354" s="488" t="b">
        <f ca="1">IF(OR(NOT(W349),NOT(X339)),FALSE,E354="")</f>
        <v>0</v>
      </c>
      <c r="AJ354" s="488" t="b">
        <f ca="1">IF(OR(NOT(W349),NOT(X339)),FALSE,F354="")</f>
        <v>0</v>
      </c>
      <c r="AK354" s="488" t="b">
        <f ca="1">IF(OR(NOT(W349),NOT(X339)),FALSE,G354="")</f>
        <v>0</v>
      </c>
      <c r="AL354" s="488" t="b">
        <f ca="1">IF(OR(NOT(Y349),NOT(Z339)),FALSE,K354="")</f>
        <v>0</v>
      </c>
      <c r="AM354" s="488" t="b">
        <f ca="1">IF(OR(NOT(Y349),NOT(Z339)),FALSE,L354="")</f>
        <v>0</v>
      </c>
      <c r="AN354" s="488" t="b">
        <f ca="1">IF(OR(NOT(Y349),NOT(Z339)),FALSE,M354="")</f>
        <v>0</v>
      </c>
      <c r="AO354" s="488" t="b">
        <f ca="1">IF(OR(NOT(Y349),NOT(Z339)),FALSE,N354="")</f>
        <v>0</v>
      </c>
      <c r="AS354" s="323"/>
      <c r="AT354" s="323"/>
      <c r="AW354" s="485"/>
      <c r="AY354" s="323"/>
      <c r="BA354" s="323"/>
      <c r="BC354" s="323"/>
      <c r="BE354" s="323"/>
      <c r="BG354" s="323"/>
      <c r="BI354" s="323"/>
      <c r="BK354" s="323"/>
      <c r="BM354" s="323"/>
      <c r="BO354" s="323"/>
      <c r="BQ354" s="323"/>
      <c r="BS354" s="323"/>
      <c r="BU354" s="323"/>
      <c r="BW354" s="323"/>
      <c r="BY354" s="323"/>
      <c r="CA354" s="323"/>
      <c r="CC354" s="323"/>
      <c r="CE354" s="323"/>
      <c r="CG354" s="323"/>
      <c r="CI354" s="323"/>
      <c r="CK354" s="323"/>
      <c r="CM354" s="323"/>
      <c r="CO354" s="323"/>
      <c r="CQ354" s="323"/>
      <c r="CS354" s="323"/>
      <c r="CU354" s="323"/>
      <c r="CW354" s="323"/>
      <c r="CY354" s="323"/>
      <c r="DA354" s="323"/>
      <c r="DC354" s="323"/>
      <c r="DE354" s="323"/>
      <c r="DG354" s="323"/>
      <c r="DI354" s="323"/>
      <c r="DJ354" s="485"/>
    </row>
    <row r="355" spans="1:114" ht="11.25" customHeight="1" x14ac:dyDescent="0.3">
      <c r="A355" s="765"/>
      <c r="C355" s="219"/>
      <c r="D355" s="220"/>
      <c r="E355" s="517"/>
      <c r="F355" s="516"/>
      <c r="G355" s="223"/>
      <c r="H355" s="219"/>
      <c r="J355" s="219"/>
      <c r="K355" s="220"/>
      <c r="L355" s="517"/>
      <c r="M355" s="516"/>
      <c r="N355" s="223"/>
      <c r="O355" s="219"/>
      <c r="AB355" s="327" t="str">
        <f t="shared" si="96"/>
        <v/>
      </c>
      <c r="AC355" s="327" t="str">
        <f t="shared" si="97"/>
        <v/>
      </c>
      <c r="AD355" s="327" t="str">
        <f t="shared" si="98"/>
        <v/>
      </c>
      <c r="AE355" s="327" t="str">
        <f t="shared" si="99"/>
        <v/>
      </c>
      <c r="AF355" s="325"/>
      <c r="AG355" s="495">
        <v>5</v>
      </c>
      <c r="AH355" s="488" t="b">
        <f ca="1">IF(OR(NOT(W349),NOT(X339)),FALSE,D355="")</f>
        <v>0</v>
      </c>
      <c r="AI355" s="488" t="b">
        <f ca="1">IF(OR(NOT(W349),NOT(X339)),FALSE,E355="")</f>
        <v>0</v>
      </c>
      <c r="AJ355" s="488" t="b">
        <f ca="1">IF(OR(NOT(W349),NOT(X339)),FALSE,F355="")</f>
        <v>0</v>
      </c>
      <c r="AK355" s="488" t="b">
        <f ca="1">IF(OR(NOT(W349),NOT(X339)),FALSE,G355="")</f>
        <v>0</v>
      </c>
      <c r="AL355" s="488" t="b">
        <f ca="1">IF(OR(NOT(Y349),NOT(Z339)),FALSE,K355="")</f>
        <v>0</v>
      </c>
      <c r="AM355" s="488" t="b">
        <f ca="1">IF(OR(NOT(Y349),NOT(Z339)),FALSE,L355="")</f>
        <v>0</v>
      </c>
      <c r="AN355" s="488" t="b">
        <f ca="1">IF(OR(NOT(Y349),NOT(Z339)),FALSE,M355="")</f>
        <v>0</v>
      </c>
      <c r="AO355" s="488" t="b">
        <f ca="1">IF(OR(NOT(Y349),NOT(Z339)),FALSE,N355="")</f>
        <v>0</v>
      </c>
      <c r="AP355" s="495"/>
      <c r="AS355" s="323"/>
      <c r="AT355" s="323"/>
      <c r="AW355" s="485"/>
      <c r="AY355" s="323"/>
      <c r="BA355" s="323"/>
      <c r="BC355" s="323"/>
      <c r="BE355" s="323"/>
      <c r="BG355" s="323"/>
      <c r="BI355" s="323"/>
      <c r="BK355" s="323"/>
      <c r="BM355" s="323"/>
      <c r="BO355" s="323"/>
      <c r="BQ355" s="323"/>
      <c r="BS355" s="323"/>
      <c r="BU355" s="323"/>
      <c r="BW355" s="323"/>
      <c r="BY355" s="323"/>
      <c r="CA355" s="323"/>
      <c r="CC355" s="323"/>
      <c r="CE355" s="323"/>
      <c r="CG355" s="323"/>
      <c r="CI355" s="323"/>
      <c r="CK355" s="323"/>
      <c r="CM355" s="323"/>
      <c r="CO355" s="323"/>
      <c r="CQ355" s="323"/>
      <c r="CS355" s="323"/>
      <c r="CU355" s="323"/>
      <c r="CW355" s="323"/>
      <c r="CY355" s="323"/>
      <c r="DA355" s="323"/>
      <c r="DC355" s="323"/>
      <c r="DE355" s="323"/>
      <c r="DG355" s="323"/>
      <c r="DI355" s="323"/>
      <c r="DJ355" s="485"/>
    </row>
    <row r="356" spans="1:114" ht="11.25" customHeight="1" x14ac:dyDescent="0.3">
      <c r="A356" s="765"/>
      <c r="C356" s="219"/>
      <c r="D356" s="220"/>
      <c r="E356" s="517"/>
      <c r="F356" s="516"/>
      <c r="G356" s="223"/>
      <c r="H356" s="219"/>
      <c r="J356" s="219"/>
      <c r="K356" s="220"/>
      <c r="L356" s="517"/>
      <c r="M356" s="516"/>
      <c r="N356" s="223"/>
      <c r="O356" s="219"/>
      <c r="AB356" s="327" t="str">
        <f t="shared" si="96"/>
        <v/>
      </c>
      <c r="AC356" s="327" t="str">
        <f t="shared" si="97"/>
        <v/>
      </c>
      <c r="AD356" s="327" t="str">
        <f t="shared" si="98"/>
        <v/>
      </c>
      <c r="AE356" s="327" t="str">
        <f t="shared" si="99"/>
        <v/>
      </c>
      <c r="AF356" s="325"/>
      <c r="AG356" s="485">
        <v>6</v>
      </c>
      <c r="AH356" s="496" t="b">
        <f ca="1">IF(OR(NOT(W349),NOT(X339)),FALSE,AND(D356="",OR(AG356&lt;=W350+COUNTIF(E351:E356,$W$218),AG356&lt;=X350+COUNTIF(F351:F356,$W$218))))</f>
        <v>0</v>
      </c>
      <c r="AI356" s="496" t="b">
        <f ca="1">IF(OR(NOT(W349),NOT(X339)),FALSE,AND(E356="",OR(AG356&lt;=W350+COUNTIF(E351:E356,$W$218),AG356&lt;=X350+COUNTIF(F351:F356,$W$218))))</f>
        <v>0</v>
      </c>
      <c r="AJ356" s="496" t="b">
        <f ca="1">IF(OR(NOT(W349),NOT(X339)),FALSE,AND(F356="",OR(AG356&lt;=W350+COUNTIF(E351:E356,$W$218),AG356&lt;=X350+COUNTIF(F351:F356,$W$218))))</f>
        <v>0</v>
      </c>
      <c r="AK356" s="496" t="b">
        <f ca="1">IF(OR(NOT(W349),NOT(X339)),FALSE,AND(G356="",OR(AG356&lt;=W350+COUNTIF(E351:E356,$W$218),AG356&lt;=X350+COUNTIF(F351:F356,$W$218))))</f>
        <v>0</v>
      </c>
      <c r="AL356" s="496" t="b">
        <f ca="1">IF(OR(NOT(Y349),NOT(Z339)),FALSE,AND(K356="",OR(AG356&lt;=Y350+COUNTIF(L351:L356,$W$218),AG356&lt;=Z350+COUNTIF(M351:M356,$W$218))))</f>
        <v>0</v>
      </c>
      <c r="AM356" s="496" t="b">
        <f ca="1">IF(OR(NOT(Y349),NOT(Z339)),FALSE,AND(L356="",OR(AG356&lt;=Y350+COUNTIF(L351:L356,$W$218),AG356&lt;=Z350+COUNTIF(M351:M356,$W$218))))</f>
        <v>0</v>
      </c>
      <c r="AN356" s="496" t="b">
        <f ca="1">IF(OR(NOT(Y349),NOT(Z339)),FALSE,AND(M356="",OR(AG356&lt;=Y350+COUNTIF(L351:L356,$W$218),AG356&lt;=Z350+COUNTIF(M351:M356,$W$218))))</f>
        <v>0</v>
      </c>
      <c r="AO356" s="496" t="b">
        <f ca="1">IF(OR(NOT(Y349),NOT(Z339)),FALSE,AND(N356="",OR(AG356&lt;=Y350+COUNTIF(L351:L356,$W$218),AG356&lt;=Z350+COUNTIF(M351:M356,$W$218))))</f>
        <v>0</v>
      </c>
      <c r="AS356" s="323"/>
      <c r="AT356" s="323"/>
      <c r="AW356" s="485"/>
      <c r="AY356" s="323"/>
      <c r="BA356" s="323"/>
      <c r="BC356" s="323"/>
      <c r="BE356" s="323"/>
      <c r="BG356" s="323"/>
      <c r="BI356" s="323"/>
      <c r="BK356" s="323"/>
      <c r="BM356" s="323"/>
      <c r="BO356" s="323"/>
      <c r="BQ356" s="323"/>
      <c r="BS356" s="323"/>
      <c r="BU356" s="323"/>
      <c r="BW356" s="323"/>
      <c r="BY356" s="323"/>
      <c r="CA356" s="323"/>
      <c r="CC356" s="323"/>
      <c r="CE356" s="323"/>
      <c r="CG356" s="323"/>
      <c r="CI356" s="323"/>
      <c r="CK356" s="323"/>
      <c r="CM356" s="323"/>
      <c r="CO356" s="323"/>
      <c r="CQ356" s="323"/>
      <c r="CS356" s="323"/>
      <c r="CU356" s="323"/>
      <c r="CW356" s="323"/>
      <c r="CY356" s="323"/>
      <c r="DA356" s="323"/>
      <c r="DC356" s="323"/>
      <c r="DE356" s="323"/>
      <c r="DG356" s="323"/>
      <c r="DI356" s="323"/>
      <c r="DJ356" s="485"/>
    </row>
    <row r="357" spans="1:114" ht="11.25" customHeight="1" x14ac:dyDescent="0.3">
      <c r="A357" s="765"/>
      <c r="C357" s="219"/>
      <c r="D357" s="220"/>
      <c r="E357" s="517"/>
      <c r="F357" s="516"/>
      <c r="G357" s="223"/>
      <c r="H357" s="219"/>
      <c r="J357" s="219"/>
      <c r="K357" s="220"/>
      <c r="L357" s="517"/>
      <c r="M357" s="516"/>
      <c r="N357" s="223"/>
      <c r="O357" s="219"/>
      <c r="AB357" s="327" t="str">
        <f t="shared" si="96"/>
        <v/>
      </c>
      <c r="AC357" s="327" t="str">
        <f t="shared" si="97"/>
        <v/>
      </c>
      <c r="AD357" s="327" t="str">
        <f t="shared" si="98"/>
        <v/>
      </c>
      <c r="AE357" s="327" t="str">
        <f t="shared" si="99"/>
        <v/>
      </c>
      <c r="AF357" s="325"/>
      <c r="AG357" s="485">
        <v>7</v>
      </c>
      <c r="AH357" s="496" t="b">
        <f ca="1">IF(OR(NOT(W349),NOT(X339)),FALSE,AND(D357="",OR(AG357&lt;=W350+COUNTIF(E351:E357,$W$218),AG357&lt;=X350+COUNTIF(F351:F357,$W$218))))</f>
        <v>0</v>
      </c>
      <c r="AI357" s="496" t="b">
        <f ca="1">IF(OR(NOT(W349),NOT(X339)),FALSE,AND(E357="",OR(AG357&lt;=W350+COUNTIF(E351:E357,$W$218),AG357&lt;=X350+COUNTIF(F351:F357,$W$218))))</f>
        <v>0</v>
      </c>
      <c r="AJ357" s="496" t="b">
        <f ca="1">IF(OR(NOT(W349),NOT(X339)),FALSE,AND(F357="",OR(AG357&lt;=W350+COUNTIF(E351:E357,$W$218),AG357&lt;=X350+COUNTIF(F351:F357,$W$218))))</f>
        <v>0</v>
      </c>
      <c r="AK357" s="496" t="b">
        <f ca="1">IF(OR(NOT(W349),NOT(X339)),FALSE,AND(G357="",OR(AG357&lt;=W350+COUNTIF(E351:E357,$W$218),AG357&lt;=X350+COUNTIF(F351:F357,$W$218))))</f>
        <v>0</v>
      </c>
      <c r="AL357" s="496" t="b">
        <f ca="1">IF(OR(NOT(Y349),NOT(Z339)),FALSE,AND(K357="",OR(AG357&lt;=Y350+COUNTIF(L351:L357,$W$218),AG357&lt;=Z350+COUNTIF(M351:M357,$W$218))))</f>
        <v>0</v>
      </c>
      <c r="AM357" s="496" t="b">
        <f ca="1">IF(OR(NOT(Y349),NOT(Z339)),FALSE,AND(L357="",OR(AG357&lt;=Y350+COUNTIF(L351:L357,$W$218),AG357&lt;=Z350+COUNTIF(M351:M357,$W$218))))</f>
        <v>0</v>
      </c>
      <c r="AN357" s="496" t="b">
        <f ca="1">IF(OR(NOT(Y349),NOT(Z339)),FALSE,AND(M357="",OR(AG357&lt;=Y350+COUNTIF(L351:L357,$W$218),AG357&lt;=Z350+COUNTIF(M351:M357,$W$218))))</f>
        <v>0</v>
      </c>
      <c r="AO357" s="496" t="b">
        <f ca="1">IF(OR(NOT(Y349),NOT(Z339)),FALSE,AND(N357="",OR(AG357&lt;=Y350+COUNTIF(L351:L357,$W$218),AG357&lt;=Z350+COUNTIF(M351:M357,$W$218))))</f>
        <v>0</v>
      </c>
      <c r="AS357" s="323"/>
      <c r="AT357" s="323"/>
      <c r="AW357" s="485"/>
      <c r="AY357" s="323"/>
      <c r="BA357" s="323"/>
      <c r="BC357" s="323"/>
      <c r="BE357" s="323"/>
      <c r="BG357" s="323"/>
      <c r="BI357" s="323"/>
      <c r="BK357" s="323"/>
      <c r="BM357" s="323"/>
      <c r="BO357" s="323"/>
      <c r="BQ357" s="323"/>
      <c r="BS357" s="323"/>
      <c r="BU357" s="323"/>
      <c r="BW357" s="323"/>
      <c r="BY357" s="323"/>
      <c r="CA357" s="323"/>
      <c r="CC357" s="323"/>
      <c r="CE357" s="323"/>
      <c r="CG357" s="323"/>
      <c r="CI357" s="323"/>
      <c r="CK357" s="323"/>
      <c r="CM357" s="323"/>
      <c r="CO357" s="323"/>
      <c r="CQ357" s="323"/>
      <c r="CS357" s="323"/>
      <c r="CU357" s="323"/>
      <c r="CW357" s="323"/>
      <c r="CY357" s="323"/>
      <c r="DA357" s="323"/>
      <c r="DC357" s="323"/>
      <c r="DE357" s="323"/>
      <c r="DG357" s="323"/>
      <c r="DI357" s="323"/>
      <c r="DJ357" s="485"/>
    </row>
    <row r="358" spans="1:114" ht="11.25" customHeight="1" x14ac:dyDescent="0.3">
      <c r="A358" s="765"/>
      <c r="C358" s="219"/>
      <c r="D358" s="220"/>
      <c r="E358" s="517"/>
      <c r="F358" s="516"/>
      <c r="G358" s="223"/>
      <c r="H358" s="219"/>
      <c r="J358" s="219"/>
      <c r="K358" s="220"/>
      <c r="L358" s="517"/>
      <c r="M358" s="516"/>
      <c r="N358" s="223"/>
      <c r="O358" s="219"/>
      <c r="AB358" s="327" t="str">
        <f t="shared" si="96"/>
        <v/>
      </c>
      <c r="AC358" s="327" t="str">
        <f t="shared" si="97"/>
        <v/>
      </c>
      <c r="AD358" s="327" t="str">
        <f t="shared" si="98"/>
        <v/>
      </c>
      <c r="AE358" s="327" t="str">
        <f t="shared" si="99"/>
        <v/>
      </c>
      <c r="AF358" s="325"/>
      <c r="AG358" s="485">
        <v>8</v>
      </c>
      <c r="AH358" s="496" t="b">
        <f ca="1">IF(OR(NOT(W349),NOT(X339)),FALSE,AND(D358="",OR(AG358&lt;=W350+COUNTIF(E351:E358,$W$218),AG358&lt;=X350+COUNTIF(F351:F358,$W$218))))</f>
        <v>0</v>
      </c>
      <c r="AI358" s="496" t="b">
        <f ca="1">IF(OR(NOT(W349),NOT(X339)),FALSE,AND(E358="",OR(AG358&lt;=W350+COUNTIF(E351:E358,$W$218),AG358&lt;=X350+COUNTIF(F351:F358,$W$218))))</f>
        <v>0</v>
      </c>
      <c r="AJ358" s="496" t="b">
        <f ca="1">IF(OR(NOT(W349),NOT(X339)),FALSE,AND(F358="",OR(AG358&lt;=W350+COUNTIF(E351:E358,$W$218),AG358&lt;=X350+COUNTIF(F351:F358,$W$218))))</f>
        <v>0</v>
      </c>
      <c r="AK358" s="496" t="b">
        <f ca="1">IF(OR(NOT(W349),NOT(X339)),FALSE,AND(G358="",OR(AG358&lt;=W350+COUNTIF(E351:E358,$W$218),AG358&lt;=X350+COUNTIF(F351:F358,$W$218))))</f>
        <v>0</v>
      </c>
      <c r="AL358" s="496" t="b">
        <f ca="1">IF(OR(NOT(Y349),NOT(Z339)),FALSE,AND(K358="",OR(AG358&lt;=Y350+COUNTIF(L351:L358,$W$218),AG358&lt;=Z350+COUNTIF(M351:M358,$W$218))))</f>
        <v>0</v>
      </c>
      <c r="AM358" s="496" t="b">
        <f ca="1">IF(OR(NOT(Y349),NOT(Z339)),FALSE,AND(L358="",OR(AG358&lt;=Y350+COUNTIF(L351:L358,$W$218),AG358&lt;=Z350+COUNTIF(M351:M358,$W$218))))</f>
        <v>0</v>
      </c>
      <c r="AN358" s="496" t="b">
        <f ca="1">IF(OR(NOT(Y349),NOT(Z339)),FALSE,AND(M358="",OR(AG358&lt;=Y350+COUNTIF(L351:L358,$W$218),AG358&lt;=Z350+COUNTIF(M351:M358,$W$218))))</f>
        <v>0</v>
      </c>
      <c r="AO358" s="496" t="b">
        <f ca="1">IF(OR(NOT(Y349),NOT(Z339)),FALSE,AND(N358="",OR(AG358&lt;=Y350+COUNTIF(L351:L358,$W$218),AG358&lt;=Z350+COUNTIF(M351:M358,$W$218))))</f>
        <v>0</v>
      </c>
      <c r="AS358" s="323"/>
      <c r="AT358" s="323"/>
      <c r="AW358" s="485"/>
      <c r="AY358" s="323"/>
      <c r="BA358" s="323"/>
      <c r="BC358" s="323"/>
      <c r="BE358" s="323"/>
      <c r="BG358" s="323"/>
      <c r="BI358" s="323"/>
      <c r="BK358" s="323"/>
      <c r="BM358" s="323"/>
      <c r="BO358" s="323"/>
      <c r="BQ358" s="323"/>
      <c r="BS358" s="323"/>
      <c r="BU358" s="323"/>
      <c r="BW358" s="323"/>
      <c r="BY358" s="323"/>
      <c r="CA358" s="323"/>
      <c r="CC358" s="323"/>
      <c r="CE358" s="323"/>
      <c r="CG358" s="323"/>
      <c r="CI358" s="323"/>
      <c r="CK358" s="323"/>
      <c r="CM358" s="323"/>
      <c r="CO358" s="323"/>
      <c r="CQ358" s="323"/>
      <c r="CS358" s="323"/>
      <c r="CU358" s="323"/>
      <c r="CW358" s="323"/>
      <c r="CY358" s="323"/>
      <c r="DA358" s="323"/>
      <c r="DC358" s="323"/>
      <c r="DE358" s="323"/>
      <c r="DG358" s="323"/>
      <c r="DI358" s="323"/>
      <c r="DJ358" s="485"/>
    </row>
    <row r="359" spans="1:114" ht="11.25" customHeight="1" x14ac:dyDescent="0.3">
      <c r="A359" s="765"/>
      <c r="C359" s="219"/>
      <c r="D359" s="220"/>
      <c r="E359" s="517"/>
      <c r="F359" s="516"/>
      <c r="G359" s="223"/>
      <c r="H359" s="219"/>
      <c r="J359" s="219"/>
      <c r="K359" s="220"/>
      <c r="L359" s="517"/>
      <c r="M359" s="516"/>
      <c r="N359" s="223"/>
      <c r="O359" s="219"/>
      <c r="AB359" s="327" t="str">
        <f t="shared" si="96"/>
        <v/>
      </c>
      <c r="AC359" s="327" t="str">
        <f t="shared" si="97"/>
        <v/>
      </c>
      <c r="AD359" s="327" t="str">
        <f t="shared" si="98"/>
        <v/>
      </c>
      <c r="AE359" s="327" t="str">
        <f t="shared" si="99"/>
        <v/>
      </c>
      <c r="AF359" s="325"/>
      <c r="AG359" s="485">
        <v>9</v>
      </c>
      <c r="AH359" s="496" t="b">
        <f ca="1">IF(OR(NOT(W349),NOT(X339)),FALSE,AND(D359="",OR(AG359&lt;=W350+COUNTIF(E351:E359,$W$218),AG359&lt;=X350+COUNTIF(F351:F359,$W$218))))</f>
        <v>0</v>
      </c>
      <c r="AI359" s="496" t="b">
        <f ca="1">IF(OR(NOT(W349),NOT(X339)),FALSE,AND(E359="",OR(AG359&lt;=W350+COUNTIF(E351:E359,$W$218),AG359&lt;=X350+COUNTIF(F351:F359,$W$218))))</f>
        <v>0</v>
      </c>
      <c r="AJ359" s="496" t="b">
        <f ca="1">IF(OR(NOT(W349),NOT(X339)),FALSE,AND(F359="",OR(AG359&lt;=W350+COUNTIF(E351:E359,$W$218),AG359&lt;=X350+COUNTIF(F351:F359,$W$218))))</f>
        <v>0</v>
      </c>
      <c r="AK359" s="496" t="b">
        <f ca="1">IF(OR(NOT(W349),NOT(X339)),FALSE,AND(G359="",OR(AG359&lt;=W350+COUNTIF(E351:E359,$W$218),AG359&lt;=X350+COUNTIF(F351:F359,$W$218))))</f>
        <v>0</v>
      </c>
      <c r="AL359" s="496" t="b">
        <f ca="1">IF(OR(NOT(Y349),NOT(Z339)),FALSE,AND(K359="",OR(AG359&lt;=Y350+COUNTIF(L351:L359,$W$218),AG359&lt;=Z350+COUNTIF(M351:M359,$W$218))))</f>
        <v>0</v>
      </c>
      <c r="AM359" s="496" t="b">
        <f ca="1">IF(OR(NOT(Y349),NOT(Z339)),FALSE,AND(L359="",OR(AG359&lt;=Y350+COUNTIF(L351:L359,$W$218),AG359&lt;=Z350+COUNTIF(M351:M359,$W$218))))</f>
        <v>0</v>
      </c>
      <c r="AN359" s="496" t="b">
        <f ca="1">IF(OR(NOT(Y349),NOT(Z339)),FALSE,AND(M359="",OR(AG359&lt;=Y350+COUNTIF(L351:L359,$W$218),AG359&lt;=Z350+COUNTIF(M351:M359,$W$218))))</f>
        <v>0</v>
      </c>
      <c r="AO359" s="496" t="b">
        <f ca="1">IF(OR(NOT(Y349),NOT(Z339)),FALSE,AND(N359="",OR(AG359&lt;=Y350+COUNTIF(L351:L359,$W$218),AG359&lt;=Z350+COUNTIF(M351:M359,$W$218))))</f>
        <v>0</v>
      </c>
      <c r="AS359" s="323"/>
      <c r="AT359" s="323"/>
      <c r="AW359" s="485"/>
      <c r="AY359" s="323"/>
      <c r="BA359" s="323"/>
      <c r="BC359" s="323"/>
      <c r="BE359" s="323"/>
      <c r="BG359" s="323"/>
      <c r="BI359" s="323"/>
      <c r="BK359" s="323"/>
      <c r="BM359" s="323"/>
      <c r="BO359" s="323"/>
      <c r="BQ359" s="323"/>
      <c r="BS359" s="323"/>
      <c r="BU359" s="323"/>
      <c r="BW359" s="323"/>
      <c r="BY359" s="323"/>
      <c r="CA359" s="323"/>
      <c r="CC359" s="323"/>
      <c r="CE359" s="323"/>
      <c r="CG359" s="323"/>
      <c r="CI359" s="323"/>
      <c r="CK359" s="323"/>
      <c r="CM359" s="323"/>
      <c r="CO359" s="323"/>
      <c r="CQ359" s="323"/>
      <c r="CS359" s="323"/>
      <c r="CU359" s="323"/>
      <c r="CW359" s="323"/>
      <c r="CY359" s="323"/>
      <c r="DA359" s="323"/>
      <c r="DC359" s="323"/>
      <c r="DE359" s="323"/>
      <c r="DG359" s="323"/>
      <c r="DI359" s="323"/>
      <c r="DJ359" s="485"/>
    </row>
    <row r="360" spans="1:114" ht="11.25" customHeight="1" x14ac:dyDescent="0.3">
      <c r="A360" s="765"/>
      <c r="C360" s="219"/>
      <c r="D360" s="220"/>
      <c r="E360" s="517"/>
      <c r="F360" s="516"/>
      <c r="G360" s="223"/>
      <c r="H360" s="219"/>
      <c r="J360" s="219"/>
      <c r="K360" s="220"/>
      <c r="L360" s="517"/>
      <c r="M360" s="516"/>
      <c r="N360" s="223"/>
      <c r="O360" s="219"/>
      <c r="AB360" s="327" t="str">
        <f t="shared" si="96"/>
        <v/>
      </c>
      <c r="AC360" s="327" t="str">
        <f t="shared" si="97"/>
        <v/>
      </c>
      <c r="AD360" s="327" t="str">
        <f t="shared" si="98"/>
        <v/>
      </c>
      <c r="AE360" s="327" t="str">
        <f t="shared" si="99"/>
        <v/>
      </c>
      <c r="AF360" s="325"/>
      <c r="AG360" s="485">
        <v>10</v>
      </c>
      <c r="AH360" s="496" t="b">
        <f ca="1">IF(OR(NOT(W349),NOT(X339)),FALSE,AND(D360="",OR(AG360&lt;=W350+COUNTIF(E351:E360,$W$218),AG360&lt;=X350+COUNTIF(F351:F360,$W$218))))</f>
        <v>0</v>
      </c>
      <c r="AI360" s="496" t="b">
        <f ca="1">IF(OR(NOT(W349),NOT(X339)),FALSE,AND(E360="",OR(AG360&lt;=W350+COUNTIF(E351:E360,$W$218),AG360&lt;=X350+COUNTIF(F351:F360,$W$218))))</f>
        <v>0</v>
      </c>
      <c r="AJ360" s="496" t="b">
        <f ca="1">IF(OR(NOT(W349),NOT(X339)),FALSE,AND(F360="",OR(AG360&lt;=W350+COUNTIF(E351:E360,$W$218),AG360&lt;=X350+COUNTIF(F351:F360,$W$218))))</f>
        <v>0</v>
      </c>
      <c r="AK360" s="496" t="b">
        <f ca="1">IF(OR(NOT(W349),NOT(X339)),FALSE,AND(G360="",OR(AG360&lt;=W350+COUNTIF(E351:E360,$W$218),AG360&lt;=X350+COUNTIF(F351:F360,$W$218))))</f>
        <v>0</v>
      </c>
      <c r="AL360" s="496" t="b">
        <f ca="1">IF(OR(NOT(Y349),NOT(Z339)),FALSE,AND(K360="",OR(AG360&lt;=Y350+COUNTIF(L351:L360,$W$218),AG360&lt;=Z350+COUNTIF(M351:M360,$W$218))))</f>
        <v>0</v>
      </c>
      <c r="AM360" s="496" t="b">
        <f ca="1">IF(OR(NOT(Y349),NOT(Z339)),FALSE,AND(L360="",OR(AG360&lt;=Y350+COUNTIF(L351:L360,$W$218),AG360&lt;=Z350+COUNTIF(M351:M360,$W$218))))</f>
        <v>0</v>
      </c>
      <c r="AN360" s="496" t="b">
        <f ca="1">IF(OR(NOT(Y349),NOT(Z339)),FALSE,AND(M360="",OR(AG360&lt;=Y350+COUNTIF(L351:L360,$W$218),AG360&lt;=Z350+COUNTIF(M351:M360,$W$218))))</f>
        <v>0</v>
      </c>
      <c r="AO360" s="496" t="b">
        <f ca="1">IF(OR(NOT(Y349),NOT(Z339)),FALSE,AND(N360="",OR(AG360&lt;=Y350+COUNTIF(L351:L360,$W$218),AG360&lt;=Z350+COUNTIF(M351:M360,$W$218))))</f>
        <v>0</v>
      </c>
      <c r="AW360" s="485"/>
      <c r="AY360" s="323"/>
      <c r="BA360" s="323"/>
      <c r="BC360" s="323"/>
      <c r="BE360" s="323"/>
      <c r="BG360" s="323"/>
      <c r="BI360" s="323"/>
      <c r="BK360" s="323"/>
      <c r="BM360" s="323"/>
      <c r="BO360" s="323"/>
      <c r="BQ360" s="323"/>
      <c r="BS360" s="323"/>
      <c r="BU360" s="323"/>
      <c r="BW360" s="323"/>
      <c r="BY360" s="323"/>
      <c r="CA360" s="323"/>
      <c r="CC360" s="323"/>
      <c r="CE360" s="323"/>
      <c r="CG360" s="323"/>
      <c r="CI360" s="323"/>
      <c r="CK360" s="323"/>
      <c r="CM360" s="323"/>
      <c r="CO360" s="323"/>
      <c r="CQ360" s="323"/>
      <c r="CS360" s="323"/>
      <c r="CU360" s="323"/>
      <c r="CW360" s="323"/>
      <c r="CY360" s="323"/>
      <c r="DA360" s="323"/>
      <c r="DC360" s="323"/>
      <c r="DE360" s="323"/>
      <c r="DG360" s="323"/>
      <c r="DI360" s="323"/>
      <c r="DJ360" s="485"/>
    </row>
    <row r="361" spans="1:114" ht="11.25" customHeight="1" x14ac:dyDescent="0.3">
      <c r="A361" s="765"/>
      <c r="C361" s="219"/>
      <c r="D361" s="220"/>
      <c r="E361" s="517"/>
      <c r="F361" s="516"/>
      <c r="G361" s="223"/>
      <c r="H361" s="219"/>
      <c r="J361" s="219"/>
      <c r="K361" s="220"/>
      <c r="L361" s="517"/>
      <c r="M361" s="516"/>
      <c r="N361" s="223"/>
      <c r="O361" s="219"/>
      <c r="AB361" s="327" t="str">
        <f t="shared" si="96"/>
        <v/>
      </c>
      <c r="AC361" s="327" t="str">
        <f t="shared" si="97"/>
        <v/>
      </c>
      <c r="AD361" s="327" t="str">
        <f t="shared" si="98"/>
        <v/>
      </c>
      <c r="AE361" s="327" t="str">
        <f t="shared" si="99"/>
        <v/>
      </c>
      <c r="AF361" s="325"/>
      <c r="AG361" s="485">
        <v>11</v>
      </c>
      <c r="AH361" s="496" t="b">
        <f ca="1">IF(OR(NOT(W349),NOT(X339)),FALSE,AND(D361="",OR(AG361&lt;=W350+COUNTIF(E351:E361,$W$218),AG361&lt;=X350+COUNTIF(F351:F361,$W$218))))</f>
        <v>0</v>
      </c>
      <c r="AI361" s="496" t="b">
        <f ca="1">IF(OR(NOT(W349),NOT(X339)),FALSE,AND(E361="",OR(AG361&lt;=W350+COUNTIF(E351:E361,$W$218),AG361&lt;=X350+COUNTIF(F351:F361,$W$218))))</f>
        <v>0</v>
      </c>
      <c r="AJ361" s="496" t="b">
        <f ca="1">IF(OR(NOT(W349),NOT(X339)),FALSE,AND(F361="",OR(AG361&lt;=W350+COUNTIF(E351:E361,$W$218),AG361&lt;=X350+COUNTIF(F351:F361,$W$218))))</f>
        <v>0</v>
      </c>
      <c r="AK361" s="496" t="b">
        <f ca="1">IF(OR(NOT(W349),NOT(X339)),FALSE,AND(G361="",OR(AG361&lt;=W350+COUNTIF(E351:E361,$W$218),AG361&lt;=X350+COUNTIF(F351:F361,$W$218))))</f>
        <v>0</v>
      </c>
      <c r="AL361" s="496" t="b">
        <f ca="1">IF(OR(NOT(Y349),NOT(Z339)),FALSE,AND(K361="",OR(AG361&lt;=Y350+COUNTIF(L351:L361,$W$218),AG361&lt;=Z350+COUNTIF(M351:M361,$W$218))))</f>
        <v>0</v>
      </c>
      <c r="AM361" s="496" t="b">
        <f ca="1">IF(OR(NOT(Y349),NOT(Z339)),FALSE,AND(L361="",OR(AG361&lt;=Y350+COUNTIF(L351:L361,$W$218),AG361&lt;=Z350+COUNTIF(M351:M361,$W$218))))</f>
        <v>0</v>
      </c>
      <c r="AN361" s="496" t="b">
        <f ca="1">IF(OR(NOT(Y349),NOT(Z339)),FALSE,AND(M361="",OR(AG361&lt;=Y350+COUNTIF(L351:L361,$W$218),AG361&lt;=Z350+COUNTIF(M351:M361,$W$218))))</f>
        <v>0</v>
      </c>
      <c r="AO361" s="496" t="b">
        <f ca="1">IF(OR(NOT(Y349),NOT(Z339)),FALSE,AND(N361="",OR(AG361&lt;=Y350+COUNTIF(L351:L361,$W$218),AG361&lt;=Z350+COUNTIF(M351:M361,$W$218))))</f>
        <v>0</v>
      </c>
      <c r="AW361" s="485"/>
      <c r="AY361" s="323"/>
      <c r="BA361" s="323"/>
      <c r="BC361" s="323"/>
      <c r="BE361" s="323"/>
      <c r="BG361" s="323"/>
      <c r="BI361" s="323"/>
      <c r="BK361" s="323"/>
      <c r="BM361" s="323"/>
      <c r="BO361" s="323"/>
      <c r="BQ361" s="323"/>
      <c r="BS361" s="323"/>
      <c r="BU361" s="323"/>
      <c r="BW361" s="323"/>
      <c r="BY361" s="323"/>
      <c r="CA361" s="323"/>
      <c r="CC361" s="323"/>
      <c r="CE361" s="323"/>
      <c r="CG361" s="323"/>
      <c r="CI361" s="323"/>
      <c r="CK361" s="323"/>
      <c r="CM361" s="323"/>
      <c r="CO361" s="323"/>
      <c r="CQ361" s="323"/>
      <c r="CS361" s="323"/>
      <c r="CU361" s="323"/>
      <c r="CW361" s="323"/>
      <c r="CY361" s="323"/>
      <c r="DA361" s="323"/>
      <c r="DC361" s="323"/>
      <c r="DE361" s="323"/>
      <c r="DG361" s="323"/>
      <c r="DI361" s="323"/>
      <c r="DJ361" s="485"/>
    </row>
    <row r="362" spans="1:114" ht="11.25" customHeight="1" x14ac:dyDescent="0.3">
      <c r="A362" s="765"/>
      <c r="C362" s="219"/>
      <c r="D362" s="220"/>
      <c r="E362" s="517"/>
      <c r="F362" s="516"/>
      <c r="G362" s="223"/>
      <c r="H362" s="219"/>
      <c r="J362" s="219"/>
      <c r="K362" s="220"/>
      <c r="L362" s="517"/>
      <c r="M362" s="516"/>
      <c r="N362" s="223"/>
      <c r="O362" s="219"/>
      <c r="AB362" s="327" t="str">
        <f t="shared" si="96"/>
        <v/>
      </c>
      <c r="AC362" s="327" t="str">
        <f t="shared" si="97"/>
        <v/>
      </c>
      <c r="AD362" s="327" t="str">
        <f t="shared" si="98"/>
        <v/>
      </c>
      <c r="AE362" s="327" t="str">
        <f t="shared" si="99"/>
        <v/>
      </c>
      <c r="AF362" s="325"/>
      <c r="AG362" s="485">
        <v>12</v>
      </c>
      <c r="AH362" s="496" t="b">
        <f ca="1">IF(OR(NOT(W349),NOT(X339)),FALSE,AND(D362="",OR(AG362&lt;=W350+COUNTIF(E351:E362,$W$218),AG362&lt;=X350+COUNTIF(F351:F362,$W$218))))</f>
        <v>0</v>
      </c>
      <c r="AI362" s="496" t="b">
        <f ca="1">IF(OR(NOT(W349),NOT(X339)),FALSE,AND(E362="",OR(AG362&lt;=W350+COUNTIF(E351:E362,$W$218),AG362&lt;=X350+COUNTIF(F351:F362,$W$218))))</f>
        <v>0</v>
      </c>
      <c r="AJ362" s="496" t="b">
        <f ca="1">IF(OR(NOT(W349),NOT(X339)),FALSE,AND(F362="",OR(AG362&lt;=W350+COUNTIF(E351:E362,$W$218),AG362&lt;=X350+COUNTIF(F351:F362,$W$218))))</f>
        <v>0</v>
      </c>
      <c r="AK362" s="496" t="b">
        <f ca="1">IF(OR(NOT(W349),NOT(X339)),FALSE,AND(G362="",OR(AG362&lt;=W350+COUNTIF(E351:E362,$W$218),AG362&lt;=X350+COUNTIF(F351:F362,$W$218))))</f>
        <v>0</v>
      </c>
      <c r="AL362" s="496" t="b">
        <f ca="1">IF(OR(NOT(Y349),NOT(Z339)),FALSE,AND(K362="",OR(AG362&lt;=Y350+COUNTIF(L351:L362,$W$218),AG362&lt;=Z350+COUNTIF(M351:M362,$W$218))))</f>
        <v>0</v>
      </c>
      <c r="AM362" s="496" t="b">
        <f ca="1">IF(OR(NOT(Y349),NOT(Z339)),FALSE,AND(L362="",OR(AG362&lt;=Y350+COUNTIF(L351:L362,$W$218),AG362&lt;=Z350+COUNTIF(M351:M362,$W$218))))</f>
        <v>0</v>
      </c>
      <c r="AN362" s="496" t="b">
        <f ca="1">IF(OR(NOT(Y349),NOT(Z339)),FALSE,AND(M362="",OR(AG362&lt;=Y350+COUNTIF(L351:L362,$W$218),AG362&lt;=Z350+COUNTIF(M351:M362,$W$218))))</f>
        <v>0</v>
      </c>
      <c r="AO362" s="496" t="b">
        <f ca="1">IF(OR(NOT(Y349),NOT(Z339)),FALSE,AND(N362="",OR(AG362&lt;=Y350+COUNTIF(L351:L362,$W$218),AG362&lt;=Z350+COUNTIF(M351:M362,$W$218))))</f>
        <v>0</v>
      </c>
      <c r="AW362" s="485"/>
      <c r="AY362" s="323"/>
      <c r="BA362" s="323"/>
      <c r="BC362" s="323"/>
      <c r="BE362" s="323"/>
      <c r="BG362" s="323"/>
      <c r="BI362" s="323"/>
      <c r="BK362" s="323"/>
      <c r="BM362" s="323"/>
      <c r="BO362" s="323"/>
      <c r="BQ362" s="323"/>
      <c r="BS362" s="323"/>
      <c r="BU362" s="323"/>
      <c r="BW362" s="323"/>
      <c r="BY362" s="323"/>
      <c r="CA362" s="323"/>
      <c r="CC362" s="323"/>
      <c r="CE362" s="323"/>
      <c r="CG362" s="323"/>
      <c r="CI362" s="323"/>
      <c r="CK362" s="323"/>
      <c r="CM362" s="323"/>
      <c r="CO362" s="323"/>
      <c r="CQ362" s="323"/>
      <c r="CS362" s="323"/>
      <c r="CU362" s="323"/>
      <c r="CW362" s="323"/>
      <c r="CY362" s="323"/>
      <c r="DA362" s="323"/>
      <c r="DC362" s="323"/>
      <c r="DE362" s="323"/>
      <c r="DG362" s="323"/>
      <c r="DI362" s="323"/>
      <c r="DJ362" s="485"/>
    </row>
    <row r="363" spans="1:114" ht="11.25" customHeight="1" x14ac:dyDescent="0.3">
      <c r="A363" s="765"/>
      <c r="C363" s="219"/>
      <c r="D363" s="220"/>
      <c r="E363" s="516"/>
      <c r="F363" s="516"/>
      <c r="G363" s="223"/>
      <c r="H363" s="219"/>
      <c r="J363" s="219"/>
      <c r="K363" s="220"/>
      <c r="L363" s="516"/>
      <c r="M363" s="516"/>
      <c r="N363" s="223"/>
      <c r="O363" s="219"/>
      <c r="AB363" s="327" t="str">
        <f t="shared" si="96"/>
        <v/>
      </c>
      <c r="AC363" s="327" t="str">
        <f t="shared" si="97"/>
        <v/>
      </c>
      <c r="AD363" s="327" t="str">
        <f t="shared" si="98"/>
        <v/>
      </c>
      <c r="AE363" s="327" t="str">
        <f t="shared" si="99"/>
        <v/>
      </c>
      <c r="AG363" s="485">
        <v>13</v>
      </c>
      <c r="AH363" s="496" t="b">
        <f ca="1">IF(OR(NOT(W349),NOT(X339)),FALSE,AND(D363="",OR(AG363&lt;=W350+COUNTIF(E351:E363,$W$218),AG363&lt;=X350+COUNTIF(F351:F363,$W$218))))</f>
        <v>0</v>
      </c>
      <c r="AI363" s="496" t="b">
        <f ca="1">IF(OR(NOT(W349),NOT(X339)),FALSE,AND(E363="",OR(AG363&lt;=W350+COUNTIF(E351:E363,$W$218),AG363&lt;=X350+COUNTIF(F351:F363,$W$218))))</f>
        <v>0</v>
      </c>
      <c r="AJ363" s="496" t="b">
        <f ca="1">IF(OR(NOT(W349),NOT(X339)),FALSE,AND(F363="",OR(AG363&lt;=W350+COUNTIF(E351:E363,$W$218),AG363&lt;=X350+COUNTIF(F351:F363,$W$218))))</f>
        <v>0</v>
      </c>
      <c r="AK363" s="496" t="b">
        <f ca="1">IF(OR(NOT(W349),NOT(X339)),FALSE,AND(G363="",OR(AG363&lt;=W350+COUNTIF(E351:E363,$W$218),AG363&lt;=X350+COUNTIF(F351:F363,$W$218))))</f>
        <v>0</v>
      </c>
      <c r="AL363" s="496" t="b">
        <f ca="1">IF(OR(NOT(Y349),NOT(Z339)),FALSE,AND(K363="",OR(AG363&lt;=Y350+COUNTIF(L351:L363,$W$218),AG363&lt;=Z350+COUNTIF(M351:M363,$W$218))))</f>
        <v>0</v>
      </c>
      <c r="AM363" s="496" t="b">
        <f ca="1">IF(OR(NOT(Y349),NOT(Z339)),FALSE,AND(L363="",OR(AG363&lt;=Y350+COUNTIF(L351:L363,$W$218),AG363&lt;=Z350+COUNTIF(M351:M363,$W$218))))</f>
        <v>0</v>
      </c>
      <c r="AN363" s="496" t="b">
        <f ca="1">IF(OR(NOT(Y349),NOT(Z339)),FALSE,AND(M363="",OR(AG363&lt;=Y350+COUNTIF(L351:L363,$W$218),AG363&lt;=Z350+COUNTIF(M351:M363,$W$218))))</f>
        <v>0</v>
      </c>
      <c r="AO363" s="496" t="b">
        <f ca="1">IF(OR(NOT(Y349),NOT(Z339)),FALSE,AND(N363="",OR(AG363&lt;=Y350+COUNTIF(L351:L363,$W$218),AG363&lt;=Z350+COUNTIF(M351:M363,$W$218))))</f>
        <v>0</v>
      </c>
      <c r="AW363" s="485"/>
      <c r="AY363" s="323"/>
      <c r="BA363" s="323"/>
      <c r="BC363" s="323"/>
      <c r="BE363" s="323"/>
      <c r="BG363" s="323"/>
      <c r="BI363" s="323"/>
      <c r="BK363" s="323"/>
      <c r="BM363" s="323"/>
      <c r="BO363" s="323"/>
      <c r="BQ363" s="323"/>
      <c r="BS363" s="323"/>
      <c r="BU363" s="323"/>
      <c r="BW363" s="323"/>
      <c r="BY363" s="323"/>
      <c r="CA363" s="323"/>
      <c r="CC363" s="323"/>
      <c r="CE363" s="323"/>
      <c r="CG363" s="323"/>
      <c r="CI363" s="323"/>
      <c r="CK363" s="323"/>
      <c r="CM363" s="323"/>
      <c r="CO363" s="323"/>
      <c r="CQ363" s="323"/>
      <c r="CS363" s="323"/>
      <c r="CU363" s="323"/>
      <c r="CW363" s="323"/>
      <c r="CY363" s="323"/>
      <c r="DA363" s="323"/>
      <c r="DC363" s="323"/>
      <c r="DE363" s="323"/>
      <c r="DG363" s="323"/>
      <c r="DI363" s="323"/>
      <c r="DJ363" s="485"/>
    </row>
    <row r="364" spans="1:114" ht="11.25" hidden="1" customHeight="1" x14ac:dyDescent="0.3">
      <c r="A364" s="765"/>
      <c r="C364" s="219"/>
      <c r="D364" s="220"/>
      <c r="E364" s="517"/>
      <c r="F364" s="516"/>
      <c r="G364" s="223"/>
      <c r="H364" s="219"/>
      <c r="J364" s="219"/>
      <c r="K364" s="220"/>
      <c r="L364" s="517"/>
      <c r="M364" s="516"/>
      <c r="N364" s="223"/>
      <c r="O364" s="219"/>
      <c r="AB364" s="327" t="str">
        <f t="shared" si="96"/>
        <v/>
      </c>
      <c r="AC364" s="327" t="str">
        <f t="shared" si="97"/>
        <v/>
      </c>
      <c r="AD364" s="327" t="str">
        <f t="shared" si="98"/>
        <v/>
      </c>
      <c r="AE364" s="327" t="str">
        <f t="shared" si="99"/>
        <v/>
      </c>
      <c r="AG364" s="485">
        <v>14</v>
      </c>
      <c r="AH364" s="496" t="b">
        <f ca="1">IF(OR(NOT(W349),NOT(X339)),FALSE,AND(D364="",OR(AG364&lt;=W350+COUNTIF(E351:E364,$W$218),AG364&lt;=X350+COUNTIF(F351:F364,$W$218))))</f>
        <v>0</v>
      </c>
      <c r="AI364" s="496" t="b">
        <f ca="1">IF(OR(NOT(W349),NOT(X339)),FALSE,AND(E364="",OR(AG364&lt;=W350+COUNTIF(E351:E364,$W$218),AG364&lt;=X350+COUNTIF(F351:F364,$W$218))))</f>
        <v>0</v>
      </c>
      <c r="AJ364" s="496" t="b">
        <f ca="1">IF(OR(NOT(W349),NOT(X339)),FALSE,AND(F364="",OR(AG364&lt;=W350+COUNTIF(E351:E364,$W$218),AG364&lt;=X350+COUNTIF(F351:F364,$W$218))))</f>
        <v>0</v>
      </c>
      <c r="AK364" s="496" t="b">
        <f ca="1">IF(OR(NOT(W349),NOT(X339)),FALSE,AND(G364="",OR(AG364&lt;=W350+COUNTIF(E351:E364,$W$218),AG364&lt;=X350+COUNTIF(F351:F364,$W$218))))</f>
        <v>0</v>
      </c>
      <c r="AL364" s="496" t="b">
        <f ca="1">IF(OR(NOT(Y349),NOT(Z339)),FALSE,AND(K364="",OR(AG364&lt;=Y350+COUNTIF(L351:L364,$W$218),AG364&lt;=Z350+COUNTIF(M351:M364,$W$218))))</f>
        <v>0</v>
      </c>
      <c r="AM364" s="496" t="b">
        <f ca="1">IF(OR(NOT(Y349),NOT(Z339)),FALSE,AND(L364="",OR(AG364&lt;=Y350+COUNTIF(L351:L364,$W$218),AG364&lt;=Z350+COUNTIF(M351:M364,$W$218))))</f>
        <v>0</v>
      </c>
      <c r="AN364" s="496" t="b">
        <f ca="1">IF(OR(NOT(Y349),NOT(Z339)),FALSE,AND(M364="",OR(AG364&lt;=Y350+COUNTIF(L351:L364,$W$218),AG364&lt;=Z350+COUNTIF(M351:M364,$W$218))))</f>
        <v>0</v>
      </c>
      <c r="AO364" s="496" t="b">
        <f ca="1">IF(OR(NOT(Y349),NOT(Z339)),FALSE,AND(N364="",OR(AG364&lt;=Y350+COUNTIF(L351:L364,$W$218),AG364&lt;=Z350+COUNTIF(M351:M364,$W$218))))</f>
        <v>0</v>
      </c>
      <c r="AS364" s="323"/>
      <c r="AT364" s="323"/>
      <c r="AW364" s="485"/>
      <c r="AY364" s="323"/>
      <c r="BA364" s="323"/>
      <c r="BC364" s="323"/>
      <c r="BE364" s="323"/>
      <c r="BG364" s="323"/>
      <c r="BI364" s="323"/>
      <c r="BK364" s="323"/>
      <c r="BM364" s="323"/>
      <c r="BO364" s="323"/>
      <c r="BQ364" s="323"/>
      <c r="BS364" s="323"/>
      <c r="BU364" s="323"/>
      <c r="BW364" s="323"/>
      <c r="BY364" s="323"/>
      <c r="CA364" s="323"/>
      <c r="CC364" s="323"/>
      <c r="CE364" s="323"/>
      <c r="CG364" s="323"/>
      <c r="CI364" s="323"/>
      <c r="CK364" s="323"/>
      <c r="CM364" s="323"/>
      <c r="CO364" s="323"/>
      <c r="CQ364" s="323"/>
      <c r="CS364" s="323"/>
      <c r="CU364" s="323"/>
      <c r="CW364" s="323"/>
      <c r="CY364" s="323"/>
      <c r="DA364" s="323"/>
      <c r="DC364" s="323"/>
      <c r="DE364" s="323"/>
      <c r="DG364" s="323"/>
      <c r="DI364" s="323"/>
      <c r="DJ364" s="485"/>
    </row>
    <row r="365" spans="1:114" ht="10.5" hidden="1" customHeight="1" x14ac:dyDescent="0.3">
      <c r="A365" s="76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AQ365" s="323"/>
      <c r="AR365" s="323"/>
      <c r="AS365" s="323"/>
      <c r="AT365" s="323"/>
      <c r="AW365" s="485"/>
      <c r="AY365" s="323"/>
      <c r="BA365" s="323"/>
      <c r="BC365" s="323"/>
      <c r="BE365" s="323"/>
      <c r="BG365" s="323"/>
      <c r="BI365" s="323"/>
      <c r="BK365" s="323"/>
      <c r="BM365" s="323"/>
      <c r="BO365" s="323"/>
      <c r="BQ365" s="323"/>
      <c r="BS365" s="323"/>
      <c r="BU365" s="323"/>
      <c r="BW365" s="323"/>
      <c r="BY365" s="323"/>
      <c r="CA365" s="323"/>
      <c r="CC365" s="323"/>
      <c r="CE365" s="323"/>
      <c r="CG365" s="323"/>
      <c r="CI365" s="323"/>
      <c r="CK365" s="323"/>
      <c r="CM365" s="323"/>
      <c r="CO365" s="323"/>
      <c r="CQ365" s="323"/>
      <c r="CS365" s="323"/>
      <c r="CU365" s="323"/>
      <c r="CW365" s="323"/>
      <c r="CY365" s="323"/>
      <c r="DA365" s="323"/>
      <c r="DC365" s="323"/>
      <c r="DE365" s="323"/>
      <c r="DG365" s="323"/>
      <c r="DI365" s="323"/>
    </row>
    <row r="366" spans="1:114" ht="10.5" customHeight="1" x14ac:dyDescent="0.3">
      <c r="A366" s="76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AQ366" s="323"/>
      <c r="AR366" s="323"/>
      <c r="AS366" s="323"/>
      <c r="AT366" s="323"/>
      <c r="AW366" s="485"/>
      <c r="AY366" s="323"/>
      <c r="BA366" s="323"/>
      <c r="BC366" s="323"/>
      <c r="BE366" s="323"/>
      <c r="BG366" s="323"/>
      <c r="BI366" s="323"/>
      <c r="BK366" s="323"/>
      <c r="BM366" s="323"/>
      <c r="BO366" s="323"/>
      <c r="BQ366" s="323"/>
      <c r="BS366" s="323"/>
      <c r="BU366" s="323"/>
      <c r="BW366" s="323"/>
      <c r="BY366" s="323"/>
      <c r="CA366" s="323"/>
      <c r="CC366" s="323"/>
      <c r="CE366" s="323"/>
      <c r="CG366" s="323"/>
      <c r="CI366" s="323"/>
      <c r="CK366" s="323"/>
      <c r="CM366" s="323"/>
      <c r="CO366" s="323"/>
      <c r="CQ366" s="323"/>
      <c r="CS366" s="323"/>
      <c r="CU366" s="323"/>
      <c r="CW366" s="323"/>
      <c r="CY366" s="323"/>
      <c r="DA366" s="323"/>
      <c r="DC366" s="323"/>
      <c r="DE366" s="323"/>
      <c r="DG366" s="323"/>
      <c r="DI366" s="323"/>
    </row>
    <row r="367" spans="1:114" ht="3.75" customHeight="1" x14ac:dyDescent="0.3">
      <c r="A367" s="765"/>
      <c r="AQ367" s="323"/>
      <c r="AR367" s="323"/>
      <c r="AS367" s="323"/>
      <c r="AT367" s="323"/>
      <c r="AY367" s="323"/>
      <c r="BA367" s="323"/>
      <c r="BC367" s="323"/>
      <c r="BE367" s="323"/>
      <c r="BG367" s="323"/>
      <c r="BI367" s="323"/>
      <c r="BK367" s="323"/>
      <c r="BM367" s="323"/>
      <c r="BO367" s="323"/>
      <c r="BQ367" s="323"/>
      <c r="BS367" s="323"/>
      <c r="BU367" s="323"/>
      <c r="BW367" s="323"/>
      <c r="BY367" s="323"/>
      <c r="CA367" s="323"/>
      <c r="CC367" s="323"/>
      <c r="CE367" s="323"/>
      <c r="CG367" s="323"/>
      <c r="CI367" s="323"/>
      <c r="CK367" s="323"/>
      <c r="CM367" s="323"/>
      <c r="CO367" s="323"/>
      <c r="CQ367" s="323"/>
      <c r="CS367" s="323"/>
      <c r="CU367" s="323"/>
      <c r="CW367" s="323"/>
      <c r="CY367" s="323"/>
      <c r="DA367" s="323"/>
      <c r="DC367" s="323"/>
      <c r="DE367" s="323"/>
      <c r="DG367" s="323"/>
      <c r="DI367" s="323"/>
    </row>
    <row r="368" spans="1:114" ht="12" customHeight="1" x14ac:dyDescent="0.3">
      <c r="A368" s="765"/>
      <c r="C368" s="247" t="str">
        <f>W373</f>
        <v>JÚNIUS 23. – SZERDA 21:00</v>
      </c>
      <c r="D368" s="227"/>
      <c r="E368" s="228"/>
      <c r="F368" s="229"/>
      <c r="G368" s="230"/>
      <c r="H368" s="231" t="str">
        <f>W374</f>
        <v>3. CSOPORTMÉRKŐZÉS</v>
      </c>
      <c r="I368" s="138"/>
      <c r="J368" s="246" t="str">
        <f>Y373</f>
        <v>JÚNIUS 23. – SZERDA 21:00</v>
      </c>
      <c r="K368" s="227"/>
      <c r="L368" s="228"/>
      <c r="M368" s="229"/>
      <c r="N368" s="230"/>
      <c r="O368" s="226" t="str">
        <f>Y374</f>
        <v>3. CSOPORTMÉRKŐZÉS</v>
      </c>
      <c r="AQ368" s="323"/>
      <c r="AR368" s="323"/>
      <c r="AS368" s="323"/>
      <c r="AT368" s="323"/>
      <c r="AY368" s="323"/>
      <c r="BA368" s="323"/>
      <c r="BC368" s="323"/>
      <c r="BE368" s="323"/>
      <c r="BG368" s="323"/>
      <c r="BI368" s="323"/>
      <c r="BK368" s="323"/>
      <c r="BM368" s="323"/>
      <c r="BO368" s="323"/>
      <c r="BQ368" s="323"/>
      <c r="BS368" s="323"/>
      <c r="BU368" s="323"/>
      <c r="BW368" s="323"/>
      <c r="BY368" s="323"/>
      <c r="CA368" s="323"/>
      <c r="CC368" s="323"/>
      <c r="CE368" s="323"/>
      <c r="CG368" s="323"/>
      <c r="CI368" s="323"/>
      <c r="CK368" s="323"/>
      <c r="CM368" s="323"/>
      <c r="CO368" s="323"/>
      <c r="CQ368" s="323"/>
      <c r="CS368" s="323"/>
      <c r="CU368" s="323"/>
      <c r="CW368" s="323"/>
      <c r="CY368" s="323"/>
      <c r="DA368" s="323"/>
      <c r="DC368" s="323"/>
      <c r="DE368" s="323"/>
      <c r="DG368" s="323"/>
      <c r="DI368" s="323"/>
    </row>
    <row r="369" spans="1:115" s="138" customFormat="1" ht="14.25" customHeight="1" x14ac:dyDescent="0.3">
      <c r="A369" s="765"/>
      <c r="B369" s="137"/>
      <c r="C369" s="233" t="str">
        <f>IF(W376=0,"",IF(W376&gt;0,CONCATENATE("még ",W376," gól"),CONCATENATE("túl sok (",W376," gól)")))</f>
        <v/>
      </c>
      <c r="D369" s="714" t="str">
        <f>W377</f>
        <v>Németország</v>
      </c>
      <c r="E369" s="716" t="str">
        <f>W378</f>
        <v/>
      </c>
      <c r="F369" s="717" t="str">
        <f>X378</f>
        <v/>
      </c>
      <c r="G369" s="715" t="str">
        <f>X377</f>
        <v>MAGYARORSZÁG</v>
      </c>
      <c r="H369" s="232" t="str">
        <f>IF(X376=0,"",IF(X376&gt;0,CONCATENATE("még ",X376," gól"),CONCATENATE("túl sok (",X376," gól)")))</f>
        <v/>
      </c>
      <c r="I369" s="127"/>
      <c r="J369" s="233" t="str">
        <f>IF(Y376=0,"",IF(Y376&gt;0,CONCATENATE("még ",Y376," gól"),CONCATENATE("túl sok (",Y376," gól)")))</f>
        <v/>
      </c>
      <c r="K369" s="714" t="str">
        <f>Y377</f>
        <v>Portugália</v>
      </c>
      <c r="L369" s="716" t="str">
        <f>Y378</f>
        <v/>
      </c>
      <c r="M369" s="717" t="str">
        <f>Z378</f>
        <v/>
      </c>
      <c r="N369" s="715" t="str">
        <f>Z377</f>
        <v>Franciaország</v>
      </c>
      <c r="O369" s="232" t="str">
        <f>IF(Z376=0,"",IF(Z376&gt;0,CONCATENATE("még ",Z376," gól"),CONCATENATE("túl sok (",Z376," gól)")))</f>
        <v/>
      </c>
      <c r="P369" s="139"/>
      <c r="Q369" s="140"/>
      <c r="R369" s="141"/>
      <c r="S369" s="141"/>
      <c r="T369" s="484"/>
      <c r="U369" s="485"/>
      <c r="V369" s="485"/>
      <c r="W369" s="485"/>
      <c r="X369" s="485"/>
      <c r="Y369" s="485"/>
      <c r="Z369" s="485"/>
      <c r="AA369" s="485"/>
      <c r="AB369" s="242" t="str">
        <f>HLOOKUP(D369,nevek.li,2,FALSE)</f>
        <v>nevek.24</v>
      </c>
      <c r="AC369" s="242" t="str">
        <f>HLOOKUP(G369,nevek.li,2,FALSE)</f>
        <v>nevek.21</v>
      </c>
      <c r="AD369" s="242" t="str">
        <f>HLOOKUP(K369,nevek.li,2,FALSE)</f>
        <v>nevek.22</v>
      </c>
      <c r="AE369" s="242" t="str">
        <f>HLOOKUP(N369,nevek.li,2,FALSE)</f>
        <v>nevek.23</v>
      </c>
      <c r="AF369" s="485"/>
      <c r="AG369" s="485"/>
      <c r="AH369" s="485"/>
      <c r="AI369" s="485"/>
      <c r="AJ369" s="485"/>
      <c r="AK369" s="485"/>
      <c r="AL369" s="485"/>
      <c r="AM369" s="485"/>
      <c r="AN369" s="485"/>
      <c r="AO369" s="485"/>
      <c r="AP369" s="485"/>
      <c r="AQ369" s="485"/>
      <c r="AR369" s="485"/>
      <c r="AS369" s="485"/>
      <c r="AT369" s="485"/>
      <c r="AU369" s="485"/>
      <c r="AV369" s="500"/>
      <c r="AW369" s="323"/>
      <c r="AX369" s="323"/>
      <c r="AY369" s="323"/>
      <c r="AZ369" s="323"/>
      <c r="BA369" s="323"/>
      <c r="BB369" s="323"/>
      <c r="BC369" s="323"/>
      <c r="BD369" s="323"/>
      <c r="BE369" s="323"/>
      <c r="BF369" s="323"/>
      <c r="BG369" s="323"/>
      <c r="BH369" s="323"/>
      <c r="BI369" s="323"/>
      <c r="BJ369" s="323"/>
      <c r="BK369" s="323"/>
      <c r="BL369" s="323"/>
      <c r="BM369" s="323"/>
      <c r="BN369" s="323"/>
      <c r="BO369" s="323"/>
      <c r="BP369" s="323"/>
      <c r="BQ369" s="323"/>
      <c r="BR369" s="323"/>
      <c r="BS369" s="323"/>
      <c r="BT369" s="323"/>
      <c r="BU369" s="323"/>
      <c r="BV369" s="323"/>
      <c r="BW369" s="323"/>
      <c r="BX369" s="323"/>
      <c r="BY369" s="323"/>
      <c r="BZ369" s="323"/>
      <c r="CA369" s="323"/>
      <c r="CB369" s="323"/>
      <c r="CC369" s="323"/>
      <c r="CD369" s="323"/>
      <c r="CE369" s="323"/>
      <c r="CF369" s="323"/>
      <c r="CG369" s="323"/>
      <c r="CH369" s="323"/>
      <c r="CI369" s="323"/>
      <c r="CJ369" s="323"/>
      <c r="CK369" s="323"/>
      <c r="CL369" s="323"/>
      <c r="CM369" s="323"/>
      <c r="CN369" s="323"/>
      <c r="CO369" s="323"/>
      <c r="CP369" s="323"/>
      <c r="CQ369" s="323"/>
      <c r="CR369" s="323"/>
      <c r="CS369" s="323"/>
      <c r="CT369" s="323"/>
      <c r="CU369" s="323"/>
      <c r="CV369" s="323"/>
      <c r="CW369" s="323"/>
      <c r="CX369" s="323"/>
      <c r="CY369" s="323"/>
      <c r="CZ369" s="323"/>
      <c r="DA369" s="323"/>
      <c r="DB369" s="323"/>
      <c r="DC369" s="323"/>
      <c r="DD369" s="323"/>
      <c r="DE369" s="323"/>
      <c r="DF369" s="323"/>
      <c r="DG369" s="323"/>
      <c r="DH369" s="323"/>
      <c r="DI369" s="323"/>
      <c r="DJ369" s="323"/>
      <c r="DK369" s="500"/>
    </row>
    <row r="370" spans="1:115" ht="12" customHeight="1" x14ac:dyDescent="0.3">
      <c r="A370" s="765"/>
      <c r="C370" s="218"/>
      <c r="D370" s="220"/>
      <c r="E370" s="221"/>
      <c r="F370" s="222"/>
      <c r="G370" s="223"/>
      <c r="H370" s="218"/>
      <c r="J370" s="218"/>
      <c r="K370" s="220"/>
      <c r="L370" s="221"/>
      <c r="M370" s="222"/>
      <c r="N370" s="223"/>
      <c r="O370" s="218"/>
      <c r="V370" s="487" t="s">
        <v>706</v>
      </c>
      <c r="W370" s="242">
        <v>35</v>
      </c>
      <c r="X370" s="485" t="str">
        <f>""</f>
        <v/>
      </c>
      <c r="Y370" s="242">
        <v>36</v>
      </c>
      <c r="AB370" s="327" t="str">
        <f>IF(C370="öngól",AC369,AB369)</f>
        <v>nevek.24</v>
      </c>
      <c r="AC370" s="327" t="str">
        <f>IF(H370="öngól",AB369,AC369)</f>
        <v>nevek.21</v>
      </c>
      <c r="AD370" s="327" t="str">
        <f>IF(J370="öngól",AE369,AD369)</f>
        <v>nevek.22</v>
      </c>
      <c r="AE370" s="327" t="str">
        <f>IF(O370="öngól",AD369,AE369)</f>
        <v>nevek.23</v>
      </c>
      <c r="AF370" s="325"/>
      <c r="AG370" s="485">
        <v>1</v>
      </c>
      <c r="AH370" s="488" t="b">
        <f ca="1">AND(W372,X373,D370="",AG370&lt;=W378)</f>
        <v>0</v>
      </c>
      <c r="AI370" s="488" t="b">
        <f ca="1">AND(W372,X373,E370="",AG370&lt;=W378)</f>
        <v>0</v>
      </c>
      <c r="AJ370" s="488" t="b">
        <f ca="1">AND(W372,X373,F370="",AG370&lt;=X378)</f>
        <v>0</v>
      </c>
      <c r="AK370" s="488" t="b">
        <f ca="1">AND(W372,X373,G370="",AG370&lt;=X378)</f>
        <v>0</v>
      </c>
      <c r="AL370" s="488" t="b">
        <f ca="1">AND(Y372,Z373,K370="",AG370&lt;=Y378)</f>
        <v>0</v>
      </c>
      <c r="AM370" s="488" t="b">
        <f ca="1">AND(Y372,Z373,L370="",AG370&lt;=Y378)</f>
        <v>0</v>
      </c>
      <c r="AN370" s="488" t="b">
        <f ca="1">AND(Y372,Z373,M370="",AG370&lt;=Z378)</f>
        <v>0</v>
      </c>
      <c r="AO370" s="488" t="b">
        <f ca="1">AND(Y372,Z373,N370="",AG370&lt;=Z378)</f>
        <v>0</v>
      </c>
      <c r="AQ370" s="326" t="str">
        <f>IF(OR(NOT(Góllista!$E$6),D370=""),"",IF(C370="öngól","ö"&amp;G369&amp;D370,D369&amp;D370))</f>
        <v/>
      </c>
      <c r="AR370" s="326" t="str">
        <f>IF(OR(NOT(Góllista!$E$6),G370=""),"",IF(H370="öngól","ö"&amp;D369&amp;G370,G369&amp;G370))</f>
        <v/>
      </c>
      <c r="AS370" s="326" t="str">
        <f>IF(OR(NOT(Góllista!$E$6),K370=""),"",IF(J370="öngól","ö"&amp;N369&amp;K370,K369&amp;K370))</f>
        <v/>
      </c>
      <c r="AT370" s="326" t="str">
        <f>IF(OR(NOT(Góllista!$E$6),N370=""),"",IF(O370="öngól","ö"&amp;K369&amp;N370,N369&amp;N370))</f>
        <v/>
      </c>
      <c r="AY370" s="323"/>
      <c r="BA370" s="323"/>
      <c r="BC370" s="323"/>
      <c r="BE370" s="323"/>
      <c r="BG370" s="323"/>
      <c r="BI370" s="323"/>
      <c r="BK370" s="323"/>
      <c r="BM370" s="323"/>
      <c r="BO370" s="323"/>
      <c r="BQ370" s="323"/>
      <c r="BS370" s="323"/>
      <c r="BU370" s="323"/>
      <c r="BW370" s="323"/>
      <c r="BY370" s="323"/>
      <c r="CA370" s="323"/>
      <c r="CC370" s="323"/>
      <c r="CE370" s="323"/>
      <c r="CG370" s="323"/>
      <c r="CI370" s="323"/>
      <c r="CK370" s="323"/>
      <c r="CM370" s="323"/>
      <c r="CO370" s="323"/>
      <c r="CQ370" s="323"/>
      <c r="CS370" s="323"/>
      <c r="CU370" s="323"/>
      <c r="CW370" s="323"/>
      <c r="CY370" s="323"/>
      <c r="DA370" s="323"/>
      <c r="DC370" s="323"/>
      <c r="DE370" s="323"/>
      <c r="DG370" s="323"/>
      <c r="DI370" s="323"/>
    </row>
    <row r="371" spans="1:115" ht="12" customHeight="1" x14ac:dyDescent="0.3">
      <c r="A371" s="765"/>
      <c r="C371" s="219"/>
      <c r="D371" s="220"/>
      <c r="E371" s="224"/>
      <c r="F371" s="222"/>
      <c r="G371" s="223"/>
      <c r="H371" s="219"/>
      <c r="J371" s="219"/>
      <c r="K371" s="220"/>
      <c r="L371" s="224"/>
      <c r="M371" s="222"/>
      <c r="N371" s="223"/>
      <c r="O371" s="219"/>
      <c r="V371" s="487" t="s">
        <v>711</v>
      </c>
      <c r="W371" s="327">
        <f>MATCH(W370,n.er.index,0)</f>
        <v>83</v>
      </c>
      <c r="X371" s="485" t="str">
        <f>""</f>
        <v/>
      </c>
      <c r="Y371" s="327">
        <f>MATCH(Y370,n.er.index,0)</f>
        <v>84</v>
      </c>
      <c r="AB371" s="327" t="str">
        <f>IF(C371="öngól",AC369,AB369)</f>
        <v>nevek.24</v>
      </c>
      <c r="AC371" s="327" t="str">
        <f>IF(H371="öngól",AB369,AC369)</f>
        <v>nevek.21</v>
      </c>
      <c r="AD371" s="327" t="str">
        <f>IF(J371="öngól",AE369,AD369)</f>
        <v>nevek.22</v>
      </c>
      <c r="AE371" s="327" t="str">
        <f>IF(O371="öngól",AD369,AE369)</f>
        <v>nevek.23</v>
      </c>
      <c r="AF371" s="325"/>
      <c r="AG371" s="485">
        <v>2</v>
      </c>
      <c r="AH371" s="488" t="b">
        <f ca="1">AND(W372,X373,D371="",AG371&lt;=W378)</f>
        <v>0</v>
      </c>
      <c r="AI371" s="488" t="b">
        <f ca="1">AND(W372,X373,E371="",AG371&lt;=W378)</f>
        <v>0</v>
      </c>
      <c r="AJ371" s="488" t="b">
        <f ca="1">AND(W372,X373,F371="",AG371&lt;=X378)</f>
        <v>0</v>
      </c>
      <c r="AK371" s="488" t="b">
        <f ca="1">AND(W372,X373,G371="",AG371&lt;=X378)</f>
        <v>0</v>
      </c>
      <c r="AL371" s="488" t="b">
        <f ca="1">AND(Y372,Z373,K371="",AG371&lt;=Y378)</f>
        <v>0</v>
      </c>
      <c r="AM371" s="488" t="b">
        <f ca="1">AND(Y372,Z373,L371="",AG371&lt;=Y378)</f>
        <v>0</v>
      </c>
      <c r="AN371" s="488" t="b">
        <f ca="1">AND(Y372,Z373,M371="",AG371&lt;=Z378)</f>
        <v>0</v>
      </c>
      <c r="AO371" s="488" t="b">
        <f ca="1">AND(Y372,Z373,N371="",AG371&lt;=Z378)</f>
        <v>0</v>
      </c>
      <c r="AQ371" s="326" t="str">
        <f>IF(OR(NOT(Góllista!$E$6),D371=""),"",IF(C371="öngól","ö"&amp;G369&amp;D371,D369&amp;D371))</f>
        <v/>
      </c>
      <c r="AR371" s="326" t="str">
        <f>IF(OR(NOT(Góllista!$E$6),G371=""),"",IF(H371="öngól","ö"&amp;D369&amp;G371,G369&amp;G371))</f>
        <v/>
      </c>
      <c r="AS371" s="326" t="str">
        <f>IF(OR(NOT(Góllista!$E$6),K371=""),"",IF(J371="öngól","ö"&amp;N369&amp;K371,K369&amp;K371))</f>
        <v/>
      </c>
      <c r="AT371" s="326" t="str">
        <f>IF(OR(NOT(Góllista!$E$6),N371=""),"",IF(O371="öngól","ö"&amp;K369&amp;N371,N369&amp;N371))</f>
        <v/>
      </c>
      <c r="AY371" s="323"/>
      <c r="BA371" s="323"/>
      <c r="BC371" s="323"/>
      <c r="BE371" s="323"/>
      <c r="BG371" s="323"/>
      <c r="BI371" s="323"/>
      <c r="BK371" s="323"/>
      <c r="BM371" s="323"/>
      <c r="BO371" s="323"/>
      <c r="BQ371" s="323"/>
      <c r="BS371" s="323"/>
      <c r="BU371" s="323"/>
      <c r="BW371" s="323"/>
      <c r="BY371" s="323"/>
      <c r="CA371" s="323"/>
      <c r="CC371" s="323"/>
      <c r="CE371" s="323"/>
      <c r="CG371" s="323"/>
      <c r="CI371" s="323"/>
      <c r="CK371" s="323"/>
      <c r="CM371" s="323"/>
      <c r="CO371" s="323"/>
      <c r="CQ371" s="323"/>
      <c r="CS371" s="323"/>
      <c r="CU371" s="323"/>
      <c r="CW371" s="323"/>
      <c r="CY371" s="323"/>
      <c r="DA371" s="323"/>
      <c r="DC371" s="323"/>
      <c r="DE371" s="323"/>
      <c r="DG371" s="323"/>
      <c r="DI371" s="323"/>
    </row>
    <row r="372" spans="1:115" ht="12" customHeight="1" x14ac:dyDescent="0.3">
      <c r="A372" s="765"/>
      <c r="C372" s="219"/>
      <c r="D372" s="220"/>
      <c r="E372" s="224"/>
      <c r="F372" s="222"/>
      <c r="G372" s="223"/>
      <c r="H372" s="219"/>
      <c r="J372" s="219"/>
      <c r="K372" s="220"/>
      <c r="L372" s="224"/>
      <c r="M372" s="222"/>
      <c r="N372" s="223"/>
      <c r="O372" s="219"/>
      <c r="V372" s="487" t="s">
        <v>710</v>
      </c>
      <c r="W372" s="489" t="b">
        <f>INDEX(n.er,W371,3)</f>
        <v>0</v>
      </c>
      <c r="X372" s="485" t="str">
        <f>""</f>
        <v/>
      </c>
      <c r="Y372" s="489" t="b">
        <f>INDEX(n.er,Y371,3)</f>
        <v>0</v>
      </c>
      <c r="AB372" s="327" t="str">
        <f>IF(C372="öngól",AC369,AB369)</f>
        <v>nevek.24</v>
      </c>
      <c r="AC372" s="327" t="str">
        <f>IF(H372="öngól",AB369,AC369)</f>
        <v>nevek.21</v>
      </c>
      <c r="AD372" s="327" t="str">
        <f>IF(J372="öngól",AE369,AD369)</f>
        <v>nevek.22</v>
      </c>
      <c r="AE372" s="327" t="str">
        <f>IF(O372="öngól",AD369,AE369)</f>
        <v>nevek.23</v>
      </c>
      <c r="AF372" s="325"/>
      <c r="AG372" s="485">
        <v>3</v>
      </c>
      <c r="AH372" s="488" t="b">
        <f ca="1">AND(W372,X373,D372="",AG372&lt;=W378)</f>
        <v>0</v>
      </c>
      <c r="AI372" s="488" t="b">
        <f ca="1">AND(W372,X373,E372="",AG372&lt;=W378)</f>
        <v>0</v>
      </c>
      <c r="AJ372" s="488" t="b">
        <f ca="1">AND(W372,X373,F372="",AG372&lt;=X378)</f>
        <v>0</v>
      </c>
      <c r="AK372" s="488" t="b">
        <f ca="1">AND(W372,X373,G372="",AG372&lt;=X378)</f>
        <v>0</v>
      </c>
      <c r="AL372" s="488" t="b">
        <f ca="1">AND(Y372,Z373,K372="",AG372&lt;=Y378)</f>
        <v>0</v>
      </c>
      <c r="AM372" s="488" t="b">
        <f ca="1">AND(Y372,Z373,L372="",AG372&lt;=Y378)</f>
        <v>0</v>
      </c>
      <c r="AN372" s="488" t="b">
        <f ca="1">AND(Y372,Z373,M372="",AG372&lt;=Z378)</f>
        <v>0</v>
      </c>
      <c r="AO372" s="488" t="b">
        <f ca="1">AND(Y372,Z373,N372="",AG372&lt;=Z378)</f>
        <v>0</v>
      </c>
      <c r="AQ372" s="326" t="str">
        <f>IF(OR(NOT(Góllista!$E$6),D372=""),"",IF(C372="öngól","ö"&amp;G369&amp;D372,D369&amp;D372))</f>
        <v/>
      </c>
      <c r="AR372" s="326" t="str">
        <f>IF(OR(NOT(Góllista!$E$6),G372=""),"",IF(H372="öngól","ö"&amp;D369&amp;G372,G369&amp;G372))</f>
        <v/>
      </c>
      <c r="AS372" s="326" t="str">
        <f>IF(OR(NOT(Góllista!$E$6),K372=""),"",IF(J372="öngól","ö"&amp;N369&amp;K372,K369&amp;K372))</f>
        <v/>
      </c>
      <c r="AT372" s="326" t="str">
        <f>IF(OR(NOT(Góllista!$E$6),N372=""),"",IF(O372="öngól","ö"&amp;K369&amp;N372,N369&amp;N372))</f>
        <v/>
      </c>
      <c r="AY372" s="323"/>
      <c r="BA372" s="323"/>
      <c r="BC372" s="323"/>
      <c r="BE372" s="323"/>
      <c r="BG372" s="323"/>
      <c r="BI372" s="323"/>
      <c r="BK372" s="323"/>
      <c r="BM372" s="323"/>
      <c r="BO372" s="323"/>
      <c r="BQ372" s="323"/>
      <c r="BS372" s="323"/>
      <c r="BU372" s="323"/>
      <c r="BW372" s="323"/>
      <c r="BY372" s="323"/>
      <c r="CA372" s="323"/>
      <c r="CC372" s="323"/>
      <c r="CE372" s="323"/>
      <c r="CG372" s="323"/>
      <c r="CI372" s="323"/>
      <c r="CK372" s="323"/>
      <c r="CM372" s="323"/>
      <c r="CO372" s="323"/>
      <c r="CQ372" s="323"/>
      <c r="CS372" s="323"/>
      <c r="CU372" s="323"/>
      <c r="CW372" s="323"/>
      <c r="CY372" s="323"/>
      <c r="DA372" s="323"/>
      <c r="DC372" s="323"/>
      <c r="DE372" s="323"/>
      <c r="DG372" s="323"/>
      <c r="DI372" s="323"/>
    </row>
    <row r="373" spans="1:115" ht="12" customHeight="1" x14ac:dyDescent="0.3">
      <c r="A373" s="765"/>
      <c r="C373" s="219"/>
      <c r="D373" s="220"/>
      <c r="E373" s="224"/>
      <c r="F373" s="222"/>
      <c r="G373" s="223"/>
      <c r="H373" s="219"/>
      <c r="J373" s="219"/>
      <c r="K373" s="220"/>
      <c r="L373" s="224"/>
      <c r="M373" s="222"/>
      <c r="N373" s="223"/>
      <c r="O373" s="219"/>
      <c r="V373" s="487" t="s">
        <v>705</v>
      </c>
      <c r="W373" s="490" t="str">
        <f>VLOOKUP(W370,schedule,18,FALSE)</f>
        <v>JÚNIUS 23. – SZERDA 21:00</v>
      </c>
      <c r="X373" s="489" t="b">
        <f ca="1">VLOOKUP(W370,schedule,14,FALSE)&lt;=NOW()</f>
        <v>0</v>
      </c>
      <c r="Y373" s="490" t="str">
        <f>VLOOKUP(Y370,schedule,18,FALSE)</f>
        <v>JÚNIUS 23. – SZERDA 21:00</v>
      </c>
      <c r="Z373" s="489" t="b">
        <f ca="1">VLOOKUP(Y370,schedule,14,FALSE)&lt;=NOW()</f>
        <v>0</v>
      </c>
      <c r="AB373" s="327" t="str">
        <f>IF(C373="öngól",AC369,AB369)</f>
        <v>nevek.24</v>
      </c>
      <c r="AC373" s="327" t="str">
        <f>IF(H373="öngól",AB369,AC369)</f>
        <v>nevek.21</v>
      </c>
      <c r="AD373" s="327" t="str">
        <f>IF(J373="öngól",AE369,AD369)</f>
        <v>nevek.22</v>
      </c>
      <c r="AE373" s="327" t="str">
        <f>IF(O373="öngól",AD369,AE369)</f>
        <v>nevek.23</v>
      </c>
      <c r="AF373" s="325"/>
      <c r="AG373" s="485">
        <v>4</v>
      </c>
      <c r="AH373" s="488" t="b">
        <f ca="1">AND(W372,X373,D373="",AG373&lt;=W378)</f>
        <v>0</v>
      </c>
      <c r="AI373" s="488" t="b">
        <f ca="1">AND(W372,X373,E373="",AG373&lt;=W378)</f>
        <v>0</v>
      </c>
      <c r="AJ373" s="488" t="b">
        <f ca="1">AND(W372,X373,F373="",AG373&lt;=X378)</f>
        <v>0</v>
      </c>
      <c r="AK373" s="488" t="b">
        <f ca="1">AND(W372,X373,G373="",AG373&lt;=X378)</f>
        <v>0</v>
      </c>
      <c r="AL373" s="488" t="b">
        <f ca="1">AND(Y372,Z373,K373="",AG373&lt;=Y378)</f>
        <v>0</v>
      </c>
      <c r="AM373" s="488" t="b">
        <f ca="1">AND(Y372,Z373,L373="",AG373&lt;=Y378)</f>
        <v>0</v>
      </c>
      <c r="AN373" s="488" t="b">
        <f ca="1">AND(Y372,Z373,M373="",AG373&lt;=Z378)</f>
        <v>0</v>
      </c>
      <c r="AO373" s="488" t="b">
        <f ca="1">AND(Y372,Z373,N373="",AG373&lt;=Z378)</f>
        <v>0</v>
      </c>
      <c r="AQ373" s="326" t="str">
        <f>IF(OR(NOT(Góllista!$E$6),D373=""),"",IF(C373="öngól","ö"&amp;G369&amp;D373,D369&amp;D373))</f>
        <v/>
      </c>
      <c r="AR373" s="326" t="str">
        <f>IF(OR(NOT(Góllista!$E$6),G373=""),"",IF(H373="öngól","ö"&amp;D369&amp;G373,G369&amp;G373))</f>
        <v/>
      </c>
      <c r="AS373" s="326" t="str">
        <f>IF(OR(NOT(Góllista!$E$6),K373=""),"",IF(J373="öngól","ö"&amp;N369&amp;K373,K369&amp;K373))</f>
        <v/>
      </c>
      <c r="AT373" s="326" t="str">
        <f>IF(OR(NOT(Góllista!$E$6),N373=""),"",IF(O373="öngól","ö"&amp;K369&amp;N373,N369&amp;N373))</f>
        <v/>
      </c>
      <c r="AY373" s="323"/>
      <c r="BA373" s="323"/>
      <c r="BC373" s="323"/>
      <c r="BE373" s="323"/>
      <c r="BG373" s="323"/>
      <c r="BI373" s="323"/>
      <c r="BK373" s="323"/>
      <c r="BM373" s="323"/>
      <c r="BO373" s="323"/>
      <c r="BQ373" s="323"/>
      <c r="BS373" s="323"/>
      <c r="BU373" s="323"/>
      <c r="BW373" s="323"/>
      <c r="BY373" s="323"/>
      <c r="CA373" s="323"/>
      <c r="CC373" s="323"/>
      <c r="CE373" s="323"/>
      <c r="CG373" s="323"/>
      <c r="CI373" s="323"/>
      <c r="CK373" s="323"/>
      <c r="CM373" s="323"/>
      <c r="CO373" s="323"/>
      <c r="CQ373" s="323"/>
      <c r="CS373" s="323"/>
      <c r="CU373" s="323"/>
      <c r="CW373" s="323"/>
      <c r="CY373" s="323"/>
      <c r="DA373" s="323"/>
      <c r="DC373" s="323"/>
      <c r="DE373" s="323"/>
      <c r="DG373" s="323"/>
      <c r="DI373" s="323"/>
    </row>
    <row r="374" spans="1:115" ht="12" customHeight="1" x14ac:dyDescent="0.3">
      <c r="A374" s="765"/>
      <c r="C374" s="219"/>
      <c r="D374" s="220"/>
      <c r="E374" s="224"/>
      <c r="F374" s="222"/>
      <c r="G374" s="223"/>
      <c r="H374" s="219"/>
      <c r="J374" s="219"/>
      <c r="K374" s="220"/>
      <c r="L374" s="224"/>
      <c r="M374" s="222"/>
      <c r="N374" s="223"/>
      <c r="O374" s="219"/>
      <c r="V374" s="487" t="s">
        <v>1265</v>
      </c>
      <c r="W374" s="491" t="str">
        <f>VLOOKUP(W370,schedule,12,FALSE)</f>
        <v>3. CSOPORTMÉRKŐZÉS</v>
      </c>
      <c r="X374" s="485" t="str">
        <f>""</f>
        <v/>
      </c>
      <c r="Y374" s="491" t="str">
        <f>VLOOKUP(Y370,schedule,12,FALSE)</f>
        <v>3. CSOPORTMÉRKŐZÉS</v>
      </c>
      <c r="AB374" s="327" t="str">
        <f>IF(C374="öngól",AC369,AB369)</f>
        <v>nevek.24</v>
      </c>
      <c r="AC374" s="327" t="str">
        <f>IF(H374="öngól",AB369,AC369)</f>
        <v>nevek.21</v>
      </c>
      <c r="AD374" s="327" t="str">
        <f>IF(J374="öngól",AE369,AD369)</f>
        <v>nevek.22</v>
      </c>
      <c r="AE374" s="327" t="str">
        <f>IF(O374="öngól",AD369,AE369)</f>
        <v>nevek.23</v>
      </c>
      <c r="AF374" s="325"/>
      <c r="AG374" s="485">
        <v>5</v>
      </c>
      <c r="AH374" s="488" t="b">
        <f ca="1">AND(W372,X373,D374="",AG374&lt;=W378)</f>
        <v>0</v>
      </c>
      <c r="AI374" s="488" t="b">
        <f ca="1">AND(W372,X373,E374="",AG374&lt;=W378)</f>
        <v>0</v>
      </c>
      <c r="AJ374" s="488" t="b">
        <f ca="1">AND(W372,X373,F374="",AG374&lt;=X378)</f>
        <v>0</v>
      </c>
      <c r="AK374" s="488" t="b">
        <f ca="1">AND(W372,X373,G374="",AG374&lt;=X378)</f>
        <v>0</v>
      </c>
      <c r="AL374" s="488" t="b">
        <f ca="1">AND(Y372,Z373,K374="",AG374&lt;=Y378)</f>
        <v>0</v>
      </c>
      <c r="AM374" s="488" t="b">
        <f ca="1">AND(Y372,Z373,L374="",AG374&lt;=Y378)</f>
        <v>0</v>
      </c>
      <c r="AN374" s="488" t="b">
        <f ca="1">AND(Y372,Z373,M374="",AG374&lt;=Z378)</f>
        <v>0</v>
      </c>
      <c r="AO374" s="488" t="b">
        <f ca="1">AND(Y372,Z373,N374="",AG374&lt;=Z378)</f>
        <v>0</v>
      </c>
      <c r="AQ374" s="326" t="str">
        <f>IF(OR(NOT(Góllista!$E$6),D374=""),"",IF(C374="öngól","ö"&amp;G369&amp;D374,D369&amp;D374))</f>
        <v/>
      </c>
      <c r="AR374" s="326" t="str">
        <f>IF(OR(NOT(Góllista!$E$6),G374=""),"",IF(H374="öngól","ö"&amp;D369&amp;G374,G369&amp;G374))</f>
        <v/>
      </c>
      <c r="AS374" s="326" t="str">
        <f>IF(OR(NOT(Góllista!$E$6),K374=""),"",IF(J374="öngól","ö"&amp;N369&amp;K374,K369&amp;K374))</f>
        <v/>
      </c>
      <c r="AT374" s="326" t="str">
        <f>IF(OR(NOT(Góllista!$E$6),N374=""),"",IF(O374="öngól","ö"&amp;K369&amp;N374,N369&amp;N374))</f>
        <v/>
      </c>
      <c r="AY374" s="323"/>
      <c r="BA374" s="323"/>
      <c r="BC374" s="323"/>
      <c r="BE374" s="323"/>
      <c r="BG374" s="323"/>
      <c r="BI374" s="323"/>
      <c r="BK374" s="323"/>
      <c r="BM374" s="323"/>
      <c r="BO374" s="323"/>
      <c r="BQ374" s="323"/>
      <c r="BS374" s="323"/>
      <c r="BU374" s="323"/>
      <c r="BW374" s="323"/>
      <c r="BY374" s="323"/>
      <c r="CA374" s="323"/>
      <c r="CC374" s="323"/>
      <c r="CE374" s="323"/>
      <c r="CG374" s="323"/>
      <c r="CI374" s="323"/>
      <c r="CK374" s="323"/>
      <c r="CM374" s="323"/>
      <c r="CO374" s="323"/>
      <c r="CQ374" s="323"/>
      <c r="CS374" s="323"/>
      <c r="CU374" s="323"/>
      <c r="CW374" s="323"/>
      <c r="CY374" s="323"/>
      <c r="DA374" s="323"/>
      <c r="DC374" s="323"/>
      <c r="DE374" s="323"/>
      <c r="DG374" s="323"/>
      <c r="DI374" s="323"/>
    </row>
    <row r="375" spans="1:115" ht="12" customHeight="1" x14ac:dyDescent="0.3">
      <c r="A375" s="765"/>
      <c r="C375" s="219"/>
      <c r="D375" s="220"/>
      <c r="E375" s="224"/>
      <c r="F375" s="222"/>
      <c r="G375" s="223"/>
      <c r="H375" s="219"/>
      <c r="J375" s="219"/>
      <c r="K375" s="220"/>
      <c r="L375" s="224"/>
      <c r="M375" s="222"/>
      <c r="N375" s="223"/>
      <c r="O375" s="219"/>
      <c r="V375" s="487" t="s">
        <v>1264</v>
      </c>
      <c r="W375" s="327" t="str">
        <f>VLOOKUP(W370,schedule,3,FALSE)</f>
        <v>F</v>
      </c>
      <c r="X375" s="485" t="str">
        <f>""</f>
        <v/>
      </c>
      <c r="Y375" s="327" t="str">
        <f>VLOOKUP(Y370,schedule,3,FALSE)</f>
        <v>F</v>
      </c>
      <c r="AB375" s="327" t="str">
        <f>IF(C375="öngól",AC369,AB369)</f>
        <v>nevek.24</v>
      </c>
      <c r="AC375" s="327" t="str">
        <f>IF(H375="öngól",AB369,AC369)</f>
        <v>nevek.21</v>
      </c>
      <c r="AD375" s="327" t="str">
        <f>IF(J375="öngól",AE369,AD369)</f>
        <v>nevek.22</v>
      </c>
      <c r="AE375" s="327" t="str">
        <f>IF(O375="öngól",AD369,AE369)</f>
        <v>nevek.23</v>
      </c>
      <c r="AF375" s="325"/>
      <c r="AG375" s="485">
        <v>6</v>
      </c>
      <c r="AH375" s="488" t="b">
        <f ca="1">AND(W372,X373,D375="",AG375&lt;=W378)</f>
        <v>0</v>
      </c>
      <c r="AI375" s="488" t="b">
        <f ca="1">AND(W372,X373,E375="",AG375&lt;=W378)</f>
        <v>0</v>
      </c>
      <c r="AJ375" s="488" t="b">
        <f ca="1">AND(W372,X373,F375="",AG375&lt;=X378)</f>
        <v>0</v>
      </c>
      <c r="AK375" s="488" t="b">
        <f ca="1">AND(W372,X373,G375="",AG375&lt;=X378)</f>
        <v>0</v>
      </c>
      <c r="AL375" s="488" t="b">
        <f ca="1">AND(Y372,Z373,K375="",AG375&lt;=Y378)</f>
        <v>0</v>
      </c>
      <c r="AM375" s="488" t="b">
        <f ca="1">AND(Y372,Z373,L375="",AG375&lt;=Y378)</f>
        <v>0</v>
      </c>
      <c r="AN375" s="488" t="b">
        <f ca="1">AND(Y372,Z373,M375="",AG375&lt;=Z378)</f>
        <v>0</v>
      </c>
      <c r="AO375" s="488" t="b">
        <f ca="1">AND(Y372,Z373,N375="",AG375&lt;=Z378)</f>
        <v>0</v>
      </c>
      <c r="AQ375" s="326" t="str">
        <f>IF(OR(NOT(Góllista!$E$6),D375=""),"",IF(C375="öngól","ö"&amp;G369&amp;D375,D369&amp;D375))</f>
        <v/>
      </c>
      <c r="AR375" s="326" t="str">
        <f>IF(OR(NOT(Góllista!$E$6),G375=""),"",IF(H375="öngól","ö"&amp;D369&amp;G375,G369&amp;G375))</f>
        <v/>
      </c>
      <c r="AS375" s="326" t="str">
        <f>IF(OR(NOT(Góllista!$E$6),K375=""),"",IF(J375="öngól","ö"&amp;N369&amp;K375,K369&amp;K375))</f>
        <v/>
      </c>
      <c r="AT375" s="326" t="str">
        <f>IF(OR(NOT(Góllista!$E$6),N375=""),"",IF(O375="öngól","ö"&amp;K369&amp;N375,N369&amp;N375))</f>
        <v/>
      </c>
      <c r="AY375" s="323"/>
      <c r="BA375" s="323"/>
      <c r="BC375" s="323"/>
      <c r="BE375" s="323"/>
      <c r="BG375" s="323"/>
      <c r="BI375" s="323"/>
      <c r="BK375" s="323"/>
      <c r="BM375" s="323"/>
      <c r="BO375" s="323"/>
      <c r="BQ375" s="323"/>
      <c r="BS375" s="323"/>
      <c r="BU375" s="323"/>
      <c r="BW375" s="323"/>
      <c r="BY375" s="323"/>
      <c r="CA375" s="323"/>
      <c r="CC375" s="323"/>
      <c r="CE375" s="323"/>
      <c r="CG375" s="323"/>
      <c r="CI375" s="323"/>
      <c r="CK375" s="323"/>
      <c r="CM375" s="323"/>
      <c r="CO375" s="323"/>
      <c r="CQ375" s="323"/>
      <c r="CS375" s="323"/>
      <c r="CU375" s="323"/>
      <c r="CW375" s="323"/>
      <c r="CY375" s="323"/>
      <c r="DA375" s="323"/>
      <c r="DC375" s="323"/>
      <c r="DE375" s="323"/>
      <c r="DG375" s="323"/>
      <c r="DI375" s="323"/>
    </row>
    <row r="376" spans="1:115" ht="12" customHeight="1" x14ac:dyDescent="0.3">
      <c r="A376" s="765"/>
      <c r="C376" s="219"/>
      <c r="D376" s="220"/>
      <c r="E376" s="224"/>
      <c r="F376" s="222"/>
      <c r="G376" s="223"/>
      <c r="H376" s="219"/>
      <c r="J376" s="219"/>
      <c r="K376" s="220"/>
      <c r="L376" s="224"/>
      <c r="M376" s="222"/>
      <c r="N376" s="223"/>
      <c r="O376" s="219"/>
      <c r="V376" s="485" t="s">
        <v>707</v>
      </c>
      <c r="W376" s="327">
        <f>IF(NOT(W372),0,E369-9+COUNTBLANK(D370:D378))</f>
        <v>0</v>
      </c>
      <c r="X376" s="327">
        <f>IF(NOT(W372),0,F369-9+COUNTBLANK(G370:G378))</f>
        <v>0</v>
      </c>
      <c r="Y376" s="327">
        <f>IF(NOT(Y372),0,L369-9+COUNTBLANK(K370:K378))</f>
        <v>0</v>
      </c>
      <c r="Z376" s="327">
        <f>IF(NOT(Y372),0,M369-9+COUNTBLANK(N370:N378))</f>
        <v>0</v>
      </c>
      <c r="AB376" s="327" t="str">
        <f>IF(C376="öngól",AC369,AB369)</f>
        <v>nevek.24</v>
      </c>
      <c r="AC376" s="327" t="str">
        <f>IF(H376="öngól",AB369,AC369)</f>
        <v>nevek.21</v>
      </c>
      <c r="AD376" s="327" t="str">
        <f>IF(J376="öngól",AE369,AD369)</f>
        <v>nevek.22</v>
      </c>
      <c r="AE376" s="327" t="str">
        <f>IF(O376="öngól",AD369,AE369)</f>
        <v>nevek.23</v>
      </c>
      <c r="AF376" s="325"/>
      <c r="AG376" s="485">
        <v>7</v>
      </c>
      <c r="AH376" s="488" t="b">
        <f ca="1">AND(W372,X373,D376="",AG376&lt;=W378)</f>
        <v>0</v>
      </c>
      <c r="AI376" s="488" t="b">
        <f ca="1">AND(W372,X373,E376="",AG376&lt;=W378)</f>
        <v>0</v>
      </c>
      <c r="AJ376" s="488" t="b">
        <f ca="1">AND(W372,X373,F376="",AG376&lt;=X378)</f>
        <v>0</v>
      </c>
      <c r="AK376" s="488" t="b">
        <f ca="1">AND(W372,X373,G376="",AG376&lt;=X378)</f>
        <v>0</v>
      </c>
      <c r="AL376" s="488" t="b">
        <f ca="1">AND(Y372,Z373,K376="",AG376&lt;=Y378)</f>
        <v>0</v>
      </c>
      <c r="AM376" s="488" t="b">
        <f ca="1">AND(Y372,Z373,L376="",AG376&lt;=Y378)</f>
        <v>0</v>
      </c>
      <c r="AN376" s="488" t="b">
        <f ca="1">AND(Y372,Z373,M376="",AG376&lt;=Z378)</f>
        <v>0</v>
      </c>
      <c r="AO376" s="488" t="b">
        <f ca="1">AND(Y372,Z373,N376="",AG376&lt;=Z378)</f>
        <v>0</v>
      </c>
      <c r="AQ376" s="326" t="str">
        <f>IF(OR(NOT(Góllista!$E$6),D376=""),"",IF(C376="öngól","ö"&amp;G369&amp;D376,D369&amp;D376))</f>
        <v/>
      </c>
      <c r="AR376" s="326" t="str">
        <f>IF(OR(NOT(Góllista!$E$6),G376=""),"",IF(H376="öngól","ö"&amp;D369&amp;G376,G369&amp;G376))</f>
        <v/>
      </c>
      <c r="AS376" s="326" t="str">
        <f>IF(OR(NOT(Góllista!$E$6),K376=""),"",IF(J376="öngól","ö"&amp;N369&amp;K376,K369&amp;K376))</f>
        <v/>
      </c>
      <c r="AT376" s="326" t="str">
        <f>IF(OR(NOT(Góllista!$E$6),N376=""),"",IF(O376="öngól","ö"&amp;K369&amp;N376,N369&amp;N376))</f>
        <v/>
      </c>
      <c r="AY376" s="323"/>
      <c r="BA376" s="323"/>
      <c r="BC376" s="323"/>
      <c r="BE376" s="323"/>
      <c r="BG376" s="323"/>
      <c r="BI376" s="323"/>
      <c r="BK376" s="323"/>
      <c r="BM376" s="323"/>
      <c r="BO376" s="323"/>
      <c r="BQ376" s="323"/>
      <c r="BS376" s="323"/>
      <c r="BU376" s="323"/>
      <c r="BW376" s="323"/>
      <c r="BY376" s="323"/>
      <c r="CA376" s="323"/>
      <c r="CC376" s="323"/>
      <c r="CE376" s="323"/>
      <c r="CG376" s="323"/>
      <c r="CI376" s="323"/>
      <c r="CK376" s="323"/>
      <c r="CM376" s="323"/>
      <c r="CO376" s="323"/>
      <c r="CQ376" s="323"/>
      <c r="CS376" s="323"/>
      <c r="CU376" s="323"/>
      <c r="CW376" s="323"/>
      <c r="CY376" s="323"/>
      <c r="DA376" s="323"/>
      <c r="DC376" s="323"/>
      <c r="DE376" s="323"/>
      <c r="DG376" s="323"/>
      <c r="DI376" s="323"/>
    </row>
    <row r="377" spans="1:115" ht="12" customHeight="1" x14ac:dyDescent="0.3">
      <c r="A377" s="765"/>
      <c r="C377" s="219"/>
      <c r="D377" s="220"/>
      <c r="E377" s="224"/>
      <c r="F377" s="222"/>
      <c r="G377" s="223"/>
      <c r="H377" s="219"/>
      <c r="J377" s="219"/>
      <c r="K377" s="220"/>
      <c r="L377" s="224"/>
      <c r="M377" s="222"/>
      <c r="N377" s="223"/>
      <c r="O377" s="219"/>
      <c r="V377" s="485" t="s">
        <v>708</v>
      </c>
      <c r="W377" s="411" t="str">
        <f>VLOOKUP(W370,schedule,8,FALSE)</f>
        <v>Németország</v>
      </c>
      <c r="X377" s="411" t="str">
        <f>VLOOKUP(W370,schedule,9,FALSE)</f>
        <v>MAGYARORSZÁG</v>
      </c>
      <c r="Y377" s="411" t="str">
        <f>VLOOKUP(Y370,schedule,8,FALSE)</f>
        <v>Portugália</v>
      </c>
      <c r="Z377" s="491" t="str">
        <f>VLOOKUP(Y370,schedule,9,FALSE)</f>
        <v>Franciaország</v>
      </c>
      <c r="AB377" s="327" t="str">
        <f>IF(C377="öngól",AC369,AB369)</f>
        <v>nevek.24</v>
      </c>
      <c r="AC377" s="327" t="str">
        <f>IF(H377="öngól",AB369,AC369)</f>
        <v>nevek.21</v>
      </c>
      <c r="AD377" s="327" t="str">
        <f>IF(J377="öngól",AE369,AD369)</f>
        <v>nevek.22</v>
      </c>
      <c r="AE377" s="327" t="str">
        <f>IF(O377="öngól",AD369,AE369)</f>
        <v>nevek.23</v>
      </c>
      <c r="AF377" s="325"/>
      <c r="AG377" s="485">
        <v>8</v>
      </c>
      <c r="AH377" s="488" t="b">
        <f ca="1">AND(W372,X373,D377="",AG377&lt;=W378)</f>
        <v>0</v>
      </c>
      <c r="AI377" s="488" t="b">
        <f ca="1">AND(W372,X373,E377="",AG377&lt;=W378)</f>
        <v>0</v>
      </c>
      <c r="AJ377" s="488" t="b">
        <f ca="1">AND(W372,X373,F377="",AG377&lt;=X378)</f>
        <v>0</v>
      </c>
      <c r="AK377" s="488" t="b">
        <f ca="1">AND(W372,X373,G377="",AG377&lt;=X378)</f>
        <v>0</v>
      </c>
      <c r="AL377" s="488" t="b">
        <f ca="1">AND(Y372,Z373,K377="",AG377&lt;=Y378)</f>
        <v>0</v>
      </c>
      <c r="AM377" s="488" t="b">
        <f ca="1">AND(Y372,Z373,L377="",AG377&lt;=Y378)</f>
        <v>0</v>
      </c>
      <c r="AN377" s="488" t="b">
        <f ca="1">AND(Y372,Z373,M377="",AG377&lt;=Z378)</f>
        <v>0</v>
      </c>
      <c r="AO377" s="488" t="b">
        <f ca="1">AND(Y372,Z373,N377="",AG377&lt;=Z378)</f>
        <v>0</v>
      </c>
      <c r="AQ377" s="326" t="str">
        <f>IF(OR(NOT(Góllista!$E$6),D377=""),"",IF(C377="öngól","ö"&amp;G369&amp;D377,D369&amp;D377))</f>
        <v/>
      </c>
      <c r="AR377" s="326" t="str">
        <f>IF(OR(NOT(Góllista!$E$6),G377=""),"",IF(H377="öngól","ö"&amp;D369&amp;G377,G369&amp;G377))</f>
        <v/>
      </c>
      <c r="AS377" s="326" t="str">
        <f>IF(OR(NOT(Góllista!$E$6),K377=""),"",IF(J377="öngól","ö"&amp;N369&amp;K377,K369&amp;K377))</f>
        <v/>
      </c>
      <c r="AT377" s="326" t="str">
        <f>IF(OR(NOT(Góllista!$E$6),N377=""),"",IF(O377="öngól","ö"&amp;K369&amp;N377,N369&amp;N377))</f>
        <v/>
      </c>
      <c r="AY377" s="323"/>
      <c r="BA377" s="323"/>
      <c r="BC377" s="323"/>
      <c r="BE377" s="323"/>
      <c r="BG377" s="323"/>
      <c r="BI377" s="323"/>
      <c r="BK377" s="323"/>
      <c r="BM377" s="323"/>
      <c r="BO377" s="323"/>
      <c r="BQ377" s="323"/>
      <c r="BS377" s="323"/>
      <c r="BU377" s="323"/>
      <c r="BW377" s="323"/>
      <c r="BY377" s="323"/>
      <c r="CA377" s="323"/>
      <c r="CC377" s="323"/>
      <c r="CE377" s="323"/>
      <c r="CG377" s="323"/>
      <c r="CI377" s="323"/>
      <c r="CK377" s="323"/>
      <c r="CM377" s="323"/>
      <c r="CO377" s="323"/>
      <c r="CQ377" s="323"/>
      <c r="CS377" s="323"/>
      <c r="CU377" s="323"/>
      <c r="CW377" s="323"/>
      <c r="CY377" s="323"/>
      <c r="DA377" s="323"/>
      <c r="DC377" s="323"/>
      <c r="DE377" s="323"/>
      <c r="DG377" s="323"/>
      <c r="DI377" s="323"/>
    </row>
    <row r="378" spans="1:115" ht="12" customHeight="1" x14ac:dyDescent="0.3">
      <c r="A378" s="765"/>
      <c r="C378" s="219"/>
      <c r="D378" s="220"/>
      <c r="E378" s="225"/>
      <c r="F378" s="222"/>
      <c r="G378" s="223"/>
      <c r="H378" s="219"/>
      <c r="J378" s="219"/>
      <c r="K378" s="220"/>
      <c r="L378" s="225"/>
      <c r="M378" s="222"/>
      <c r="N378" s="223"/>
      <c r="O378" s="219"/>
      <c r="V378" s="485" t="s">
        <v>709</v>
      </c>
      <c r="W378" s="492" t="str">
        <f>INDEX(n.er,W371,9)</f>
        <v/>
      </c>
      <c r="X378" s="493" t="str">
        <f>INDEX(n.er,W371,10)</f>
        <v/>
      </c>
      <c r="Y378" s="492" t="str">
        <f>INDEX(n.er,Y371,9)</f>
        <v/>
      </c>
      <c r="Z378" s="493" t="str">
        <f>INDEX(n.er,Y371,10)</f>
        <v/>
      </c>
      <c r="AB378" s="327" t="str">
        <f>IF(C378="öngól",AC369,AB369)</f>
        <v>nevek.24</v>
      </c>
      <c r="AC378" s="327" t="str">
        <f>IF(H378="öngól",AB369,AC369)</f>
        <v>nevek.21</v>
      </c>
      <c r="AD378" s="327" t="str">
        <f>IF(J378="öngól",AE369,AD369)</f>
        <v>nevek.22</v>
      </c>
      <c r="AE378" s="327" t="str">
        <f>IF(O378="öngól",AD369,AE369)</f>
        <v>nevek.23</v>
      </c>
      <c r="AF378" s="325"/>
      <c r="AG378" s="485">
        <v>9</v>
      </c>
      <c r="AH378" s="488" t="b">
        <f ca="1">AND(W372,X373,D378="",AG378&lt;=W378)</f>
        <v>0</v>
      </c>
      <c r="AI378" s="488" t="b">
        <f ca="1">AND(W372,X373,E378="",AG378&lt;=W378)</f>
        <v>0</v>
      </c>
      <c r="AJ378" s="488" t="b">
        <f ca="1">AND(W372,X373,F378="",AG378&lt;=X378)</f>
        <v>0</v>
      </c>
      <c r="AK378" s="488" t="b">
        <f ca="1">AND(W372,X373,G378="",AG378&lt;=X378)</f>
        <v>0</v>
      </c>
      <c r="AL378" s="488" t="b">
        <f ca="1">AND(Y372,Z373,K378="",AG378&lt;=Y378)</f>
        <v>0</v>
      </c>
      <c r="AM378" s="488" t="b">
        <f ca="1">AND(Y372,Z373,L378="",AG378&lt;=Y378)</f>
        <v>0</v>
      </c>
      <c r="AN378" s="488" t="b">
        <f ca="1">AND(Y372,Z373,M378="",AG378&lt;=Z378)</f>
        <v>0</v>
      </c>
      <c r="AO378" s="488" t="b">
        <f ca="1">AND(Y372,Z373,N378="",AG378&lt;=Z378)</f>
        <v>0</v>
      </c>
      <c r="AQ378" s="326" t="str">
        <f>IF(OR(NOT(Góllista!$E$6),D378=""),"",IF(C378="öngól","ö"&amp;G369&amp;D378,D369&amp;D378))</f>
        <v/>
      </c>
      <c r="AR378" s="326" t="str">
        <f>IF(OR(NOT(Góllista!$E$6),G378=""),"",IF(H378="öngól","ö"&amp;D369&amp;G378,G369&amp;G378))</f>
        <v/>
      </c>
      <c r="AS378" s="326" t="str">
        <f>IF(OR(NOT(Góllista!$E$6),K378=""),"",IF(J378="öngól","ö"&amp;N369&amp;K378,K369&amp;K378))</f>
        <v/>
      </c>
      <c r="AT378" s="326" t="str">
        <f>IF(OR(NOT(Góllista!$E$6),N378=""),"",IF(O378="öngól","ö"&amp;K369&amp;N378,N369&amp;N378))</f>
        <v/>
      </c>
      <c r="AY378" s="323"/>
      <c r="BA378" s="323"/>
      <c r="BC378" s="323"/>
      <c r="BE378" s="323"/>
      <c r="BG378" s="323"/>
      <c r="BI378" s="323"/>
      <c r="BK378" s="323"/>
      <c r="BM378" s="323"/>
      <c r="BO378" s="323"/>
      <c r="BQ378" s="323"/>
      <c r="BS378" s="323"/>
      <c r="BU378" s="323"/>
      <c r="BW378" s="323"/>
      <c r="BY378" s="323"/>
      <c r="CA378" s="323"/>
      <c r="CC378" s="323"/>
      <c r="CE378" s="323"/>
      <c r="CG378" s="323"/>
      <c r="CI378" s="323"/>
      <c r="CK378" s="323"/>
      <c r="CM378" s="323"/>
      <c r="CO378" s="323"/>
      <c r="CQ378" s="323"/>
      <c r="CS378" s="323"/>
      <c r="CU378" s="323"/>
      <c r="CW378" s="323"/>
      <c r="CY378" s="323"/>
      <c r="DA378" s="323"/>
      <c r="DC378" s="323"/>
      <c r="DE378" s="323"/>
      <c r="DG378" s="323"/>
      <c r="DI378" s="323"/>
    </row>
    <row r="379" spans="1:115" ht="12" customHeight="1" x14ac:dyDescent="0.3">
      <c r="A379" s="765"/>
      <c r="C379" s="768"/>
      <c r="D379" s="768"/>
      <c r="E379" s="768"/>
      <c r="F379" s="768"/>
      <c r="G379" s="768"/>
      <c r="H379" s="768"/>
      <c r="J379" s="768"/>
      <c r="K379" s="768"/>
      <c r="L379" s="768"/>
      <c r="M379" s="768"/>
      <c r="N379" s="768"/>
      <c r="O379" s="768"/>
      <c r="AY379" s="323"/>
      <c r="BA379" s="323"/>
      <c r="BC379" s="323"/>
      <c r="BE379" s="323"/>
      <c r="BG379" s="323"/>
      <c r="BI379" s="323"/>
      <c r="BK379" s="323"/>
      <c r="BM379" s="323"/>
      <c r="BO379" s="323"/>
      <c r="BQ379" s="323"/>
      <c r="BS379" s="323"/>
      <c r="BU379" s="323"/>
      <c r="BW379" s="323"/>
      <c r="BY379" s="323"/>
      <c r="CA379" s="323"/>
      <c r="CC379" s="323"/>
      <c r="CE379" s="323"/>
      <c r="CG379" s="323"/>
      <c r="CI379" s="323"/>
      <c r="CK379" s="323"/>
      <c r="CM379" s="323"/>
      <c r="CO379" s="323"/>
      <c r="CQ379" s="323"/>
      <c r="CS379" s="323"/>
      <c r="CU379" s="323"/>
      <c r="CW379" s="323"/>
      <c r="CY379" s="323"/>
      <c r="DA379" s="323"/>
      <c r="DC379" s="323"/>
      <c r="DE379" s="323"/>
      <c r="DG379" s="323"/>
      <c r="DI379" s="323"/>
    </row>
    <row r="380" spans="1:115" ht="12" hidden="1" customHeight="1" x14ac:dyDescent="0.3">
      <c r="A380" s="765"/>
      <c r="C380" s="767"/>
      <c r="D380" s="767"/>
      <c r="E380" s="767"/>
      <c r="F380" s="767"/>
      <c r="G380" s="767"/>
      <c r="H380" s="767"/>
      <c r="J380" s="767"/>
      <c r="K380" s="767"/>
      <c r="L380" s="767"/>
      <c r="M380" s="767"/>
      <c r="N380" s="767"/>
      <c r="O380" s="767"/>
      <c r="AY380" s="323"/>
      <c r="BA380" s="323"/>
      <c r="BC380" s="323"/>
      <c r="BE380" s="323"/>
      <c r="BG380" s="323"/>
      <c r="BI380" s="323"/>
      <c r="BK380" s="323"/>
      <c r="BM380" s="323"/>
      <c r="BO380" s="323"/>
      <c r="BQ380" s="323"/>
      <c r="BS380" s="323"/>
      <c r="BU380" s="323"/>
      <c r="BW380" s="323"/>
      <c r="BY380" s="323"/>
      <c r="CA380" s="323"/>
      <c r="CC380" s="323"/>
      <c r="CE380" s="323"/>
      <c r="CG380" s="323"/>
      <c r="CI380" s="323"/>
      <c r="CK380" s="323"/>
      <c r="CM380" s="323"/>
      <c r="CO380" s="323"/>
      <c r="CQ380" s="323"/>
      <c r="CS380" s="323"/>
      <c r="CU380" s="323"/>
      <c r="CW380" s="323"/>
      <c r="CY380" s="323"/>
      <c r="DA380" s="323"/>
      <c r="DC380" s="323"/>
      <c r="DE380" s="323"/>
      <c r="DG380" s="323"/>
      <c r="DI380" s="323"/>
    </row>
    <row r="381" spans="1:115" ht="12" hidden="1" customHeight="1" x14ac:dyDescent="0.3">
      <c r="A381" s="765"/>
      <c r="C381" s="767"/>
      <c r="D381" s="767"/>
      <c r="E381" s="767"/>
      <c r="F381" s="767"/>
      <c r="G381" s="767"/>
      <c r="H381" s="767"/>
      <c r="J381" s="767"/>
      <c r="K381" s="767"/>
      <c r="L381" s="767"/>
      <c r="M381" s="767"/>
      <c r="N381" s="767"/>
      <c r="O381" s="767"/>
      <c r="AY381" s="323"/>
      <c r="BA381" s="323"/>
      <c r="BC381" s="323"/>
      <c r="BE381" s="323"/>
      <c r="BG381" s="323"/>
      <c r="BI381" s="323"/>
      <c r="BK381" s="323"/>
      <c r="BM381" s="323"/>
      <c r="BO381" s="323"/>
      <c r="BQ381" s="323"/>
      <c r="BS381" s="323"/>
      <c r="BU381" s="323"/>
      <c r="BW381" s="323"/>
      <c r="BY381" s="323"/>
      <c r="CA381" s="323"/>
      <c r="CC381" s="323"/>
      <c r="CE381" s="323"/>
      <c r="CG381" s="323"/>
      <c r="CI381" s="323"/>
      <c r="CK381" s="323"/>
      <c r="CM381" s="323"/>
      <c r="CO381" s="323"/>
      <c r="CQ381" s="323"/>
      <c r="CS381" s="323"/>
      <c r="CU381" s="323"/>
      <c r="CW381" s="323"/>
      <c r="CY381" s="323"/>
      <c r="DA381" s="323"/>
      <c r="DC381" s="323"/>
      <c r="DE381" s="323"/>
      <c r="DG381" s="323"/>
      <c r="DI381" s="323"/>
    </row>
    <row r="382" spans="1:115" ht="3.75" customHeight="1" x14ac:dyDescent="0.3">
      <c r="A382" s="765"/>
      <c r="AH382" s="494"/>
      <c r="AY382" s="323"/>
      <c r="BA382" s="323"/>
      <c r="BC382" s="323"/>
      <c r="BE382" s="323"/>
      <c r="BG382" s="323"/>
      <c r="BI382" s="323"/>
      <c r="BK382" s="323"/>
      <c r="BM382" s="323"/>
      <c r="BO382" s="323"/>
      <c r="BQ382" s="323"/>
      <c r="BS382" s="323"/>
      <c r="BU382" s="323"/>
      <c r="BW382" s="323"/>
      <c r="BY382" s="323"/>
      <c r="CA382" s="323"/>
      <c r="CC382" s="323"/>
      <c r="CE382" s="323"/>
      <c r="CG382" s="323"/>
      <c r="CI382" s="323"/>
      <c r="CK382" s="323"/>
      <c r="CM382" s="323"/>
      <c r="CO382" s="323"/>
      <c r="CQ382" s="323"/>
      <c r="CS382" s="323"/>
      <c r="CU382" s="323"/>
      <c r="CW382" s="323"/>
      <c r="CY382" s="323"/>
      <c r="DA382" s="323"/>
      <c r="DC382" s="323"/>
      <c r="DE382" s="323"/>
      <c r="DG382" s="323"/>
      <c r="DI382" s="323"/>
    </row>
    <row r="383" spans="1:115" ht="11.25" customHeight="1" x14ac:dyDescent="0.3">
      <c r="A383" s="765"/>
      <c r="B383" s="15"/>
      <c r="D383" s="235"/>
      <c r="E383" s="722" t="str">
        <f>IF(W383,"  BÜNTETŐK:","  BÜNTETŐK:  –")</f>
        <v xml:space="preserve">  BÜNTETŐK:  –</v>
      </c>
      <c r="F383" s="235"/>
      <c r="G383" s="235"/>
      <c r="H383" s="235"/>
      <c r="I383" s="37"/>
      <c r="J383" s="234"/>
      <c r="K383" s="235"/>
      <c r="L383" s="722" t="str">
        <f>IF(AD383,"  BÜNTETŐK:","  BÜNTETŐK:  –")</f>
        <v xml:space="preserve">  BÜNTETŐK:  –</v>
      </c>
      <c r="M383" s="235"/>
      <c r="N383" s="235"/>
      <c r="O383" s="235"/>
      <c r="V383" s="487" t="s">
        <v>712</v>
      </c>
      <c r="W383" s="489" t="b">
        <f>INDEX(n.er,W371,14)</f>
        <v>0</v>
      </c>
      <c r="Y383" s="489" t="b">
        <f>INDEX(n.er,Y371,14)</f>
        <v>0</v>
      </c>
      <c r="AF383" s="325"/>
      <c r="AQ383" s="323"/>
      <c r="AR383" s="323"/>
      <c r="AS383" s="323"/>
      <c r="AT383" s="323"/>
      <c r="AW383" s="485"/>
      <c r="AY383" s="323"/>
      <c r="BA383" s="323"/>
      <c r="BC383" s="323"/>
      <c r="BE383" s="323"/>
      <c r="BG383" s="323"/>
      <c r="BI383" s="323"/>
      <c r="BK383" s="323"/>
      <c r="BM383" s="323"/>
      <c r="BO383" s="323"/>
      <c r="BQ383" s="323"/>
      <c r="BS383" s="323"/>
      <c r="BU383" s="323"/>
      <c r="BW383" s="323"/>
      <c r="BY383" s="323"/>
      <c r="CA383" s="323"/>
      <c r="CC383" s="323"/>
      <c r="CE383" s="323"/>
      <c r="CG383" s="323"/>
      <c r="CI383" s="323"/>
      <c r="CK383" s="323"/>
      <c r="CM383" s="323"/>
      <c r="CO383" s="323"/>
      <c r="CQ383" s="323"/>
      <c r="CS383" s="323"/>
      <c r="CU383" s="323"/>
      <c r="CW383" s="323"/>
      <c r="CY383" s="323"/>
      <c r="DA383" s="323"/>
      <c r="DC383" s="323"/>
      <c r="DE383" s="323"/>
      <c r="DG383" s="323"/>
      <c r="DI383" s="323"/>
      <c r="DJ383" s="485"/>
    </row>
    <row r="384" spans="1:115" ht="11.25" customHeight="1" x14ac:dyDescent="0.3">
      <c r="A384" s="765"/>
      <c r="C384" s="241" t="str">
        <f>IF(W385=0,"",IF(W385&gt;0,CONCATENATE("még ",W385," büntető"),CONCATENATE("túl sok (",W385," büntető)")))</f>
        <v/>
      </c>
      <c r="D384" s="237" t="str">
        <f>IF(W383,W377,"")</f>
        <v/>
      </c>
      <c r="E384" s="239" t="str">
        <f>IF(W383,W384,"")</f>
        <v/>
      </c>
      <c r="F384" s="240" t="str">
        <f>IF(W383,X384,"")</f>
        <v/>
      </c>
      <c r="G384" s="238" t="str">
        <f>IF(W383,X377,"")</f>
        <v/>
      </c>
      <c r="H384" s="241" t="str">
        <f>IF(X385=0,"",IF(X385&gt;0,CONCATENATE("még ",X385," büntető"),CONCATENATE("túl sok (",X385," büntető)")))</f>
        <v/>
      </c>
      <c r="J384" s="241" t="str">
        <f>IF(Y385=0,"",IF(Y385&gt;0,CONCATENATE("még ",Y385," büntető"),CONCATENATE("túl sok (",Y385," büntető)")))</f>
        <v/>
      </c>
      <c r="K384" s="237" t="str">
        <f>IF(Y383,Y377,"")</f>
        <v/>
      </c>
      <c r="L384" s="239" t="str">
        <f>IF(Y383,Y384,"")</f>
        <v/>
      </c>
      <c r="M384" s="240" t="str">
        <f>IF(Y383,Z384,"")</f>
        <v/>
      </c>
      <c r="N384" s="238" t="str">
        <f>IF(Y383,Z377,"")</f>
        <v/>
      </c>
      <c r="O384" s="241" t="str">
        <f>IF(Z385=0,"",IF(Z385&gt;0,CONCATENATE("még ",Z385," büntető"),CONCATENATE("túl sok (",Z385," büntető)")))</f>
        <v/>
      </c>
      <c r="V384" s="487" t="s">
        <v>709</v>
      </c>
      <c r="W384" s="492" t="str">
        <f>IF(NOT(W383),"",INDEX(n.er,W371,17))</f>
        <v/>
      </c>
      <c r="X384" s="493" t="str">
        <f>IF(NOT(W383),"",INDEX(n.er,W371,18))</f>
        <v/>
      </c>
      <c r="Y384" s="492" t="str">
        <f>IF(NOT(Y383),"",INDEX(n.er,Y371,17))</f>
        <v/>
      </c>
      <c r="Z384" s="493" t="str">
        <f>IF(NOT(Y383),"",INDEX(n.er,Y371,18))</f>
        <v/>
      </c>
      <c r="AF384" s="325"/>
      <c r="AH384" s="494"/>
      <c r="AQ384" s="323"/>
      <c r="AR384" s="323"/>
      <c r="AS384" s="323"/>
      <c r="AT384" s="323"/>
      <c r="AW384" s="485"/>
      <c r="AY384" s="323"/>
      <c r="BA384" s="323"/>
      <c r="BC384" s="323"/>
      <c r="BE384" s="323"/>
      <c r="BG384" s="323"/>
      <c r="BI384" s="323"/>
      <c r="BK384" s="323"/>
      <c r="BM384" s="323"/>
      <c r="BO384" s="323"/>
      <c r="BQ384" s="323"/>
      <c r="BS384" s="323"/>
      <c r="BU384" s="323"/>
      <c r="BW384" s="323"/>
      <c r="BY384" s="323"/>
      <c r="CA384" s="323"/>
      <c r="CC384" s="323"/>
      <c r="CE384" s="323"/>
      <c r="CG384" s="323"/>
      <c r="CI384" s="323"/>
      <c r="CK384" s="323"/>
      <c r="CM384" s="323"/>
      <c r="CO384" s="323"/>
      <c r="CQ384" s="323"/>
      <c r="CS384" s="323"/>
      <c r="CU384" s="323"/>
      <c r="CW384" s="323"/>
      <c r="CY384" s="323"/>
      <c r="DA384" s="323"/>
      <c r="DC384" s="323"/>
      <c r="DE384" s="323"/>
      <c r="DG384" s="323"/>
      <c r="DI384" s="323"/>
    </row>
    <row r="385" spans="1:114" ht="11.25" customHeight="1" x14ac:dyDescent="0.3">
      <c r="A385" s="765"/>
      <c r="C385" s="236"/>
      <c r="D385" s="220"/>
      <c r="E385" s="515"/>
      <c r="F385" s="516"/>
      <c r="G385" s="223"/>
      <c r="H385" s="236"/>
      <c r="J385" s="236"/>
      <c r="K385" s="220"/>
      <c r="L385" s="515"/>
      <c r="M385" s="516"/>
      <c r="N385" s="223"/>
      <c r="O385" s="236"/>
      <c r="V385" s="485" t="s">
        <v>707</v>
      </c>
      <c r="W385" s="327">
        <f>IF(W384="",0,E384-COUNTIF(E385:E398,"O"))</f>
        <v>0</v>
      </c>
      <c r="X385" s="327">
        <f>IF(X384="",0,F384-COUNTIF(F385:F398,"O"))</f>
        <v>0</v>
      </c>
      <c r="Y385" s="327">
        <f>IF(Y384="",0,L384-COUNTIF(L385:L400,"O"))</f>
        <v>0</v>
      </c>
      <c r="Z385" s="327">
        <f>IF(Z384="",0,M384-COUNTIF(M385:M400,"O"))</f>
        <v>0</v>
      </c>
      <c r="AB385" s="52" t="str">
        <f>IF(NOT(W383),"",HLOOKUP(D384,nevek.li,2,FALSE))</f>
        <v/>
      </c>
      <c r="AC385" s="52" t="str">
        <f>IF(NOT(W383),"",HLOOKUP(G384,nevek.li,2,FALSE))</f>
        <v/>
      </c>
      <c r="AD385" s="52" t="str">
        <f>IF(NOT(Y383),"",HLOOKUP(K384,nevek.li,2,FALSE))</f>
        <v/>
      </c>
      <c r="AE385" s="52" t="str">
        <f>IF(NOT(Y383),"",HLOOKUP(N384,nevek.li,2,FALSE))</f>
        <v/>
      </c>
      <c r="AF385" s="325"/>
      <c r="AG385" s="485">
        <v>1</v>
      </c>
      <c r="AH385" s="488" t="b">
        <f ca="1">IF(OR(NOT(W383),NOT(X373)),FALSE,D385="")</f>
        <v>0</v>
      </c>
      <c r="AI385" s="488" t="b">
        <f ca="1">IF(OR(NOT(W383),NOT(X373)),FALSE,E385="")</f>
        <v>0</v>
      </c>
      <c r="AJ385" s="488" t="b">
        <f ca="1">IF(OR(NOT(W383),NOT(X373)),FALSE,F385="")</f>
        <v>0</v>
      </c>
      <c r="AK385" s="488" t="b">
        <f ca="1">IF(OR(NOT(W383),NOT(X373)),FALSE,G385="")</f>
        <v>0</v>
      </c>
      <c r="AL385" s="488" t="b">
        <f ca="1">IF(OR(NOT(Y383),NOT(Z373)),FALSE,K385="")</f>
        <v>0</v>
      </c>
      <c r="AM385" s="488" t="b">
        <f ca="1">IF(OR(NOT(Y383),NOT(Z373)),FALSE,L385="")</f>
        <v>0</v>
      </c>
      <c r="AN385" s="488" t="b">
        <f ca="1">IF(OR(NOT(Y383),NOT(Z373)),FALSE,M385="")</f>
        <v>0</v>
      </c>
      <c r="AO385" s="488" t="b">
        <f ca="1">IF(OR(NOT(Y383),NOT(Z373)),FALSE,N385="")</f>
        <v>0</v>
      </c>
      <c r="AS385" s="323"/>
      <c r="AT385" s="323"/>
      <c r="AY385" s="323"/>
      <c r="BA385" s="323"/>
      <c r="BC385" s="323"/>
      <c r="BE385" s="323"/>
      <c r="BG385" s="323"/>
      <c r="BI385" s="323"/>
      <c r="BK385" s="323"/>
      <c r="BM385" s="323"/>
      <c r="BO385" s="323"/>
      <c r="BQ385" s="323"/>
      <c r="BS385" s="323"/>
      <c r="BU385" s="323"/>
      <c r="BW385" s="323"/>
      <c r="BY385" s="323"/>
      <c r="CA385" s="323"/>
      <c r="CC385" s="323"/>
      <c r="CE385" s="323"/>
      <c r="CG385" s="323"/>
      <c r="CI385" s="323"/>
      <c r="CK385" s="323"/>
      <c r="CM385" s="323"/>
      <c r="CO385" s="323"/>
      <c r="CQ385" s="323"/>
      <c r="CS385" s="323"/>
      <c r="CU385" s="323"/>
      <c r="CW385" s="323"/>
      <c r="CY385" s="323"/>
      <c r="DA385" s="323"/>
      <c r="DC385" s="323"/>
      <c r="DE385" s="323"/>
      <c r="DG385" s="323"/>
      <c r="DI385" s="323"/>
      <c r="DJ385" s="485"/>
    </row>
    <row r="386" spans="1:114" ht="11.25" customHeight="1" x14ac:dyDescent="0.3">
      <c r="A386" s="765"/>
      <c r="C386" s="219"/>
      <c r="D386" s="220"/>
      <c r="E386" s="517"/>
      <c r="F386" s="516"/>
      <c r="G386" s="223"/>
      <c r="H386" s="219"/>
      <c r="J386" s="219"/>
      <c r="K386" s="220"/>
      <c r="L386" s="517"/>
      <c r="M386" s="516"/>
      <c r="N386" s="223"/>
      <c r="O386" s="219"/>
      <c r="AB386" s="327" t="str">
        <f>AB385</f>
        <v/>
      </c>
      <c r="AC386" s="327" t="str">
        <f>AC385</f>
        <v/>
      </c>
      <c r="AD386" s="327" t="str">
        <f>AD385</f>
        <v/>
      </c>
      <c r="AE386" s="327" t="str">
        <f>AE385</f>
        <v/>
      </c>
      <c r="AF386" s="325"/>
      <c r="AG386" s="485">
        <v>2</v>
      </c>
      <c r="AH386" s="488" t="b">
        <f ca="1">IF(OR(NOT(W383),NOT(X373)),FALSE,D386="")</f>
        <v>0</v>
      </c>
      <c r="AI386" s="488" t="b">
        <f ca="1">IF(OR(NOT(W383),NOT(X373)),FALSE,E386="")</f>
        <v>0</v>
      </c>
      <c r="AJ386" s="488" t="b">
        <f ca="1">IF(OR(NOT(W383),NOT(X373)),FALSE,F386="")</f>
        <v>0</v>
      </c>
      <c r="AK386" s="488" t="b">
        <f ca="1">IF(OR(NOT(W383),NOT(X373)),FALSE,G386="")</f>
        <v>0</v>
      </c>
      <c r="AL386" s="488" t="b">
        <f ca="1">IF(OR(NOT(Y383),NOT(Z373)),FALSE,K386="")</f>
        <v>0</v>
      </c>
      <c r="AM386" s="488" t="b">
        <f ca="1">IF(OR(NOT(Y383),NOT(Z373)),FALSE,L386="")</f>
        <v>0</v>
      </c>
      <c r="AN386" s="488" t="b">
        <f ca="1">IF(OR(NOT(Y383),NOT(Z373)),FALSE,M386="")</f>
        <v>0</v>
      </c>
      <c r="AO386" s="488" t="b">
        <f ca="1">IF(OR(NOT(Y383),NOT(Z373)),FALSE,N386="")</f>
        <v>0</v>
      </c>
      <c r="AS386" s="323"/>
      <c r="AT386" s="323"/>
      <c r="AW386" s="485"/>
      <c r="AY386" s="323"/>
      <c r="BA386" s="323"/>
      <c r="BC386" s="323"/>
      <c r="BE386" s="323"/>
      <c r="BG386" s="323"/>
      <c r="BI386" s="323"/>
      <c r="BK386" s="323"/>
      <c r="BM386" s="323"/>
      <c r="BO386" s="323"/>
      <c r="BQ386" s="323"/>
      <c r="BS386" s="323"/>
      <c r="BU386" s="323"/>
      <c r="BW386" s="323"/>
      <c r="BY386" s="323"/>
      <c r="CA386" s="323"/>
      <c r="CC386" s="323"/>
      <c r="CE386" s="323"/>
      <c r="CG386" s="323"/>
      <c r="CI386" s="323"/>
      <c r="CK386" s="323"/>
      <c r="CM386" s="323"/>
      <c r="CO386" s="323"/>
      <c r="CQ386" s="323"/>
      <c r="CS386" s="323"/>
      <c r="CU386" s="323"/>
      <c r="CW386" s="323"/>
      <c r="CY386" s="323"/>
      <c r="DA386" s="323"/>
      <c r="DC386" s="323"/>
      <c r="DE386" s="323"/>
      <c r="DG386" s="323"/>
      <c r="DI386" s="323"/>
      <c r="DJ386" s="485"/>
    </row>
    <row r="387" spans="1:114" ht="11.25" customHeight="1" x14ac:dyDescent="0.3">
      <c r="A387" s="765"/>
      <c r="C387" s="219"/>
      <c r="D387" s="220"/>
      <c r="E387" s="517"/>
      <c r="F387" s="516"/>
      <c r="G387" s="223"/>
      <c r="H387" s="219"/>
      <c r="J387" s="219"/>
      <c r="K387" s="220"/>
      <c r="L387" s="517"/>
      <c r="M387" s="516"/>
      <c r="N387" s="223"/>
      <c r="O387" s="219"/>
      <c r="AB387" s="327" t="str">
        <f t="shared" ref="AB387:AB398" si="100">AB386</f>
        <v/>
      </c>
      <c r="AC387" s="327" t="str">
        <f t="shared" ref="AC387:AC398" si="101">AC386</f>
        <v/>
      </c>
      <c r="AD387" s="327" t="str">
        <f t="shared" ref="AD387:AD398" si="102">AD386</f>
        <v/>
      </c>
      <c r="AE387" s="327" t="str">
        <f t="shared" ref="AE387:AE398" si="103">AE386</f>
        <v/>
      </c>
      <c r="AF387" s="325"/>
      <c r="AG387" s="485">
        <v>3</v>
      </c>
      <c r="AH387" s="488" t="b">
        <f ca="1">IF(OR(NOT(W383),NOT(X373)),FALSE,D387="")</f>
        <v>0</v>
      </c>
      <c r="AI387" s="488" t="b">
        <f ca="1">IF(OR(NOT(W383),NOT(X373)),FALSE,E387="")</f>
        <v>0</v>
      </c>
      <c r="AJ387" s="488" t="b">
        <f ca="1">IF(OR(NOT(W383),NOT(X373)),FALSE,F387="")</f>
        <v>0</v>
      </c>
      <c r="AK387" s="488" t="b">
        <f ca="1">IF(OR(NOT(W383),NOT(X373)),FALSE,G387="")</f>
        <v>0</v>
      </c>
      <c r="AL387" s="488" t="b">
        <f ca="1">IF(OR(NOT(Y383),NOT(Z373)),FALSE,K387="")</f>
        <v>0</v>
      </c>
      <c r="AM387" s="488" t="b">
        <f ca="1">IF(OR(NOT(Y383),NOT(Z373)),FALSE,L387="")</f>
        <v>0</v>
      </c>
      <c r="AN387" s="488" t="b">
        <f ca="1">IF(OR(NOT(Y383),NOT(Z373)),FALSE,M387="")</f>
        <v>0</v>
      </c>
      <c r="AO387" s="488" t="b">
        <f ca="1">IF(OR(NOT(Y383),NOT(Z373)),FALSE,N387="")</f>
        <v>0</v>
      </c>
      <c r="AS387" s="323"/>
      <c r="AT387" s="323"/>
      <c r="AW387" s="485"/>
      <c r="AY387" s="323"/>
      <c r="BA387" s="323"/>
      <c r="BC387" s="323"/>
      <c r="BE387" s="323"/>
      <c r="BG387" s="323"/>
      <c r="BI387" s="323"/>
      <c r="BK387" s="323"/>
      <c r="BM387" s="323"/>
      <c r="BO387" s="323"/>
      <c r="BQ387" s="323"/>
      <c r="BS387" s="323"/>
      <c r="BU387" s="323"/>
      <c r="BW387" s="323"/>
      <c r="BY387" s="323"/>
      <c r="CA387" s="323"/>
      <c r="CC387" s="323"/>
      <c r="CE387" s="323"/>
      <c r="CG387" s="323"/>
      <c r="CI387" s="323"/>
      <c r="CK387" s="323"/>
      <c r="CM387" s="323"/>
      <c r="CO387" s="323"/>
      <c r="CQ387" s="323"/>
      <c r="CS387" s="323"/>
      <c r="CU387" s="323"/>
      <c r="CW387" s="323"/>
      <c r="CY387" s="323"/>
      <c r="DA387" s="323"/>
      <c r="DC387" s="323"/>
      <c r="DE387" s="323"/>
      <c r="DG387" s="323"/>
      <c r="DI387" s="323"/>
      <c r="DJ387" s="485"/>
    </row>
    <row r="388" spans="1:114" ht="11.25" customHeight="1" x14ac:dyDescent="0.3">
      <c r="A388" s="765"/>
      <c r="C388" s="219"/>
      <c r="D388" s="220"/>
      <c r="E388" s="517"/>
      <c r="F388" s="516"/>
      <c r="G388" s="223"/>
      <c r="H388" s="219"/>
      <c r="J388" s="219"/>
      <c r="K388" s="220"/>
      <c r="L388" s="517"/>
      <c r="M388" s="516"/>
      <c r="N388" s="223"/>
      <c r="O388" s="219"/>
      <c r="AB388" s="327" t="str">
        <f t="shared" si="100"/>
        <v/>
      </c>
      <c r="AC388" s="327" t="str">
        <f t="shared" si="101"/>
        <v/>
      </c>
      <c r="AD388" s="327" t="str">
        <f t="shared" si="102"/>
        <v/>
      </c>
      <c r="AE388" s="327" t="str">
        <f t="shared" si="103"/>
        <v/>
      </c>
      <c r="AF388" s="325"/>
      <c r="AG388" s="485">
        <v>4</v>
      </c>
      <c r="AH388" s="488" t="b">
        <f ca="1">IF(OR(NOT(W383),NOT(X373)),FALSE,D388="")</f>
        <v>0</v>
      </c>
      <c r="AI388" s="488" t="b">
        <f ca="1">IF(OR(NOT(W383),NOT(X373)),FALSE,E388="")</f>
        <v>0</v>
      </c>
      <c r="AJ388" s="488" t="b">
        <f ca="1">IF(OR(NOT(W383),NOT(X373)),FALSE,F388="")</f>
        <v>0</v>
      </c>
      <c r="AK388" s="488" t="b">
        <f ca="1">IF(OR(NOT(W383),NOT(X373)),FALSE,G388="")</f>
        <v>0</v>
      </c>
      <c r="AL388" s="488" t="b">
        <f ca="1">IF(OR(NOT(Y383),NOT(Z373)),FALSE,K388="")</f>
        <v>0</v>
      </c>
      <c r="AM388" s="488" t="b">
        <f ca="1">IF(OR(NOT(Y383),NOT(Z373)),FALSE,L388="")</f>
        <v>0</v>
      </c>
      <c r="AN388" s="488" t="b">
        <f ca="1">IF(OR(NOT(Y383),NOT(Z373)),FALSE,M388="")</f>
        <v>0</v>
      </c>
      <c r="AO388" s="488" t="b">
        <f ca="1">IF(OR(NOT(Y383),NOT(Z373)),FALSE,N388="")</f>
        <v>0</v>
      </c>
      <c r="AS388" s="323"/>
      <c r="AT388" s="323"/>
      <c r="AW388" s="485"/>
      <c r="AY388" s="323"/>
      <c r="BA388" s="323"/>
      <c r="BC388" s="323"/>
      <c r="BE388" s="323"/>
      <c r="BG388" s="323"/>
      <c r="BI388" s="323"/>
      <c r="BK388" s="323"/>
      <c r="BM388" s="323"/>
      <c r="BO388" s="323"/>
      <c r="BQ388" s="323"/>
      <c r="BS388" s="323"/>
      <c r="BU388" s="323"/>
      <c r="BW388" s="323"/>
      <c r="BY388" s="323"/>
      <c r="CA388" s="323"/>
      <c r="CC388" s="323"/>
      <c r="CE388" s="323"/>
      <c r="CG388" s="323"/>
      <c r="CI388" s="323"/>
      <c r="CK388" s="323"/>
      <c r="CM388" s="323"/>
      <c r="CO388" s="323"/>
      <c r="CQ388" s="323"/>
      <c r="CS388" s="323"/>
      <c r="CU388" s="323"/>
      <c r="CW388" s="323"/>
      <c r="CY388" s="323"/>
      <c r="DA388" s="323"/>
      <c r="DC388" s="323"/>
      <c r="DE388" s="323"/>
      <c r="DG388" s="323"/>
      <c r="DI388" s="323"/>
      <c r="DJ388" s="485"/>
    </row>
    <row r="389" spans="1:114" ht="11.25" customHeight="1" x14ac:dyDescent="0.3">
      <c r="A389" s="765"/>
      <c r="C389" s="219"/>
      <c r="D389" s="220"/>
      <c r="E389" s="517"/>
      <c r="F389" s="516"/>
      <c r="G389" s="223"/>
      <c r="H389" s="219"/>
      <c r="J389" s="219"/>
      <c r="K389" s="220"/>
      <c r="L389" s="517"/>
      <c r="M389" s="516"/>
      <c r="N389" s="223"/>
      <c r="O389" s="219"/>
      <c r="AB389" s="327" t="str">
        <f t="shared" si="100"/>
        <v/>
      </c>
      <c r="AC389" s="327" t="str">
        <f t="shared" si="101"/>
        <v/>
      </c>
      <c r="AD389" s="327" t="str">
        <f t="shared" si="102"/>
        <v/>
      </c>
      <c r="AE389" s="327" t="str">
        <f t="shared" si="103"/>
        <v/>
      </c>
      <c r="AF389" s="325"/>
      <c r="AG389" s="495">
        <v>5</v>
      </c>
      <c r="AH389" s="488" t="b">
        <f ca="1">IF(OR(NOT(W383),NOT(X373)),FALSE,D389="")</f>
        <v>0</v>
      </c>
      <c r="AI389" s="488" t="b">
        <f ca="1">IF(OR(NOT(W383),NOT(X373)),FALSE,E389="")</f>
        <v>0</v>
      </c>
      <c r="AJ389" s="488" t="b">
        <f ca="1">IF(OR(NOT(W383),NOT(X373)),FALSE,F389="")</f>
        <v>0</v>
      </c>
      <c r="AK389" s="488" t="b">
        <f ca="1">IF(OR(NOT(W383),NOT(X373)),FALSE,G389="")</f>
        <v>0</v>
      </c>
      <c r="AL389" s="488" t="b">
        <f ca="1">IF(OR(NOT(Y383),NOT(Z373)),FALSE,K389="")</f>
        <v>0</v>
      </c>
      <c r="AM389" s="488" t="b">
        <f ca="1">IF(OR(NOT(Y383),NOT(Z373)),FALSE,L389="")</f>
        <v>0</v>
      </c>
      <c r="AN389" s="488" t="b">
        <f ca="1">IF(OR(NOT(Y383),NOT(Z373)),FALSE,M389="")</f>
        <v>0</v>
      </c>
      <c r="AO389" s="488" t="b">
        <f ca="1">IF(OR(NOT(Y383),NOT(Z373)),FALSE,N389="")</f>
        <v>0</v>
      </c>
      <c r="AP389" s="495"/>
      <c r="AS389" s="323"/>
      <c r="AT389" s="323"/>
      <c r="AW389" s="485"/>
      <c r="AY389" s="323"/>
      <c r="BA389" s="323"/>
      <c r="BC389" s="323"/>
      <c r="BE389" s="323"/>
      <c r="BG389" s="323"/>
      <c r="BI389" s="323"/>
      <c r="BK389" s="323"/>
      <c r="BM389" s="323"/>
      <c r="BO389" s="323"/>
      <c r="BQ389" s="323"/>
      <c r="BS389" s="323"/>
      <c r="BU389" s="323"/>
      <c r="BW389" s="323"/>
      <c r="BY389" s="323"/>
      <c r="CA389" s="323"/>
      <c r="CC389" s="323"/>
      <c r="CE389" s="323"/>
      <c r="CG389" s="323"/>
      <c r="CI389" s="323"/>
      <c r="CK389" s="323"/>
      <c r="CM389" s="323"/>
      <c r="CO389" s="323"/>
      <c r="CQ389" s="323"/>
      <c r="CS389" s="323"/>
      <c r="CU389" s="323"/>
      <c r="CW389" s="323"/>
      <c r="CY389" s="323"/>
      <c r="DA389" s="323"/>
      <c r="DC389" s="323"/>
      <c r="DE389" s="323"/>
      <c r="DG389" s="323"/>
      <c r="DI389" s="323"/>
      <c r="DJ389" s="485"/>
    </row>
    <row r="390" spans="1:114" ht="11.25" customHeight="1" x14ac:dyDescent="0.3">
      <c r="A390" s="765"/>
      <c r="C390" s="219"/>
      <c r="D390" s="220"/>
      <c r="E390" s="517"/>
      <c r="F390" s="516"/>
      <c r="G390" s="223"/>
      <c r="H390" s="219"/>
      <c r="J390" s="219"/>
      <c r="K390" s="220"/>
      <c r="L390" s="517"/>
      <c r="M390" s="516"/>
      <c r="N390" s="223"/>
      <c r="O390" s="219"/>
      <c r="AB390" s="327" t="str">
        <f t="shared" si="100"/>
        <v/>
      </c>
      <c r="AC390" s="327" t="str">
        <f t="shared" si="101"/>
        <v/>
      </c>
      <c r="AD390" s="327" t="str">
        <f t="shared" si="102"/>
        <v/>
      </c>
      <c r="AE390" s="327" t="str">
        <f t="shared" si="103"/>
        <v/>
      </c>
      <c r="AF390" s="325"/>
      <c r="AG390" s="485">
        <v>6</v>
      </c>
      <c r="AH390" s="496" t="b">
        <f ca="1">IF(OR(NOT(W383),NOT(X373)),FALSE,AND(D390="",OR(AG390&lt;=W384+COUNTIF(E385:E390,$W$218),AG390&lt;=X384+COUNTIF(F385:F390,$W$218))))</f>
        <v>0</v>
      </c>
      <c r="AI390" s="496" t="b">
        <f ca="1">IF(OR(NOT(W383),NOT(X373)),FALSE,AND(E390="",OR(AG390&lt;=W384+COUNTIF(E385:E390,$W$218),AG390&lt;=X384+COUNTIF(F385:F390,$W$218))))</f>
        <v>0</v>
      </c>
      <c r="AJ390" s="496" t="b">
        <f ca="1">IF(OR(NOT(W383),NOT(X373)),FALSE,AND(F390="",OR(AG390&lt;=W384+COUNTIF(E385:E390,$W$218),AG390&lt;=X384+COUNTIF(F385:F390,$W$218))))</f>
        <v>0</v>
      </c>
      <c r="AK390" s="496" t="b">
        <f ca="1">IF(OR(NOT(W383),NOT(X373)),FALSE,AND(G390="",OR(AG390&lt;=W384+COUNTIF(E385:E390,$W$218),AG390&lt;=X384+COUNTIF(F385:F390,$W$218))))</f>
        <v>0</v>
      </c>
      <c r="AL390" s="496" t="b">
        <f ca="1">IF(OR(NOT(Y383),NOT(Z373)),FALSE,AND(K390="",OR(AG390&lt;=Y384+COUNTIF(L385:L390,$W$218),AG390&lt;=Z384+COUNTIF(M385:M390,$W$218))))</f>
        <v>0</v>
      </c>
      <c r="AM390" s="496" t="b">
        <f ca="1">IF(OR(NOT(Y383),NOT(Z373)),FALSE,AND(L390="",OR(AG390&lt;=Y384+COUNTIF(L385:L390,$W$218),AG390&lt;=Z384+COUNTIF(M385:M390,$W$218))))</f>
        <v>0</v>
      </c>
      <c r="AN390" s="496" t="b">
        <f ca="1">IF(OR(NOT(Y383),NOT(Z373)),FALSE,AND(M390="",OR(AG390&lt;=Y384+COUNTIF(L385:L390,$W$218),AG390&lt;=Z384+COUNTIF(M385:M390,$W$218))))</f>
        <v>0</v>
      </c>
      <c r="AO390" s="496" t="b">
        <f ca="1">IF(OR(NOT(Y383),NOT(Z373)),FALSE,AND(N390="",OR(AG390&lt;=Y384+COUNTIF(L385:L390,$W$218),AG390&lt;=Z384+COUNTIF(M385:M390,$W$218))))</f>
        <v>0</v>
      </c>
      <c r="AS390" s="323"/>
      <c r="AT390" s="323"/>
      <c r="AW390" s="485"/>
      <c r="AY390" s="323"/>
      <c r="BA390" s="323"/>
      <c r="BC390" s="323"/>
      <c r="BE390" s="323"/>
      <c r="BG390" s="323"/>
      <c r="BI390" s="323"/>
      <c r="BK390" s="323"/>
      <c r="BM390" s="323"/>
      <c r="BO390" s="323"/>
      <c r="BQ390" s="323"/>
      <c r="BS390" s="323"/>
      <c r="BU390" s="323"/>
      <c r="BW390" s="323"/>
      <c r="BY390" s="323"/>
      <c r="CA390" s="323"/>
      <c r="CC390" s="323"/>
      <c r="CE390" s="323"/>
      <c r="CG390" s="323"/>
      <c r="CI390" s="323"/>
      <c r="CK390" s="323"/>
      <c r="CM390" s="323"/>
      <c r="CO390" s="323"/>
      <c r="CQ390" s="323"/>
      <c r="CS390" s="323"/>
      <c r="CU390" s="323"/>
      <c r="CW390" s="323"/>
      <c r="CY390" s="323"/>
      <c r="DA390" s="323"/>
      <c r="DC390" s="323"/>
      <c r="DE390" s="323"/>
      <c r="DG390" s="323"/>
      <c r="DI390" s="323"/>
      <c r="DJ390" s="485"/>
    </row>
    <row r="391" spans="1:114" ht="11.25" customHeight="1" x14ac:dyDescent="0.3">
      <c r="A391" s="765"/>
      <c r="C391" s="219"/>
      <c r="D391" s="220"/>
      <c r="E391" s="517"/>
      <c r="F391" s="516"/>
      <c r="G391" s="223"/>
      <c r="H391" s="219"/>
      <c r="J391" s="219"/>
      <c r="K391" s="220"/>
      <c r="L391" s="517"/>
      <c r="M391" s="516"/>
      <c r="N391" s="223"/>
      <c r="O391" s="219"/>
      <c r="AB391" s="327" t="str">
        <f t="shared" si="100"/>
        <v/>
      </c>
      <c r="AC391" s="327" t="str">
        <f t="shared" si="101"/>
        <v/>
      </c>
      <c r="AD391" s="327" t="str">
        <f t="shared" si="102"/>
        <v/>
      </c>
      <c r="AE391" s="327" t="str">
        <f t="shared" si="103"/>
        <v/>
      </c>
      <c r="AF391" s="325"/>
      <c r="AG391" s="485">
        <v>7</v>
      </c>
      <c r="AH391" s="496" t="b">
        <f ca="1">IF(OR(NOT(W383),NOT(X373)),FALSE,AND(D391="",OR(AG391&lt;=W384+COUNTIF(E385:E391,$W$218),AG391&lt;=X384+COUNTIF(F385:F391,$W$218))))</f>
        <v>0</v>
      </c>
      <c r="AI391" s="496" t="b">
        <f ca="1">IF(OR(NOT(W383),NOT(X373)),FALSE,AND(E391="",OR(AG391&lt;=W384+COUNTIF(E385:E391,$W$218),AG391&lt;=X384+COUNTIF(F385:F391,$W$218))))</f>
        <v>0</v>
      </c>
      <c r="AJ391" s="496" t="b">
        <f ca="1">IF(OR(NOT(W383),NOT(X373)),FALSE,AND(F391="",OR(AG391&lt;=W384+COUNTIF(E385:E391,$W$218),AG391&lt;=X384+COUNTIF(F385:F391,$W$218))))</f>
        <v>0</v>
      </c>
      <c r="AK391" s="496" t="b">
        <f ca="1">IF(OR(NOT(W383),NOT(X373)),FALSE,AND(G391="",OR(AG391&lt;=W384+COUNTIF(E385:E391,$W$218),AG391&lt;=X384+COUNTIF(F385:F391,$W$218))))</f>
        <v>0</v>
      </c>
      <c r="AL391" s="496" t="b">
        <f ca="1">IF(OR(NOT(Y383),NOT(Z373)),FALSE,AND(K391="",OR(AG391&lt;=Y384+COUNTIF(L385:L391,$W$218),AG391&lt;=Z384+COUNTIF(M385:M391,$W$218))))</f>
        <v>0</v>
      </c>
      <c r="AM391" s="496" t="b">
        <f ca="1">IF(OR(NOT(Y383),NOT(Z373)),FALSE,AND(L391="",OR(AG391&lt;=Y384+COUNTIF(L385:L391,$W$218),AG391&lt;=Z384+COUNTIF(M385:M391,$W$218))))</f>
        <v>0</v>
      </c>
      <c r="AN391" s="496" t="b">
        <f ca="1">IF(OR(NOT(Y383),NOT(Z373)),FALSE,AND(M391="",OR(AG391&lt;=Y384+COUNTIF(L385:L391,$W$218),AG391&lt;=Z384+COUNTIF(M385:M391,$W$218))))</f>
        <v>0</v>
      </c>
      <c r="AO391" s="496" t="b">
        <f ca="1">IF(OR(NOT(Y383),NOT(Z373)),FALSE,AND(N391="",OR(AG391&lt;=Y384+COUNTIF(L385:L391,$W$218),AG391&lt;=Z384+COUNTIF(M385:M391,$W$218))))</f>
        <v>0</v>
      </c>
      <c r="AS391" s="323"/>
      <c r="AT391" s="323"/>
      <c r="AW391" s="485"/>
      <c r="AY391" s="323"/>
      <c r="BA391" s="323"/>
      <c r="BC391" s="323"/>
      <c r="BE391" s="323"/>
      <c r="BG391" s="323"/>
      <c r="BI391" s="323"/>
      <c r="BK391" s="323"/>
      <c r="BM391" s="323"/>
      <c r="BO391" s="323"/>
      <c r="BQ391" s="323"/>
      <c r="BS391" s="323"/>
      <c r="BU391" s="323"/>
      <c r="BW391" s="323"/>
      <c r="BY391" s="323"/>
      <c r="CA391" s="323"/>
      <c r="CC391" s="323"/>
      <c r="CE391" s="323"/>
      <c r="CG391" s="323"/>
      <c r="CI391" s="323"/>
      <c r="CK391" s="323"/>
      <c r="CM391" s="323"/>
      <c r="CO391" s="323"/>
      <c r="CQ391" s="323"/>
      <c r="CS391" s="323"/>
      <c r="CU391" s="323"/>
      <c r="CW391" s="323"/>
      <c r="CY391" s="323"/>
      <c r="DA391" s="323"/>
      <c r="DC391" s="323"/>
      <c r="DE391" s="323"/>
      <c r="DG391" s="323"/>
      <c r="DI391" s="323"/>
      <c r="DJ391" s="485"/>
    </row>
    <row r="392" spans="1:114" ht="11.25" customHeight="1" x14ac:dyDescent="0.3">
      <c r="A392" s="765"/>
      <c r="C392" s="219"/>
      <c r="D392" s="220"/>
      <c r="E392" s="517"/>
      <c r="F392" s="516"/>
      <c r="G392" s="223"/>
      <c r="H392" s="219"/>
      <c r="J392" s="219"/>
      <c r="K392" s="220"/>
      <c r="L392" s="517"/>
      <c r="M392" s="516"/>
      <c r="N392" s="223"/>
      <c r="O392" s="219"/>
      <c r="AB392" s="327" t="str">
        <f t="shared" si="100"/>
        <v/>
      </c>
      <c r="AC392" s="327" t="str">
        <f t="shared" si="101"/>
        <v/>
      </c>
      <c r="AD392" s="327" t="str">
        <f t="shared" si="102"/>
        <v/>
      </c>
      <c r="AE392" s="327" t="str">
        <f t="shared" si="103"/>
        <v/>
      </c>
      <c r="AF392" s="325"/>
      <c r="AG392" s="485">
        <v>8</v>
      </c>
      <c r="AH392" s="496" t="b">
        <f ca="1">IF(OR(NOT(W383),NOT(X373)),FALSE,AND(D392="",OR(AG392&lt;=W384+COUNTIF(E385:E392,$W$218),AG392&lt;=X384+COUNTIF(F385:F392,$W$218))))</f>
        <v>0</v>
      </c>
      <c r="AI392" s="496" t="b">
        <f ca="1">IF(OR(NOT(W383),NOT(X373)),FALSE,AND(E392="",OR(AG392&lt;=W384+COUNTIF(E385:E392,$W$218),AG392&lt;=X384+COUNTIF(F385:F392,$W$218))))</f>
        <v>0</v>
      </c>
      <c r="AJ392" s="496" t="b">
        <f ca="1">IF(OR(NOT(W383),NOT(X373)),FALSE,AND(F392="",OR(AG392&lt;=W384+COUNTIF(E385:E392,$W$218),AG392&lt;=X384+COUNTIF(F385:F392,$W$218))))</f>
        <v>0</v>
      </c>
      <c r="AK392" s="496" t="b">
        <f ca="1">IF(OR(NOT(W383),NOT(X373)),FALSE,AND(G392="",OR(AG392&lt;=W384+COUNTIF(E385:E392,$W$218),AG392&lt;=X384+COUNTIF(F385:F392,$W$218))))</f>
        <v>0</v>
      </c>
      <c r="AL392" s="496" t="b">
        <f ca="1">IF(OR(NOT(Y383),NOT(Z373)),FALSE,AND(K392="",OR(AG392&lt;=Y384+COUNTIF(L385:L392,$W$218),AG392&lt;=Z384+COUNTIF(M385:M392,$W$218))))</f>
        <v>0</v>
      </c>
      <c r="AM392" s="496" t="b">
        <f ca="1">IF(OR(NOT(Y383),NOT(Z373)),FALSE,AND(L392="",OR(AG392&lt;=Y384+COUNTIF(L385:L392,$W$218),AG392&lt;=Z384+COUNTIF(M385:M392,$W$218))))</f>
        <v>0</v>
      </c>
      <c r="AN392" s="496" t="b">
        <f ca="1">IF(OR(NOT(Y383),NOT(Z373)),FALSE,AND(M392="",OR(AG392&lt;=Y384+COUNTIF(L385:L392,$W$218),AG392&lt;=Z384+COUNTIF(M385:M392,$W$218))))</f>
        <v>0</v>
      </c>
      <c r="AO392" s="496" t="b">
        <f ca="1">IF(OR(NOT(Y383),NOT(Z373)),FALSE,AND(N392="",OR(AG392&lt;=Y384+COUNTIF(L385:L392,$W$218),AG392&lt;=Z384+COUNTIF(M385:M392,$W$218))))</f>
        <v>0</v>
      </c>
      <c r="AS392" s="323"/>
      <c r="AT392" s="323"/>
      <c r="AW392" s="485"/>
      <c r="AY392" s="323"/>
      <c r="BA392" s="323"/>
      <c r="BC392" s="323"/>
      <c r="BE392" s="323"/>
      <c r="BG392" s="323"/>
      <c r="BI392" s="323"/>
      <c r="BK392" s="323"/>
      <c r="BM392" s="323"/>
      <c r="BO392" s="323"/>
      <c r="BQ392" s="323"/>
      <c r="BS392" s="323"/>
      <c r="BU392" s="323"/>
      <c r="BW392" s="323"/>
      <c r="BY392" s="323"/>
      <c r="CA392" s="323"/>
      <c r="CC392" s="323"/>
      <c r="CE392" s="323"/>
      <c r="CG392" s="323"/>
      <c r="CI392" s="323"/>
      <c r="CK392" s="323"/>
      <c r="CM392" s="323"/>
      <c r="CO392" s="323"/>
      <c r="CQ392" s="323"/>
      <c r="CS392" s="323"/>
      <c r="CU392" s="323"/>
      <c r="CW392" s="323"/>
      <c r="CY392" s="323"/>
      <c r="DA392" s="323"/>
      <c r="DC392" s="323"/>
      <c r="DE392" s="323"/>
      <c r="DG392" s="323"/>
      <c r="DI392" s="323"/>
      <c r="DJ392" s="485"/>
    </row>
    <row r="393" spans="1:114" ht="11.25" customHeight="1" x14ac:dyDescent="0.3">
      <c r="A393" s="765"/>
      <c r="C393" s="219"/>
      <c r="D393" s="220"/>
      <c r="E393" s="517"/>
      <c r="F393" s="516"/>
      <c r="G393" s="223"/>
      <c r="H393" s="219"/>
      <c r="J393" s="219"/>
      <c r="K393" s="220"/>
      <c r="L393" s="517"/>
      <c r="M393" s="516"/>
      <c r="N393" s="223"/>
      <c r="O393" s="219"/>
      <c r="AB393" s="327" t="str">
        <f t="shared" si="100"/>
        <v/>
      </c>
      <c r="AC393" s="327" t="str">
        <f t="shared" si="101"/>
        <v/>
      </c>
      <c r="AD393" s="327" t="str">
        <f t="shared" si="102"/>
        <v/>
      </c>
      <c r="AE393" s="327" t="str">
        <f t="shared" si="103"/>
        <v/>
      </c>
      <c r="AF393" s="325"/>
      <c r="AG393" s="485">
        <v>9</v>
      </c>
      <c r="AH393" s="496" t="b">
        <f ca="1">IF(OR(NOT(W383),NOT(X373)),FALSE,AND(D393="",OR(AG393&lt;=W384+COUNTIF(E385:E393,$W$218),AG393&lt;=X384+COUNTIF(F385:F393,$W$218))))</f>
        <v>0</v>
      </c>
      <c r="AI393" s="496" t="b">
        <f ca="1">IF(OR(NOT(W383),NOT(X373)),FALSE,AND(E393="",OR(AG393&lt;=W384+COUNTIF(E385:E393,$W$218),AG393&lt;=X384+COUNTIF(F385:F393,$W$218))))</f>
        <v>0</v>
      </c>
      <c r="AJ393" s="496" t="b">
        <f ca="1">IF(OR(NOT(W383),NOT(X373)),FALSE,AND(F393="",OR(AG393&lt;=W384+COUNTIF(E385:E393,$W$218),AG393&lt;=X384+COUNTIF(F385:F393,$W$218))))</f>
        <v>0</v>
      </c>
      <c r="AK393" s="496" t="b">
        <f ca="1">IF(OR(NOT(W383),NOT(X373)),FALSE,AND(G393="",OR(AG393&lt;=W384+COUNTIF(E385:E393,$W$218),AG393&lt;=X384+COUNTIF(F385:F393,$W$218))))</f>
        <v>0</v>
      </c>
      <c r="AL393" s="496" t="b">
        <f ca="1">IF(OR(NOT(Y383),NOT(Z373)),FALSE,AND(K393="",OR(AG393&lt;=Y384+COUNTIF(L385:L393,$W$218),AG393&lt;=Z384+COUNTIF(M385:M393,$W$218))))</f>
        <v>0</v>
      </c>
      <c r="AM393" s="496" t="b">
        <f ca="1">IF(OR(NOT(Y383),NOT(Z373)),FALSE,AND(L393="",OR(AG393&lt;=Y384+COUNTIF(L385:L393,$W$218),AG393&lt;=Z384+COUNTIF(M385:M393,$W$218))))</f>
        <v>0</v>
      </c>
      <c r="AN393" s="496" t="b">
        <f ca="1">IF(OR(NOT(Y383),NOT(Z373)),FALSE,AND(M393="",OR(AG393&lt;=Y384+COUNTIF(L385:L393,$W$218),AG393&lt;=Z384+COUNTIF(M385:M393,$W$218))))</f>
        <v>0</v>
      </c>
      <c r="AO393" s="496" t="b">
        <f ca="1">IF(OR(NOT(Y383),NOT(Z373)),FALSE,AND(N393="",OR(AG393&lt;=Y384+COUNTIF(L385:L393,$W$218),AG393&lt;=Z384+COUNTIF(M385:M393,$W$218))))</f>
        <v>0</v>
      </c>
      <c r="AS393" s="323"/>
      <c r="AT393" s="323"/>
      <c r="AW393" s="485"/>
      <c r="AY393" s="323"/>
      <c r="BA393" s="323"/>
      <c r="BC393" s="323"/>
      <c r="BE393" s="323"/>
      <c r="BG393" s="323"/>
      <c r="BI393" s="323"/>
      <c r="BK393" s="323"/>
      <c r="BM393" s="323"/>
      <c r="BO393" s="323"/>
      <c r="BQ393" s="323"/>
      <c r="BS393" s="323"/>
      <c r="BU393" s="323"/>
      <c r="BW393" s="323"/>
      <c r="BY393" s="323"/>
      <c r="CA393" s="323"/>
      <c r="CC393" s="323"/>
      <c r="CE393" s="323"/>
      <c r="CG393" s="323"/>
      <c r="CI393" s="323"/>
      <c r="CK393" s="323"/>
      <c r="CM393" s="323"/>
      <c r="CO393" s="323"/>
      <c r="CQ393" s="323"/>
      <c r="CS393" s="323"/>
      <c r="CU393" s="323"/>
      <c r="CW393" s="323"/>
      <c r="CY393" s="323"/>
      <c r="DA393" s="323"/>
      <c r="DC393" s="323"/>
      <c r="DE393" s="323"/>
      <c r="DG393" s="323"/>
      <c r="DI393" s="323"/>
      <c r="DJ393" s="485"/>
    </row>
    <row r="394" spans="1:114" ht="11.25" customHeight="1" x14ac:dyDescent="0.3">
      <c r="A394" s="765"/>
      <c r="C394" s="219"/>
      <c r="D394" s="220"/>
      <c r="E394" s="517"/>
      <c r="F394" s="516"/>
      <c r="G394" s="223"/>
      <c r="H394" s="219"/>
      <c r="J394" s="219"/>
      <c r="K394" s="220"/>
      <c r="L394" s="517"/>
      <c r="M394" s="516"/>
      <c r="N394" s="223"/>
      <c r="O394" s="219"/>
      <c r="AB394" s="327" t="str">
        <f t="shared" si="100"/>
        <v/>
      </c>
      <c r="AC394" s="327" t="str">
        <f t="shared" si="101"/>
        <v/>
      </c>
      <c r="AD394" s="327" t="str">
        <f t="shared" si="102"/>
        <v/>
      </c>
      <c r="AE394" s="327" t="str">
        <f t="shared" si="103"/>
        <v/>
      </c>
      <c r="AF394" s="325"/>
      <c r="AG394" s="485">
        <v>10</v>
      </c>
      <c r="AH394" s="496" t="b">
        <f ca="1">IF(OR(NOT(W383),NOT(X373)),FALSE,AND(D394="",OR(AG394&lt;=W384+COUNTIF(E385:E394,$W$218),AG394&lt;=X384+COUNTIF(F385:F394,$W$218))))</f>
        <v>0</v>
      </c>
      <c r="AI394" s="496" t="b">
        <f ca="1">IF(OR(NOT(W383),NOT(X373)),FALSE,AND(E394="",OR(AG394&lt;=W384+COUNTIF(E385:E394,$W$218),AG394&lt;=X384+COUNTIF(F385:F394,$W$218))))</f>
        <v>0</v>
      </c>
      <c r="AJ394" s="496" t="b">
        <f ca="1">IF(OR(NOT(W383),NOT(X373)),FALSE,AND(F394="",OR(AG394&lt;=W384+COUNTIF(E385:E394,$W$218),AG394&lt;=X384+COUNTIF(F385:F394,$W$218))))</f>
        <v>0</v>
      </c>
      <c r="AK394" s="496" t="b">
        <f ca="1">IF(OR(NOT(W383),NOT(X373)),FALSE,AND(G394="",OR(AG394&lt;=W384+COUNTIF(E385:E394,$W$218),AG394&lt;=X384+COUNTIF(F385:F394,$W$218))))</f>
        <v>0</v>
      </c>
      <c r="AL394" s="496" t="b">
        <f ca="1">IF(OR(NOT(Y383),NOT(Z373)),FALSE,AND(K394="",OR(AG394&lt;=Y384+COUNTIF(L385:L394,$W$218),AG394&lt;=Z384+COUNTIF(M385:M394,$W$218))))</f>
        <v>0</v>
      </c>
      <c r="AM394" s="496" t="b">
        <f ca="1">IF(OR(NOT(Y383),NOT(Z373)),FALSE,AND(L394="",OR(AG394&lt;=Y384+COUNTIF(L385:L394,$W$218),AG394&lt;=Z384+COUNTIF(M385:M394,$W$218))))</f>
        <v>0</v>
      </c>
      <c r="AN394" s="496" t="b">
        <f ca="1">IF(OR(NOT(Y383),NOT(Z373)),FALSE,AND(M394="",OR(AG394&lt;=Y384+COUNTIF(L385:L394,$W$218),AG394&lt;=Z384+COUNTIF(M385:M394,$W$218))))</f>
        <v>0</v>
      </c>
      <c r="AO394" s="496" t="b">
        <f ca="1">IF(OR(NOT(Y383),NOT(Z373)),FALSE,AND(N394="",OR(AG394&lt;=Y384+COUNTIF(L385:L394,$W$218),AG394&lt;=Z384+COUNTIF(M385:M394,$W$218))))</f>
        <v>0</v>
      </c>
      <c r="AW394" s="485"/>
      <c r="AY394" s="323"/>
      <c r="BA394" s="323"/>
      <c r="BC394" s="323"/>
      <c r="BE394" s="323"/>
      <c r="BG394" s="323"/>
      <c r="BI394" s="323"/>
      <c r="BK394" s="323"/>
      <c r="BM394" s="323"/>
      <c r="BO394" s="323"/>
      <c r="BQ394" s="323"/>
      <c r="BS394" s="323"/>
      <c r="BU394" s="323"/>
      <c r="BW394" s="323"/>
      <c r="BY394" s="323"/>
      <c r="CA394" s="323"/>
      <c r="CC394" s="323"/>
      <c r="CE394" s="323"/>
      <c r="CG394" s="323"/>
      <c r="CI394" s="323"/>
      <c r="CK394" s="323"/>
      <c r="CM394" s="323"/>
      <c r="CO394" s="323"/>
      <c r="CQ394" s="323"/>
      <c r="CS394" s="323"/>
      <c r="CU394" s="323"/>
      <c r="CW394" s="323"/>
      <c r="CY394" s="323"/>
      <c r="DA394" s="323"/>
      <c r="DC394" s="323"/>
      <c r="DE394" s="323"/>
      <c r="DG394" s="323"/>
      <c r="DI394" s="323"/>
      <c r="DJ394" s="485"/>
    </row>
    <row r="395" spans="1:114" ht="11.25" customHeight="1" x14ac:dyDescent="0.3">
      <c r="A395" s="765"/>
      <c r="C395" s="219"/>
      <c r="D395" s="220"/>
      <c r="E395" s="517"/>
      <c r="F395" s="516"/>
      <c r="G395" s="223"/>
      <c r="H395" s="219"/>
      <c r="J395" s="219"/>
      <c r="K395" s="220"/>
      <c r="L395" s="517"/>
      <c r="M395" s="516"/>
      <c r="N395" s="223"/>
      <c r="O395" s="219"/>
      <c r="AB395" s="327" t="str">
        <f t="shared" si="100"/>
        <v/>
      </c>
      <c r="AC395" s="327" t="str">
        <f t="shared" si="101"/>
        <v/>
      </c>
      <c r="AD395" s="327" t="str">
        <f t="shared" si="102"/>
        <v/>
      </c>
      <c r="AE395" s="327" t="str">
        <f t="shared" si="103"/>
        <v/>
      </c>
      <c r="AF395" s="325"/>
      <c r="AG395" s="485">
        <v>11</v>
      </c>
      <c r="AH395" s="496" t="b">
        <f ca="1">IF(OR(NOT(W383),NOT(X373)),FALSE,AND(D395="",OR(AG395&lt;=W384+COUNTIF(E385:E395,$W$218),AG395&lt;=X384+COUNTIF(F385:F395,$W$218))))</f>
        <v>0</v>
      </c>
      <c r="AI395" s="496" t="b">
        <f ca="1">IF(OR(NOT(W383),NOT(X373)),FALSE,AND(E395="",OR(AG395&lt;=W384+COUNTIF(E385:E395,$W$218),AG395&lt;=X384+COUNTIF(F385:F395,$W$218))))</f>
        <v>0</v>
      </c>
      <c r="AJ395" s="496" t="b">
        <f ca="1">IF(OR(NOT(W383),NOT(X373)),FALSE,AND(F395="",OR(AG395&lt;=W384+COUNTIF(E385:E395,$W$218),AG395&lt;=X384+COUNTIF(F385:F395,$W$218))))</f>
        <v>0</v>
      </c>
      <c r="AK395" s="496" t="b">
        <f ca="1">IF(OR(NOT(W383),NOT(X373)),FALSE,AND(G395="",OR(AG395&lt;=W384+COUNTIF(E385:E395,$W$218),AG395&lt;=X384+COUNTIF(F385:F395,$W$218))))</f>
        <v>0</v>
      </c>
      <c r="AL395" s="496" t="b">
        <f ca="1">IF(OR(NOT(Y383),NOT(Z373)),FALSE,AND(K395="",OR(AG395&lt;=Y384+COUNTIF(L385:L395,$W$218),AG395&lt;=Z384+COUNTIF(M385:M395,$W$218))))</f>
        <v>0</v>
      </c>
      <c r="AM395" s="496" t="b">
        <f ca="1">IF(OR(NOT(Y383),NOT(Z373)),FALSE,AND(L395="",OR(AG395&lt;=Y384+COUNTIF(L385:L395,$W$218),AG395&lt;=Z384+COUNTIF(M385:M395,$W$218))))</f>
        <v>0</v>
      </c>
      <c r="AN395" s="496" t="b">
        <f ca="1">IF(OR(NOT(Y383),NOT(Z373)),FALSE,AND(M395="",OR(AG395&lt;=Y384+COUNTIF(L385:L395,$W$218),AG395&lt;=Z384+COUNTIF(M385:M395,$W$218))))</f>
        <v>0</v>
      </c>
      <c r="AO395" s="496" t="b">
        <f ca="1">IF(OR(NOT(Y383),NOT(Z373)),FALSE,AND(N395="",OR(AG395&lt;=Y384+COUNTIF(L385:L395,$W$218),AG395&lt;=Z384+COUNTIF(M385:M395,$W$218))))</f>
        <v>0</v>
      </c>
      <c r="AW395" s="485"/>
      <c r="AY395" s="323"/>
      <c r="BA395" s="323"/>
      <c r="BC395" s="323"/>
      <c r="BE395" s="323"/>
      <c r="BG395" s="323"/>
      <c r="BI395" s="323"/>
      <c r="BK395" s="323"/>
      <c r="BM395" s="323"/>
      <c r="BO395" s="323"/>
      <c r="BQ395" s="323"/>
      <c r="BS395" s="323"/>
      <c r="BU395" s="323"/>
      <c r="BW395" s="323"/>
      <c r="BY395" s="323"/>
      <c r="CA395" s="323"/>
      <c r="CC395" s="323"/>
      <c r="CE395" s="323"/>
      <c r="CG395" s="323"/>
      <c r="CI395" s="323"/>
      <c r="CK395" s="323"/>
      <c r="CM395" s="323"/>
      <c r="CO395" s="323"/>
      <c r="CQ395" s="323"/>
      <c r="CS395" s="323"/>
      <c r="CU395" s="323"/>
      <c r="CW395" s="323"/>
      <c r="CY395" s="323"/>
      <c r="DA395" s="323"/>
      <c r="DC395" s="323"/>
      <c r="DE395" s="323"/>
      <c r="DG395" s="323"/>
      <c r="DI395" s="323"/>
      <c r="DJ395" s="485"/>
    </row>
    <row r="396" spans="1:114" ht="11.25" customHeight="1" x14ac:dyDescent="0.3">
      <c r="A396" s="765"/>
      <c r="C396" s="219"/>
      <c r="D396" s="220"/>
      <c r="E396" s="517"/>
      <c r="F396" s="516"/>
      <c r="G396" s="223"/>
      <c r="H396" s="219"/>
      <c r="J396" s="219"/>
      <c r="K396" s="220"/>
      <c r="L396" s="517"/>
      <c r="M396" s="516"/>
      <c r="N396" s="223"/>
      <c r="O396" s="219"/>
      <c r="AB396" s="327" t="str">
        <f t="shared" si="100"/>
        <v/>
      </c>
      <c r="AC396" s="327" t="str">
        <f t="shared" si="101"/>
        <v/>
      </c>
      <c r="AD396" s="327" t="str">
        <f t="shared" si="102"/>
        <v/>
      </c>
      <c r="AE396" s="327" t="str">
        <f t="shared" si="103"/>
        <v/>
      </c>
      <c r="AF396" s="325"/>
      <c r="AG396" s="485">
        <v>12</v>
      </c>
      <c r="AH396" s="496" t="b">
        <f ca="1">IF(OR(NOT(W383),NOT(X373)),FALSE,AND(D396="",OR(AG396&lt;=W384+COUNTIF(E385:E396,$W$218),AG396&lt;=X384+COUNTIF(F385:F396,$W$218))))</f>
        <v>0</v>
      </c>
      <c r="AI396" s="496" t="b">
        <f ca="1">IF(OR(NOT(W383),NOT(X373)),FALSE,AND(E396="",OR(AG396&lt;=W384+COUNTIF(E385:E396,$W$218),AG396&lt;=X384+COUNTIF(F385:F396,$W$218))))</f>
        <v>0</v>
      </c>
      <c r="AJ396" s="496" t="b">
        <f ca="1">IF(OR(NOT(W383),NOT(X373)),FALSE,AND(F396="",OR(AG396&lt;=W384+COUNTIF(E385:E396,$W$218),AG396&lt;=X384+COUNTIF(F385:F396,$W$218))))</f>
        <v>0</v>
      </c>
      <c r="AK396" s="496" t="b">
        <f ca="1">IF(OR(NOT(W383),NOT(X373)),FALSE,AND(G396="",OR(AG396&lt;=W384+COUNTIF(E385:E396,$W$218),AG396&lt;=X384+COUNTIF(F385:F396,$W$218))))</f>
        <v>0</v>
      </c>
      <c r="AL396" s="496" t="b">
        <f ca="1">IF(OR(NOT(Y383),NOT(Z373)),FALSE,AND(K396="",OR(AG396&lt;=Y384+COUNTIF(L385:L396,$W$218),AG396&lt;=Z384+COUNTIF(M385:M396,$W$218))))</f>
        <v>0</v>
      </c>
      <c r="AM396" s="496" t="b">
        <f ca="1">IF(OR(NOT(Y383),NOT(Z373)),FALSE,AND(L396="",OR(AG396&lt;=Y384+COUNTIF(L385:L396,$W$218),AG396&lt;=Z384+COUNTIF(M385:M396,$W$218))))</f>
        <v>0</v>
      </c>
      <c r="AN396" s="496" t="b">
        <f ca="1">IF(OR(NOT(Y383),NOT(Z373)),FALSE,AND(M396="",OR(AG396&lt;=Y384+COUNTIF(L385:L396,$W$218),AG396&lt;=Z384+COUNTIF(M385:M396,$W$218))))</f>
        <v>0</v>
      </c>
      <c r="AO396" s="496" t="b">
        <f ca="1">IF(OR(NOT(Y383),NOT(Z373)),FALSE,AND(N396="",OR(AG396&lt;=Y384+COUNTIF(L385:L396,$W$218),AG396&lt;=Z384+COUNTIF(M385:M396,$W$218))))</f>
        <v>0</v>
      </c>
      <c r="AW396" s="485"/>
      <c r="AY396" s="323"/>
      <c r="BA396" s="323"/>
      <c r="BC396" s="323"/>
      <c r="BE396" s="323"/>
      <c r="BG396" s="323"/>
      <c r="BI396" s="323"/>
      <c r="BK396" s="323"/>
      <c r="BM396" s="323"/>
      <c r="BO396" s="323"/>
      <c r="BQ396" s="323"/>
      <c r="BS396" s="323"/>
      <c r="BU396" s="323"/>
      <c r="BW396" s="323"/>
      <c r="BY396" s="323"/>
      <c r="CA396" s="323"/>
      <c r="CC396" s="323"/>
      <c r="CE396" s="323"/>
      <c r="CG396" s="323"/>
      <c r="CI396" s="323"/>
      <c r="CK396" s="323"/>
      <c r="CM396" s="323"/>
      <c r="CO396" s="323"/>
      <c r="CQ396" s="323"/>
      <c r="CS396" s="323"/>
      <c r="CU396" s="323"/>
      <c r="CW396" s="323"/>
      <c r="CY396" s="323"/>
      <c r="DA396" s="323"/>
      <c r="DC396" s="323"/>
      <c r="DE396" s="323"/>
      <c r="DG396" s="323"/>
      <c r="DI396" s="323"/>
      <c r="DJ396" s="485"/>
    </row>
    <row r="397" spans="1:114" ht="11.25" customHeight="1" x14ac:dyDescent="0.3">
      <c r="A397" s="765"/>
      <c r="C397" s="219"/>
      <c r="D397" s="220"/>
      <c r="E397" s="516"/>
      <c r="F397" s="516"/>
      <c r="G397" s="223"/>
      <c r="H397" s="219"/>
      <c r="J397" s="219"/>
      <c r="K397" s="220"/>
      <c r="L397" s="516"/>
      <c r="M397" s="516"/>
      <c r="N397" s="223"/>
      <c r="O397" s="219"/>
      <c r="AB397" s="327" t="str">
        <f t="shared" si="100"/>
        <v/>
      </c>
      <c r="AC397" s="327" t="str">
        <f t="shared" si="101"/>
        <v/>
      </c>
      <c r="AD397" s="327" t="str">
        <f t="shared" si="102"/>
        <v/>
      </c>
      <c r="AE397" s="327" t="str">
        <f t="shared" si="103"/>
        <v/>
      </c>
      <c r="AG397" s="485">
        <v>13</v>
      </c>
      <c r="AH397" s="496" t="b">
        <f ca="1">IF(OR(NOT(W383),NOT(X373)),FALSE,AND(D397="",OR(AG397&lt;=W384+COUNTIF(E385:E397,$W$218),AG397&lt;=X384+COUNTIF(F385:F397,$W$218))))</f>
        <v>0</v>
      </c>
      <c r="AI397" s="496" t="b">
        <f ca="1">IF(OR(NOT(W383),NOT(X373)),FALSE,AND(E397="",OR(AG397&lt;=W384+COUNTIF(E385:E397,$W$218),AG397&lt;=X384+COUNTIF(F385:F397,$W$218))))</f>
        <v>0</v>
      </c>
      <c r="AJ397" s="496" t="b">
        <f ca="1">IF(OR(NOT(W383),NOT(X373)),FALSE,AND(F397="",OR(AG397&lt;=W384+COUNTIF(E385:E397,$W$218),AG397&lt;=X384+COUNTIF(F385:F397,$W$218))))</f>
        <v>0</v>
      </c>
      <c r="AK397" s="496" t="b">
        <f ca="1">IF(OR(NOT(W383),NOT(X373)),FALSE,AND(G397="",OR(AG397&lt;=W384+COUNTIF(E385:E397,$W$218),AG397&lt;=X384+COUNTIF(F385:F397,$W$218))))</f>
        <v>0</v>
      </c>
      <c r="AL397" s="496" t="b">
        <f ca="1">IF(OR(NOT(Y383),NOT(Z373)),FALSE,AND(K397="",OR(AG397&lt;=Y384+COUNTIF(L385:L397,$W$218),AG397&lt;=Z384+COUNTIF(M385:M397,$W$218))))</f>
        <v>0</v>
      </c>
      <c r="AM397" s="496" t="b">
        <f ca="1">IF(OR(NOT(Y383),NOT(Z373)),FALSE,AND(L397="",OR(AG397&lt;=Y384+COUNTIF(L385:L397,$W$218),AG397&lt;=Z384+COUNTIF(M385:M397,$W$218))))</f>
        <v>0</v>
      </c>
      <c r="AN397" s="496" t="b">
        <f ca="1">IF(OR(NOT(Y383),NOT(Z373)),FALSE,AND(M397="",OR(AG397&lt;=Y384+COUNTIF(L385:L397,$W$218),AG397&lt;=Z384+COUNTIF(M385:M397,$W$218))))</f>
        <v>0</v>
      </c>
      <c r="AO397" s="496" t="b">
        <f ca="1">IF(OR(NOT(Y383),NOT(Z373)),FALSE,AND(N397="",OR(AG397&lt;=Y384+COUNTIF(L385:L397,$W$218),AG397&lt;=Z384+COUNTIF(M385:M397,$W$218))))</f>
        <v>0</v>
      </c>
      <c r="AW397" s="485"/>
      <c r="AY397" s="323"/>
      <c r="BA397" s="323"/>
      <c r="BC397" s="323"/>
      <c r="BE397" s="323"/>
      <c r="BG397" s="323"/>
      <c r="BI397" s="323"/>
      <c r="BK397" s="323"/>
      <c r="BM397" s="323"/>
      <c r="BO397" s="323"/>
      <c r="BQ397" s="323"/>
      <c r="BS397" s="323"/>
      <c r="BU397" s="323"/>
      <c r="BW397" s="323"/>
      <c r="BY397" s="323"/>
      <c r="CA397" s="323"/>
      <c r="CC397" s="323"/>
      <c r="CE397" s="323"/>
      <c r="CG397" s="323"/>
      <c r="CI397" s="323"/>
      <c r="CK397" s="323"/>
      <c r="CM397" s="323"/>
      <c r="CO397" s="323"/>
      <c r="CQ397" s="323"/>
      <c r="CS397" s="323"/>
      <c r="CU397" s="323"/>
      <c r="CW397" s="323"/>
      <c r="CY397" s="323"/>
      <c r="DA397" s="323"/>
      <c r="DC397" s="323"/>
      <c r="DE397" s="323"/>
      <c r="DG397" s="323"/>
      <c r="DI397" s="323"/>
      <c r="DJ397" s="485"/>
    </row>
    <row r="398" spans="1:114" ht="11.25" hidden="1" customHeight="1" x14ac:dyDescent="0.3">
      <c r="A398" s="765"/>
      <c r="C398" s="219"/>
      <c r="D398" s="220"/>
      <c r="E398" s="517"/>
      <c r="F398" s="516"/>
      <c r="G398" s="223"/>
      <c r="H398" s="219"/>
      <c r="J398" s="219"/>
      <c r="K398" s="220"/>
      <c r="L398" s="517"/>
      <c r="M398" s="516"/>
      <c r="N398" s="223"/>
      <c r="O398" s="219"/>
      <c r="AB398" s="327" t="str">
        <f t="shared" si="100"/>
        <v/>
      </c>
      <c r="AC398" s="327" t="str">
        <f t="shared" si="101"/>
        <v/>
      </c>
      <c r="AD398" s="327" t="str">
        <f t="shared" si="102"/>
        <v/>
      </c>
      <c r="AE398" s="327" t="str">
        <f t="shared" si="103"/>
        <v/>
      </c>
      <c r="AG398" s="485">
        <v>14</v>
      </c>
      <c r="AH398" s="496" t="b">
        <f ca="1">IF(OR(NOT(W383),NOT(X373)),FALSE,AND(D398="",OR(AG398&lt;=W384+COUNTIF(E385:E398,$W$218),AG398&lt;=X384+COUNTIF(F385:F398,$W$218))))</f>
        <v>0</v>
      </c>
      <c r="AI398" s="496" t="b">
        <f ca="1">IF(OR(NOT(W383),NOT(X373)),FALSE,AND(E398="",OR(AG398&lt;=W384+COUNTIF(E385:E398,$W$218),AG398&lt;=X384+COUNTIF(F385:F398,$W$218))))</f>
        <v>0</v>
      </c>
      <c r="AJ398" s="496" t="b">
        <f ca="1">IF(OR(NOT(W383),NOT(X373)),FALSE,AND(F398="",OR(AG398&lt;=W384+COUNTIF(E385:E398,$W$218),AG398&lt;=X384+COUNTIF(F385:F398,$W$218))))</f>
        <v>0</v>
      </c>
      <c r="AK398" s="496" t="b">
        <f ca="1">IF(OR(NOT(W383),NOT(X373)),FALSE,AND(G398="",OR(AG398&lt;=W384+COUNTIF(E385:E398,$W$218),AG398&lt;=X384+COUNTIF(F385:F398,$W$218))))</f>
        <v>0</v>
      </c>
      <c r="AL398" s="496" t="b">
        <f ca="1">IF(OR(NOT(Y383),NOT(Z373)),FALSE,AND(K398="",OR(AG398&lt;=Y384+COUNTIF(L385:L398,$W$218),AG398&lt;=Z384+COUNTIF(M385:M398,$W$218))))</f>
        <v>0</v>
      </c>
      <c r="AM398" s="496" t="b">
        <f ca="1">IF(OR(NOT(Y383),NOT(Z373)),FALSE,AND(L398="",OR(AG398&lt;=Y384+COUNTIF(L385:L398,$W$218),AG398&lt;=Z384+COUNTIF(M385:M398,$W$218))))</f>
        <v>0</v>
      </c>
      <c r="AN398" s="496" t="b">
        <f ca="1">IF(OR(NOT(Y383),NOT(Z373)),FALSE,AND(M398="",OR(AG398&lt;=Y384+COUNTIF(L385:L398,$W$218),AG398&lt;=Z384+COUNTIF(M385:M398,$W$218))))</f>
        <v>0</v>
      </c>
      <c r="AO398" s="496" t="b">
        <f ca="1">IF(OR(NOT(Y383),NOT(Z373)),FALSE,AND(N398="",OR(AG398&lt;=Y384+COUNTIF(L385:L398,$W$218),AG398&lt;=Z384+COUNTIF(M385:M398,$W$218))))</f>
        <v>0</v>
      </c>
      <c r="AS398" s="323"/>
      <c r="AT398" s="323"/>
      <c r="AW398" s="485"/>
      <c r="AY398" s="323"/>
      <c r="BA398" s="323"/>
      <c r="BC398" s="323"/>
      <c r="BE398" s="323"/>
      <c r="BG398" s="323"/>
      <c r="BI398" s="323"/>
      <c r="BK398" s="323"/>
      <c r="BM398" s="323"/>
      <c r="BO398" s="323"/>
      <c r="BQ398" s="323"/>
      <c r="BS398" s="323"/>
      <c r="BU398" s="323"/>
      <c r="BW398" s="323"/>
      <c r="BY398" s="323"/>
      <c r="CA398" s="323"/>
      <c r="CC398" s="323"/>
      <c r="CE398" s="323"/>
      <c r="CG398" s="323"/>
      <c r="CI398" s="323"/>
      <c r="CK398" s="323"/>
      <c r="CM398" s="323"/>
      <c r="CO398" s="323"/>
      <c r="CQ398" s="323"/>
      <c r="CS398" s="323"/>
      <c r="CU398" s="323"/>
      <c r="CW398" s="323"/>
      <c r="CY398" s="323"/>
      <c r="DA398" s="323"/>
      <c r="DC398" s="323"/>
      <c r="DE398" s="323"/>
      <c r="DG398" s="323"/>
      <c r="DI398" s="323"/>
      <c r="DJ398" s="485"/>
    </row>
    <row r="399" spans="1:114" ht="10.5" hidden="1" customHeight="1" x14ac:dyDescent="0.3">
      <c r="A399" s="76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AQ399" s="323"/>
      <c r="AR399" s="323"/>
      <c r="AS399" s="323"/>
      <c r="AT399" s="323"/>
      <c r="AW399" s="485"/>
      <c r="AY399" s="323"/>
      <c r="BA399" s="323"/>
      <c r="BC399" s="323"/>
      <c r="BE399" s="323"/>
      <c r="BG399" s="323"/>
      <c r="BI399" s="323"/>
      <c r="BK399" s="323"/>
      <c r="BM399" s="323"/>
      <c r="BO399" s="323"/>
      <c r="BQ399" s="323"/>
      <c r="BS399" s="323"/>
      <c r="BU399" s="323"/>
      <c r="BW399" s="323"/>
      <c r="BY399" s="323"/>
      <c r="CA399" s="323"/>
      <c r="CC399" s="323"/>
      <c r="CE399" s="323"/>
      <c r="CG399" s="323"/>
      <c r="CI399" s="323"/>
      <c r="CK399" s="323"/>
      <c r="CM399" s="323"/>
      <c r="CO399" s="323"/>
      <c r="CQ399" s="323"/>
      <c r="CS399" s="323"/>
      <c r="CU399" s="323"/>
      <c r="CW399" s="323"/>
      <c r="CY399" s="323"/>
      <c r="DA399" s="323"/>
      <c r="DC399" s="323"/>
      <c r="DE399" s="323"/>
      <c r="DG399" s="323"/>
      <c r="DI399" s="323"/>
    </row>
    <row r="400" spans="1:114" ht="10.5" customHeight="1" x14ac:dyDescent="0.3">
      <c r="A400" s="76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AQ400" s="323"/>
      <c r="AR400" s="323"/>
      <c r="AS400" s="323"/>
      <c r="AT400" s="323"/>
      <c r="AW400" s="485"/>
      <c r="AY400" s="323"/>
      <c r="BA400" s="323"/>
      <c r="BC400" s="323"/>
      <c r="BE400" s="323"/>
      <c r="BG400" s="323"/>
      <c r="BI400" s="323"/>
      <c r="BK400" s="323"/>
      <c r="BM400" s="323"/>
      <c r="BO400" s="323"/>
      <c r="BQ400" s="323"/>
      <c r="BS400" s="323"/>
      <c r="BU400" s="323"/>
      <c r="BW400" s="323"/>
      <c r="BY400" s="323"/>
      <c r="CA400" s="323"/>
      <c r="CC400" s="323"/>
      <c r="CE400" s="323"/>
      <c r="CG400" s="323"/>
      <c r="CI400" s="323"/>
      <c r="CK400" s="323"/>
      <c r="CM400" s="323"/>
      <c r="CO400" s="323"/>
      <c r="CQ400" s="323"/>
      <c r="CS400" s="323"/>
      <c r="CU400" s="323"/>
      <c r="CW400" s="323"/>
      <c r="CY400" s="323"/>
      <c r="DA400" s="323"/>
      <c r="DC400" s="323"/>
      <c r="DE400" s="323"/>
      <c r="DG400" s="323"/>
      <c r="DI400" s="323"/>
    </row>
    <row r="401" spans="1:115" ht="3.75" customHeight="1" x14ac:dyDescent="0.3">
      <c r="A401" s="765"/>
      <c r="AQ401" s="323"/>
      <c r="AR401" s="323"/>
      <c r="AS401" s="323"/>
      <c r="AT401" s="323"/>
      <c r="AY401" s="323"/>
      <c r="BA401" s="323"/>
      <c r="BC401" s="323"/>
      <c r="BE401" s="323"/>
      <c r="BG401" s="323"/>
      <c r="BI401" s="323"/>
      <c r="BK401" s="323"/>
      <c r="BM401" s="323"/>
      <c r="BO401" s="323"/>
      <c r="BQ401" s="323"/>
      <c r="BS401" s="323"/>
      <c r="BU401" s="323"/>
      <c r="BW401" s="323"/>
      <c r="BY401" s="323"/>
      <c r="CA401" s="323"/>
      <c r="CC401" s="323"/>
      <c r="CE401" s="323"/>
      <c r="CG401" s="323"/>
      <c r="CI401" s="323"/>
      <c r="CK401" s="323"/>
      <c r="CM401" s="323"/>
      <c r="CO401" s="323"/>
      <c r="CQ401" s="323"/>
      <c r="CS401" s="323"/>
      <c r="CU401" s="323"/>
      <c r="CW401" s="323"/>
      <c r="CY401" s="323"/>
      <c r="DA401" s="323"/>
      <c r="DC401" s="323"/>
      <c r="DE401" s="323"/>
      <c r="DG401" s="323"/>
      <c r="DI401" s="323"/>
    </row>
    <row r="402" spans="1:115" ht="12" customHeight="1" x14ac:dyDescent="0.3">
      <c r="A402" s="765"/>
      <c r="B402" s="15"/>
      <c r="C402" s="247" t="str">
        <f>W407</f>
        <v>JÚNIUS 26. – SZOMBAT 18:00</v>
      </c>
      <c r="D402" s="227"/>
      <c r="E402" s="228"/>
      <c r="F402" s="229"/>
      <c r="G402" s="230"/>
      <c r="H402" s="231" t="str">
        <f>W408</f>
        <v>NYOLCADDÖNTŐ</v>
      </c>
      <c r="I402" s="138"/>
      <c r="J402" s="246" t="str">
        <f>Y407</f>
        <v>JÚNIUS 26. – SZOMBAT 21:00</v>
      </c>
      <c r="K402" s="227"/>
      <c r="L402" s="228"/>
      <c r="M402" s="229"/>
      <c r="N402" s="230"/>
      <c r="O402" s="226" t="str">
        <f>Y408</f>
        <v>NYOLCADDÖNTŐ</v>
      </c>
      <c r="AQ402" s="323"/>
      <c r="AR402" s="323"/>
      <c r="AS402" s="323"/>
      <c r="AT402" s="323"/>
      <c r="AY402" s="323"/>
      <c r="BA402" s="323"/>
      <c r="BC402" s="323"/>
      <c r="BE402" s="323"/>
      <c r="BG402" s="323"/>
      <c r="BI402" s="323"/>
      <c r="BK402" s="323"/>
      <c r="BM402" s="323"/>
      <c r="BO402" s="323"/>
      <c r="BQ402" s="323"/>
      <c r="BS402" s="323"/>
      <c r="BU402" s="323"/>
      <c r="BW402" s="323"/>
      <c r="BY402" s="323"/>
      <c r="CA402" s="323"/>
      <c r="CC402" s="323"/>
      <c r="CE402" s="323"/>
      <c r="CG402" s="323"/>
      <c r="CI402" s="323"/>
      <c r="CK402" s="323"/>
      <c r="CM402" s="323"/>
      <c r="CO402" s="323"/>
      <c r="CQ402" s="323"/>
      <c r="CS402" s="323"/>
      <c r="CU402" s="323"/>
      <c r="CW402" s="323"/>
      <c r="CY402" s="323"/>
      <c r="DA402" s="323"/>
      <c r="DC402" s="323"/>
      <c r="DE402" s="323"/>
      <c r="DG402" s="323"/>
      <c r="DI402" s="323"/>
    </row>
    <row r="403" spans="1:115" s="138" customFormat="1" ht="14.25" customHeight="1" x14ac:dyDescent="0.3">
      <c r="A403" s="765"/>
      <c r="B403" s="137"/>
      <c r="C403" s="233" t="str">
        <f>IF(W410=0,"",IF(W410&gt;0,CONCATENATE("még ",W410," gól"),CONCATENATE("túl sok (",W410," gól)")))</f>
        <v/>
      </c>
      <c r="D403" s="714" t="str">
        <f>W411</f>
        <v>A csoport 2. hely</v>
      </c>
      <c r="E403" s="716" t="str">
        <f>W412</f>
        <v/>
      </c>
      <c r="F403" s="717" t="str">
        <f>X412</f>
        <v/>
      </c>
      <c r="G403" s="715" t="str">
        <f>X411</f>
        <v>B csoport 2. hely</v>
      </c>
      <c r="H403" s="232" t="str">
        <f>IF(X410=0,"",IF(X410&gt;0,CONCATENATE("még ",X410," gól"),CONCATENATE("túl sok (",X410," gól)")))</f>
        <v/>
      </c>
      <c r="I403" s="127"/>
      <c r="J403" s="233" t="str">
        <f>IF(Y410=0,"",IF(Y410&gt;0,CONCATENATE("még ",Y410," gól"),CONCATENATE("túl sok (",Y410," gól)")))</f>
        <v/>
      </c>
      <c r="K403" s="714" t="str">
        <f>Y411</f>
        <v>A csoport 1. hely</v>
      </c>
      <c r="L403" s="716" t="str">
        <f>Y412</f>
        <v/>
      </c>
      <c r="M403" s="717" t="str">
        <f>Z412</f>
        <v/>
      </c>
      <c r="N403" s="715" t="str">
        <f>Z411</f>
        <v>C csoport 2. hely</v>
      </c>
      <c r="O403" s="232" t="str">
        <f>IF(Z410=0,"",IF(Z410&gt;0,CONCATENATE("még ",Z410," gól"),CONCATENATE("túl sok (",Z410," gól)")))</f>
        <v/>
      </c>
      <c r="P403" s="139"/>
      <c r="Q403" s="140"/>
      <c r="R403" s="141"/>
      <c r="S403" s="141"/>
      <c r="T403" s="484"/>
      <c r="U403" s="485"/>
      <c r="V403" s="485"/>
      <c r="W403" s="485"/>
      <c r="X403" s="485"/>
      <c r="Y403" s="485"/>
      <c r="Z403" s="485"/>
      <c r="AA403" s="485"/>
      <c r="AB403" s="242" t="e">
        <f>HLOOKUP(D403,nevek.li,2,FALSE)</f>
        <v>#N/A</v>
      </c>
      <c r="AC403" s="242" t="e">
        <f>HLOOKUP(G403,nevek.li,2,FALSE)</f>
        <v>#N/A</v>
      </c>
      <c r="AD403" s="242" t="e">
        <f>HLOOKUP(K403,nevek.li,2,FALSE)</f>
        <v>#N/A</v>
      </c>
      <c r="AE403" s="242" t="e">
        <f>HLOOKUP(N403,nevek.li,2,FALSE)</f>
        <v>#N/A</v>
      </c>
      <c r="AF403" s="485"/>
      <c r="AG403" s="485"/>
      <c r="AH403" s="485"/>
      <c r="AI403" s="485"/>
      <c r="AJ403" s="485"/>
      <c r="AK403" s="485"/>
      <c r="AL403" s="485"/>
      <c r="AM403" s="485"/>
      <c r="AN403" s="485"/>
      <c r="AO403" s="485"/>
      <c r="AP403" s="485"/>
      <c r="AQ403" s="485"/>
      <c r="AR403" s="485"/>
      <c r="AS403" s="485"/>
      <c r="AT403" s="485"/>
      <c r="AU403" s="485"/>
      <c r="AV403" s="500"/>
      <c r="AW403" s="323"/>
      <c r="AX403" s="323"/>
      <c r="AY403" s="323"/>
      <c r="AZ403" s="323"/>
      <c r="BA403" s="323"/>
      <c r="BB403" s="323"/>
      <c r="BC403" s="323"/>
      <c r="BD403" s="323"/>
      <c r="BE403" s="323"/>
      <c r="BF403" s="323"/>
      <c r="BG403" s="323"/>
      <c r="BH403" s="323"/>
      <c r="BI403" s="323"/>
      <c r="BJ403" s="323"/>
      <c r="BK403" s="323"/>
      <c r="BL403" s="323"/>
      <c r="BM403" s="323"/>
      <c r="BN403" s="323"/>
      <c r="BO403" s="323"/>
      <c r="BP403" s="323"/>
      <c r="BQ403" s="323"/>
      <c r="BR403" s="323"/>
      <c r="BS403" s="323"/>
      <c r="BT403" s="323"/>
      <c r="BU403" s="323"/>
      <c r="BV403" s="323"/>
      <c r="BW403" s="323"/>
      <c r="BX403" s="323"/>
      <c r="BY403" s="323"/>
      <c r="BZ403" s="323"/>
      <c r="CA403" s="323"/>
      <c r="CB403" s="323"/>
      <c r="CC403" s="323"/>
      <c r="CD403" s="323"/>
      <c r="CE403" s="323"/>
      <c r="CF403" s="323"/>
      <c r="CG403" s="323"/>
      <c r="CH403" s="323"/>
      <c r="CI403" s="323"/>
      <c r="CJ403" s="323"/>
      <c r="CK403" s="323"/>
      <c r="CL403" s="323"/>
      <c r="CM403" s="323"/>
      <c r="CN403" s="323"/>
      <c r="CO403" s="323"/>
      <c r="CP403" s="323"/>
      <c r="CQ403" s="323"/>
      <c r="CR403" s="323"/>
      <c r="CS403" s="323"/>
      <c r="CT403" s="323"/>
      <c r="CU403" s="323"/>
      <c r="CV403" s="323"/>
      <c r="CW403" s="323"/>
      <c r="CX403" s="323"/>
      <c r="CY403" s="323"/>
      <c r="CZ403" s="323"/>
      <c r="DA403" s="323"/>
      <c r="DB403" s="323"/>
      <c r="DC403" s="323"/>
      <c r="DD403" s="323"/>
      <c r="DE403" s="323"/>
      <c r="DF403" s="323"/>
      <c r="DG403" s="323"/>
      <c r="DH403" s="323"/>
      <c r="DI403" s="323"/>
      <c r="DJ403" s="323"/>
      <c r="DK403" s="500"/>
    </row>
    <row r="404" spans="1:115" ht="12" customHeight="1" x14ac:dyDescent="0.3">
      <c r="A404" s="765"/>
      <c r="C404" s="218"/>
      <c r="D404" s="220"/>
      <c r="E404" s="221"/>
      <c r="F404" s="222"/>
      <c r="G404" s="223"/>
      <c r="H404" s="218"/>
      <c r="J404" s="218"/>
      <c r="K404" s="220"/>
      <c r="L404" s="221"/>
      <c r="M404" s="222"/>
      <c r="N404" s="223"/>
      <c r="O404" s="218"/>
      <c r="V404" s="487" t="s">
        <v>706</v>
      </c>
      <c r="W404" s="242">
        <v>38</v>
      </c>
      <c r="X404" s="485" t="str">
        <f>""</f>
        <v/>
      </c>
      <c r="Y404" s="242">
        <v>37</v>
      </c>
      <c r="AB404" s="327" t="e">
        <f>IF(C404="öngól",AC403,AB403)</f>
        <v>#N/A</v>
      </c>
      <c r="AC404" s="327" t="e">
        <f>IF(H404="öngól",AB403,AC403)</f>
        <v>#N/A</v>
      </c>
      <c r="AD404" s="327" t="e">
        <f>IF(J404="öngól",AE403,AD403)</f>
        <v>#N/A</v>
      </c>
      <c r="AE404" s="327" t="e">
        <f>IF(O404="öngól",AD403,AE403)</f>
        <v>#N/A</v>
      </c>
      <c r="AF404" s="325"/>
      <c r="AG404" s="485">
        <v>1</v>
      </c>
      <c r="AH404" s="488" t="b">
        <f ca="1">AND(W406,X407,D404="",AG404&lt;=W412)</f>
        <v>0</v>
      </c>
      <c r="AI404" s="488" t="b">
        <f ca="1">AND(W406,X407,E404="",AG404&lt;=W412)</f>
        <v>0</v>
      </c>
      <c r="AJ404" s="488" t="b">
        <f ca="1">AND(W406,X407,F404="",AG404&lt;=X412)</f>
        <v>0</v>
      </c>
      <c r="AK404" s="488" t="b">
        <f ca="1">AND(W406,X407,G404="",AG404&lt;=X412)</f>
        <v>0</v>
      </c>
      <c r="AL404" s="488" t="b">
        <f ca="1">AND(Y406,Z407,K404="",AG404&lt;=Y412)</f>
        <v>0</v>
      </c>
      <c r="AM404" s="488" t="b">
        <f ca="1">AND(Y406,Z407,L404="",AG404&lt;=Y412)</f>
        <v>0</v>
      </c>
      <c r="AN404" s="488" t="b">
        <f ca="1">AND(Y406,Z407,M404="",AG404&lt;=Z412)</f>
        <v>0</v>
      </c>
      <c r="AO404" s="488" t="b">
        <f ca="1">AND(Y406,Z407,N404="",AG404&lt;=Z412)</f>
        <v>0</v>
      </c>
      <c r="AQ404" s="326" t="str">
        <f>IF(OR(NOT(Góllista!$E$6),D404=""),"",IF(C404="öngól","ö"&amp;G403&amp;D404,D403&amp;D404))</f>
        <v/>
      </c>
      <c r="AR404" s="326" t="str">
        <f>IF(OR(NOT(Góllista!$E$6),G404=""),"",IF(H404="öngól","ö"&amp;D403&amp;G404,G403&amp;G404))</f>
        <v/>
      </c>
      <c r="AS404" s="326" t="str">
        <f>IF(OR(NOT(Góllista!$E$6),K404=""),"",IF(J404="öngól","ö"&amp;N403&amp;K404,K403&amp;K404))</f>
        <v/>
      </c>
      <c r="AT404" s="326" t="str">
        <f>IF(OR(NOT(Góllista!$E$6),N404=""),"",IF(O404="öngól","ö"&amp;K403&amp;N404,N403&amp;N404))</f>
        <v/>
      </c>
      <c r="AY404" s="323"/>
      <c r="BA404" s="323"/>
      <c r="BC404" s="323"/>
      <c r="BE404" s="323"/>
      <c r="BG404" s="323"/>
      <c r="BI404" s="323"/>
      <c r="BK404" s="323"/>
      <c r="BM404" s="323"/>
      <c r="BO404" s="323"/>
      <c r="BQ404" s="323"/>
      <c r="BS404" s="323"/>
      <c r="BU404" s="323"/>
      <c r="BW404" s="323"/>
      <c r="BY404" s="323"/>
      <c r="CA404" s="323"/>
      <c r="CC404" s="323"/>
      <c r="CE404" s="323"/>
      <c r="CG404" s="323"/>
      <c r="CI404" s="323"/>
      <c r="CK404" s="323"/>
      <c r="CM404" s="323"/>
      <c r="CO404" s="323"/>
      <c r="CQ404" s="323"/>
      <c r="CS404" s="323"/>
      <c r="CU404" s="323"/>
      <c r="CW404" s="323"/>
      <c r="CY404" s="323"/>
      <c r="DA404" s="323"/>
      <c r="DC404" s="323"/>
      <c r="DE404" s="323"/>
      <c r="DG404" s="323"/>
      <c r="DI404" s="323"/>
    </row>
    <row r="405" spans="1:115" ht="12" customHeight="1" x14ac:dyDescent="0.3">
      <c r="A405" s="765"/>
      <c r="C405" s="219"/>
      <c r="D405" s="220"/>
      <c r="E405" s="224"/>
      <c r="F405" s="222"/>
      <c r="G405" s="223"/>
      <c r="H405" s="219"/>
      <c r="J405" s="219"/>
      <c r="K405" s="220"/>
      <c r="L405" s="224"/>
      <c r="M405" s="222"/>
      <c r="N405" s="223"/>
      <c r="O405" s="219"/>
      <c r="V405" s="487" t="s">
        <v>711</v>
      </c>
      <c r="W405" s="327">
        <f>MATCH(W404,n.er.index,0)</f>
        <v>91</v>
      </c>
      <c r="X405" s="485" t="str">
        <f>""</f>
        <v/>
      </c>
      <c r="Y405" s="327">
        <f>MATCH(Y404,n.er.index,0)</f>
        <v>92</v>
      </c>
      <c r="AB405" s="327" t="e">
        <f>IF(C405="öngól",AC403,AB403)</f>
        <v>#N/A</v>
      </c>
      <c r="AC405" s="327" t="e">
        <f>IF(H405="öngól",AB403,AC403)</f>
        <v>#N/A</v>
      </c>
      <c r="AD405" s="327" t="e">
        <f>IF(J405="öngól",AE403,AD403)</f>
        <v>#N/A</v>
      </c>
      <c r="AE405" s="327" t="e">
        <f>IF(O405="öngól",AD403,AE403)</f>
        <v>#N/A</v>
      </c>
      <c r="AF405" s="325"/>
      <c r="AG405" s="485">
        <v>2</v>
      </c>
      <c r="AH405" s="488" t="b">
        <f ca="1">AND(W406,X407,D405="",AG405&lt;=W412)</f>
        <v>0</v>
      </c>
      <c r="AI405" s="488" t="b">
        <f ca="1">AND(W406,X407,E405="",AG405&lt;=W412)</f>
        <v>0</v>
      </c>
      <c r="AJ405" s="488" t="b">
        <f ca="1">AND(W406,X407,F405="",AG405&lt;=X412)</f>
        <v>0</v>
      </c>
      <c r="AK405" s="488" t="b">
        <f ca="1">AND(W406,X407,G405="",AG405&lt;=X412)</f>
        <v>0</v>
      </c>
      <c r="AL405" s="488" t="b">
        <f ca="1">AND(Y406,Z407,K405="",AG405&lt;=Y412)</f>
        <v>0</v>
      </c>
      <c r="AM405" s="488" t="b">
        <f ca="1">AND(Y406,Z407,L405="",AG405&lt;=Y412)</f>
        <v>0</v>
      </c>
      <c r="AN405" s="488" t="b">
        <f ca="1">AND(Y406,Z407,M405="",AG405&lt;=Z412)</f>
        <v>0</v>
      </c>
      <c r="AO405" s="488" t="b">
        <f ca="1">AND(Y406,Z407,N405="",AG405&lt;=Z412)</f>
        <v>0</v>
      </c>
      <c r="AQ405" s="326" t="str">
        <f>IF(OR(NOT(Góllista!$E$6),D405=""),"",IF(C405="öngól","ö"&amp;G403&amp;D405,D403&amp;D405))</f>
        <v/>
      </c>
      <c r="AR405" s="326" t="str">
        <f>IF(OR(NOT(Góllista!$E$6),G405=""),"",IF(H405="öngól","ö"&amp;D403&amp;G405,G403&amp;G405))</f>
        <v/>
      </c>
      <c r="AS405" s="326" t="str">
        <f>IF(OR(NOT(Góllista!$E$6),K405=""),"",IF(J405="öngól","ö"&amp;N403&amp;K405,K403&amp;K405))</f>
        <v/>
      </c>
      <c r="AT405" s="326" t="str">
        <f>IF(OR(NOT(Góllista!$E$6),N405=""),"",IF(O405="öngól","ö"&amp;K403&amp;N405,N403&amp;N405))</f>
        <v/>
      </c>
      <c r="AY405" s="323"/>
      <c r="BA405" s="323"/>
      <c r="BC405" s="323"/>
      <c r="BE405" s="323"/>
      <c r="BG405" s="323"/>
      <c r="BI405" s="323"/>
      <c r="BK405" s="323"/>
      <c r="BM405" s="323"/>
      <c r="BO405" s="323"/>
      <c r="BQ405" s="323"/>
      <c r="BS405" s="323"/>
      <c r="BU405" s="323"/>
      <c r="BW405" s="323"/>
      <c r="BY405" s="323"/>
      <c r="CA405" s="323"/>
      <c r="CC405" s="323"/>
      <c r="CE405" s="323"/>
      <c r="CG405" s="323"/>
      <c r="CI405" s="323"/>
      <c r="CK405" s="323"/>
      <c r="CM405" s="323"/>
      <c r="CO405" s="323"/>
      <c r="CQ405" s="323"/>
      <c r="CS405" s="323"/>
      <c r="CU405" s="323"/>
      <c r="CW405" s="323"/>
      <c r="CY405" s="323"/>
      <c r="DA405" s="323"/>
      <c r="DC405" s="323"/>
      <c r="DE405" s="323"/>
      <c r="DG405" s="323"/>
      <c r="DI405" s="323"/>
    </row>
    <row r="406" spans="1:115" ht="12" customHeight="1" x14ac:dyDescent="0.3">
      <c r="A406" s="765"/>
      <c r="C406" s="219"/>
      <c r="D406" s="220"/>
      <c r="E406" s="224"/>
      <c r="F406" s="222"/>
      <c r="G406" s="223"/>
      <c r="H406" s="219"/>
      <c r="J406" s="219"/>
      <c r="K406" s="220"/>
      <c r="L406" s="224"/>
      <c r="M406" s="222"/>
      <c r="N406" s="223"/>
      <c r="O406" s="219"/>
      <c r="V406" s="487" t="s">
        <v>710</v>
      </c>
      <c r="W406" s="489" t="b">
        <f>INDEX(n.er,W405,3)</f>
        <v>0</v>
      </c>
      <c r="X406" s="485" t="str">
        <f>""</f>
        <v/>
      </c>
      <c r="Y406" s="489" t="b">
        <f>INDEX(n.er,Y405,3)</f>
        <v>0</v>
      </c>
      <c r="AB406" s="327" t="e">
        <f>IF(C406="öngól",AC403,AB403)</f>
        <v>#N/A</v>
      </c>
      <c r="AC406" s="327" t="e">
        <f>IF(H406="öngól",AB403,AC403)</f>
        <v>#N/A</v>
      </c>
      <c r="AD406" s="327" t="e">
        <f>IF(J406="öngól",AE403,AD403)</f>
        <v>#N/A</v>
      </c>
      <c r="AE406" s="327" t="e">
        <f>IF(O406="öngól",AD403,AE403)</f>
        <v>#N/A</v>
      </c>
      <c r="AF406" s="325"/>
      <c r="AG406" s="485">
        <v>3</v>
      </c>
      <c r="AH406" s="488" t="b">
        <f ca="1">AND(W406,X407,D406="",AG406&lt;=W412)</f>
        <v>0</v>
      </c>
      <c r="AI406" s="488" t="b">
        <f ca="1">AND(W406,X407,E406="",AG406&lt;=W412)</f>
        <v>0</v>
      </c>
      <c r="AJ406" s="488" t="b">
        <f ca="1">AND(W406,X407,F406="",AG406&lt;=X412)</f>
        <v>0</v>
      </c>
      <c r="AK406" s="488" t="b">
        <f ca="1">AND(W406,X407,G406="",AG406&lt;=X412)</f>
        <v>0</v>
      </c>
      <c r="AL406" s="488" t="b">
        <f ca="1">AND(Y406,Z407,K406="",AG406&lt;=Y412)</f>
        <v>0</v>
      </c>
      <c r="AM406" s="488" t="b">
        <f ca="1">AND(Y406,Z407,L406="",AG406&lt;=Y412)</f>
        <v>0</v>
      </c>
      <c r="AN406" s="488" t="b">
        <f ca="1">AND(Y406,Z407,M406="",AG406&lt;=Z412)</f>
        <v>0</v>
      </c>
      <c r="AO406" s="488" t="b">
        <f ca="1">AND(Y406,Z407,N406="",AG406&lt;=Z412)</f>
        <v>0</v>
      </c>
      <c r="AQ406" s="326" t="str">
        <f>IF(OR(NOT(Góllista!$E$6),D406=""),"",IF(C406="öngól","ö"&amp;G403&amp;D406,D403&amp;D406))</f>
        <v/>
      </c>
      <c r="AR406" s="326" t="str">
        <f>IF(OR(NOT(Góllista!$E$6),G406=""),"",IF(H406="öngól","ö"&amp;D403&amp;G406,G403&amp;G406))</f>
        <v/>
      </c>
      <c r="AS406" s="326" t="str">
        <f>IF(OR(NOT(Góllista!$E$6),K406=""),"",IF(J406="öngól","ö"&amp;N403&amp;K406,K403&amp;K406))</f>
        <v/>
      </c>
      <c r="AT406" s="326" t="str">
        <f>IF(OR(NOT(Góllista!$E$6),N406=""),"",IF(O406="öngól","ö"&amp;K403&amp;N406,N403&amp;N406))</f>
        <v/>
      </c>
      <c r="AY406" s="323"/>
      <c r="BA406" s="323"/>
      <c r="BC406" s="323"/>
      <c r="BE406" s="323"/>
      <c r="BG406" s="323"/>
      <c r="BI406" s="323"/>
      <c r="BK406" s="323"/>
      <c r="BM406" s="323"/>
      <c r="BO406" s="323"/>
      <c r="BQ406" s="323"/>
      <c r="BS406" s="323"/>
      <c r="BU406" s="323"/>
      <c r="BW406" s="323"/>
      <c r="BY406" s="323"/>
      <c r="CA406" s="323"/>
      <c r="CC406" s="323"/>
      <c r="CE406" s="323"/>
      <c r="CG406" s="323"/>
      <c r="CI406" s="323"/>
      <c r="CK406" s="323"/>
      <c r="CM406" s="323"/>
      <c r="CO406" s="323"/>
      <c r="CQ406" s="323"/>
      <c r="CS406" s="323"/>
      <c r="CU406" s="323"/>
      <c r="CW406" s="323"/>
      <c r="CY406" s="323"/>
      <c r="DA406" s="323"/>
      <c r="DC406" s="323"/>
      <c r="DE406" s="323"/>
      <c r="DG406" s="323"/>
      <c r="DI406" s="323"/>
    </row>
    <row r="407" spans="1:115" ht="12" customHeight="1" x14ac:dyDescent="0.3">
      <c r="A407" s="765"/>
      <c r="C407" s="219"/>
      <c r="D407" s="220"/>
      <c r="E407" s="224"/>
      <c r="F407" s="222"/>
      <c r="G407" s="223"/>
      <c r="H407" s="219"/>
      <c r="J407" s="219"/>
      <c r="K407" s="220"/>
      <c r="L407" s="224"/>
      <c r="M407" s="222"/>
      <c r="N407" s="223"/>
      <c r="O407" s="219"/>
      <c r="V407" s="487" t="s">
        <v>705</v>
      </c>
      <c r="W407" s="490" t="str">
        <f>VLOOKUP(W404,schedule,18,FALSE)</f>
        <v>JÚNIUS 26. – SZOMBAT 18:00</v>
      </c>
      <c r="X407" s="489" t="b">
        <f ca="1">VLOOKUP(W404,schedule,14,FALSE)&lt;=NOW()</f>
        <v>0</v>
      </c>
      <c r="Y407" s="490" t="str">
        <f>VLOOKUP(Y404,schedule,18,FALSE)</f>
        <v>JÚNIUS 26. – SZOMBAT 21:00</v>
      </c>
      <c r="Z407" s="489" t="b">
        <f ca="1">VLOOKUP(Y404,schedule,14,FALSE)&lt;=NOW()</f>
        <v>0</v>
      </c>
      <c r="AB407" s="327" t="e">
        <f>IF(C407="öngól",AC403,AB403)</f>
        <v>#N/A</v>
      </c>
      <c r="AC407" s="327" t="e">
        <f>IF(H407="öngól",AB403,AC403)</f>
        <v>#N/A</v>
      </c>
      <c r="AD407" s="327" t="e">
        <f>IF(J407="öngól",AE403,AD403)</f>
        <v>#N/A</v>
      </c>
      <c r="AE407" s="327" t="e">
        <f>IF(O407="öngól",AD403,AE403)</f>
        <v>#N/A</v>
      </c>
      <c r="AF407" s="325"/>
      <c r="AG407" s="485">
        <v>4</v>
      </c>
      <c r="AH407" s="488" t="b">
        <f ca="1">AND(W406,X407,D407="",AG407&lt;=W412)</f>
        <v>0</v>
      </c>
      <c r="AI407" s="488" t="b">
        <f ca="1">AND(W406,X407,E407="",AG407&lt;=W412)</f>
        <v>0</v>
      </c>
      <c r="AJ407" s="488" t="b">
        <f ca="1">AND(W406,X407,F407="",AG407&lt;=X412)</f>
        <v>0</v>
      </c>
      <c r="AK407" s="488" t="b">
        <f ca="1">AND(W406,X407,G407="",AG407&lt;=X412)</f>
        <v>0</v>
      </c>
      <c r="AL407" s="488" t="b">
        <f ca="1">AND(Y406,Z407,K407="",AG407&lt;=Y412)</f>
        <v>0</v>
      </c>
      <c r="AM407" s="488" t="b">
        <f ca="1">AND(Y406,Z407,L407="",AG407&lt;=Y412)</f>
        <v>0</v>
      </c>
      <c r="AN407" s="488" t="b">
        <f ca="1">AND(Y406,Z407,M407="",AG407&lt;=Z412)</f>
        <v>0</v>
      </c>
      <c r="AO407" s="488" t="b">
        <f ca="1">AND(Y406,Z407,N407="",AG407&lt;=Z412)</f>
        <v>0</v>
      </c>
      <c r="AQ407" s="326" t="str">
        <f>IF(OR(NOT(Góllista!$E$6),D407=""),"",IF(C407="öngól","ö"&amp;G403&amp;D407,D403&amp;D407))</f>
        <v/>
      </c>
      <c r="AR407" s="326" t="str">
        <f>IF(OR(NOT(Góllista!$E$6),G407=""),"",IF(H407="öngól","ö"&amp;D403&amp;G407,G403&amp;G407))</f>
        <v/>
      </c>
      <c r="AS407" s="326" t="str">
        <f>IF(OR(NOT(Góllista!$E$6),K407=""),"",IF(J407="öngól","ö"&amp;N403&amp;K407,K403&amp;K407))</f>
        <v/>
      </c>
      <c r="AT407" s="326" t="str">
        <f>IF(OR(NOT(Góllista!$E$6),N407=""),"",IF(O407="öngól","ö"&amp;K403&amp;N407,N403&amp;N407))</f>
        <v/>
      </c>
      <c r="AY407" s="323"/>
      <c r="BA407" s="323"/>
      <c r="BC407" s="323"/>
      <c r="BE407" s="323"/>
      <c r="BG407" s="323"/>
      <c r="BI407" s="323"/>
      <c r="BK407" s="323"/>
      <c r="BM407" s="323"/>
      <c r="BO407" s="323"/>
      <c r="BQ407" s="323"/>
      <c r="BS407" s="323"/>
      <c r="BU407" s="323"/>
      <c r="BW407" s="323"/>
      <c r="BY407" s="323"/>
      <c r="CA407" s="323"/>
      <c r="CC407" s="323"/>
      <c r="CE407" s="323"/>
      <c r="CG407" s="323"/>
      <c r="CI407" s="323"/>
      <c r="CK407" s="323"/>
      <c r="CM407" s="323"/>
      <c r="CO407" s="323"/>
      <c r="CQ407" s="323"/>
      <c r="CS407" s="323"/>
      <c r="CU407" s="323"/>
      <c r="CW407" s="323"/>
      <c r="CY407" s="323"/>
      <c r="DA407" s="323"/>
      <c r="DC407" s="323"/>
      <c r="DE407" s="323"/>
      <c r="DG407" s="323"/>
      <c r="DI407" s="323"/>
    </row>
    <row r="408" spans="1:115" ht="12" customHeight="1" x14ac:dyDescent="0.3">
      <c r="A408" s="765"/>
      <c r="C408" s="219"/>
      <c r="D408" s="220"/>
      <c r="E408" s="224"/>
      <c r="F408" s="222"/>
      <c r="G408" s="223"/>
      <c r="H408" s="219"/>
      <c r="J408" s="219"/>
      <c r="K408" s="220"/>
      <c r="L408" s="224"/>
      <c r="M408" s="222"/>
      <c r="N408" s="223"/>
      <c r="O408" s="219"/>
      <c r="V408" s="487" t="s">
        <v>1265</v>
      </c>
      <c r="W408" s="491" t="str">
        <f>VLOOKUP(W404,schedule,12,FALSE)</f>
        <v>NYOLCADDÖNTŐ</v>
      </c>
      <c r="X408" s="485" t="str">
        <f>""</f>
        <v/>
      </c>
      <c r="Y408" s="491" t="str">
        <f>VLOOKUP(Y404,schedule,12,FALSE)</f>
        <v>NYOLCADDÖNTŐ</v>
      </c>
      <c r="AB408" s="327" t="e">
        <f>IF(C408="öngól",AC403,AB403)</f>
        <v>#N/A</v>
      </c>
      <c r="AC408" s="327" t="e">
        <f>IF(H408="öngól",AB403,AC403)</f>
        <v>#N/A</v>
      </c>
      <c r="AD408" s="327" t="e">
        <f>IF(J408="öngól",AE403,AD403)</f>
        <v>#N/A</v>
      </c>
      <c r="AE408" s="327" t="e">
        <f>IF(O408="öngól",AD403,AE403)</f>
        <v>#N/A</v>
      </c>
      <c r="AF408" s="325"/>
      <c r="AG408" s="485">
        <v>5</v>
      </c>
      <c r="AH408" s="488" t="b">
        <f ca="1">AND(W406,X407,D408="",AG408&lt;=W412)</f>
        <v>0</v>
      </c>
      <c r="AI408" s="488" t="b">
        <f ca="1">AND(W406,X407,E408="",AG408&lt;=W412)</f>
        <v>0</v>
      </c>
      <c r="AJ408" s="488" t="b">
        <f ca="1">AND(W406,X407,F408="",AG408&lt;=X412)</f>
        <v>0</v>
      </c>
      <c r="AK408" s="488" t="b">
        <f ca="1">AND(W406,X407,G408="",AG408&lt;=X412)</f>
        <v>0</v>
      </c>
      <c r="AL408" s="488" t="b">
        <f ca="1">AND(Y406,Z407,K408="",AG408&lt;=Y412)</f>
        <v>0</v>
      </c>
      <c r="AM408" s="488" t="b">
        <f ca="1">AND(Y406,Z407,L408="",AG408&lt;=Y412)</f>
        <v>0</v>
      </c>
      <c r="AN408" s="488" t="b">
        <f ca="1">AND(Y406,Z407,M408="",AG408&lt;=Z412)</f>
        <v>0</v>
      </c>
      <c r="AO408" s="488" t="b">
        <f ca="1">AND(Y406,Z407,N408="",AG408&lt;=Z412)</f>
        <v>0</v>
      </c>
      <c r="AQ408" s="326" t="str">
        <f>IF(OR(NOT(Góllista!$E$6),D408=""),"",IF(C408="öngól","ö"&amp;G403&amp;D408,D403&amp;D408))</f>
        <v/>
      </c>
      <c r="AR408" s="326" t="str">
        <f>IF(OR(NOT(Góllista!$E$6),G408=""),"",IF(H408="öngól","ö"&amp;D403&amp;G408,G403&amp;G408))</f>
        <v/>
      </c>
      <c r="AS408" s="326" t="str">
        <f>IF(OR(NOT(Góllista!$E$6),K408=""),"",IF(J408="öngól","ö"&amp;N403&amp;K408,K403&amp;K408))</f>
        <v/>
      </c>
      <c r="AT408" s="326" t="str">
        <f>IF(OR(NOT(Góllista!$E$6),N408=""),"",IF(O408="öngól","ö"&amp;K403&amp;N408,N403&amp;N408))</f>
        <v/>
      </c>
      <c r="AY408" s="323"/>
      <c r="BA408" s="323"/>
      <c r="BC408" s="323"/>
      <c r="BE408" s="323"/>
      <c r="BG408" s="323"/>
      <c r="BI408" s="323"/>
      <c r="BK408" s="323"/>
      <c r="BM408" s="323"/>
      <c r="BO408" s="323"/>
      <c r="BQ408" s="323"/>
      <c r="BS408" s="323"/>
      <c r="BU408" s="323"/>
      <c r="BW408" s="323"/>
      <c r="BY408" s="323"/>
      <c r="CA408" s="323"/>
      <c r="CC408" s="323"/>
      <c r="CE408" s="323"/>
      <c r="CG408" s="323"/>
      <c r="CI408" s="323"/>
      <c r="CK408" s="323"/>
      <c r="CM408" s="323"/>
      <c r="CO408" s="323"/>
      <c r="CQ408" s="323"/>
      <c r="CS408" s="323"/>
      <c r="CU408" s="323"/>
      <c r="CW408" s="323"/>
      <c r="CY408" s="323"/>
      <c r="DA408" s="323"/>
      <c r="DC408" s="323"/>
      <c r="DE408" s="323"/>
      <c r="DG408" s="323"/>
      <c r="DI408" s="323"/>
    </row>
    <row r="409" spans="1:115" ht="12" customHeight="1" x14ac:dyDescent="0.3">
      <c r="A409" s="765"/>
      <c r="C409" s="219"/>
      <c r="D409" s="220"/>
      <c r="E409" s="224"/>
      <c r="F409" s="222"/>
      <c r="G409" s="223"/>
      <c r="H409" s="219"/>
      <c r="J409" s="219"/>
      <c r="K409" s="220"/>
      <c r="L409" s="224"/>
      <c r="M409" s="222"/>
      <c r="N409" s="223"/>
      <c r="O409" s="219"/>
      <c r="V409" s="487" t="s">
        <v>1264</v>
      </c>
      <c r="W409" s="327" t="str">
        <f>VLOOKUP(W404,schedule,3,FALSE)</f>
        <v>8/8</v>
      </c>
      <c r="X409" s="485" t="str">
        <f>""</f>
        <v/>
      </c>
      <c r="Y409" s="327" t="str">
        <f>VLOOKUP(Y404,schedule,3,FALSE)</f>
        <v>2/8</v>
      </c>
      <c r="AB409" s="327" t="e">
        <f>IF(C409="öngól",AC403,AB403)</f>
        <v>#N/A</v>
      </c>
      <c r="AC409" s="327" t="e">
        <f>IF(H409="öngól",AB403,AC403)</f>
        <v>#N/A</v>
      </c>
      <c r="AD409" s="327" t="e">
        <f>IF(J409="öngól",AE403,AD403)</f>
        <v>#N/A</v>
      </c>
      <c r="AE409" s="327" t="e">
        <f>IF(O409="öngól",AD403,AE403)</f>
        <v>#N/A</v>
      </c>
      <c r="AF409" s="325"/>
      <c r="AG409" s="485">
        <v>6</v>
      </c>
      <c r="AH409" s="488" t="b">
        <f ca="1">AND(W406,X407,D409="",AG409&lt;=W412)</f>
        <v>0</v>
      </c>
      <c r="AI409" s="488" t="b">
        <f ca="1">AND(W406,X407,E409="",AG409&lt;=W412)</f>
        <v>0</v>
      </c>
      <c r="AJ409" s="488" t="b">
        <f ca="1">AND(W406,X407,F409="",AG409&lt;=X412)</f>
        <v>0</v>
      </c>
      <c r="AK409" s="488" t="b">
        <f ca="1">AND(W406,X407,G409="",AG409&lt;=X412)</f>
        <v>0</v>
      </c>
      <c r="AL409" s="488" t="b">
        <f ca="1">AND(Y406,Z407,K409="",AG409&lt;=Y412)</f>
        <v>0</v>
      </c>
      <c r="AM409" s="488" t="b">
        <f ca="1">AND(Y406,Z407,L409="",AG409&lt;=Y412)</f>
        <v>0</v>
      </c>
      <c r="AN409" s="488" t="b">
        <f ca="1">AND(Y406,Z407,M409="",AG409&lt;=Z412)</f>
        <v>0</v>
      </c>
      <c r="AO409" s="488" t="b">
        <f ca="1">AND(Y406,Z407,N409="",AG409&lt;=Z412)</f>
        <v>0</v>
      </c>
      <c r="AQ409" s="326" t="str">
        <f>IF(OR(NOT(Góllista!$E$6),D409=""),"",IF(C409="öngól","ö"&amp;G403&amp;D409,D403&amp;D409))</f>
        <v/>
      </c>
      <c r="AR409" s="326" t="str">
        <f>IF(OR(NOT(Góllista!$E$6),G409=""),"",IF(H409="öngól","ö"&amp;D403&amp;G409,G403&amp;G409))</f>
        <v/>
      </c>
      <c r="AS409" s="326" t="str">
        <f>IF(OR(NOT(Góllista!$E$6),K409=""),"",IF(J409="öngól","ö"&amp;N403&amp;K409,K403&amp;K409))</f>
        <v/>
      </c>
      <c r="AT409" s="326" t="str">
        <f>IF(OR(NOT(Góllista!$E$6),N409=""),"",IF(O409="öngól","ö"&amp;K403&amp;N409,N403&amp;N409))</f>
        <v/>
      </c>
      <c r="AY409" s="323"/>
      <c r="BA409" s="323"/>
      <c r="BC409" s="323"/>
      <c r="BE409" s="323"/>
      <c r="BG409" s="323"/>
      <c r="BI409" s="323"/>
      <c r="BK409" s="323"/>
      <c r="BM409" s="323"/>
      <c r="BO409" s="323"/>
      <c r="BQ409" s="323"/>
      <c r="BS409" s="323"/>
      <c r="BU409" s="323"/>
      <c r="BW409" s="323"/>
      <c r="BY409" s="323"/>
      <c r="CA409" s="323"/>
      <c r="CC409" s="323"/>
      <c r="CE409" s="323"/>
      <c r="CG409" s="323"/>
      <c r="CI409" s="323"/>
      <c r="CK409" s="323"/>
      <c r="CM409" s="323"/>
      <c r="CO409" s="323"/>
      <c r="CQ409" s="323"/>
      <c r="CS409" s="323"/>
      <c r="CU409" s="323"/>
      <c r="CW409" s="323"/>
      <c r="CY409" s="323"/>
      <c r="DA409" s="323"/>
      <c r="DC409" s="323"/>
      <c r="DE409" s="323"/>
      <c r="DG409" s="323"/>
      <c r="DI409" s="323"/>
    </row>
    <row r="410" spans="1:115" ht="12" customHeight="1" x14ac:dyDescent="0.3">
      <c r="A410" s="765"/>
      <c r="C410" s="219"/>
      <c r="D410" s="220"/>
      <c r="E410" s="224"/>
      <c r="F410" s="222"/>
      <c r="G410" s="223"/>
      <c r="H410" s="219"/>
      <c r="J410" s="219"/>
      <c r="K410" s="220"/>
      <c r="L410" s="224"/>
      <c r="M410" s="222"/>
      <c r="N410" s="223"/>
      <c r="O410" s="219"/>
      <c r="V410" s="485" t="s">
        <v>707</v>
      </c>
      <c r="W410" s="327">
        <f>IF(NOT(W406),0,E403-9+COUNTBLANK(D404:D412))</f>
        <v>0</v>
      </c>
      <c r="X410" s="327">
        <f>IF(NOT(W406),0,F403-9+COUNTBLANK(G404:G412))</f>
        <v>0</v>
      </c>
      <c r="Y410" s="327">
        <f>IF(NOT(Y406),0,L403-9+COUNTBLANK(K404:K412))</f>
        <v>0</v>
      </c>
      <c r="Z410" s="327">
        <f>IF(NOT(Y406),0,M403-9+COUNTBLANK(N404:N412))</f>
        <v>0</v>
      </c>
      <c r="AB410" s="327" t="e">
        <f>IF(C410="öngól",AC403,AB403)</f>
        <v>#N/A</v>
      </c>
      <c r="AC410" s="327" t="e">
        <f>IF(H410="öngól",AB403,AC403)</f>
        <v>#N/A</v>
      </c>
      <c r="AD410" s="327" t="e">
        <f>IF(J410="öngól",AE403,AD403)</f>
        <v>#N/A</v>
      </c>
      <c r="AE410" s="327" t="e">
        <f>IF(O410="öngól",AD403,AE403)</f>
        <v>#N/A</v>
      </c>
      <c r="AF410" s="325"/>
      <c r="AG410" s="485">
        <v>7</v>
      </c>
      <c r="AH410" s="488" t="b">
        <f ca="1">AND(W406,X407,D410="",AG410&lt;=W412)</f>
        <v>0</v>
      </c>
      <c r="AI410" s="488" t="b">
        <f ca="1">AND(W406,X407,E410="",AG410&lt;=W412)</f>
        <v>0</v>
      </c>
      <c r="AJ410" s="488" t="b">
        <f ca="1">AND(W406,X407,F410="",AG410&lt;=X412)</f>
        <v>0</v>
      </c>
      <c r="AK410" s="488" t="b">
        <f ca="1">AND(W406,X407,G410="",AG410&lt;=X412)</f>
        <v>0</v>
      </c>
      <c r="AL410" s="488" t="b">
        <f ca="1">AND(Y406,Z407,K410="",AG410&lt;=Y412)</f>
        <v>0</v>
      </c>
      <c r="AM410" s="488" t="b">
        <f ca="1">AND(Y406,Z407,L410="",AG410&lt;=Y412)</f>
        <v>0</v>
      </c>
      <c r="AN410" s="488" t="b">
        <f ca="1">AND(Y406,Z407,M410="",AG410&lt;=Z412)</f>
        <v>0</v>
      </c>
      <c r="AO410" s="488" t="b">
        <f ca="1">AND(Y406,Z407,N410="",AG410&lt;=Z412)</f>
        <v>0</v>
      </c>
      <c r="AQ410" s="326" t="str">
        <f>IF(OR(NOT(Góllista!$E$6),D410=""),"",IF(C410="öngól","ö"&amp;G403&amp;D410,D403&amp;D410))</f>
        <v/>
      </c>
      <c r="AR410" s="326" t="str">
        <f>IF(OR(NOT(Góllista!$E$6),G410=""),"",IF(H410="öngól","ö"&amp;D403&amp;G410,G403&amp;G410))</f>
        <v/>
      </c>
      <c r="AS410" s="326" t="str">
        <f>IF(OR(NOT(Góllista!$E$6),K410=""),"",IF(J410="öngól","ö"&amp;N403&amp;K410,K403&amp;K410))</f>
        <v/>
      </c>
      <c r="AT410" s="326" t="str">
        <f>IF(OR(NOT(Góllista!$E$6),N410=""),"",IF(O410="öngól","ö"&amp;K403&amp;N410,N403&amp;N410))</f>
        <v/>
      </c>
      <c r="AY410" s="323"/>
      <c r="BA410" s="323"/>
      <c r="BC410" s="323"/>
      <c r="BE410" s="323"/>
      <c r="BG410" s="323"/>
      <c r="BI410" s="323"/>
      <c r="BK410" s="323"/>
      <c r="BM410" s="323"/>
      <c r="BO410" s="323"/>
      <c r="BQ410" s="323"/>
      <c r="BS410" s="323"/>
      <c r="BU410" s="323"/>
      <c r="BW410" s="323"/>
      <c r="BY410" s="323"/>
      <c r="CA410" s="323"/>
      <c r="CC410" s="323"/>
      <c r="CE410" s="323"/>
      <c r="CG410" s="323"/>
      <c r="CI410" s="323"/>
      <c r="CK410" s="323"/>
      <c r="CM410" s="323"/>
      <c r="CO410" s="323"/>
      <c r="CQ410" s="323"/>
      <c r="CS410" s="323"/>
      <c r="CU410" s="323"/>
      <c r="CW410" s="323"/>
      <c r="CY410" s="323"/>
      <c r="DA410" s="323"/>
      <c r="DC410" s="323"/>
      <c r="DE410" s="323"/>
      <c r="DG410" s="323"/>
      <c r="DI410" s="323"/>
    </row>
    <row r="411" spans="1:115" ht="12" customHeight="1" x14ac:dyDescent="0.3">
      <c r="A411" s="765"/>
      <c r="C411" s="219"/>
      <c r="D411" s="220"/>
      <c r="E411" s="224"/>
      <c r="F411" s="222"/>
      <c r="G411" s="223"/>
      <c r="H411" s="219"/>
      <c r="J411" s="219"/>
      <c r="K411" s="220"/>
      <c r="L411" s="224"/>
      <c r="M411" s="222"/>
      <c r="N411" s="223"/>
      <c r="O411" s="219"/>
      <c r="V411" s="485" t="s">
        <v>708</v>
      </c>
      <c r="W411" s="411" t="str">
        <f>VLOOKUP(W404,schedule,8,FALSE)</f>
        <v>A csoport 2. hely</v>
      </c>
      <c r="X411" s="411" t="str">
        <f>VLOOKUP(W404,schedule,9,FALSE)</f>
        <v>B csoport 2. hely</v>
      </c>
      <c r="Y411" s="411" t="str">
        <f>VLOOKUP(Y404,schedule,8,FALSE)</f>
        <v>A csoport 1. hely</v>
      </c>
      <c r="Z411" s="491" t="str">
        <f>VLOOKUP(Y404,schedule,9,FALSE)</f>
        <v>C csoport 2. hely</v>
      </c>
      <c r="AB411" s="327" t="e">
        <f>IF(C411="öngól",AC403,AB403)</f>
        <v>#N/A</v>
      </c>
      <c r="AC411" s="327" t="e">
        <f>IF(H411="öngól",AB403,AC403)</f>
        <v>#N/A</v>
      </c>
      <c r="AD411" s="327" t="e">
        <f>IF(J411="öngól",AE403,AD403)</f>
        <v>#N/A</v>
      </c>
      <c r="AE411" s="327" t="e">
        <f>IF(O411="öngól",AD403,AE403)</f>
        <v>#N/A</v>
      </c>
      <c r="AF411" s="325"/>
      <c r="AG411" s="485">
        <v>8</v>
      </c>
      <c r="AH411" s="488" t="b">
        <f ca="1">AND(W406,X407,D411="",AG411&lt;=W412)</f>
        <v>0</v>
      </c>
      <c r="AI411" s="488" t="b">
        <f ca="1">AND(W406,X407,E411="",AG411&lt;=W412)</f>
        <v>0</v>
      </c>
      <c r="AJ411" s="488" t="b">
        <f ca="1">AND(W406,X407,F411="",AG411&lt;=X412)</f>
        <v>0</v>
      </c>
      <c r="AK411" s="488" t="b">
        <f ca="1">AND(W406,X407,G411="",AG411&lt;=X412)</f>
        <v>0</v>
      </c>
      <c r="AL411" s="488" t="b">
        <f ca="1">AND(Y406,Z407,K411="",AG411&lt;=Y412)</f>
        <v>0</v>
      </c>
      <c r="AM411" s="488" t="b">
        <f ca="1">AND(Y406,Z407,L411="",AG411&lt;=Y412)</f>
        <v>0</v>
      </c>
      <c r="AN411" s="488" t="b">
        <f ca="1">AND(Y406,Z407,M411="",AG411&lt;=Z412)</f>
        <v>0</v>
      </c>
      <c r="AO411" s="488" t="b">
        <f ca="1">AND(Y406,Z407,N411="",AG411&lt;=Z412)</f>
        <v>0</v>
      </c>
      <c r="AQ411" s="326" t="str">
        <f>IF(OR(NOT(Góllista!$E$6),D411=""),"",IF(C411="öngól","ö"&amp;G403&amp;D411,D403&amp;D411))</f>
        <v/>
      </c>
      <c r="AR411" s="326" t="str">
        <f>IF(OR(NOT(Góllista!$E$6),G411=""),"",IF(H411="öngól","ö"&amp;D403&amp;G411,G403&amp;G411))</f>
        <v/>
      </c>
      <c r="AS411" s="326" t="str">
        <f>IF(OR(NOT(Góllista!$E$6),K411=""),"",IF(J411="öngól","ö"&amp;N403&amp;K411,K403&amp;K411))</f>
        <v/>
      </c>
      <c r="AT411" s="326" t="str">
        <f>IF(OR(NOT(Góllista!$E$6),N411=""),"",IF(O411="öngól","ö"&amp;K403&amp;N411,N403&amp;N411))</f>
        <v/>
      </c>
      <c r="AY411" s="323"/>
      <c r="BA411" s="323"/>
      <c r="BC411" s="323"/>
      <c r="BE411" s="323"/>
      <c r="BG411" s="323"/>
      <c r="BI411" s="323"/>
      <c r="BK411" s="323"/>
      <c r="BM411" s="323"/>
      <c r="BO411" s="323"/>
      <c r="BQ411" s="323"/>
      <c r="BS411" s="323"/>
      <c r="BU411" s="323"/>
      <c r="BW411" s="323"/>
      <c r="BY411" s="323"/>
      <c r="CA411" s="323"/>
      <c r="CC411" s="323"/>
      <c r="CE411" s="323"/>
      <c r="CG411" s="323"/>
      <c r="CI411" s="323"/>
      <c r="CK411" s="323"/>
      <c r="CM411" s="323"/>
      <c r="CO411" s="323"/>
      <c r="CQ411" s="323"/>
      <c r="CS411" s="323"/>
      <c r="CU411" s="323"/>
      <c r="CW411" s="323"/>
      <c r="CY411" s="323"/>
      <c r="DA411" s="323"/>
      <c r="DC411" s="323"/>
      <c r="DE411" s="323"/>
      <c r="DG411" s="323"/>
      <c r="DI411" s="323"/>
    </row>
    <row r="412" spans="1:115" ht="12" customHeight="1" x14ac:dyDescent="0.3">
      <c r="A412" s="765"/>
      <c r="C412" s="219"/>
      <c r="D412" s="220"/>
      <c r="E412" s="225"/>
      <c r="F412" s="222"/>
      <c r="G412" s="223"/>
      <c r="H412" s="219"/>
      <c r="J412" s="219"/>
      <c r="K412" s="220"/>
      <c r="L412" s="225"/>
      <c r="M412" s="222"/>
      <c r="N412" s="223"/>
      <c r="O412" s="219"/>
      <c r="V412" s="485" t="s">
        <v>709</v>
      </c>
      <c r="W412" s="492" t="str">
        <f>INDEX(n.er,W405,9)</f>
        <v/>
      </c>
      <c r="X412" s="493" t="str">
        <f>INDEX(n.er,W405,10)</f>
        <v/>
      </c>
      <c r="Y412" s="492" t="str">
        <f>INDEX(n.er,Y405,9)</f>
        <v/>
      </c>
      <c r="Z412" s="493" t="str">
        <f>INDEX(n.er,Y405,10)</f>
        <v/>
      </c>
      <c r="AB412" s="327" t="e">
        <f>IF(C412="öngól",AC403,AB403)</f>
        <v>#N/A</v>
      </c>
      <c r="AC412" s="327" t="e">
        <f>IF(H412="öngól",AB403,AC403)</f>
        <v>#N/A</v>
      </c>
      <c r="AD412" s="327" t="e">
        <f>IF(J412="öngól",AE403,AD403)</f>
        <v>#N/A</v>
      </c>
      <c r="AE412" s="327" t="e">
        <f>IF(O412="öngól",AD403,AE403)</f>
        <v>#N/A</v>
      </c>
      <c r="AF412" s="325"/>
      <c r="AG412" s="485">
        <v>9</v>
      </c>
      <c r="AH412" s="488" t="b">
        <f ca="1">AND(W406,X407,D412="",AG412&lt;=W412)</f>
        <v>0</v>
      </c>
      <c r="AI412" s="488" t="b">
        <f ca="1">AND(W406,X407,E412="",AG412&lt;=W412)</f>
        <v>0</v>
      </c>
      <c r="AJ412" s="488" t="b">
        <f ca="1">AND(W406,X407,F412="",AG412&lt;=X412)</f>
        <v>0</v>
      </c>
      <c r="AK412" s="488" t="b">
        <f ca="1">AND(W406,X407,G412="",AG412&lt;=X412)</f>
        <v>0</v>
      </c>
      <c r="AL412" s="488" t="b">
        <f ca="1">AND(Y406,Z407,K412="",AG412&lt;=Y412)</f>
        <v>0</v>
      </c>
      <c r="AM412" s="488" t="b">
        <f ca="1">AND(Y406,Z407,L412="",AG412&lt;=Y412)</f>
        <v>0</v>
      </c>
      <c r="AN412" s="488" t="b">
        <f ca="1">AND(Y406,Z407,M412="",AG412&lt;=Z412)</f>
        <v>0</v>
      </c>
      <c r="AO412" s="488" t="b">
        <f ca="1">AND(Y406,Z407,N412="",AG412&lt;=Z412)</f>
        <v>0</v>
      </c>
      <c r="AQ412" s="326" t="str">
        <f>IF(OR(NOT(Góllista!$E$6),D412=""),"",IF(C412="öngól","ö"&amp;G403&amp;D412,D403&amp;D412))</f>
        <v/>
      </c>
      <c r="AR412" s="326" t="str">
        <f>IF(OR(NOT(Góllista!$E$6),G412=""),"",IF(H412="öngól","ö"&amp;D403&amp;G412,G403&amp;G412))</f>
        <v/>
      </c>
      <c r="AS412" s="326" t="str">
        <f>IF(OR(NOT(Góllista!$E$6),K412=""),"",IF(J412="öngól","ö"&amp;N403&amp;K412,K403&amp;K412))</f>
        <v/>
      </c>
      <c r="AT412" s="326" t="str">
        <f>IF(OR(NOT(Góllista!$E$6),N412=""),"",IF(O412="öngól","ö"&amp;K403&amp;N412,N403&amp;N412))</f>
        <v/>
      </c>
      <c r="AY412" s="323"/>
      <c r="BA412" s="323"/>
      <c r="BC412" s="323"/>
      <c r="BE412" s="323"/>
      <c r="BG412" s="323"/>
      <c r="BI412" s="323"/>
      <c r="BK412" s="323"/>
      <c r="BM412" s="323"/>
      <c r="BO412" s="323"/>
      <c r="BQ412" s="323"/>
      <c r="BS412" s="323"/>
      <c r="BU412" s="323"/>
      <c r="BW412" s="323"/>
      <c r="BY412" s="323"/>
      <c r="CA412" s="323"/>
      <c r="CC412" s="323"/>
      <c r="CE412" s="323"/>
      <c r="CG412" s="323"/>
      <c r="CI412" s="323"/>
      <c r="CK412" s="323"/>
      <c r="CM412" s="323"/>
      <c r="CO412" s="323"/>
      <c r="CQ412" s="323"/>
      <c r="CS412" s="323"/>
      <c r="CU412" s="323"/>
      <c r="CW412" s="323"/>
      <c r="CY412" s="323"/>
      <c r="DA412" s="323"/>
      <c r="DC412" s="323"/>
      <c r="DE412" s="323"/>
      <c r="DG412" s="323"/>
      <c r="DI412" s="323"/>
    </row>
    <row r="413" spans="1:115" ht="12" customHeight="1" x14ac:dyDescent="0.3">
      <c r="A413" s="765"/>
      <c r="C413" s="768"/>
      <c r="D413" s="768"/>
      <c r="E413" s="768"/>
      <c r="F413" s="768"/>
      <c r="G413" s="768"/>
      <c r="H413" s="768"/>
      <c r="J413" s="768"/>
      <c r="K413" s="768"/>
      <c r="L413" s="768"/>
      <c r="M413" s="768"/>
      <c r="N413" s="768"/>
      <c r="O413" s="768"/>
      <c r="AY413" s="323"/>
      <c r="BA413" s="323"/>
      <c r="BC413" s="323"/>
      <c r="BE413" s="323"/>
      <c r="BG413" s="323"/>
      <c r="BI413" s="323"/>
      <c r="BK413" s="323"/>
      <c r="BM413" s="323"/>
      <c r="BO413" s="323"/>
      <c r="BQ413" s="323"/>
      <c r="BS413" s="323"/>
      <c r="BU413" s="323"/>
      <c r="BW413" s="323"/>
      <c r="BY413" s="323"/>
      <c r="CA413" s="323"/>
      <c r="CC413" s="323"/>
      <c r="CE413" s="323"/>
      <c r="CG413" s="323"/>
      <c r="CI413" s="323"/>
      <c r="CK413" s="323"/>
      <c r="CM413" s="323"/>
      <c r="CO413" s="323"/>
      <c r="CQ413" s="323"/>
      <c r="CS413" s="323"/>
      <c r="CU413" s="323"/>
      <c r="CW413" s="323"/>
      <c r="CY413" s="323"/>
      <c r="DA413" s="323"/>
      <c r="DC413" s="323"/>
      <c r="DE413" s="323"/>
      <c r="DG413" s="323"/>
      <c r="DI413" s="323"/>
    </row>
    <row r="414" spans="1:115" ht="12" hidden="1" customHeight="1" x14ac:dyDescent="0.3">
      <c r="A414" s="765"/>
      <c r="C414" s="767"/>
      <c r="D414" s="767"/>
      <c r="E414" s="767"/>
      <c r="F414" s="767"/>
      <c r="G414" s="767"/>
      <c r="H414" s="767"/>
      <c r="J414" s="767"/>
      <c r="K414" s="767"/>
      <c r="L414" s="767"/>
      <c r="M414" s="767"/>
      <c r="N414" s="767"/>
      <c r="O414" s="767"/>
      <c r="AY414" s="323"/>
      <c r="BA414" s="323"/>
      <c r="BC414" s="323"/>
      <c r="BE414" s="323"/>
      <c r="BG414" s="323"/>
      <c r="BI414" s="323"/>
      <c r="BK414" s="323"/>
      <c r="BM414" s="323"/>
      <c r="BO414" s="323"/>
      <c r="BQ414" s="323"/>
      <c r="BS414" s="323"/>
      <c r="BU414" s="323"/>
      <c r="BW414" s="323"/>
      <c r="BY414" s="323"/>
      <c r="CA414" s="323"/>
      <c r="CC414" s="323"/>
      <c r="CE414" s="323"/>
      <c r="CG414" s="323"/>
      <c r="CI414" s="323"/>
      <c r="CK414" s="323"/>
      <c r="CM414" s="323"/>
      <c r="CO414" s="323"/>
      <c r="CQ414" s="323"/>
      <c r="CS414" s="323"/>
      <c r="CU414" s="323"/>
      <c r="CW414" s="323"/>
      <c r="CY414" s="323"/>
      <c r="DA414" s="323"/>
      <c r="DC414" s="323"/>
      <c r="DE414" s="323"/>
      <c r="DG414" s="323"/>
      <c r="DI414" s="323"/>
    </row>
    <row r="415" spans="1:115" ht="12" hidden="1" customHeight="1" x14ac:dyDescent="0.3">
      <c r="A415" s="765"/>
      <c r="C415" s="767"/>
      <c r="D415" s="767"/>
      <c r="E415" s="767"/>
      <c r="F415" s="767"/>
      <c r="G415" s="767"/>
      <c r="H415" s="767"/>
      <c r="J415" s="767"/>
      <c r="K415" s="767"/>
      <c r="L415" s="767"/>
      <c r="M415" s="767"/>
      <c r="N415" s="767"/>
      <c r="O415" s="767"/>
      <c r="AY415" s="323"/>
      <c r="BA415" s="323"/>
      <c r="BC415" s="323"/>
      <c r="BE415" s="323"/>
      <c r="BG415" s="323"/>
      <c r="BI415" s="323"/>
      <c r="BK415" s="323"/>
      <c r="BM415" s="323"/>
      <c r="BO415" s="323"/>
      <c r="BQ415" s="323"/>
      <c r="BS415" s="323"/>
      <c r="BU415" s="323"/>
      <c r="BW415" s="323"/>
      <c r="BY415" s="323"/>
      <c r="CA415" s="323"/>
      <c r="CC415" s="323"/>
      <c r="CE415" s="323"/>
      <c r="CG415" s="323"/>
      <c r="CI415" s="323"/>
      <c r="CK415" s="323"/>
      <c r="CM415" s="323"/>
      <c r="CO415" s="323"/>
      <c r="CQ415" s="323"/>
      <c r="CS415" s="323"/>
      <c r="CU415" s="323"/>
      <c r="CW415" s="323"/>
      <c r="CY415" s="323"/>
      <c r="DA415" s="323"/>
      <c r="DC415" s="323"/>
      <c r="DE415" s="323"/>
      <c r="DG415" s="323"/>
      <c r="DI415" s="323"/>
    </row>
    <row r="416" spans="1:115" ht="3.75" customHeight="1" x14ac:dyDescent="0.3">
      <c r="A416" s="765"/>
      <c r="AH416" s="494"/>
      <c r="AY416" s="323"/>
      <c r="BA416" s="323"/>
      <c r="BC416" s="323"/>
      <c r="BE416" s="323"/>
      <c r="BG416" s="323"/>
      <c r="BI416" s="323"/>
      <c r="BK416" s="323"/>
      <c r="BM416" s="323"/>
      <c r="BO416" s="323"/>
      <c r="BQ416" s="323"/>
      <c r="BS416" s="323"/>
      <c r="BU416" s="323"/>
      <c r="BW416" s="323"/>
      <c r="BY416" s="323"/>
      <c r="CA416" s="323"/>
      <c r="CC416" s="323"/>
      <c r="CE416" s="323"/>
      <c r="CG416" s="323"/>
      <c r="CI416" s="323"/>
      <c r="CK416" s="323"/>
      <c r="CM416" s="323"/>
      <c r="CO416" s="323"/>
      <c r="CQ416" s="323"/>
      <c r="CS416" s="323"/>
      <c r="CU416" s="323"/>
      <c r="CW416" s="323"/>
      <c r="CY416" s="323"/>
      <c r="DA416" s="323"/>
      <c r="DC416" s="323"/>
      <c r="DE416" s="323"/>
      <c r="DG416" s="323"/>
      <c r="DI416" s="323"/>
    </row>
    <row r="417" spans="1:114" ht="11.25" customHeight="1" x14ac:dyDescent="0.3">
      <c r="A417" s="765"/>
      <c r="B417" s="15"/>
      <c r="D417" s="235"/>
      <c r="E417" s="722" t="str">
        <f>IF(W417,"  BÜNTETŐK:","  BÜNTETŐK:  –")</f>
        <v xml:space="preserve">  BÜNTETŐK:  –</v>
      </c>
      <c r="F417" s="235"/>
      <c r="G417" s="235"/>
      <c r="H417" s="235"/>
      <c r="I417" s="37"/>
      <c r="J417" s="234"/>
      <c r="K417" s="235"/>
      <c r="L417" s="722" t="str">
        <f>IF(AD417,"  BÜNTETŐK:","  BÜNTETŐK:  –")</f>
        <v xml:space="preserve">  BÜNTETŐK:  –</v>
      </c>
      <c r="M417" s="235"/>
      <c r="N417" s="235"/>
      <c r="O417" s="235"/>
      <c r="V417" s="487" t="s">
        <v>712</v>
      </c>
      <c r="W417" s="489" t="b">
        <f>INDEX(n.er,W405,14)</f>
        <v>0</v>
      </c>
      <c r="Y417" s="489" t="b">
        <f>INDEX(n.er,Y405,14)</f>
        <v>0</v>
      </c>
      <c r="AF417" s="325"/>
      <c r="AQ417" s="323"/>
      <c r="AR417" s="323"/>
      <c r="AS417" s="323"/>
      <c r="AT417" s="323"/>
      <c r="AW417" s="485"/>
      <c r="AY417" s="323"/>
      <c r="BA417" s="323"/>
      <c r="BC417" s="323"/>
      <c r="BE417" s="323"/>
      <c r="BG417" s="323"/>
      <c r="BI417" s="323"/>
      <c r="BK417" s="323"/>
      <c r="BM417" s="323"/>
      <c r="BO417" s="323"/>
      <c r="BQ417" s="323"/>
      <c r="BS417" s="323"/>
      <c r="BU417" s="323"/>
      <c r="BW417" s="323"/>
      <c r="BY417" s="323"/>
      <c r="CA417" s="323"/>
      <c r="CC417" s="323"/>
      <c r="CE417" s="323"/>
      <c r="CG417" s="323"/>
      <c r="CI417" s="323"/>
      <c r="CK417" s="323"/>
      <c r="CM417" s="323"/>
      <c r="CO417" s="323"/>
      <c r="CQ417" s="323"/>
      <c r="CS417" s="323"/>
      <c r="CU417" s="323"/>
      <c r="CW417" s="323"/>
      <c r="CY417" s="323"/>
      <c r="DA417" s="323"/>
      <c r="DC417" s="323"/>
      <c r="DE417" s="323"/>
      <c r="DG417" s="323"/>
      <c r="DI417" s="323"/>
      <c r="DJ417" s="485"/>
    </row>
    <row r="418" spans="1:114" ht="11.25" customHeight="1" x14ac:dyDescent="0.3">
      <c r="A418" s="765"/>
      <c r="C418" s="241" t="str">
        <f>IF(W419=0,"",IF(W419&gt;0,CONCATENATE("még ",W419," büntető"),CONCATENATE("túl sok (",W419," büntető)")))</f>
        <v/>
      </c>
      <c r="D418" s="718" t="str">
        <f>IF(W417,W411,"")</f>
        <v/>
      </c>
      <c r="E418" s="719" t="str">
        <f>IF(W417,W418,"")</f>
        <v/>
      </c>
      <c r="F418" s="720" t="str">
        <f>IF(W417,X418,"")</f>
        <v/>
      </c>
      <c r="G418" s="721" t="str">
        <f>IF(W417,X411,"")</f>
        <v/>
      </c>
      <c r="H418" s="241" t="str">
        <f>IF(X419=0,"",IF(X419&gt;0,CONCATENATE("még ",X419," büntető"),CONCATENATE("túl sok (",X419," büntető)")))</f>
        <v/>
      </c>
      <c r="J418" s="241" t="str">
        <f>IF(Y419=0,"",IF(Y419&gt;0,CONCATENATE("még ",Y419," büntető"),CONCATENATE("túl sok (",Y419," büntető)")))</f>
        <v/>
      </c>
      <c r="K418" s="237" t="str">
        <f>IF(Y417,Y411,"")</f>
        <v/>
      </c>
      <c r="L418" s="239" t="str">
        <f>IF(Y417,Y418,"")</f>
        <v/>
      </c>
      <c r="M418" s="240" t="str">
        <f>IF(Y417,Z418,"")</f>
        <v/>
      </c>
      <c r="N418" s="238" t="str">
        <f>IF(Y417,Z411,"")</f>
        <v/>
      </c>
      <c r="O418" s="241" t="str">
        <f>IF(Z419=0,"",IF(Z419&gt;0,CONCATENATE("még ",Z419," büntető"),CONCATENATE("túl sok (",Z419," büntető)")))</f>
        <v/>
      </c>
      <c r="V418" s="487" t="s">
        <v>709</v>
      </c>
      <c r="W418" s="492" t="str">
        <f>IF(NOT(W417),"",INDEX(n.er,W405,17))</f>
        <v/>
      </c>
      <c r="X418" s="493" t="str">
        <f>IF(NOT(W417),"",INDEX(n.er,W405,18))</f>
        <v/>
      </c>
      <c r="Y418" s="492" t="str">
        <f>IF(NOT(Y417),"",INDEX(n.er,Y405,17))</f>
        <v/>
      </c>
      <c r="Z418" s="493" t="str">
        <f>IF(NOT(Y417),"",INDEX(n.er,Y405,18))</f>
        <v/>
      </c>
      <c r="AF418" s="325"/>
      <c r="AH418" s="494"/>
      <c r="AQ418" s="323"/>
      <c r="AR418" s="323"/>
      <c r="AS418" s="323"/>
      <c r="AT418" s="323"/>
      <c r="AW418" s="485"/>
      <c r="AY418" s="323"/>
      <c r="BA418" s="323"/>
      <c r="BC418" s="323"/>
      <c r="BE418" s="323"/>
      <c r="BG418" s="323"/>
      <c r="BI418" s="323"/>
      <c r="BK418" s="323"/>
      <c r="BM418" s="323"/>
      <c r="BO418" s="323"/>
      <c r="BQ418" s="323"/>
      <c r="BS418" s="323"/>
      <c r="BU418" s="323"/>
      <c r="BW418" s="323"/>
      <c r="BY418" s="323"/>
      <c r="CA418" s="323"/>
      <c r="CC418" s="323"/>
      <c r="CE418" s="323"/>
      <c r="CG418" s="323"/>
      <c r="CI418" s="323"/>
      <c r="CK418" s="323"/>
      <c r="CM418" s="323"/>
      <c r="CO418" s="323"/>
      <c r="CQ418" s="323"/>
      <c r="CS418" s="323"/>
      <c r="CU418" s="323"/>
      <c r="CW418" s="323"/>
      <c r="CY418" s="323"/>
      <c r="DA418" s="323"/>
      <c r="DC418" s="323"/>
      <c r="DE418" s="323"/>
      <c r="DG418" s="323"/>
      <c r="DI418" s="323"/>
    </row>
    <row r="419" spans="1:114" ht="11.25" customHeight="1" x14ac:dyDescent="0.3">
      <c r="A419" s="765"/>
      <c r="C419" s="236"/>
      <c r="D419" s="220"/>
      <c r="E419" s="515"/>
      <c r="F419" s="516"/>
      <c r="G419" s="223"/>
      <c r="H419" s="236"/>
      <c r="J419" s="236"/>
      <c r="K419" s="220"/>
      <c r="L419" s="515"/>
      <c r="M419" s="516"/>
      <c r="N419" s="223"/>
      <c r="O419" s="236"/>
      <c r="V419" s="485" t="s">
        <v>707</v>
      </c>
      <c r="W419" s="327">
        <f>IF(W418="",0,E418-COUNTIF(E419:E432,"O"))</f>
        <v>0</v>
      </c>
      <c r="X419" s="327">
        <f>IF(X418="",0,F418-COUNTIF(F419:F432,"O"))</f>
        <v>0</v>
      </c>
      <c r="Y419" s="327">
        <f>IF(Y418="",0,L418-COUNTIF(L419:L434,"O"))</f>
        <v>0</v>
      </c>
      <c r="Z419" s="327">
        <f>IF(Z418="",0,M418-COUNTIF(M419:M434,"O"))</f>
        <v>0</v>
      </c>
      <c r="AB419" s="52" t="str">
        <f>IF(NOT(W417),"",HLOOKUP(D418,nevek.li,2,FALSE))</f>
        <v/>
      </c>
      <c r="AC419" s="52" t="str">
        <f>IF(NOT(W417),"",HLOOKUP(G418,nevek.li,2,FALSE))</f>
        <v/>
      </c>
      <c r="AD419" s="52" t="str">
        <f>IF(NOT(Y417),"",HLOOKUP(K418,nevek.li,2,FALSE))</f>
        <v/>
      </c>
      <c r="AE419" s="52" t="str">
        <f>IF(NOT(Y417),"",HLOOKUP(N418,nevek.li,2,FALSE))</f>
        <v/>
      </c>
      <c r="AF419" s="325"/>
      <c r="AG419" s="485">
        <v>1</v>
      </c>
      <c r="AH419" s="488" t="b">
        <f ca="1">IF(OR(NOT(W417),NOT(X407)),FALSE,D419="")</f>
        <v>0</v>
      </c>
      <c r="AI419" s="488" t="b">
        <f ca="1">IF(OR(NOT(W417),NOT(X407)),FALSE,E419="")</f>
        <v>0</v>
      </c>
      <c r="AJ419" s="488" t="b">
        <f ca="1">IF(OR(NOT(W417),NOT(X407)),FALSE,F419="")</f>
        <v>0</v>
      </c>
      <c r="AK419" s="488" t="b">
        <f ca="1">IF(OR(NOT(W417),NOT(X407)),FALSE,G419="")</f>
        <v>0</v>
      </c>
      <c r="AL419" s="488" t="b">
        <f ca="1">IF(OR(NOT(Y417),NOT(Z407)),FALSE,K419="")</f>
        <v>0</v>
      </c>
      <c r="AM419" s="488" t="b">
        <f ca="1">IF(OR(NOT(Y417),NOT(Z407)),FALSE,L419="")</f>
        <v>0</v>
      </c>
      <c r="AN419" s="488" t="b">
        <f ca="1">IF(OR(NOT(Y417),NOT(Z407)),FALSE,M419="")</f>
        <v>0</v>
      </c>
      <c r="AO419" s="488" t="b">
        <f ca="1">IF(OR(NOT(Y417),NOT(Z407)),FALSE,N419="")</f>
        <v>0</v>
      </c>
      <c r="AS419" s="323"/>
      <c r="AT419" s="323"/>
      <c r="AY419" s="323"/>
      <c r="BA419" s="323"/>
      <c r="BC419" s="323"/>
      <c r="BE419" s="323"/>
      <c r="BG419" s="323"/>
      <c r="BI419" s="323"/>
      <c r="BK419" s="323"/>
      <c r="BM419" s="323"/>
      <c r="BO419" s="323"/>
      <c r="BQ419" s="323"/>
      <c r="BS419" s="323"/>
      <c r="BU419" s="323"/>
      <c r="BW419" s="323"/>
      <c r="BY419" s="323"/>
      <c r="CA419" s="323"/>
      <c r="CC419" s="323"/>
      <c r="CE419" s="323"/>
      <c r="CG419" s="323"/>
      <c r="CI419" s="323"/>
      <c r="CK419" s="323"/>
      <c r="CM419" s="323"/>
      <c r="CO419" s="323"/>
      <c r="CQ419" s="323"/>
      <c r="CS419" s="323"/>
      <c r="CU419" s="323"/>
      <c r="CW419" s="323"/>
      <c r="CY419" s="323"/>
      <c r="DA419" s="323"/>
      <c r="DC419" s="323"/>
      <c r="DE419" s="323"/>
      <c r="DG419" s="323"/>
      <c r="DI419" s="323"/>
      <c r="DJ419" s="485"/>
    </row>
    <row r="420" spans="1:114" ht="11.25" customHeight="1" x14ac:dyDescent="0.3">
      <c r="A420" s="765"/>
      <c r="C420" s="219"/>
      <c r="D420" s="220"/>
      <c r="E420" s="517"/>
      <c r="F420" s="516"/>
      <c r="G420" s="223"/>
      <c r="H420" s="219"/>
      <c r="J420" s="219"/>
      <c r="K420" s="220"/>
      <c r="L420" s="517"/>
      <c r="M420" s="516"/>
      <c r="N420" s="223"/>
      <c r="O420" s="219"/>
      <c r="AB420" s="327" t="str">
        <f>AB419</f>
        <v/>
      </c>
      <c r="AC420" s="327" t="str">
        <f>AC419</f>
        <v/>
      </c>
      <c r="AD420" s="327" t="str">
        <f>AD419</f>
        <v/>
      </c>
      <c r="AE420" s="327" t="str">
        <f>AE419</f>
        <v/>
      </c>
      <c r="AF420" s="325"/>
      <c r="AG420" s="485">
        <v>2</v>
      </c>
      <c r="AH420" s="488" t="b">
        <f ca="1">IF(OR(NOT(W417),NOT(X407)),FALSE,D420="")</f>
        <v>0</v>
      </c>
      <c r="AI420" s="488" t="b">
        <f ca="1">IF(OR(NOT(W417),NOT(X407)),FALSE,E420="")</f>
        <v>0</v>
      </c>
      <c r="AJ420" s="488" t="b">
        <f ca="1">IF(OR(NOT(W417),NOT(X407)),FALSE,F420="")</f>
        <v>0</v>
      </c>
      <c r="AK420" s="488" t="b">
        <f ca="1">IF(OR(NOT(W417),NOT(X407)),FALSE,G420="")</f>
        <v>0</v>
      </c>
      <c r="AL420" s="488" t="b">
        <f ca="1">IF(OR(NOT(Y417),NOT(Z407)),FALSE,K420="")</f>
        <v>0</v>
      </c>
      <c r="AM420" s="488" t="b">
        <f ca="1">IF(OR(NOT(Y417),NOT(Z407)),FALSE,L420="")</f>
        <v>0</v>
      </c>
      <c r="AN420" s="488" t="b">
        <f ca="1">IF(OR(NOT(Y417),NOT(Z407)),FALSE,M420="")</f>
        <v>0</v>
      </c>
      <c r="AO420" s="488" t="b">
        <f ca="1">IF(OR(NOT(Y417),NOT(Z407)),FALSE,N420="")</f>
        <v>0</v>
      </c>
      <c r="AS420" s="323"/>
      <c r="AT420" s="323"/>
      <c r="AW420" s="485"/>
      <c r="AY420" s="323"/>
      <c r="BA420" s="323"/>
      <c r="BC420" s="323"/>
      <c r="BE420" s="323"/>
      <c r="BG420" s="323"/>
      <c r="BI420" s="323"/>
      <c r="BK420" s="323"/>
      <c r="BM420" s="323"/>
      <c r="BO420" s="323"/>
      <c r="BQ420" s="323"/>
      <c r="BS420" s="323"/>
      <c r="BU420" s="323"/>
      <c r="BW420" s="323"/>
      <c r="BY420" s="323"/>
      <c r="CA420" s="323"/>
      <c r="CC420" s="323"/>
      <c r="CE420" s="323"/>
      <c r="CG420" s="323"/>
      <c r="CI420" s="323"/>
      <c r="CK420" s="323"/>
      <c r="CM420" s="323"/>
      <c r="CO420" s="323"/>
      <c r="CQ420" s="323"/>
      <c r="CS420" s="323"/>
      <c r="CU420" s="323"/>
      <c r="CW420" s="323"/>
      <c r="CY420" s="323"/>
      <c r="DA420" s="323"/>
      <c r="DC420" s="323"/>
      <c r="DE420" s="323"/>
      <c r="DG420" s="323"/>
      <c r="DI420" s="323"/>
      <c r="DJ420" s="485"/>
    </row>
    <row r="421" spans="1:114" ht="11.25" customHeight="1" x14ac:dyDescent="0.3">
      <c r="A421" s="765"/>
      <c r="C421" s="219"/>
      <c r="D421" s="220"/>
      <c r="E421" s="517"/>
      <c r="F421" s="516"/>
      <c r="G421" s="223"/>
      <c r="H421" s="219"/>
      <c r="J421" s="219"/>
      <c r="K421" s="220"/>
      <c r="L421" s="517"/>
      <c r="M421" s="516"/>
      <c r="N421" s="223"/>
      <c r="O421" s="219"/>
      <c r="AB421" s="327" t="str">
        <f t="shared" ref="AB421:AB432" si="104">AB420</f>
        <v/>
      </c>
      <c r="AC421" s="327" t="str">
        <f t="shared" ref="AC421:AC432" si="105">AC420</f>
        <v/>
      </c>
      <c r="AD421" s="327" t="str">
        <f t="shared" ref="AD421:AD432" si="106">AD420</f>
        <v/>
      </c>
      <c r="AE421" s="327" t="str">
        <f t="shared" ref="AE421:AE432" si="107">AE420</f>
        <v/>
      </c>
      <c r="AF421" s="325"/>
      <c r="AG421" s="485">
        <v>3</v>
      </c>
      <c r="AH421" s="488" t="b">
        <f ca="1">IF(OR(NOT(W417),NOT(X407)),FALSE,D421="")</f>
        <v>0</v>
      </c>
      <c r="AI421" s="488" t="b">
        <f ca="1">IF(OR(NOT(W417),NOT(X407)),FALSE,E421="")</f>
        <v>0</v>
      </c>
      <c r="AJ421" s="488" t="b">
        <f ca="1">IF(OR(NOT(W417),NOT(X407)),FALSE,F421="")</f>
        <v>0</v>
      </c>
      <c r="AK421" s="488" t="b">
        <f ca="1">IF(OR(NOT(W417),NOT(X407)),FALSE,G421="")</f>
        <v>0</v>
      </c>
      <c r="AL421" s="488" t="b">
        <f ca="1">IF(OR(NOT(Y417),NOT(Z407)),FALSE,K421="")</f>
        <v>0</v>
      </c>
      <c r="AM421" s="488" t="b">
        <f ca="1">IF(OR(NOT(Y417),NOT(Z407)),FALSE,L421="")</f>
        <v>0</v>
      </c>
      <c r="AN421" s="488" t="b">
        <f ca="1">IF(OR(NOT(Y417),NOT(Z407)),FALSE,M421="")</f>
        <v>0</v>
      </c>
      <c r="AO421" s="488" t="b">
        <f ca="1">IF(OR(NOT(Y417),NOT(Z407)),FALSE,N421="")</f>
        <v>0</v>
      </c>
      <c r="AS421" s="323"/>
      <c r="AT421" s="323"/>
      <c r="AW421" s="485"/>
      <c r="AY421" s="323"/>
      <c r="BA421" s="323"/>
      <c r="BC421" s="323"/>
      <c r="BE421" s="323"/>
      <c r="BG421" s="323"/>
      <c r="BI421" s="323"/>
      <c r="BK421" s="323"/>
      <c r="BM421" s="323"/>
      <c r="BO421" s="323"/>
      <c r="BQ421" s="323"/>
      <c r="BS421" s="323"/>
      <c r="BU421" s="323"/>
      <c r="BW421" s="323"/>
      <c r="BY421" s="323"/>
      <c r="CA421" s="323"/>
      <c r="CC421" s="323"/>
      <c r="CE421" s="323"/>
      <c r="CG421" s="323"/>
      <c r="CI421" s="323"/>
      <c r="CK421" s="323"/>
      <c r="CM421" s="323"/>
      <c r="CO421" s="323"/>
      <c r="CQ421" s="323"/>
      <c r="CS421" s="323"/>
      <c r="CU421" s="323"/>
      <c r="CW421" s="323"/>
      <c r="CY421" s="323"/>
      <c r="DA421" s="323"/>
      <c r="DC421" s="323"/>
      <c r="DE421" s="323"/>
      <c r="DG421" s="323"/>
      <c r="DI421" s="323"/>
      <c r="DJ421" s="485"/>
    </row>
    <row r="422" spans="1:114" ht="11.25" customHeight="1" x14ac:dyDescent="0.3">
      <c r="A422" s="765"/>
      <c r="C422" s="219"/>
      <c r="D422" s="220"/>
      <c r="E422" s="517"/>
      <c r="F422" s="516"/>
      <c r="G422" s="223"/>
      <c r="H422" s="219"/>
      <c r="J422" s="219"/>
      <c r="K422" s="220"/>
      <c r="L422" s="517"/>
      <c r="M422" s="516"/>
      <c r="N422" s="223"/>
      <c r="O422" s="219"/>
      <c r="AB422" s="327" t="str">
        <f t="shared" si="104"/>
        <v/>
      </c>
      <c r="AC422" s="327" t="str">
        <f t="shared" si="105"/>
        <v/>
      </c>
      <c r="AD422" s="327" t="str">
        <f t="shared" si="106"/>
        <v/>
      </c>
      <c r="AE422" s="327" t="str">
        <f t="shared" si="107"/>
        <v/>
      </c>
      <c r="AF422" s="325"/>
      <c r="AG422" s="485">
        <v>4</v>
      </c>
      <c r="AH422" s="488" t="b">
        <f ca="1">IF(OR(NOT(W417),NOT(X407)),FALSE,D422="")</f>
        <v>0</v>
      </c>
      <c r="AI422" s="488" t="b">
        <f ca="1">IF(OR(NOT(W417),NOT(X407)),FALSE,E422="")</f>
        <v>0</v>
      </c>
      <c r="AJ422" s="488" t="b">
        <f ca="1">IF(OR(NOT(W417),NOT(X407)),FALSE,F422="")</f>
        <v>0</v>
      </c>
      <c r="AK422" s="488" t="b">
        <f ca="1">IF(OR(NOT(W417),NOT(X407)),FALSE,G422="")</f>
        <v>0</v>
      </c>
      <c r="AL422" s="488" t="b">
        <f ca="1">IF(OR(NOT(Y417),NOT(Z407)),FALSE,K422="")</f>
        <v>0</v>
      </c>
      <c r="AM422" s="488" t="b">
        <f ca="1">IF(OR(NOT(Y417),NOT(Z407)),FALSE,L422="")</f>
        <v>0</v>
      </c>
      <c r="AN422" s="488" t="b">
        <f ca="1">IF(OR(NOT(Y417),NOT(Z407)),FALSE,M422="")</f>
        <v>0</v>
      </c>
      <c r="AO422" s="488" t="b">
        <f ca="1">IF(OR(NOT(Y417),NOT(Z407)),FALSE,N422="")</f>
        <v>0</v>
      </c>
      <c r="AS422" s="323"/>
      <c r="AT422" s="323"/>
      <c r="AW422" s="485"/>
      <c r="AY422" s="323"/>
      <c r="BA422" s="323"/>
      <c r="BC422" s="323"/>
      <c r="BE422" s="323"/>
      <c r="BG422" s="323"/>
      <c r="BI422" s="323"/>
      <c r="BK422" s="323"/>
      <c r="BM422" s="323"/>
      <c r="BO422" s="323"/>
      <c r="BQ422" s="323"/>
      <c r="BS422" s="323"/>
      <c r="BU422" s="323"/>
      <c r="BW422" s="323"/>
      <c r="BY422" s="323"/>
      <c r="CA422" s="323"/>
      <c r="CC422" s="323"/>
      <c r="CE422" s="323"/>
      <c r="CG422" s="323"/>
      <c r="CI422" s="323"/>
      <c r="CK422" s="323"/>
      <c r="CM422" s="323"/>
      <c r="CO422" s="323"/>
      <c r="CQ422" s="323"/>
      <c r="CS422" s="323"/>
      <c r="CU422" s="323"/>
      <c r="CW422" s="323"/>
      <c r="CY422" s="323"/>
      <c r="DA422" s="323"/>
      <c r="DC422" s="323"/>
      <c r="DE422" s="323"/>
      <c r="DG422" s="323"/>
      <c r="DI422" s="323"/>
      <c r="DJ422" s="485"/>
    </row>
    <row r="423" spans="1:114" ht="11.25" customHeight="1" x14ac:dyDescent="0.3">
      <c r="A423" s="765"/>
      <c r="C423" s="219"/>
      <c r="D423" s="220"/>
      <c r="E423" s="517"/>
      <c r="F423" s="516"/>
      <c r="G423" s="223"/>
      <c r="H423" s="219"/>
      <c r="J423" s="219"/>
      <c r="K423" s="220"/>
      <c r="L423" s="517"/>
      <c r="M423" s="516"/>
      <c r="N423" s="223"/>
      <c r="O423" s="219"/>
      <c r="AB423" s="327" t="str">
        <f t="shared" si="104"/>
        <v/>
      </c>
      <c r="AC423" s="327" t="str">
        <f t="shared" si="105"/>
        <v/>
      </c>
      <c r="AD423" s="327" t="str">
        <f t="shared" si="106"/>
        <v/>
      </c>
      <c r="AE423" s="327" t="str">
        <f t="shared" si="107"/>
        <v/>
      </c>
      <c r="AF423" s="325"/>
      <c r="AG423" s="495">
        <v>5</v>
      </c>
      <c r="AH423" s="488" t="b">
        <f ca="1">IF(OR(NOT(W417),NOT(X407)),FALSE,D423="")</f>
        <v>0</v>
      </c>
      <c r="AI423" s="488" t="b">
        <f ca="1">IF(OR(NOT(W417),NOT(X407)),FALSE,E423="")</f>
        <v>0</v>
      </c>
      <c r="AJ423" s="488" t="b">
        <f ca="1">IF(OR(NOT(W417),NOT(X407)),FALSE,F423="")</f>
        <v>0</v>
      </c>
      <c r="AK423" s="488" t="b">
        <f ca="1">IF(OR(NOT(W417),NOT(X407)),FALSE,G423="")</f>
        <v>0</v>
      </c>
      <c r="AL423" s="488" t="b">
        <f ca="1">IF(OR(NOT(Y417),NOT(Z407)),FALSE,K423="")</f>
        <v>0</v>
      </c>
      <c r="AM423" s="488" t="b">
        <f ca="1">IF(OR(NOT(Y417),NOT(Z407)),FALSE,L423="")</f>
        <v>0</v>
      </c>
      <c r="AN423" s="488" t="b">
        <f ca="1">IF(OR(NOT(Y417),NOT(Z407)),FALSE,M423="")</f>
        <v>0</v>
      </c>
      <c r="AO423" s="488" t="b">
        <f ca="1">IF(OR(NOT(Y417),NOT(Z407)),FALSE,N423="")</f>
        <v>0</v>
      </c>
      <c r="AP423" s="495"/>
      <c r="AS423" s="323"/>
      <c r="AT423" s="323"/>
      <c r="AW423" s="485"/>
      <c r="AY423" s="323"/>
      <c r="BA423" s="323"/>
      <c r="BC423" s="323"/>
      <c r="BE423" s="323"/>
      <c r="BG423" s="323"/>
      <c r="BI423" s="323"/>
      <c r="BK423" s="323"/>
      <c r="BM423" s="323"/>
      <c r="BO423" s="323"/>
      <c r="BQ423" s="323"/>
      <c r="BS423" s="323"/>
      <c r="BU423" s="323"/>
      <c r="BW423" s="323"/>
      <c r="BY423" s="323"/>
      <c r="CA423" s="323"/>
      <c r="CC423" s="323"/>
      <c r="CE423" s="323"/>
      <c r="CG423" s="323"/>
      <c r="CI423" s="323"/>
      <c r="CK423" s="323"/>
      <c r="CM423" s="323"/>
      <c r="CO423" s="323"/>
      <c r="CQ423" s="323"/>
      <c r="CS423" s="323"/>
      <c r="CU423" s="323"/>
      <c r="CW423" s="323"/>
      <c r="CY423" s="323"/>
      <c r="DA423" s="323"/>
      <c r="DC423" s="323"/>
      <c r="DE423" s="323"/>
      <c r="DG423" s="323"/>
      <c r="DI423" s="323"/>
      <c r="DJ423" s="485"/>
    </row>
    <row r="424" spans="1:114" ht="11.25" customHeight="1" x14ac:dyDescent="0.3">
      <c r="A424" s="765"/>
      <c r="C424" s="219"/>
      <c r="D424" s="220"/>
      <c r="E424" s="517"/>
      <c r="F424" s="516"/>
      <c r="G424" s="223"/>
      <c r="H424" s="219"/>
      <c r="J424" s="219"/>
      <c r="K424" s="220"/>
      <c r="L424" s="517"/>
      <c r="M424" s="516"/>
      <c r="N424" s="223"/>
      <c r="O424" s="219"/>
      <c r="AB424" s="327" t="str">
        <f t="shared" si="104"/>
        <v/>
      </c>
      <c r="AC424" s="327" t="str">
        <f t="shared" si="105"/>
        <v/>
      </c>
      <c r="AD424" s="327" t="str">
        <f t="shared" si="106"/>
        <v/>
      </c>
      <c r="AE424" s="327" t="str">
        <f t="shared" si="107"/>
        <v/>
      </c>
      <c r="AF424" s="325"/>
      <c r="AG424" s="485">
        <v>6</v>
      </c>
      <c r="AH424" s="496" t="b">
        <f ca="1">IF(OR(NOT(W417),NOT(X407)),FALSE,AND(D424="",OR(AG424&lt;=W418+COUNTIF(E419:E424,$W$218),AG424&lt;=X418+COUNTIF(F419:F424,$W$218))))</f>
        <v>0</v>
      </c>
      <c r="AI424" s="496" t="b">
        <f ca="1">IF(OR(NOT(W417),NOT(X407)),FALSE,AND(E424="",OR(AG424&lt;=W418+COUNTIF(E419:E424,$W$218),AG424&lt;=X418+COUNTIF(F419:F424,$W$218))))</f>
        <v>0</v>
      </c>
      <c r="AJ424" s="496" t="b">
        <f ca="1">IF(OR(NOT(W417),NOT(X407)),FALSE,AND(F424="",OR(AG424&lt;=W418+COUNTIF(E419:E424,$W$218),AG424&lt;=X418+COUNTIF(F419:F424,$W$218))))</f>
        <v>0</v>
      </c>
      <c r="AK424" s="496" t="b">
        <f ca="1">IF(OR(NOT(W417),NOT(X407)),FALSE,AND(G424="",OR(AG424&lt;=W418+COUNTIF(E419:E424,$W$218),AG424&lt;=X418+COUNTIF(F419:F424,$W$218))))</f>
        <v>0</v>
      </c>
      <c r="AL424" s="496" t="b">
        <f ca="1">IF(OR(NOT(Y417),NOT(Z407)),FALSE,AND(K424="",OR(AG424&lt;=Y418+COUNTIF(L419:L424,$W$218),AG424&lt;=Z418+COUNTIF(M419:M424,$W$218))))</f>
        <v>0</v>
      </c>
      <c r="AM424" s="496" t="b">
        <f ca="1">IF(OR(NOT(Y417),NOT(Z407)),FALSE,AND(L424="",OR(AG424&lt;=Y418+COUNTIF(L419:L424,$W$218),AG424&lt;=Z418+COUNTIF(M419:M424,$W$218))))</f>
        <v>0</v>
      </c>
      <c r="AN424" s="496" t="b">
        <f ca="1">IF(OR(NOT(Y417),NOT(Z407)),FALSE,AND(M424="",OR(AG424&lt;=Y418+COUNTIF(L419:L424,$W$218),AG424&lt;=Z418+COUNTIF(M419:M424,$W$218))))</f>
        <v>0</v>
      </c>
      <c r="AO424" s="496" t="b">
        <f ca="1">IF(OR(NOT(Y417),NOT(Z407)),FALSE,AND(N424="",OR(AG424&lt;=Y418+COUNTIF(L419:L424,$W$218),AG424&lt;=Z418+COUNTIF(M419:M424,$W$218))))</f>
        <v>0</v>
      </c>
      <c r="AS424" s="323"/>
      <c r="AT424" s="323"/>
      <c r="AW424" s="485"/>
      <c r="AY424" s="323"/>
      <c r="BA424" s="323"/>
      <c r="BC424" s="323"/>
      <c r="BE424" s="323"/>
      <c r="BG424" s="323"/>
      <c r="BI424" s="323"/>
      <c r="BK424" s="323"/>
      <c r="BM424" s="323"/>
      <c r="BO424" s="323"/>
      <c r="BQ424" s="323"/>
      <c r="BS424" s="323"/>
      <c r="BU424" s="323"/>
      <c r="BW424" s="323"/>
      <c r="BY424" s="323"/>
      <c r="CA424" s="323"/>
      <c r="CC424" s="323"/>
      <c r="CE424" s="323"/>
      <c r="CG424" s="323"/>
      <c r="CI424" s="323"/>
      <c r="CK424" s="323"/>
      <c r="CM424" s="323"/>
      <c r="CO424" s="323"/>
      <c r="CQ424" s="323"/>
      <c r="CS424" s="323"/>
      <c r="CU424" s="323"/>
      <c r="CW424" s="323"/>
      <c r="CY424" s="323"/>
      <c r="DA424" s="323"/>
      <c r="DC424" s="323"/>
      <c r="DE424" s="323"/>
      <c r="DG424" s="323"/>
      <c r="DI424" s="323"/>
      <c r="DJ424" s="485"/>
    </row>
    <row r="425" spans="1:114" ht="11.25" customHeight="1" x14ac:dyDescent="0.3">
      <c r="A425" s="765"/>
      <c r="C425" s="219"/>
      <c r="D425" s="220"/>
      <c r="E425" s="517"/>
      <c r="F425" s="516"/>
      <c r="G425" s="223"/>
      <c r="H425" s="219"/>
      <c r="J425" s="219"/>
      <c r="K425" s="220"/>
      <c r="L425" s="517"/>
      <c r="M425" s="516"/>
      <c r="N425" s="223"/>
      <c r="O425" s="219"/>
      <c r="AB425" s="327" t="str">
        <f t="shared" si="104"/>
        <v/>
      </c>
      <c r="AC425" s="327" t="str">
        <f t="shared" si="105"/>
        <v/>
      </c>
      <c r="AD425" s="327" t="str">
        <f t="shared" si="106"/>
        <v/>
      </c>
      <c r="AE425" s="327" t="str">
        <f t="shared" si="107"/>
        <v/>
      </c>
      <c r="AF425" s="325"/>
      <c r="AG425" s="485">
        <v>7</v>
      </c>
      <c r="AH425" s="496" t="b">
        <f ca="1">IF(OR(NOT(W417),NOT(X407)),FALSE,AND(D425="",OR(AG425&lt;=W418+COUNTIF(E419:E425,$W$218),AG425&lt;=X418+COUNTIF(F419:F425,$W$218))))</f>
        <v>0</v>
      </c>
      <c r="AI425" s="496" t="b">
        <f ca="1">IF(OR(NOT(W417),NOT(X407)),FALSE,AND(E425="",OR(AG425&lt;=W418+COUNTIF(E419:E425,$W$218),AG425&lt;=X418+COUNTIF(F419:F425,$W$218))))</f>
        <v>0</v>
      </c>
      <c r="AJ425" s="496" t="b">
        <f ca="1">IF(OR(NOT(W417),NOT(X407)),FALSE,AND(F425="",OR(AG425&lt;=W418+COUNTIF(E419:E425,$W$218),AG425&lt;=X418+COUNTIF(F419:F425,$W$218))))</f>
        <v>0</v>
      </c>
      <c r="AK425" s="496" t="b">
        <f ca="1">IF(OR(NOT(W417),NOT(X407)),FALSE,AND(G425="",OR(AG425&lt;=W418+COUNTIF(E419:E425,$W$218),AG425&lt;=X418+COUNTIF(F419:F425,$W$218))))</f>
        <v>0</v>
      </c>
      <c r="AL425" s="496" t="b">
        <f ca="1">IF(OR(NOT(Y417),NOT(Z407)),FALSE,AND(K425="",OR(AG425&lt;=Y418+COUNTIF(L419:L425,$W$218),AG425&lt;=Z418+COUNTIF(M419:M425,$W$218))))</f>
        <v>0</v>
      </c>
      <c r="AM425" s="496" t="b">
        <f ca="1">IF(OR(NOT(Y417),NOT(Z407)),FALSE,AND(L425="",OR(AG425&lt;=Y418+COUNTIF(L419:L425,$W$218),AG425&lt;=Z418+COUNTIF(M419:M425,$W$218))))</f>
        <v>0</v>
      </c>
      <c r="AN425" s="496" t="b">
        <f ca="1">IF(OR(NOT(Y417),NOT(Z407)),FALSE,AND(M425="",OR(AG425&lt;=Y418+COUNTIF(L419:L425,$W$218),AG425&lt;=Z418+COUNTIF(M419:M425,$W$218))))</f>
        <v>0</v>
      </c>
      <c r="AO425" s="496" t="b">
        <f ca="1">IF(OR(NOT(Y417),NOT(Z407)),FALSE,AND(N425="",OR(AG425&lt;=Y418+COUNTIF(L419:L425,$W$218),AG425&lt;=Z418+COUNTIF(M419:M425,$W$218))))</f>
        <v>0</v>
      </c>
      <c r="AS425" s="323"/>
      <c r="AT425" s="323"/>
      <c r="AW425" s="485"/>
      <c r="AY425" s="323"/>
      <c r="BA425" s="323"/>
      <c r="BC425" s="323"/>
      <c r="BE425" s="323"/>
      <c r="BG425" s="323"/>
      <c r="BI425" s="323"/>
      <c r="BK425" s="323"/>
      <c r="BM425" s="323"/>
      <c r="BO425" s="323"/>
      <c r="BQ425" s="323"/>
      <c r="BS425" s="323"/>
      <c r="BU425" s="323"/>
      <c r="BW425" s="323"/>
      <c r="BY425" s="323"/>
      <c r="CA425" s="323"/>
      <c r="CC425" s="323"/>
      <c r="CE425" s="323"/>
      <c r="CG425" s="323"/>
      <c r="CI425" s="323"/>
      <c r="CK425" s="323"/>
      <c r="CM425" s="323"/>
      <c r="CO425" s="323"/>
      <c r="CQ425" s="323"/>
      <c r="CS425" s="323"/>
      <c r="CU425" s="323"/>
      <c r="CW425" s="323"/>
      <c r="CY425" s="323"/>
      <c r="DA425" s="323"/>
      <c r="DC425" s="323"/>
      <c r="DE425" s="323"/>
      <c r="DG425" s="323"/>
      <c r="DI425" s="323"/>
      <c r="DJ425" s="485"/>
    </row>
    <row r="426" spans="1:114" ht="11.25" customHeight="1" x14ac:dyDescent="0.3">
      <c r="A426" s="765"/>
      <c r="C426" s="219"/>
      <c r="D426" s="220"/>
      <c r="E426" s="517"/>
      <c r="F426" s="516"/>
      <c r="G426" s="223"/>
      <c r="H426" s="219"/>
      <c r="J426" s="219"/>
      <c r="K426" s="220"/>
      <c r="L426" s="517"/>
      <c r="M426" s="516"/>
      <c r="N426" s="223"/>
      <c r="O426" s="219"/>
      <c r="AB426" s="327" t="str">
        <f t="shared" si="104"/>
        <v/>
      </c>
      <c r="AC426" s="327" t="str">
        <f t="shared" si="105"/>
        <v/>
      </c>
      <c r="AD426" s="327" t="str">
        <f t="shared" si="106"/>
        <v/>
      </c>
      <c r="AE426" s="327" t="str">
        <f t="shared" si="107"/>
        <v/>
      </c>
      <c r="AF426" s="325"/>
      <c r="AG426" s="485">
        <v>8</v>
      </c>
      <c r="AH426" s="496" t="b">
        <f ca="1">IF(OR(NOT(W417),NOT(X407)),FALSE,AND(D426="",OR(AG426&lt;=W418+COUNTIF(E419:E426,$W$218),AG426&lt;=X418+COUNTIF(F419:F426,$W$218))))</f>
        <v>0</v>
      </c>
      <c r="AI426" s="496" t="b">
        <f ca="1">IF(OR(NOT(W417),NOT(X407)),FALSE,AND(E426="",OR(AG426&lt;=W418+COUNTIF(E419:E426,$W$218),AG426&lt;=X418+COUNTIF(F419:F426,$W$218))))</f>
        <v>0</v>
      </c>
      <c r="AJ426" s="496" t="b">
        <f ca="1">IF(OR(NOT(W417),NOT(X407)),FALSE,AND(F426="",OR(AG426&lt;=W418+COUNTIF(E419:E426,$W$218),AG426&lt;=X418+COUNTIF(F419:F426,$W$218))))</f>
        <v>0</v>
      </c>
      <c r="AK426" s="496" t="b">
        <f ca="1">IF(OR(NOT(W417),NOT(X407)),FALSE,AND(G426="",OR(AG426&lt;=W418+COUNTIF(E419:E426,$W$218),AG426&lt;=X418+COUNTIF(F419:F426,$W$218))))</f>
        <v>0</v>
      </c>
      <c r="AL426" s="496" t="b">
        <f ca="1">IF(OR(NOT(Y417),NOT(Z407)),FALSE,AND(K426="",OR(AG426&lt;=Y418+COUNTIF(L419:L426,$W$218),AG426&lt;=Z418+COUNTIF(M419:M426,$W$218))))</f>
        <v>0</v>
      </c>
      <c r="AM426" s="496" t="b">
        <f ca="1">IF(OR(NOT(Y417),NOT(Z407)),FALSE,AND(L426="",OR(AG426&lt;=Y418+COUNTIF(L419:L426,$W$218),AG426&lt;=Z418+COUNTIF(M419:M426,$W$218))))</f>
        <v>0</v>
      </c>
      <c r="AN426" s="496" t="b">
        <f ca="1">IF(OR(NOT(Y417),NOT(Z407)),FALSE,AND(M426="",OR(AG426&lt;=Y418+COUNTIF(L419:L426,$W$218),AG426&lt;=Z418+COUNTIF(M419:M426,$W$218))))</f>
        <v>0</v>
      </c>
      <c r="AO426" s="496" t="b">
        <f ca="1">IF(OR(NOT(Y417),NOT(Z407)),FALSE,AND(N426="",OR(AG426&lt;=Y418+COUNTIF(L419:L426,$W$218),AG426&lt;=Z418+COUNTIF(M419:M426,$W$218))))</f>
        <v>0</v>
      </c>
      <c r="AS426" s="323"/>
      <c r="AT426" s="323"/>
      <c r="AW426" s="485"/>
      <c r="AY426" s="323"/>
      <c r="BA426" s="323"/>
      <c r="BC426" s="323"/>
      <c r="BE426" s="323"/>
      <c r="BG426" s="323"/>
      <c r="BI426" s="323"/>
      <c r="BK426" s="323"/>
      <c r="BM426" s="323"/>
      <c r="BO426" s="323"/>
      <c r="BQ426" s="323"/>
      <c r="BS426" s="323"/>
      <c r="BU426" s="323"/>
      <c r="BW426" s="323"/>
      <c r="BY426" s="323"/>
      <c r="CA426" s="323"/>
      <c r="CC426" s="323"/>
      <c r="CE426" s="323"/>
      <c r="CG426" s="323"/>
      <c r="CI426" s="323"/>
      <c r="CK426" s="323"/>
      <c r="CM426" s="323"/>
      <c r="CO426" s="323"/>
      <c r="CQ426" s="323"/>
      <c r="CS426" s="323"/>
      <c r="CU426" s="323"/>
      <c r="CW426" s="323"/>
      <c r="CY426" s="323"/>
      <c r="DA426" s="323"/>
      <c r="DC426" s="323"/>
      <c r="DE426" s="323"/>
      <c r="DG426" s="323"/>
      <c r="DI426" s="323"/>
      <c r="DJ426" s="485"/>
    </row>
    <row r="427" spans="1:114" ht="11.25" customHeight="1" x14ac:dyDescent="0.3">
      <c r="A427" s="765"/>
      <c r="C427" s="219"/>
      <c r="D427" s="220"/>
      <c r="E427" s="517"/>
      <c r="F427" s="516"/>
      <c r="G427" s="223"/>
      <c r="H427" s="219"/>
      <c r="J427" s="219"/>
      <c r="K427" s="220"/>
      <c r="L427" s="517"/>
      <c r="M427" s="516"/>
      <c r="N427" s="223"/>
      <c r="O427" s="219"/>
      <c r="AB427" s="327" t="str">
        <f t="shared" si="104"/>
        <v/>
      </c>
      <c r="AC427" s="327" t="str">
        <f t="shared" si="105"/>
        <v/>
      </c>
      <c r="AD427" s="327" t="str">
        <f t="shared" si="106"/>
        <v/>
      </c>
      <c r="AE427" s="327" t="str">
        <f t="shared" si="107"/>
        <v/>
      </c>
      <c r="AF427" s="325"/>
      <c r="AG427" s="485">
        <v>9</v>
      </c>
      <c r="AH427" s="496" t="b">
        <f ca="1">IF(OR(NOT(W417),NOT(X407)),FALSE,AND(D427="",OR(AG427&lt;=W418+COUNTIF(E419:E427,$W$218),AG427&lt;=X418+COUNTIF(F419:F427,$W$218))))</f>
        <v>0</v>
      </c>
      <c r="AI427" s="496" t="b">
        <f ca="1">IF(OR(NOT(W417),NOT(X407)),FALSE,AND(E427="",OR(AG427&lt;=W418+COUNTIF(E419:E427,$W$218),AG427&lt;=X418+COUNTIF(F419:F427,$W$218))))</f>
        <v>0</v>
      </c>
      <c r="AJ427" s="496" t="b">
        <f ca="1">IF(OR(NOT(W417),NOT(X407)),FALSE,AND(F427="",OR(AG427&lt;=W418+COUNTIF(E419:E427,$W$218),AG427&lt;=X418+COUNTIF(F419:F427,$W$218))))</f>
        <v>0</v>
      </c>
      <c r="AK427" s="496" t="b">
        <f ca="1">IF(OR(NOT(W417),NOT(X407)),FALSE,AND(G427="",OR(AG427&lt;=W418+COUNTIF(E419:E427,$W$218),AG427&lt;=X418+COUNTIF(F419:F427,$W$218))))</f>
        <v>0</v>
      </c>
      <c r="AL427" s="496" t="b">
        <f ca="1">IF(OR(NOT(Y417),NOT(Z407)),FALSE,AND(K427="",OR(AG427&lt;=Y418+COUNTIF(L419:L427,$W$218),AG427&lt;=Z418+COUNTIF(M419:M427,$W$218))))</f>
        <v>0</v>
      </c>
      <c r="AM427" s="496" t="b">
        <f ca="1">IF(OR(NOT(Y417),NOT(Z407)),FALSE,AND(L427="",OR(AG427&lt;=Y418+COUNTIF(L419:L427,$W$218),AG427&lt;=Z418+COUNTIF(M419:M427,$W$218))))</f>
        <v>0</v>
      </c>
      <c r="AN427" s="496" t="b">
        <f ca="1">IF(OR(NOT(Y417),NOT(Z407)),FALSE,AND(M427="",OR(AG427&lt;=Y418+COUNTIF(L419:L427,$W$218),AG427&lt;=Z418+COUNTIF(M419:M427,$W$218))))</f>
        <v>0</v>
      </c>
      <c r="AO427" s="496" t="b">
        <f ca="1">IF(OR(NOT(Y417),NOT(Z407)),FALSE,AND(N427="",OR(AG427&lt;=Y418+COUNTIF(L419:L427,$W$218),AG427&lt;=Z418+COUNTIF(M419:M427,$W$218))))</f>
        <v>0</v>
      </c>
      <c r="AS427" s="323"/>
      <c r="AT427" s="323"/>
      <c r="AW427" s="485"/>
      <c r="AY427" s="323"/>
      <c r="BA427" s="323"/>
      <c r="BC427" s="323"/>
      <c r="BE427" s="323"/>
      <c r="BG427" s="323"/>
      <c r="BI427" s="323"/>
      <c r="BK427" s="323"/>
      <c r="BM427" s="323"/>
      <c r="BO427" s="323"/>
      <c r="BQ427" s="323"/>
      <c r="BS427" s="323"/>
      <c r="BU427" s="323"/>
      <c r="BW427" s="323"/>
      <c r="BY427" s="323"/>
      <c r="CA427" s="323"/>
      <c r="CC427" s="323"/>
      <c r="CE427" s="323"/>
      <c r="CG427" s="323"/>
      <c r="CI427" s="323"/>
      <c r="CK427" s="323"/>
      <c r="CM427" s="323"/>
      <c r="CO427" s="323"/>
      <c r="CQ427" s="323"/>
      <c r="CS427" s="323"/>
      <c r="CU427" s="323"/>
      <c r="CW427" s="323"/>
      <c r="CY427" s="323"/>
      <c r="DA427" s="323"/>
      <c r="DC427" s="323"/>
      <c r="DE427" s="323"/>
      <c r="DG427" s="323"/>
      <c r="DI427" s="323"/>
      <c r="DJ427" s="485"/>
    </row>
    <row r="428" spans="1:114" ht="11.25" customHeight="1" x14ac:dyDescent="0.3">
      <c r="A428" s="765"/>
      <c r="C428" s="219"/>
      <c r="D428" s="220"/>
      <c r="E428" s="517"/>
      <c r="F428" s="516"/>
      <c r="G428" s="223"/>
      <c r="H428" s="219"/>
      <c r="J428" s="219"/>
      <c r="K428" s="220"/>
      <c r="L428" s="517"/>
      <c r="M428" s="516"/>
      <c r="N428" s="223"/>
      <c r="O428" s="219"/>
      <c r="AB428" s="327" t="str">
        <f t="shared" si="104"/>
        <v/>
      </c>
      <c r="AC428" s="327" t="str">
        <f t="shared" si="105"/>
        <v/>
      </c>
      <c r="AD428" s="327" t="str">
        <f t="shared" si="106"/>
        <v/>
      </c>
      <c r="AE428" s="327" t="str">
        <f t="shared" si="107"/>
        <v/>
      </c>
      <c r="AF428" s="325"/>
      <c r="AG428" s="485">
        <v>10</v>
      </c>
      <c r="AH428" s="496" t="b">
        <f ca="1">IF(OR(NOT(W417),NOT(X407)),FALSE,AND(D428="",OR(AG428&lt;=W418+COUNTIF(E419:E428,$W$218),AG428&lt;=X418+COUNTIF(F419:F428,$W$218))))</f>
        <v>0</v>
      </c>
      <c r="AI428" s="496" t="b">
        <f ca="1">IF(OR(NOT(W417),NOT(X407)),FALSE,AND(E428="",OR(AG428&lt;=W418+COUNTIF(E419:E428,$W$218),AG428&lt;=X418+COUNTIF(F419:F428,$W$218))))</f>
        <v>0</v>
      </c>
      <c r="AJ428" s="496" t="b">
        <f ca="1">IF(OR(NOT(W417),NOT(X407)),FALSE,AND(F428="",OR(AG428&lt;=W418+COUNTIF(E419:E428,$W$218),AG428&lt;=X418+COUNTIF(F419:F428,$W$218))))</f>
        <v>0</v>
      </c>
      <c r="AK428" s="496" t="b">
        <f ca="1">IF(OR(NOT(W417),NOT(X407)),FALSE,AND(G428="",OR(AG428&lt;=W418+COUNTIF(E419:E428,$W$218),AG428&lt;=X418+COUNTIF(F419:F428,$W$218))))</f>
        <v>0</v>
      </c>
      <c r="AL428" s="496" t="b">
        <f ca="1">IF(OR(NOT(Y417),NOT(Z407)),FALSE,AND(K428="",OR(AG428&lt;=Y418+COUNTIF(L419:L428,$W$218),AG428&lt;=Z418+COUNTIF(M419:M428,$W$218))))</f>
        <v>0</v>
      </c>
      <c r="AM428" s="496" t="b">
        <f ca="1">IF(OR(NOT(Y417),NOT(Z407)),FALSE,AND(L428="",OR(AG428&lt;=Y418+COUNTIF(L419:L428,$W$218),AG428&lt;=Z418+COUNTIF(M419:M428,$W$218))))</f>
        <v>0</v>
      </c>
      <c r="AN428" s="496" t="b">
        <f ca="1">IF(OR(NOT(Y417),NOT(Z407)),FALSE,AND(M428="",OR(AG428&lt;=Y418+COUNTIF(L419:L428,$W$218),AG428&lt;=Z418+COUNTIF(M419:M428,$W$218))))</f>
        <v>0</v>
      </c>
      <c r="AO428" s="496" t="b">
        <f ca="1">IF(OR(NOT(Y417),NOT(Z407)),FALSE,AND(N428="",OR(AG428&lt;=Y418+COUNTIF(L419:L428,$W$218),AG428&lt;=Z418+COUNTIF(M419:M428,$W$218))))</f>
        <v>0</v>
      </c>
      <c r="AW428" s="485"/>
      <c r="AY428" s="323"/>
      <c r="BA428" s="323"/>
      <c r="BC428" s="323"/>
      <c r="BE428" s="323"/>
      <c r="BG428" s="323"/>
      <c r="BI428" s="323"/>
      <c r="BK428" s="323"/>
      <c r="BM428" s="323"/>
      <c r="BO428" s="323"/>
      <c r="BQ428" s="323"/>
      <c r="BS428" s="323"/>
      <c r="BU428" s="323"/>
      <c r="BW428" s="323"/>
      <c r="BY428" s="323"/>
      <c r="CA428" s="323"/>
      <c r="CC428" s="323"/>
      <c r="CE428" s="323"/>
      <c r="CG428" s="323"/>
      <c r="CI428" s="323"/>
      <c r="CK428" s="323"/>
      <c r="CM428" s="323"/>
      <c r="CO428" s="323"/>
      <c r="CQ428" s="323"/>
      <c r="CS428" s="323"/>
      <c r="CU428" s="323"/>
      <c r="CW428" s="323"/>
      <c r="CY428" s="323"/>
      <c r="DA428" s="323"/>
      <c r="DC428" s="323"/>
      <c r="DE428" s="323"/>
      <c r="DG428" s="323"/>
      <c r="DI428" s="323"/>
      <c r="DJ428" s="485"/>
    </row>
    <row r="429" spans="1:114" ht="11.25" customHeight="1" x14ac:dyDescent="0.3">
      <c r="A429" s="765"/>
      <c r="C429" s="219"/>
      <c r="D429" s="220"/>
      <c r="E429" s="517"/>
      <c r="F429" s="516"/>
      <c r="G429" s="223"/>
      <c r="H429" s="219"/>
      <c r="J429" s="219"/>
      <c r="K429" s="220"/>
      <c r="L429" s="517"/>
      <c r="M429" s="516"/>
      <c r="N429" s="223"/>
      <c r="O429" s="219"/>
      <c r="AB429" s="327" t="str">
        <f t="shared" si="104"/>
        <v/>
      </c>
      <c r="AC429" s="327" t="str">
        <f t="shared" si="105"/>
        <v/>
      </c>
      <c r="AD429" s="327" t="str">
        <f t="shared" si="106"/>
        <v/>
      </c>
      <c r="AE429" s="327" t="str">
        <f t="shared" si="107"/>
        <v/>
      </c>
      <c r="AF429" s="325"/>
      <c r="AG429" s="485">
        <v>11</v>
      </c>
      <c r="AH429" s="496" t="b">
        <f ca="1">IF(OR(NOT(W417),NOT(X407)),FALSE,AND(D429="",OR(AG429&lt;=W418+COUNTIF(E419:E429,$W$218),AG429&lt;=X418+COUNTIF(F419:F429,$W$218))))</f>
        <v>0</v>
      </c>
      <c r="AI429" s="496" t="b">
        <f ca="1">IF(OR(NOT(W417),NOT(X407)),FALSE,AND(E429="",OR(AG429&lt;=W418+COUNTIF(E419:E429,$W$218),AG429&lt;=X418+COUNTIF(F419:F429,$W$218))))</f>
        <v>0</v>
      </c>
      <c r="AJ429" s="496" t="b">
        <f ca="1">IF(OR(NOT(W417),NOT(X407)),FALSE,AND(F429="",OR(AG429&lt;=W418+COUNTIF(E419:E429,$W$218),AG429&lt;=X418+COUNTIF(F419:F429,$W$218))))</f>
        <v>0</v>
      </c>
      <c r="AK429" s="496" t="b">
        <f ca="1">IF(OR(NOT(W417),NOT(X407)),FALSE,AND(G429="",OR(AG429&lt;=W418+COUNTIF(E419:E429,$W$218),AG429&lt;=X418+COUNTIF(F419:F429,$W$218))))</f>
        <v>0</v>
      </c>
      <c r="AL429" s="496" t="b">
        <f ca="1">IF(OR(NOT(Y417),NOT(Z407)),FALSE,AND(K429="",OR(AG429&lt;=Y418+COUNTIF(L419:L429,$W$218),AG429&lt;=Z418+COUNTIF(M419:M429,$W$218))))</f>
        <v>0</v>
      </c>
      <c r="AM429" s="496" t="b">
        <f ca="1">IF(OR(NOT(Y417),NOT(Z407)),FALSE,AND(L429="",OR(AG429&lt;=Y418+COUNTIF(L419:L429,$W$218),AG429&lt;=Z418+COUNTIF(M419:M429,$W$218))))</f>
        <v>0</v>
      </c>
      <c r="AN429" s="496" t="b">
        <f ca="1">IF(OR(NOT(Y417),NOT(Z407)),FALSE,AND(M429="",OR(AG429&lt;=Y418+COUNTIF(L419:L429,$W$218),AG429&lt;=Z418+COUNTIF(M419:M429,$W$218))))</f>
        <v>0</v>
      </c>
      <c r="AO429" s="496" t="b">
        <f ca="1">IF(OR(NOT(Y417),NOT(Z407)),FALSE,AND(N429="",OR(AG429&lt;=Y418+COUNTIF(L419:L429,$W$218),AG429&lt;=Z418+COUNTIF(M419:M429,$W$218))))</f>
        <v>0</v>
      </c>
      <c r="AW429" s="485"/>
      <c r="AY429" s="323"/>
      <c r="BA429" s="323"/>
      <c r="BC429" s="323"/>
      <c r="BE429" s="323"/>
      <c r="BG429" s="323"/>
      <c r="BI429" s="323"/>
      <c r="BK429" s="323"/>
      <c r="BM429" s="323"/>
      <c r="BO429" s="323"/>
      <c r="BQ429" s="323"/>
      <c r="BS429" s="323"/>
      <c r="BU429" s="323"/>
      <c r="BW429" s="323"/>
      <c r="BY429" s="323"/>
      <c r="CA429" s="323"/>
      <c r="CC429" s="323"/>
      <c r="CE429" s="323"/>
      <c r="CG429" s="323"/>
      <c r="CI429" s="323"/>
      <c r="CK429" s="323"/>
      <c r="CM429" s="323"/>
      <c r="CO429" s="323"/>
      <c r="CQ429" s="323"/>
      <c r="CS429" s="323"/>
      <c r="CU429" s="323"/>
      <c r="CW429" s="323"/>
      <c r="CY429" s="323"/>
      <c r="DA429" s="323"/>
      <c r="DC429" s="323"/>
      <c r="DE429" s="323"/>
      <c r="DG429" s="323"/>
      <c r="DI429" s="323"/>
      <c r="DJ429" s="485"/>
    </row>
    <row r="430" spans="1:114" ht="11.25" customHeight="1" x14ac:dyDescent="0.3">
      <c r="A430" s="765"/>
      <c r="C430" s="219"/>
      <c r="D430" s="220"/>
      <c r="E430" s="517"/>
      <c r="F430" s="516"/>
      <c r="G430" s="223"/>
      <c r="H430" s="219"/>
      <c r="J430" s="219"/>
      <c r="K430" s="220"/>
      <c r="L430" s="517"/>
      <c r="M430" s="516"/>
      <c r="N430" s="223"/>
      <c r="O430" s="219"/>
      <c r="AB430" s="327" t="str">
        <f t="shared" si="104"/>
        <v/>
      </c>
      <c r="AC430" s="327" t="str">
        <f t="shared" si="105"/>
        <v/>
      </c>
      <c r="AD430" s="327" t="str">
        <f t="shared" si="106"/>
        <v/>
      </c>
      <c r="AE430" s="327" t="str">
        <f t="shared" si="107"/>
        <v/>
      </c>
      <c r="AF430" s="325"/>
      <c r="AG430" s="485">
        <v>12</v>
      </c>
      <c r="AH430" s="496" t="b">
        <f ca="1">IF(OR(NOT(W417),NOT(X407)),FALSE,AND(D430="",OR(AG430&lt;=W418+COUNTIF(E419:E430,$W$218),AG430&lt;=X418+COUNTIF(F419:F430,$W$218))))</f>
        <v>0</v>
      </c>
      <c r="AI430" s="496" t="b">
        <f ca="1">IF(OR(NOT(W417),NOT(X407)),FALSE,AND(E430="",OR(AG430&lt;=W418+COUNTIF(E419:E430,$W$218),AG430&lt;=X418+COUNTIF(F419:F430,$W$218))))</f>
        <v>0</v>
      </c>
      <c r="AJ430" s="496" t="b">
        <f ca="1">IF(OR(NOT(W417),NOT(X407)),FALSE,AND(F430="",OR(AG430&lt;=W418+COUNTIF(E419:E430,$W$218),AG430&lt;=X418+COUNTIF(F419:F430,$W$218))))</f>
        <v>0</v>
      </c>
      <c r="AK430" s="496" t="b">
        <f ca="1">IF(OR(NOT(W417),NOT(X407)),FALSE,AND(G430="",OR(AG430&lt;=W418+COUNTIF(E419:E430,$W$218),AG430&lt;=X418+COUNTIF(F419:F430,$W$218))))</f>
        <v>0</v>
      </c>
      <c r="AL430" s="496" t="b">
        <f ca="1">IF(OR(NOT(Y417),NOT(Z407)),FALSE,AND(K430="",OR(AG430&lt;=Y418+COUNTIF(L419:L430,$W$218),AG430&lt;=Z418+COUNTIF(M419:M430,$W$218))))</f>
        <v>0</v>
      </c>
      <c r="AM430" s="496" t="b">
        <f ca="1">IF(OR(NOT(Y417),NOT(Z407)),FALSE,AND(L430="",OR(AG430&lt;=Y418+COUNTIF(L419:L430,$W$218),AG430&lt;=Z418+COUNTIF(M419:M430,$W$218))))</f>
        <v>0</v>
      </c>
      <c r="AN430" s="496" t="b">
        <f ca="1">IF(OR(NOT(Y417),NOT(Z407)),FALSE,AND(M430="",OR(AG430&lt;=Y418+COUNTIF(L419:L430,$W$218),AG430&lt;=Z418+COUNTIF(M419:M430,$W$218))))</f>
        <v>0</v>
      </c>
      <c r="AO430" s="496" t="b">
        <f ca="1">IF(OR(NOT(Y417),NOT(Z407)),FALSE,AND(N430="",OR(AG430&lt;=Y418+COUNTIF(L419:L430,$W$218),AG430&lt;=Z418+COUNTIF(M419:M430,$W$218))))</f>
        <v>0</v>
      </c>
      <c r="AW430" s="485"/>
      <c r="AY430" s="323"/>
      <c r="BA430" s="323"/>
      <c r="BC430" s="323"/>
      <c r="BE430" s="323"/>
      <c r="BG430" s="323"/>
      <c r="BI430" s="323"/>
      <c r="BK430" s="323"/>
      <c r="BM430" s="323"/>
      <c r="BO430" s="323"/>
      <c r="BQ430" s="323"/>
      <c r="BS430" s="323"/>
      <c r="BU430" s="323"/>
      <c r="BW430" s="323"/>
      <c r="BY430" s="323"/>
      <c r="CA430" s="323"/>
      <c r="CC430" s="323"/>
      <c r="CE430" s="323"/>
      <c r="CG430" s="323"/>
      <c r="CI430" s="323"/>
      <c r="CK430" s="323"/>
      <c r="CM430" s="323"/>
      <c r="CO430" s="323"/>
      <c r="CQ430" s="323"/>
      <c r="CS430" s="323"/>
      <c r="CU430" s="323"/>
      <c r="CW430" s="323"/>
      <c r="CY430" s="323"/>
      <c r="DA430" s="323"/>
      <c r="DC430" s="323"/>
      <c r="DE430" s="323"/>
      <c r="DG430" s="323"/>
      <c r="DI430" s="323"/>
      <c r="DJ430" s="485"/>
    </row>
    <row r="431" spans="1:114" ht="11.25" customHeight="1" x14ac:dyDescent="0.3">
      <c r="A431" s="765"/>
      <c r="C431" s="219"/>
      <c r="D431" s="220"/>
      <c r="E431" s="516"/>
      <c r="F431" s="516"/>
      <c r="G431" s="223"/>
      <c r="H431" s="219"/>
      <c r="J431" s="219"/>
      <c r="K431" s="220"/>
      <c r="L431" s="517"/>
      <c r="M431" s="516"/>
      <c r="N431" s="223"/>
      <c r="O431" s="219"/>
      <c r="AB431" s="327" t="str">
        <f t="shared" si="104"/>
        <v/>
      </c>
      <c r="AC431" s="327" t="str">
        <f t="shared" si="105"/>
        <v/>
      </c>
      <c r="AD431" s="327" t="str">
        <f t="shared" si="106"/>
        <v/>
      </c>
      <c r="AE431" s="327" t="str">
        <f t="shared" si="107"/>
        <v/>
      </c>
      <c r="AG431" s="485">
        <v>13</v>
      </c>
      <c r="AH431" s="496" t="b">
        <f ca="1">IF(OR(NOT(W417),NOT(X407)),FALSE,AND(D431="",OR(AG431&lt;=W418+COUNTIF(E419:E431,$W$218),AG431&lt;=X418+COUNTIF(F419:F431,$W$218))))</f>
        <v>0</v>
      </c>
      <c r="AI431" s="496" t="b">
        <f ca="1">IF(OR(NOT(W417),NOT(X407)),FALSE,AND(E431="",OR(AG431&lt;=W418+COUNTIF(E419:E431,$W$218),AG431&lt;=X418+COUNTIF(F419:F431,$W$218))))</f>
        <v>0</v>
      </c>
      <c r="AJ431" s="496" t="b">
        <f ca="1">IF(OR(NOT(W417),NOT(X407)),FALSE,AND(F431="",OR(AG431&lt;=W418+COUNTIF(E419:E431,$W$218),AG431&lt;=X418+COUNTIF(F419:F431,$W$218))))</f>
        <v>0</v>
      </c>
      <c r="AK431" s="496" t="b">
        <f ca="1">IF(OR(NOT(W417),NOT(X407)),FALSE,AND(G431="",OR(AG431&lt;=W418+COUNTIF(E419:E431,$W$218),AG431&lt;=X418+COUNTIF(F419:F431,$W$218))))</f>
        <v>0</v>
      </c>
      <c r="AL431" s="496" t="b">
        <f ca="1">IF(OR(NOT(Y417),NOT(Z407)),FALSE,AND(K431="",OR(AG431&lt;=Y418+COUNTIF(L419:L431,$W$218),AG431&lt;=Z418+COUNTIF(M419:M431,$W$218))))</f>
        <v>0</v>
      </c>
      <c r="AM431" s="496" t="b">
        <f ca="1">IF(OR(NOT(Y417),NOT(Z407)),FALSE,AND(L431="",OR(AG431&lt;=Y418+COUNTIF(L419:L431,$W$218),AG431&lt;=Z418+COUNTIF(M419:M431,$W$218))))</f>
        <v>0</v>
      </c>
      <c r="AN431" s="496" t="b">
        <f ca="1">IF(OR(NOT(Y417),NOT(Z407)),FALSE,AND(M431="",OR(AG431&lt;=Y418+COUNTIF(L419:L431,$W$218),AG431&lt;=Z418+COUNTIF(M419:M431,$W$218))))</f>
        <v>0</v>
      </c>
      <c r="AO431" s="496" t="b">
        <f ca="1">IF(OR(NOT(Y417),NOT(Z407)),FALSE,AND(N431="",OR(AG431&lt;=Y418+COUNTIF(L419:L431,$W$218),AG431&lt;=Z418+COUNTIF(M419:M431,$W$218))))</f>
        <v>0</v>
      </c>
      <c r="AW431" s="485"/>
      <c r="AY431" s="323"/>
      <c r="BA431" s="323"/>
      <c r="BC431" s="323"/>
      <c r="BE431" s="323"/>
      <c r="BG431" s="323"/>
      <c r="BI431" s="323"/>
      <c r="BK431" s="323"/>
      <c r="BM431" s="323"/>
      <c r="BO431" s="323"/>
      <c r="BQ431" s="323"/>
      <c r="BS431" s="323"/>
      <c r="BU431" s="323"/>
      <c r="BW431" s="323"/>
      <c r="BY431" s="323"/>
      <c r="CA431" s="323"/>
      <c r="CC431" s="323"/>
      <c r="CE431" s="323"/>
      <c r="CG431" s="323"/>
      <c r="CI431" s="323"/>
      <c r="CK431" s="323"/>
      <c r="CM431" s="323"/>
      <c r="CO431" s="323"/>
      <c r="CQ431" s="323"/>
      <c r="CS431" s="323"/>
      <c r="CU431" s="323"/>
      <c r="CW431" s="323"/>
      <c r="CY431" s="323"/>
      <c r="DA431" s="323"/>
      <c r="DC431" s="323"/>
      <c r="DE431" s="323"/>
      <c r="DG431" s="323"/>
      <c r="DI431" s="323"/>
      <c r="DJ431" s="485"/>
    </row>
    <row r="432" spans="1:114" ht="11.25" hidden="1" customHeight="1" x14ac:dyDescent="0.3">
      <c r="A432" s="765"/>
      <c r="C432" s="219"/>
      <c r="D432" s="220"/>
      <c r="E432" s="517"/>
      <c r="F432" s="516"/>
      <c r="G432" s="223"/>
      <c r="H432" s="219"/>
      <c r="J432" s="219"/>
      <c r="K432" s="220"/>
      <c r="L432" s="517"/>
      <c r="M432" s="516"/>
      <c r="N432" s="223"/>
      <c r="O432" s="219"/>
      <c r="AB432" s="327" t="str">
        <f t="shared" si="104"/>
        <v/>
      </c>
      <c r="AC432" s="327" t="str">
        <f t="shared" si="105"/>
        <v/>
      </c>
      <c r="AD432" s="327" t="str">
        <f t="shared" si="106"/>
        <v/>
      </c>
      <c r="AE432" s="327" t="str">
        <f t="shared" si="107"/>
        <v/>
      </c>
      <c r="AG432" s="485">
        <v>14</v>
      </c>
      <c r="AH432" s="496" t="b">
        <f ca="1">IF(OR(NOT(W417),NOT(X407)),FALSE,AND(D432="",OR(AG432&lt;=W418+COUNTIF(E419:E432,$W$218),AG432&lt;=X418+COUNTIF(F419:F432,$W$218))))</f>
        <v>0</v>
      </c>
      <c r="AI432" s="496" t="b">
        <f ca="1">IF(OR(NOT(W417),NOT(X407)),FALSE,AND(E432="",OR(AG432&lt;=W418+COUNTIF(E419:E432,$W$218),AG432&lt;=X418+COUNTIF(F419:F432,$W$218))))</f>
        <v>0</v>
      </c>
      <c r="AJ432" s="496" t="b">
        <f ca="1">IF(OR(NOT(W417),NOT(X407)),FALSE,AND(F432="",OR(AG432&lt;=W418+COUNTIF(E419:E432,$W$218),AG432&lt;=X418+COUNTIF(F419:F432,$W$218))))</f>
        <v>0</v>
      </c>
      <c r="AK432" s="496" t="b">
        <f ca="1">IF(OR(NOT(W417),NOT(X407)),FALSE,AND(G432="",OR(AG432&lt;=W418+COUNTIF(E419:E432,$W$218),AG432&lt;=X418+COUNTIF(F419:F432,$W$218))))</f>
        <v>0</v>
      </c>
      <c r="AL432" s="496" t="b">
        <f ca="1">IF(OR(NOT(Y417),NOT(Z407)),FALSE,AND(K432="",OR(AG432&lt;=Y418+COUNTIF(L419:L432,$W$218),AG432&lt;=Z418+COUNTIF(M419:M432,$W$218))))</f>
        <v>0</v>
      </c>
      <c r="AM432" s="496" t="b">
        <f ca="1">IF(OR(NOT(Y417),NOT(Z407)),FALSE,AND(L432="",OR(AG432&lt;=Y418+COUNTIF(L419:L432,$W$218),AG432&lt;=Z418+COUNTIF(M419:M432,$W$218))))</f>
        <v>0</v>
      </c>
      <c r="AN432" s="496" t="b">
        <f ca="1">IF(OR(NOT(Y417),NOT(Z407)),FALSE,AND(M432="",OR(AG432&lt;=Y418+COUNTIF(L419:L432,$W$218),AG432&lt;=Z418+COUNTIF(M419:M432,$W$218))))</f>
        <v>0</v>
      </c>
      <c r="AO432" s="496" t="b">
        <f ca="1">IF(OR(NOT(Y417),NOT(Z407)),FALSE,AND(N432="",OR(AG432&lt;=Y418+COUNTIF(L419:L432,$W$218),AG432&lt;=Z418+COUNTIF(M419:M432,$W$218))))</f>
        <v>0</v>
      </c>
      <c r="AS432" s="323"/>
      <c r="AT432" s="323"/>
      <c r="AW432" s="485"/>
      <c r="AY432" s="323"/>
      <c r="BA432" s="323"/>
      <c r="BC432" s="323"/>
      <c r="BE432" s="323"/>
      <c r="BG432" s="323"/>
      <c r="BI432" s="323"/>
      <c r="BK432" s="323"/>
      <c r="BM432" s="323"/>
      <c r="BO432" s="323"/>
      <c r="BQ432" s="323"/>
      <c r="BS432" s="323"/>
      <c r="BU432" s="323"/>
      <c r="BW432" s="323"/>
      <c r="BY432" s="323"/>
      <c r="CA432" s="323"/>
      <c r="CC432" s="323"/>
      <c r="CE432" s="323"/>
      <c r="CG432" s="323"/>
      <c r="CI432" s="323"/>
      <c r="CK432" s="323"/>
      <c r="CM432" s="323"/>
      <c r="CO432" s="323"/>
      <c r="CQ432" s="323"/>
      <c r="CS432" s="323"/>
      <c r="CU432" s="323"/>
      <c r="CW432" s="323"/>
      <c r="CY432" s="323"/>
      <c r="DA432" s="323"/>
      <c r="DC432" s="323"/>
      <c r="DE432" s="323"/>
      <c r="DG432" s="323"/>
      <c r="DI432" s="323"/>
      <c r="DJ432" s="485"/>
    </row>
    <row r="433" spans="1:115" ht="10.5" hidden="1" customHeight="1" x14ac:dyDescent="0.3">
      <c r="A433" s="76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AQ433" s="323"/>
      <c r="AR433" s="323"/>
      <c r="AS433" s="323"/>
      <c r="AT433" s="323"/>
      <c r="AW433" s="485"/>
      <c r="AY433" s="323"/>
      <c r="BA433" s="323"/>
      <c r="BC433" s="323"/>
      <c r="BE433" s="323"/>
      <c r="BG433" s="323"/>
      <c r="BI433" s="323"/>
      <c r="BK433" s="323"/>
      <c r="BM433" s="323"/>
      <c r="BO433" s="323"/>
      <c r="BQ433" s="323"/>
      <c r="BS433" s="323"/>
      <c r="BU433" s="323"/>
      <c r="BW433" s="323"/>
      <c r="BY433" s="323"/>
      <c r="CA433" s="323"/>
      <c r="CC433" s="323"/>
      <c r="CE433" s="323"/>
      <c r="CG433" s="323"/>
      <c r="CI433" s="323"/>
      <c r="CK433" s="323"/>
      <c r="CM433" s="323"/>
      <c r="CO433" s="323"/>
      <c r="CQ433" s="323"/>
      <c r="CS433" s="323"/>
      <c r="CU433" s="323"/>
      <c r="CW433" s="323"/>
      <c r="CY433" s="323"/>
      <c r="DA433" s="323"/>
      <c r="DC433" s="323"/>
      <c r="DE433" s="323"/>
      <c r="DG433" s="323"/>
      <c r="DI433" s="323"/>
    </row>
    <row r="434" spans="1:115" ht="10.5" customHeight="1" x14ac:dyDescent="0.3">
      <c r="A434" s="76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AQ434" s="323"/>
      <c r="AR434" s="323"/>
      <c r="AS434" s="323"/>
      <c r="AT434" s="323"/>
      <c r="AW434" s="485"/>
      <c r="AY434" s="323"/>
      <c r="BA434" s="323"/>
      <c r="BC434" s="323"/>
      <c r="BE434" s="323"/>
      <c r="BG434" s="323"/>
      <c r="BI434" s="323"/>
      <c r="BK434" s="323"/>
      <c r="BM434" s="323"/>
      <c r="BO434" s="323"/>
      <c r="BQ434" s="323"/>
      <c r="BS434" s="323"/>
      <c r="BU434" s="323"/>
      <c r="BW434" s="323"/>
      <c r="BY434" s="323"/>
      <c r="CA434" s="323"/>
      <c r="CC434" s="323"/>
      <c r="CE434" s="323"/>
      <c r="CG434" s="323"/>
      <c r="CI434" s="323"/>
      <c r="CK434" s="323"/>
      <c r="CM434" s="323"/>
      <c r="CO434" s="323"/>
      <c r="CQ434" s="323"/>
      <c r="CS434" s="323"/>
      <c r="CU434" s="323"/>
      <c r="CW434" s="323"/>
      <c r="CY434" s="323"/>
      <c r="DA434" s="323"/>
      <c r="DC434" s="323"/>
      <c r="DE434" s="323"/>
      <c r="DG434" s="323"/>
      <c r="DI434" s="323"/>
    </row>
    <row r="435" spans="1:115" ht="3.75" customHeight="1" x14ac:dyDescent="0.3">
      <c r="A435" s="765"/>
      <c r="AQ435" s="323"/>
      <c r="AR435" s="323"/>
      <c r="AS435" s="323"/>
      <c r="AT435" s="323"/>
      <c r="AY435" s="323"/>
      <c r="BA435" s="323"/>
      <c r="BC435" s="323"/>
      <c r="BE435" s="323"/>
      <c r="BG435" s="323"/>
      <c r="BI435" s="323"/>
      <c r="BK435" s="323"/>
      <c r="BM435" s="323"/>
      <c r="BO435" s="323"/>
      <c r="BQ435" s="323"/>
      <c r="BS435" s="323"/>
      <c r="BU435" s="323"/>
      <c r="BW435" s="323"/>
      <c r="BY435" s="323"/>
      <c r="CA435" s="323"/>
      <c r="CC435" s="323"/>
      <c r="CE435" s="323"/>
      <c r="CG435" s="323"/>
      <c r="CI435" s="323"/>
      <c r="CK435" s="323"/>
      <c r="CM435" s="323"/>
      <c r="CO435" s="323"/>
      <c r="CQ435" s="323"/>
      <c r="CS435" s="323"/>
      <c r="CU435" s="323"/>
      <c r="CW435" s="323"/>
      <c r="CY435" s="323"/>
      <c r="DA435" s="323"/>
      <c r="DC435" s="323"/>
      <c r="DE435" s="323"/>
      <c r="DG435" s="323"/>
      <c r="DI435" s="323"/>
    </row>
    <row r="436" spans="1:115" ht="12" customHeight="1" x14ac:dyDescent="0.3">
      <c r="A436" s="765"/>
      <c r="B436" s="15"/>
      <c r="C436" s="247" t="str">
        <f>W441</f>
        <v>JÚNIUS 27. – VASÁRNAP 18:00</v>
      </c>
      <c r="D436" s="227"/>
      <c r="E436" s="228"/>
      <c r="F436" s="229"/>
      <c r="G436" s="230"/>
      <c r="H436" s="231" t="str">
        <f>W442</f>
        <v>NYOLCADDÖNTŐ</v>
      </c>
      <c r="I436" s="138"/>
      <c r="J436" s="246" t="str">
        <f>Y441</f>
        <v>JÚNIUS 27. – VASÁRNAP 21:00</v>
      </c>
      <c r="K436" s="227"/>
      <c r="L436" s="228"/>
      <c r="M436" s="229"/>
      <c r="N436" s="230"/>
      <c r="O436" s="226" t="str">
        <f>Y442</f>
        <v>NYOLCADDÖNTŐ</v>
      </c>
      <c r="AQ436" s="323"/>
      <c r="AR436" s="323"/>
      <c r="AS436" s="323"/>
      <c r="AT436" s="323"/>
      <c r="AY436" s="323"/>
      <c r="BA436" s="323"/>
      <c r="BC436" s="323"/>
      <c r="BE436" s="323"/>
      <c r="BG436" s="323"/>
      <c r="BI436" s="323"/>
      <c r="BK436" s="323"/>
      <c r="BM436" s="323"/>
      <c r="BO436" s="323"/>
      <c r="BQ436" s="323"/>
      <c r="BS436" s="323"/>
      <c r="BU436" s="323"/>
      <c r="BW436" s="323"/>
      <c r="BY436" s="323"/>
      <c r="CA436" s="323"/>
      <c r="CC436" s="323"/>
      <c r="CE436" s="323"/>
      <c r="CG436" s="323"/>
      <c r="CI436" s="323"/>
      <c r="CK436" s="323"/>
      <c r="CM436" s="323"/>
      <c r="CO436" s="323"/>
      <c r="CQ436" s="323"/>
      <c r="CS436" s="323"/>
      <c r="CU436" s="323"/>
      <c r="CW436" s="323"/>
      <c r="CY436" s="323"/>
      <c r="DA436" s="323"/>
      <c r="DC436" s="323"/>
      <c r="DE436" s="323"/>
      <c r="DG436" s="323"/>
      <c r="DI436" s="323"/>
    </row>
    <row r="437" spans="1:115" s="138" customFormat="1" ht="14.25" customHeight="1" x14ac:dyDescent="0.3">
      <c r="A437" s="765"/>
      <c r="B437" s="137"/>
      <c r="C437" s="233" t="str">
        <f>IF(W444=0,"",IF(W444&gt;0,CONCATENATE("még ",W444," gól"),CONCATENATE("túl sok (",W444," gól)")))</f>
        <v/>
      </c>
      <c r="D437" s="714" t="str">
        <f>W445</f>
        <v>C csoport 1. hely</v>
      </c>
      <c r="E437" s="716" t="str">
        <f>W446</f>
        <v/>
      </c>
      <c r="F437" s="717" t="str">
        <f>X446</f>
        <v/>
      </c>
      <c r="G437" s="715" t="str">
        <f>X445</f>
        <v>D/E/F csoport 3. hely</v>
      </c>
      <c r="H437" s="232" t="str">
        <f>IF(X444=0,"",IF(X444&gt;0,CONCATENATE("még ",X444," gól"),CONCATENATE("túl sok (",X444," gól)")))</f>
        <v/>
      </c>
      <c r="I437" s="127"/>
      <c r="J437" s="233" t="str">
        <f>IF(Y444=0,"",IF(Y444&gt;0,CONCATENATE("még ",Y444," gól"),CONCATENATE("túl sok (",Y444," gól)")))</f>
        <v/>
      </c>
      <c r="K437" s="714" t="str">
        <f>Y445</f>
        <v>B csoport 1. hely</v>
      </c>
      <c r="L437" s="716" t="str">
        <f>Y446</f>
        <v/>
      </c>
      <c r="M437" s="717" t="str">
        <f>Z446</f>
        <v/>
      </c>
      <c r="N437" s="715" t="str">
        <f>Z445</f>
        <v>A/D/E/F csoport 3. hely</v>
      </c>
      <c r="O437" s="232" t="str">
        <f>IF(Z444=0,"",IF(Z444&gt;0,CONCATENATE("még ",Z444," gól"),CONCATENATE("túl sok (",Z444," gól)")))</f>
        <v/>
      </c>
      <c r="P437" s="139"/>
      <c r="Q437" s="140"/>
      <c r="R437" s="141"/>
      <c r="S437" s="141"/>
      <c r="T437" s="484"/>
      <c r="U437" s="485"/>
      <c r="V437" s="485"/>
      <c r="W437" s="485"/>
      <c r="X437" s="485"/>
      <c r="Y437" s="485"/>
      <c r="Z437" s="485"/>
      <c r="AA437" s="485"/>
      <c r="AB437" s="242" t="e">
        <f>HLOOKUP(D437,nevek.li,2,FALSE)</f>
        <v>#N/A</v>
      </c>
      <c r="AC437" s="242" t="e">
        <f>HLOOKUP(G437,nevek.li,2,FALSE)</f>
        <v>#N/A</v>
      </c>
      <c r="AD437" s="242" t="e">
        <f>HLOOKUP(K437,nevek.li,2,FALSE)</f>
        <v>#N/A</v>
      </c>
      <c r="AE437" s="242" t="e">
        <f>HLOOKUP(N437,nevek.li,2,FALSE)</f>
        <v>#N/A</v>
      </c>
      <c r="AF437" s="485"/>
      <c r="AG437" s="485"/>
      <c r="AH437" s="485"/>
      <c r="AI437" s="485"/>
      <c r="AJ437" s="485"/>
      <c r="AK437" s="485"/>
      <c r="AL437" s="485"/>
      <c r="AM437" s="485"/>
      <c r="AN437" s="485"/>
      <c r="AO437" s="485"/>
      <c r="AP437" s="485"/>
      <c r="AQ437" s="485"/>
      <c r="AR437" s="485"/>
      <c r="AS437" s="485"/>
      <c r="AT437" s="485"/>
      <c r="AU437" s="485"/>
      <c r="AV437" s="500"/>
      <c r="AW437" s="323"/>
      <c r="AX437" s="323"/>
      <c r="AY437" s="323"/>
      <c r="AZ437" s="323"/>
      <c r="BA437" s="323"/>
      <c r="BB437" s="323"/>
      <c r="BC437" s="323"/>
      <c r="BD437" s="323"/>
      <c r="BE437" s="323"/>
      <c r="BF437" s="323"/>
      <c r="BG437" s="323"/>
      <c r="BH437" s="323"/>
      <c r="BI437" s="323"/>
      <c r="BJ437" s="323"/>
      <c r="BK437" s="323"/>
      <c r="BL437" s="323"/>
      <c r="BM437" s="323"/>
      <c r="BN437" s="323"/>
      <c r="BO437" s="323"/>
      <c r="BP437" s="323"/>
      <c r="BQ437" s="323"/>
      <c r="BR437" s="323"/>
      <c r="BS437" s="323"/>
      <c r="BT437" s="323"/>
      <c r="BU437" s="323"/>
      <c r="BV437" s="323"/>
      <c r="BW437" s="323"/>
      <c r="BX437" s="323"/>
      <c r="BY437" s="323"/>
      <c r="BZ437" s="323"/>
      <c r="CA437" s="323"/>
      <c r="CB437" s="323"/>
      <c r="CC437" s="323"/>
      <c r="CD437" s="323"/>
      <c r="CE437" s="323"/>
      <c r="CF437" s="323"/>
      <c r="CG437" s="323"/>
      <c r="CH437" s="323"/>
      <c r="CI437" s="323"/>
      <c r="CJ437" s="323"/>
      <c r="CK437" s="323"/>
      <c r="CL437" s="323"/>
      <c r="CM437" s="323"/>
      <c r="CN437" s="323"/>
      <c r="CO437" s="323"/>
      <c r="CP437" s="323"/>
      <c r="CQ437" s="323"/>
      <c r="CR437" s="323"/>
      <c r="CS437" s="323"/>
      <c r="CT437" s="323"/>
      <c r="CU437" s="323"/>
      <c r="CV437" s="323"/>
      <c r="CW437" s="323"/>
      <c r="CX437" s="323"/>
      <c r="CY437" s="323"/>
      <c r="CZ437" s="323"/>
      <c r="DA437" s="323"/>
      <c r="DB437" s="323"/>
      <c r="DC437" s="323"/>
      <c r="DD437" s="323"/>
      <c r="DE437" s="323"/>
      <c r="DF437" s="323"/>
      <c r="DG437" s="323"/>
      <c r="DH437" s="323"/>
      <c r="DI437" s="323"/>
      <c r="DJ437" s="323"/>
      <c r="DK437" s="500"/>
    </row>
    <row r="438" spans="1:115" ht="12" customHeight="1" x14ac:dyDescent="0.3">
      <c r="A438" s="765"/>
      <c r="C438" s="218"/>
      <c r="D438" s="220"/>
      <c r="E438" s="221"/>
      <c r="F438" s="222"/>
      <c r="G438" s="223"/>
      <c r="H438" s="218"/>
      <c r="J438" s="218"/>
      <c r="K438" s="220"/>
      <c r="L438" s="221"/>
      <c r="M438" s="222"/>
      <c r="N438" s="223"/>
      <c r="O438" s="218"/>
      <c r="V438" s="487" t="s">
        <v>706</v>
      </c>
      <c r="W438" s="242">
        <v>40</v>
      </c>
      <c r="X438" s="485" t="str">
        <f>""</f>
        <v/>
      </c>
      <c r="Y438" s="242">
        <v>39</v>
      </c>
      <c r="AB438" s="327" t="e">
        <f>IF(C438="öngól",AC437,AB437)</f>
        <v>#N/A</v>
      </c>
      <c r="AC438" s="327" t="e">
        <f>IF(H438="öngól",AB437,AC437)</f>
        <v>#N/A</v>
      </c>
      <c r="AD438" s="327" t="e">
        <f>IF(J438="öngól",AE437,AD437)</f>
        <v>#N/A</v>
      </c>
      <c r="AE438" s="327" t="e">
        <f>IF(O438="öngól",AD437,AE437)</f>
        <v>#N/A</v>
      </c>
      <c r="AF438" s="325"/>
      <c r="AG438" s="485">
        <v>1</v>
      </c>
      <c r="AH438" s="488" t="b">
        <f ca="1">AND(W440,X441,D438="",AG438&lt;=W446)</f>
        <v>0</v>
      </c>
      <c r="AI438" s="488" t="b">
        <f ca="1">AND(W440,X441,E438="",AG438&lt;=W446)</f>
        <v>0</v>
      </c>
      <c r="AJ438" s="488" t="b">
        <f ca="1">AND(W440,X441,F438="",AG438&lt;=X446)</f>
        <v>0</v>
      </c>
      <c r="AK438" s="488" t="b">
        <f ca="1">AND(W440,X441,G438="",AG438&lt;=X446)</f>
        <v>0</v>
      </c>
      <c r="AL438" s="488" t="b">
        <f ca="1">AND(Y440,Z441,K438="",AG438&lt;=Y446)</f>
        <v>0</v>
      </c>
      <c r="AM438" s="488" t="b">
        <f ca="1">AND(Y440,Z441,L438="",AG438&lt;=Y446)</f>
        <v>0</v>
      </c>
      <c r="AN438" s="488" t="b">
        <f ca="1">AND(Y440,Z441,M438="",AG438&lt;=Z446)</f>
        <v>0</v>
      </c>
      <c r="AO438" s="488" t="b">
        <f ca="1">AND(Y440,Z441,N438="",AG438&lt;=Z446)</f>
        <v>0</v>
      </c>
      <c r="AQ438" s="326" t="str">
        <f>IF(OR(NOT(Góllista!$E$6),D438=""),"",IF(C438="öngól","ö"&amp;G437&amp;D438,D437&amp;D438))</f>
        <v/>
      </c>
      <c r="AR438" s="326" t="str">
        <f>IF(OR(NOT(Góllista!$E$6),G438=""),"",IF(H438="öngól","ö"&amp;D437&amp;G438,G437&amp;G438))</f>
        <v/>
      </c>
      <c r="AS438" s="326" t="str">
        <f>IF(OR(NOT(Góllista!$E$6),K438=""),"",IF(J438="öngól","ö"&amp;N437&amp;K438,K437&amp;K438))</f>
        <v/>
      </c>
      <c r="AT438" s="326" t="str">
        <f>IF(OR(NOT(Góllista!$E$6),N438=""),"",IF(O438="öngól","ö"&amp;K437&amp;N438,N437&amp;N438))</f>
        <v/>
      </c>
      <c r="AY438" s="323"/>
      <c r="BA438" s="323"/>
      <c r="BC438" s="323"/>
      <c r="BE438" s="323"/>
      <c r="BG438" s="323"/>
      <c r="BI438" s="323"/>
      <c r="BK438" s="323"/>
      <c r="BM438" s="323"/>
      <c r="BO438" s="323"/>
      <c r="BQ438" s="323"/>
      <c r="BS438" s="323"/>
      <c r="BU438" s="323"/>
      <c r="BW438" s="323"/>
      <c r="BY438" s="323"/>
      <c r="CA438" s="323"/>
      <c r="CC438" s="323"/>
      <c r="CE438" s="323"/>
      <c r="CG438" s="323"/>
      <c r="CI438" s="323"/>
      <c r="CK438" s="323"/>
      <c r="CM438" s="323"/>
      <c r="CO438" s="323"/>
      <c r="CQ438" s="323"/>
      <c r="CS438" s="323"/>
      <c r="CU438" s="323"/>
      <c r="CW438" s="323"/>
      <c r="CY438" s="323"/>
      <c r="DA438" s="323"/>
      <c r="DC438" s="323"/>
      <c r="DE438" s="323"/>
      <c r="DG438" s="323"/>
      <c r="DI438" s="323"/>
    </row>
    <row r="439" spans="1:115" ht="12" customHeight="1" x14ac:dyDescent="0.3">
      <c r="A439" s="765"/>
      <c r="C439" s="219"/>
      <c r="D439" s="220"/>
      <c r="E439" s="224"/>
      <c r="F439" s="222"/>
      <c r="G439" s="223"/>
      <c r="H439" s="219"/>
      <c r="J439" s="219"/>
      <c r="K439" s="220"/>
      <c r="L439" s="224"/>
      <c r="M439" s="222"/>
      <c r="N439" s="223"/>
      <c r="O439" s="219"/>
      <c r="V439" s="487" t="s">
        <v>711</v>
      </c>
      <c r="W439" s="327">
        <f>MATCH(W438,n.er.index,0)</f>
        <v>97</v>
      </c>
      <c r="X439" s="485" t="str">
        <f>""</f>
        <v/>
      </c>
      <c r="Y439" s="327">
        <f>MATCH(Y438,n.er.index,0)</f>
        <v>98</v>
      </c>
      <c r="AB439" s="327" t="e">
        <f>IF(C439="öngól",AC437,AB437)</f>
        <v>#N/A</v>
      </c>
      <c r="AC439" s="327" t="e">
        <f>IF(H439="öngól",AB437,AC437)</f>
        <v>#N/A</v>
      </c>
      <c r="AD439" s="327" t="e">
        <f>IF(J439="öngól",AE437,AD437)</f>
        <v>#N/A</v>
      </c>
      <c r="AE439" s="327" t="e">
        <f>IF(O439="öngól",AD437,AE437)</f>
        <v>#N/A</v>
      </c>
      <c r="AF439" s="325"/>
      <c r="AG439" s="485">
        <v>2</v>
      </c>
      <c r="AH439" s="488" t="b">
        <f ca="1">AND(W440,X441,D439="",AG439&lt;=W446)</f>
        <v>0</v>
      </c>
      <c r="AI439" s="488" t="b">
        <f ca="1">AND(W440,X441,E439="",AG439&lt;=W446)</f>
        <v>0</v>
      </c>
      <c r="AJ439" s="488" t="b">
        <f ca="1">AND(W440,X441,F439="",AG439&lt;=X446)</f>
        <v>0</v>
      </c>
      <c r="AK439" s="488" t="b">
        <f ca="1">AND(W440,X441,G439="",AG439&lt;=X446)</f>
        <v>0</v>
      </c>
      <c r="AL439" s="488" t="b">
        <f ca="1">AND(Y440,Z441,K439="",AG439&lt;=Y446)</f>
        <v>0</v>
      </c>
      <c r="AM439" s="488" t="b">
        <f ca="1">AND(Y440,Z441,L439="",AG439&lt;=Y446)</f>
        <v>0</v>
      </c>
      <c r="AN439" s="488" t="b">
        <f ca="1">AND(Y440,Z441,M439="",AG439&lt;=Z446)</f>
        <v>0</v>
      </c>
      <c r="AO439" s="488" t="b">
        <f ca="1">AND(Y440,Z441,N439="",AG439&lt;=Z446)</f>
        <v>0</v>
      </c>
      <c r="AQ439" s="326" t="str">
        <f>IF(OR(NOT(Góllista!$E$6),D439=""),"",IF(C439="öngól","ö"&amp;G437&amp;D439,D437&amp;D439))</f>
        <v/>
      </c>
      <c r="AR439" s="326" t="str">
        <f>IF(OR(NOT(Góllista!$E$6),G439=""),"",IF(H439="öngól","ö"&amp;D437&amp;G439,G437&amp;G439))</f>
        <v/>
      </c>
      <c r="AS439" s="326" t="str">
        <f>IF(OR(NOT(Góllista!$E$6),K439=""),"",IF(J439="öngól","ö"&amp;N437&amp;K439,K437&amp;K439))</f>
        <v/>
      </c>
      <c r="AT439" s="326" t="str">
        <f>IF(OR(NOT(Góllista!$E$6),N439=""),"",IF(O439="öngól","ö"&amp;K437&amp;N439,N437&amp;N439))</f>
        <v/>
      </c>
      <c r="AY439" s="323"/>
      <c r="BA439" s="323"/>
      <c r="BC439" s="323"/>
      <c r="BE439" s="323"/>
      <c r="BG439" s="323"/>
      <c r="BI439" s="323"/>
      <c r="BK439" s="323"/>
      <c r="BM439" s="323"/>
      <c r="BO439" s="323"/>
      <c r="BQ439" s="323"/>
      <c r="BS439" s="323"/>
      <c r="BU439" s="323"/>
      <c r="BW439" s="323"/>
      <c r="BY439" s="323"/>
      <c r="CA439" s="323"/>
      <c r="CC439" s="323"/>
      <c r="CE439" s="323"/>
      <c r="CG439" s="323"/>
      <c r="CI439" s="323"/>
      <c r="CK439" s="323"/>
      <c r="CM439" s="323"/>
      <c r="CO439" s="323"/>
      <c r="CQ439" s="323"/>
      <c r="CS439" s="323"/>
      <c r="CU439" s="323"/>
      <c r="CW439" s="323"/>
      <c r="CY439" s="323"/>
      <c r="DA439" s="323"/>
      <c r="DC439" s="323"/>
      <c r="DE439" s="323"/>
      <c r="DG439" s="323"/>
      <c r="DI439" s="323"/>
    </row>
    <row r="440" spans="1:115" ht="12" customHeight="1" x14ac:dyDescent="0.3">
      <c r="A440" s="765"/>
      <c r="C440" s="219"/>
      <c r="D440" s="220"/>
      <c r="E440" s="224"/>
      <c r="F440" s="222"/>
      <c r="G440" s="223"/>
      <c r="H440" s="219"/>
      <c r="J440" s="219"/>
      <c r="K440" s="220"/>
      <c r="L440" s="224"/>
      <c r="M440" s="222"/>
      <c r="N440" s="223"/>
      <c r="O440" s="219"/>
      <c r="V440" s="487" t="s">
        <v>710</v>
      </c>
      <c r="W440" s="489" t="b">
        <f>INDEX(n.er,W439,3)</f>
        <v>0</v>
      </c>
      <c r="X440" s="485" t="str">
        <f>""</f>
        <v/>
      </c>
      <c r="Y440" s="489" t="b">
        <f>INDEX(n.er,Y439,3)</f>
        <v>0</v>
      </c>
      <c r="AB440" s="327" t="e">
        <f>IF(C440="öngól",AC437,AB437)</f>
        <v>#N/A</v>
      </c>
      <c r="AC440" s="327" t="e">
        <f>IF(H440="öngól",AB437,AC437)</f>
        <v>#N/A</v>
      </c>
      <c r="AD440" s="327" t="e">
        <f>IF(J440="öngól",AE437,AD437)</f>
        <v>#N/A</v>
      </c>
      <c r="AE440" s="327" t="e">
        <f>IF(O440="öngól",AD437,AE437)</f>
        <v>#N/A</v>
      </c>
      <c r="AF440" s="325"/>
      <c r="AG440" s="485">
        <v>3</v>
      </c>
      <c r="AH440" s="488" t="b">
        <f ca="1">AND(W440,X441,D440="",AG440&lt;=W446)</f>
        <v>0</v>
      </c>
      <c r="AI440" s="488" t="b">
        <f ca="1">AND(W440,X441,E440="",AG440&lt;=W446)</f>
        <v>0</v>
      </c>
      <c r="AJ440" s="488" t="b">
        <f ca="1">AND(W440,X441,F440="",AG440&lt;=X446)</f>
        <v>0</v>
      </c>
      <c r="AK440" s="488" t="b">
        <f ca="1">AND(W440,X441,G440="",AG440&lt;=X446)</f>
        <v>0</v>
      </c>
      <c r="AL440" s="488" t="b">
        <f ca="1">AND(Y440,Z441,K440="",AG440&lt;=Y446)</f>
        <v>0</v>
      </c>
      <c r="AM440" s="488" t="b">
        <f ca="1">AND(Y440,Z441,L440="",AG440&lt;=Y446)</f>
        <v>0</v>
      </c>
      <c r="AN440" s="488" t="b">
        <f ca="1">AND(Y440,Z441,M440="",AG440&lt;=Z446)</f>
        <v>0</v>
      </c>
      <c r="AO440" s="488" t="b">
        <f ca="1">AND(Y440,Z441,N440="",AG440&lt;=Z446)</f>
        <v>0</v>
      </c>
      <c r="AQ440" s="326" t="str">
        <f>IF(OR(NOT(Góllista!$E$6),D440=""),"",IF(C440="öngól","ö"&amp;G437&amp;D440,D437&amp;D440))</f>
        <v/>
      </c>
      <c r="AR440" s="326" t="str">
        <f>IF(OR(NOT(Góllista!$E$6),G440=""),"",IF(H440="öngól","ö"&amp;D437&amp;G440,G437&amp;G440))</f>
        <v/>
      </c>
      <c r="AS440" s="326" t="str">
        <f>IF(OR(NOT(Góllista!$E$6),K440=""),"",IF(J440="öngól","ö"&amp;N437&amp;K440,K437&amp;K440))</f>
        <v/>
      </c>
      <c r="AT440" s="326" t="str">
        <f>IF(OR(NOT(Góllista!$E$6),N440=""),"",IF(O440="öngól","ö"&amp;K437&amp;N440,N437&amp;N440))</f>
        <v/>
      </c>
      <c r="AY440" s="323"/>
      <c r="BA440" s="323"/>
      <c r="BC440" s="323"/>
      <c r="BE440" s="323"/>
      <c r="BG440" s="323"/>
      <c r="BI440" s="323"/>
      <c r="BK440" s="323"/>
      <c r="BM440" s="323"/>
      <c r="BO440" s="323"/>
      <c r="BQ440" s="323"/>
      <c r="BS440" s="323"/>
      <c r="BU440" s="323"/>
      <c r="BW440" s="323"/>
      <c r="BY440" s="323"/>
      <c r="CA440" s="323"/>
      <c r="CC440" s="323"/>
      <c r="CE440" s="323"/>
      <c r="CG440" s="323"/>
      <c r="CI440" s="323"/>
      <c r="CK440" s="323"/>
      <c r="CM440" s="323"/>
      <c r="CO440" s="323"/>
      <c r="CQ440" s="323"/>
      <c r="CS440" s="323"/>
      <c r="CU440" s="323"/>
      <c r="CW440" s="323"/>
      <c r="CY440" s="323"/>
      <c r="DA440" s="323"/>
      <c r="DC440" s="323"/>
      <c r="DE440" s="323"/>
      <c r="DG440" s="323"/>
      <c r="DI440" s="323"/>
    </row>
    <row r="441" spans="1:115" ht="12" customHeight="1" x14ac:dyDescent="0.3">
      <c r="A441" s="765"/>
      <c r="C441" s="219"/>
      <c r="D441" s="220"/>
      <c r="E441" s="224"/>
      <c r="F441" s="222"/>
      <c r="G441" s="223"/>
      <c r="H441" s="219"/>
      <c r="J441" s="219"/>
      <c r="K441" s="220"/>
      <c r="L441" s="224"/>
      <c r="M441" s="222"/>
      <c r="N441" s="223"/>
      <c r="O441" s="219"/>
      <c r="V441" s="487" t="s">
        <v>705</v>
      </c>
      <c r="W441" s="490" t="str">
        <f>VLOOKUP(W438,schedule,18,FALSE)</f>
        <v>JÚNIUS 27. – VASÁRNAP 18:00</v>
      </c>
      <c r="X441" s="489" t="b">
        <f ca="1">VLOOKUP(W438,schedule,14,FALSE)&lt;=NOW()</f>
        <v>0</v>
      </c>
      <c r="Y441" s="490" t="str">
        <f>VLOOKUP(Y438,schedule,18,FALSE)</f>
        <v>JÚNIUS 27. – VASÁRNAP 21:00</v>
      </c>
      <c r="Z441" s="489" t="b">
        <f ca="1">VLOOKUP(Y438,schedule,14,FALSE)&lt;=NOW()</f>
        <v>0</v>
      </c>
      <c r="AB441" s="327" t="e">
        <f>IF(C441="öngól",AC437,AB437)</f>
        <v>#N/A</v>
      </c>
      <c r="AC441" s="327" t="e">
        <f>IF(H441="öngól",AB437,AC437)</f>
        <v>#N/A</v>
      </c>
      <c r="AD441" s="327" t="e">
        <f>IF(J441="öngól",AE437,AD437)</f>
        <v>#N/A</v>
      </c>
      <c r="AE441" s="327" t="e">
        <f>IF(O441="öngól",AD437,AE437)</f>
        <v>#N/A</v>
      </c>
      <c r="AF441" s="325"/>
      <c r="AG441" s="485">
        <v>4</v>
      </c>
      <c r="AH441" s="488" t="b">
        <f ca="1">AND(W440,X441,D441="",AG441&lt;=W446)</f>
        <v>0</v>
      </c>
      <c r="AI441" s="488" t="b">
        <f ca="1">AND(W440,X441,E441="",AG441&lt;=W446)</f>
        <v>0</v>
      </c>
      <c r="AJ441" s="488" t="b">
        <f ca="1">AND(W440,X441,F441="",AG441&lt;=X446)</f>
        <v>0</v>
      </c>
      <c r="AK441" s="488" t="b">
        <f ca="1">AND(W440,X441,G441="",AG441&lt;=X446)</f>
        <v>0</v>
      </c>
      <c r="AL441" s="488" t="b">
        <f ca="1">AND(Y440,Z441,K441="",AG441&lt;=Y446)</f>
        <v>0</v>
      </c>
      <c r="AM441" s="488" t="b">
        <f ca="1">AND(Y440,Z441,L441="",AG441&lt;=Y446)</f>
        <v>0</v>
      </c>
      <c r="AN441" s="488" t="b">
        <f ca="1">AND(Y440,Z441,M441="",AG441&lt;=Z446)</f>
        <v>0</v>
      </c>
      <c r="AO441" s="488" t="b">
        <f ca="1">AND(Y440,Z441,N441="",AG441&lt;=Z446)</f>
        <v>0</v>
      </c>
      <c r="AQ441" s="326" t="str">
        <f>IF(OR(NOT(Góllista!$E$6),D441=""),"",IF(C441="öngól","ö"&amp;G437&amp;D441,D437&amp;D441))</f>
        <v/>
      </c>
      <c r="AR441" s="326" t="str">
        <f>IF(OR(NOT(Góllista!$E$6),G441=""),"",IF(H441="öngól","ö"&amp;D437&amp;G441,G437&amp;G441))</f>
        <v/>
      </c>
      <c r="AS441" s="326" t="str">
        <f>IF(OR(NOT(Góllista!$E$6),K441=""),"",IF(J441="öngól","ö"&amp;N437&amp;K441,K437&amp;K441))</f>
        <v/>
      </c>
      <c r="AT441" s="326" t="str">
        <f>IF(OR(NOT(Góllista!$E$6),N441=""),"",IF(O441="öngól","ö"&amp;K437&amp;N441,N437&amp;N441))</f>
        <v/>
      </c>
      <c r="AY441" s="323"/>
      <c r="BA441" s="323"/>
      <c r="BC441" s="323"/>
      <c r="BE441" s="323"/>
      <c r="BG441" s="323"/>
      <c r="BI441" s="323"/>
      <c r="BK441" s="323"/>
      <c r="BM441" s="323"/>
      <c r="BO441" s="323"/>
      <c r="BQ441" s="323"/>
      <c r="BS441" s="323"/>
      <c r="BU441" s="323"/>
      <c r="BW441" s="323"/>
      <c r="BY441" s="323"/>
      <c r="CA441" s="323"/>
      <c r="CC441" s="323"/>
      <c r="CE441" s="323"/>
      <c r="CG441" s="323"/>
      <c r="CI441" s="323"/>
      <c r="CK441" s="323"/>
      <c r="CM441" s="323"/>
      <c r="CO441" s="323"/>
      <c r="CQ441" s="323"/>
      <c r="CS441" s="323"/>
      <c r="CU441" s="323"/>
      <c r="CW441" s="323"/>
      <c r="CY441" s="323"/>
      <c r="DA441" s="323"/>
      <c r="DC441" s="323"/>
      <c r="DE441" s="323"/>
      <c r="DG441" s="323"/>
      <c r="DI441" s="323"/>
    </row>
    <row r="442" spans="1:115" ht="12" customHeight="1" x14ac:dyDescent="0.3">
      <c r="A442" s="765"/>
      <c r="C442" s="219"/>
      <c r="D442" s="220"/>
      <c r="E442" s="224"/>
      <c r="F442" s="222"/>
      <c r="G442" s="223"/>
      <c r="H442" s="219"/>
      <c r="J442" s="219"/>
      <c r="K442" s="220"/>
      <c r="L442" s="224"/>
      <c r="M442" s="222"/>
      <c r="N442" s="223"/>
      <c r="O442" s="219"/>
      <c r="V442" s="487" t="s">
        <v>1265</v>
      </c>
      <c r="W442" s="491" t="str">
        <f>VLOOKUP(W438,schedule,12,FALSE)</f>
        <v>NYOLCADDÖNTŐ</v>
      </c>
      <c r="X442" s="485" t="str">
        <f>""</f>
        <v/>
      </c>
      <c r="Y442" s="491" t="str">
        <f>VLOOKUP(Y438,schedule,12,FALSE)</f>
        <v>NYOLCADDÖNTŐ</v>
      </c>
      <c r="AB442" s="327" t="e">
        <f>IF(C442="öngól",AC437,AB437)</f>
        <v>#N/A</v>
      </c>
      <c r="AC442" s="327" t="e">
        <f>IF(H442="öngól",AB437,AC437)</f>
        <v>#N/A</v>
      </c>
      <c r="AD442" s="327" t="e">
        <f>IF(J442="öngól",AE437,AD437)</f>
        <v>#N/A</v>
      </c>
      <c r="AE442" s="327" t="e">
        <f>IF(O442="öngól",AD437,AE437)</f>
        <v>#N/A</v>
      </c>
      <c r="AF442" s="325"/>
      <c r="AG442" s="485">
        <v>5</v>
      </c>
      <c r="AH442" s="488" t="b">
        <f ca="1">AND(W440,X441,D442="",AG442&lt;=W446)</f>
        <v>0</v>
      </c>
      <c r="AI442" s="488" t="b">
        <f ca="1">AND(W440,X441,E442="",AG442&lt;=W446)</f>
        <v>0</v>
      </c>
      <c r="AJ442" s="488" t="b">
        <f ca="1">AND(W440,X441,F442="",AG442&lt;=X446)</f>
        <v>0</v>
      </c>
      <c r="AK442" s="488" t="b">
        <f ca="1">AND(W440,X441,G442="",AG442&lt;=X446)</f>
        <v>0</v>
      </c>
      <c r="AL442" s="488" t="b">
        <f ca="1">AND(Y440,Z441,K442="",AG442&lt;=Y446)</f>
        <v>0</v>
      </c>
      <c r="AM442" s="488" t="b">
        <f ca="1">AND(Y440,Z441,L442="",AG442&lt;=Y446)</f>
        <v>0</v>
      </c>
      <c r="AN442" s="488" t="b">
        <f ca="1">AND(Y440,Z441,M442="",AG442&lt;=Z446)</f>
        <v>0</v>
      </c>
      <c r="AO442" s="488" t="b">
        <f ca="1">AND(Y440,Z441,N442="",AG442&lt;=Z446)</f>
        <v>0</v>
      </c>
      <c r="AQ442" s="326" t="str">
        <f>IF(OR(NOT(Góllista!$E$6),D442=""),"",IF(C442="öngól","ö"&amp;G437&amp;D442,D437&amp;D442))</f>
        <v/>
      </c>
      <c r="AR442" s="326" t="str">
        <f>IF(OR(NOT(Góllista!$E$6),G442=""),"",IF(H442="öngól","ö"&amp;D437&amp;G442,G437&amp;G442))</f>
        <v/>
      </c>
      <c r="AS442" s="326" t="str">
        <f>IF(OR(NOT(Góllista!$E$6),K442=""),"",IF(J442="öngól","ö"&amp;N437&amp;K442,K437&amp;K442))</f>
        <v/>
      </c>
      <c r="AT442" s="326" t="str">
        <f>IF(OR(NOT(Góllista!$E$6),N442=""),"",IF(O442="öngól","ö"&amp;K437&amp;N442,N437&amp;N442))</f>
        <v/>
      </c>
      <c r="AY442" s="323"/>
      <c r="BA442" s="323"/>
      <c r="BC442" s="323"/>
      <c r="BE442" s="323"/>
      <c r="BG442" s="323"/>
      <c r="BI442" s="323"/>
      <c r="BK442" s="323"/>
      <c r="BM442" s="323"/>
      <c r="BO442" s="323"/>
      <c r="BQ442" s="323"/>
      <c r="BS442" s="323"/>
      <c r="BU442" s="323"/>
      <c r="BW442" s="323"/>
      <c r="BY442" s="323"/>
      <c r="CA442" s="323"/>
      <c r="CC442" s="323"/>
      <c r="CE442" s="323"/>
      <c r="CG442" s="323"/>
      <c r="CI442" s="323"/>
      <c r="CK442" s="323"/>
      <c r="CM442" s="323"/>
      <c r="CO442" s="323"/>
      <c r="CQ442" s="323"/>
      <c r="CS442" s="323"/>
      <c r="CU442" s="323"/>
      <c r="CW442" s="323"/>
      <c r="CY442" s="323"/>
      <c r="DA442" s="323"/>
      <c r="DC442" s="323"/>
      <c r="DE442" s="323"/>
      <c r="DG442" s="323"/>
      <c r="DI442" s="323"/>
    </row>
    <row r="443" spans="1:115" ht="12" customHeight="1" x14ac:dyDescent="0.3">
      <c r="A443" s="765"/>
      <c r="C443" s="219"/>
      <c r="D443" s="220"/>
      <c r="E443" s="224"/>
      <c r="F443" s="222"/>
      <c r="G443" s="223"/>
      <c r="H443" s="219"/>
      <c r="J443" s="219"/>
      <c r="K443" s="220"/>
      <c r="L443" s="224"/>
      <c r="M443" s="222"/>
      <c r="N443" s="223"/>
      <c r="O443" s="219"/>
      <c r="V443" s="487" t="s">
        <v>1264</v>
      </c>
      <c r="W443" s="327" t="str">
        <f>VLOOKUP(W438,schedule,3,FALSE)</f>
        <v>7/8</v>
      </c>
      <c r="X443" s="485" t="str">
        <f>""</f>
        <v/>
      </c>
      <c r="Y443" s="327" t="str">
        <f>VLOOKUP(Y438,schedule,3,FALSE)</f>
        <v>1/8</v>
      </c>
      <c r="AB443" s="327" t="e">
        <f>IF(C443="öngól",AC437,AB437)</f>
        <v>#N/A</v>
      </c>
      <c r="AC443" s="327" t="e">
        <f>IF(H443="öngól",AB437,AC437)</f>
        <v>#N/A</v>
      </c>
      <c r="AD443" s="327" t="e">
        <f>IF(J443="öngól",AE437,AD437)</f>
        <v>#N/A</v>
      </c>
      <c r="AE443" s="327" t="e">
        <f>IF(O443="öngól",AD437,AE437)</f>
        <v>#N/A</v>
      </c>
      <c r="AF443" s="325"/>
      <c r="AG443" s="485">
        <v>6</v>
      </c>
      <c r="AH443" s="488" t="b">
        <f ca="1">AND(W440,X441,D443="",AG443&lt;=W446)</f>
        <v>0</v>
      </c>
      <c r="AI443" s="488" t="b">
        <f ca="1">AND(W440,X441,E443="",AG443&lt;=W446)</f>
        <v>0</v>
      </c>
      <c r="AJ443" s="488" t="b">
        <f ca="1">AND(W440,X441,F443="",AG443&lt;=X446)</f>
        <v>0</v>
      </c>
      <c r="AK443" s="488" t="b">
        <f ca="1">AND(W440,X441,G443="",AG443&lt;=X446)</f>
        <v>0</v>
      </c>
      <c r="AL443" s="488" t="b">
        <f ca="1">AND(Y440,Z441,K443="",AG443&lt;=Y446)</f>
        <v>0</v>
      </c>
      <c r="AM443" s="488" t="b">
        <f ca="1">AND(Y440,Z441,L443="",AG443&lt;=Y446)</f>
        <v>0</v>
      </c>
      <c r="AN443" s="488" t="b">
        <f ca="1">AND(Y440,Z441,M443="",AG443&lt;=Z446)</f>
        <v>0</v>
      </c>
      <c r="AO443" s="488" t="b">
        <f ca="1">AND(Y440,Z441,N443="",AG443&lt;=Z446)</f>
        <v>0</v>
      </c>
      <c r="AQ443" s="326" t="str">
        <f>IF(OR(NOT(Góllista!$E$6),D443=""),"",IF(C443="öngól","ö"&amp;G437&amp;D443,D437&amp;D443))</f>
        <v/>
      </c>
      <c r="AR443" s="326" t="str">
        <f>IF(OR(NOT(Góllista!$E$6),G443=""),"",IF(H443="öngól","ö"&amp;D437&amp;G443,G437&amp;G443))</f>
        <v/>
      </c>
      <c r="AS443" s="326" t="str">
        <f>IF(OR(NOT(Góllista!$E$6),K443=""),"",IF(J443="öngól","ö"&amp;N437&amp;K443,K437&amp;K443))</f>
        <v/>
      </c>
      <c r="AT443" s="326" t="str">
        <f>IF(OR(NOT(Góllista!$E$6),N443=""),"",IF(O443="öngól","ö"&amp;K437&amp;N443,N437&amp;N443))</f>
        <v/>
      </c>
      <c r="AY443" s="323"/>
      <c r="BA443" s="323"/>
      <c r="BC443" s="323"/>
      <c r="BE443" s="323"/>
      <c r="BG443" s="323"/>
      <c r="BI443" s="323"/>
      <c r="BK443" s="323"/>
      <c r="BM443" s="323"/>
      <c r="BO443" s="323"/>
      <c r="BQ443" s="323"/>
      <c r="BS443" s="323"/>
      <c r="BU443" s="323"/>
      <c r="BW443" s="323"/>
      <c r="BY443" s="323"/>
      <c r="CA443" s="323"/>
      <c r="CC443" s="323"/>
      <c r="CE443" s="323"/>
      <c r="CG443" s="323"/>
      <c r="CI443" s="323"/>
      <c r="CK443" s="323"/>
      <c r="CM443" s="323"/>
      <c r="CO443" s="323"/>
      <c r="CQ443" s="323"/>
      <c r="CS443" s="323"/>
      <c r="CU443" s="323"/>
      <c r="CW443" s="323"/>
      <c r="CY443" s="323"/>
      <c r="DA443" s="323"/>
      <c r="DC443" s="323"/>
      <c r="DE443" s="323"/>
      <c r="DG443" s="323"/>
      <c r="DI443" s="323"/>
    </row>
    <row r="444" spans="1:115" ht="12" customHeight="1" x14ac:dyDescent="0.3">
      <c r="A444" s="765"/>
      <c r="C444" s="219"/>
      <c r="D444" s="220"/>
      <c r="E444" s="224"/>
      <c r="F444" s="222"/>
      <c r="G444" s="223"/>
      <c r="H444" s="219"/>
      <c r="J444" s="219"/>
      <c r="K444" s="220"/>
      <c r="L444" s="224"/>
      <c r="M444" s="222"/>
      <c r="N444" s="223"/>
      <c r="O444" s="219"/>
      <c r="V444" s="485" t="s">
        <v>707</v>
      </c>
      <c r="W444" s="327">
        <f>IF(NOT(W440),0,E437-9+COUNTBLANK(D438:D446))</f>
        <v>0</v>
      </c>
      <c r="X444" s="327">
        <f>IF(NOT(W440),0,F437-9+COUNTBLANK(G438:G446))</f>
        <v>0</v>
      </c>
      <c r="Y444" s="327">
        <f>IF(NOT(Y440),0,L437-9+COUNTBLANK(K438:K446))</f>
        <v>0</v>
      </c>
      <c r="Z444" s="327">
        <f>IF(NOT(Y440),0,M437-9+COUNTBLANK(N438:N446))</f>
        <v>0</v>
      </c>
      <c r="AB444" s="327" t="e">
        <f>IF(C444="öngól",AC437,AB437)</f>
        <v>#N/A</v>
      </c>
      <c r="AC444" s="327" t="e">
        <f>IF(H444="öngól",AB437,AC437)</f>
        <v>#N/A</v>
      </c>
      <c r="AD444" s="327" t="e">
        <f>IF(J444="öngól",AE437,AD437)</f>
        <v>#N/A</v>
      </c>
      <c r="AE444" s="327" t="e">
        <f>IF(O444="öngól",AD437,AE437)</f>
        <v>#N/A</v>
      </c>
      <c r="AF444" s="325"/>
      <c r="AG444" s="485">
        <v>7</v>
      </c>
      <c r="AH444" s="488" t="b">
        <f ca="1">AND(W440,X441,D444="",AG444&lt;=W446)</f>
        <v>0</v>
      </c>
      <c r="AI444" s="488" t="b">
        <f ca="1">AND(W440,X441,E444="",AG444&lt;=W446)</f>
        <v>0</v>
      </c>
      <c r="AJ444" s="488" t="b">
        <f ca="1">AND(W440,X441,F444="",AG444&lt;=X446)</f>
        <v>0</v>
      </c>
      <c r="AK444" s="488" t="b">
        <f ca="1">AND(W440,X441,G444="",AG444&lt;=X446)</f>
        <v>0</v>
      </c>
      <c r="AL444" s="488" t="b">
        <f ca="1">AND(Y440,Z441,K444="",AG444&lt;=Y446)</f>
        <v>0</v>
      </c>
      <c r="AM444" s="488" t="b">
        <f ca="1">AND(Y440,Z441,L444="",AG444&lt;=Y446)</f>
        <v>0</v>
      </c>
      <c r="AN444" s="488" t="b">
        <f ca="1">AND(Y440,Z441,M444="",AG444&lt;=Z446)</f>
        <v>0</v>
      </c>
      <c r="AO444" s="488" t="b">
        <f ca="1">AND(Y440,Z441,N444="",AG444&lt;=Z446)</f>
        <v>0</v>
      </c>
      <c r="AQ444" s="326" t="str">
        <f>IF(OR(NOT(Góllista!$E$6),D444=""),"",IF(C444="öngól","ö"&amp;G437&amp;D444,D437&amp;D444))</f>
        <v/>
      </c>
      <c r="AR444" s="326" t="str">
        <f>IF(OR(NOT(Góllista!$E$6),G444=""),"",IF(H444="öngól","ö"&amp;D437&amp;G444,G437&amp;G444))</f>
        <v/>
      </c>
      <c r="AS444" s="326" t="str">
        <f>IF(OR(NOT(Góllista!$E$6),K444=""),"",IF(J444="öngól","ö"&amp;N437&amp;K444,K437&amp;K444))</f>
        <v/>
      </c>
      <c r="AT444" s="326" t="str">
        <f>IF(OR(NOT(Góllista!$E$6),N444=""),"",IF(O444="öngól","ö"&amp;K437&amp;N444,N437&amp;N444))</f>
        <v/>
      </c>
      <c r="AY444" s="323"/>
      <c r="BA444" s="323"/>
      <c r="BC444" s="323"/>
      <c r="BE444" s="323"/>
      <c r="BG444" s="323"/>
      <c r="BI444" s="323"/>
      <c r="BK444" s="323"/>
      <c r="BM444" s="323"/>
      <c r="BO444" s="323"/>
      <c r="BQ444" s="323"/>
      <c r="BS444" s="323"/>
      <c r="BU444" s="323"/>
      <c r="BW444" s="323"/>
      <c r="BY444" s="323"/>
      <c r="CA444" s="323"/>
      <c r="CC444" s="323"/>
      <c r="CE444" s="323"/>
      <c r="CG444" s="323"/>
      <c r="CI444" s="323"/>
      <c r="CK444" s="323"/>
      <c r="CM444" s="323"/>
      <c r="CO444" s="323"/>
      <c r="CQ444" s="323"/>
      <c r="CS444" s="323"/>
      <c r="CU444" s="323"/>
      <c r="CW444" s="323"/>
      <c r="CY444" s="323"/>
      <c r="DA444" s="323"/>
      <c r="DC444" s="323"/>
      <c r="DE444" s="323"/>
      <c r="DG444" s="323"/>
      <c r="DI444" s="323"/>
    </row>
    <row r="445" spans="1:115" ht="12" customHeight="1" x14ac:dyDescent="0.3">
      <c r="A445" s="765"/>
      <c r="C445" s="219"/>
      <c r="D445" s="220"/>
      <c r="E445" s="224"/>
      <c r="F445" s="222"/>
      <c r="G445" s="223"/>
      <c r="H445" s="219"/>
      <c r="J445" s="219"/>
      <c r="K445" s="220"/>
      <c r="L445" s="224"/>
      <c r="M445" s="222"/>
      <c r="N445" s="223"/>
      <c r="O445" s="219"/>
      <c r="V445" s="485" t="s">
        <v>708</v>
      </c>
      <c r="W445" s="411" t="str">
        <f>VLOOKUP(W438,schedule,8,FALSE)</f>
        <v>C csoport 1. hely</v>
      </c>
      <c r="X445" s="411" t="str">
        <f>VLOOKUP(W438,schedule,9,FALSE)</f>
        <v>D/E/F csoport 3. hely</v>
      </c>
      <c r="Y445" s="411" t="str">
        <f>VLOOKUP(Y438,schedule,8,FALSE)</f>
        <v>B csoport 1. hely</v>
      </c>
      <c r="Z445" s="491" t="str">
        <f>VLOOKUP(Y438,schedule,9,FALSE)</f>
        <v>A/D/E/F csoport 3. hely</v>
      </c>
      <c r="AB445" s="327" t="e">
        <f>IF(C445="öngól",AC437,AB437)</f>
        <v>#N/A</v>
      </c>
      <c r="AC445" s="327" t="e">
        <f>IF(H445="öngól",AB437,AC437)</f>
        <v>#N/A</v>
      </c>
      <c r="AD445" s="327" t="e">
        <f>IF(J445="öngól",AE437,AD437)</f>
        <v>#N/A</v>
      </c>
      <c r="AE445" s="327" t="e">
        <f>IF(O445="öngól",AD437,AE437)</f>
        <v>#N/A</v>
      </c>
      <c r="AF445" s="325"/>
      <c r="AG445" s="485">
        <v>8</v>
      </c>
      <c r="AH445" s="488" t="b">
        <f ca="1">AND(W440,X441,D445="",AG445&lt;=W446)</f>
        <v>0</v>
      </c>
      <c r="AI445" s="488" t="b">
        <f ca="1">AND(W440,X441,E445="",AG445&lt;=W446)</f>
        <v>0</v>
      </c>
      <c r="AJ445" s="488" t="b">
        <f ca="1">AND(W440,X441,F445="",AG445&lt;=X446)</f>
        <v>0</v>
      </c>
      <c r="AK445" s="488" t="b">
        <f ca="1">AND(W440,X441,G445="",AG445&lt;=X446)</f>
        <v>0</v>
      </c>
      <c r="AL445" s="488" t="b">
        <f ca="1">AND(Y440,Z441,K445="",AG445&lt;=Y446)</f>
        <v>0</v>
      </c>
      <c r="AM445" s="488" t="b">
        <f ca="1">AND(Y440,Z441,L445="",AG445&lt;=Y446)</f>
        <v>0</v>
      </c>
      <c r="AN445" s="488" t="b">
        <f ca="1">AND(Y440,Z441,M445="",AG445&lt;=Z446)</f>
        <v>0</v>
      </c>
      <c r="AO445" s="488" t="b">
        <f ca="1">AND(Y440,Z441,N445="",AG445&lt;=Z446)</f>
        <v>0</v>
      </c>
      <c r="AQ445" s="326" t="str">
        <f>IF(OR(NOT(Góllista!$E$6),D445=""),"",IF(C445="öngól","ö"&amp;G437&amp;D445,D437&amp;D445))</f>
        <v/>
      </c>
      <c r="AR445" s="326" t="str">
        <f>IF(OR(NOT(Góllista!$E$6),G445=""),"",IF(H445="öngól","ö"&amp;D437&amp;G445,G437&amp;G445))</f>
        <v/>
      </c>
      <c r="AS445" s="326" t="str">
        <f>IF(OR(NOT(Góllista!$E$6),K445=""),"",IF(J445="öngól","ö"&amp;N437&amp;K445,K437&amp;K445))</f>
        <v/>
      </c>
      <c r="AT445" s="326" t="str">
        <f>IF(OR(NOT(Góllista!$E$6),N445=""),"",IF(O445="öngól","ö"&amp;K437&amp;N445,N437&amp;N445))</f>
        <v/>
      </c>
      <c r="AY445" s="323"/>
      <c r="BA445" s="323"/>
      <c r="BC445" s="323"/>
      <c r="BE445" s="323"/>
      <c r="BG445" s="323"/>
      <c r="BI445" s="323"/>
      <c r="BK445" s="323"/>
      <c r="BM445" s="323"/>
      <c r="BO445" s="323"/>
      <c r="BQ445" s="323"/>
      <c r="BS445" s="323"/>
      <c r="BU445" s="323"/>
      <c r="BW445" s="323"/>
      <c r="BY445" s="323"/>
      <c r="CA445" s="323"/>
      <c r="CC445" s="323"/>
      <c r="CE445" s="323"/>
      <c r="CG445" s="323"/>
      <c r="CI445" s="323"/>
      <c r="CK445" s="323"/>
      <c r="CM445" s="323"/>
      <c r="CO445" s="323"/>
      <c r="CQ445" s="323"/>
      <c r="CS445" s="323"/>
      <c r="CU445" s="323"/>
      <c r="CW445" s="323"/>
      <c r="CY445" s="323"/>
      <c r="DA445" s="323"/>
      <c r="DC445" s="323"/>
      <c r="DE445" s="323"/>
      <c r="DG445" s="323"/>
      <c r="DI445" s="323"/>
    </row>
    <row r="446" spans="1:115" ht="12" customHeight="1" x14ac:dyDescent="0.3">
      <c r="A446" s="765"/>
      <c r="C446" s="219"/>
      <c r="D446" s="220"/>
      <c r="E446" s="225"/>
      <c r="F446" s="222"/>
      <c r="G446" s="223"/>
      <c r="H446" s="219"/>
      <c r="J446" s="219"/>
      <c r="K446" s="220"/>
      <c r="L446" s="225"/>
      <c r="M446" s="222"/>
      <c r="N446" s="223"/>
      <c r="O446" s="219"/>
      <c r="V446" s="485" t="s">
        <v>709</v>
      </c>
      <c r="W446" s="492" t="str">
        <f>INDEX(n.er,W439,9)</f>
        <v/>
      </c>
      <c r="X446" s="493" t="str">
        <f>INDEX(n.er,W439,10)</f>
        <v/>
      </c>
      <c r="Y446" s="492" t="str">
        <f>INDEX(n.er,Y439,9)</f>
        <v/>
      </c>
      <c r="Z446" s="493" t="str">
        <f>INDEX(n.er,Y439,10)</f>
        <v/>
      </c>
      <c r="AB446" s="327" t="e">
        <f>IF(C446="öngól",AC437,AB437)</f>
        <v>#N/A</v>
      </c>
      <c r="AC446" s="327" t="e">
        <f>IF(H446="öngól",AB437,AC437)</f>
        <v>#N/A</v>
      </c>
      <c r="AD446" s="327" t="e">
        <f>IF(J446="öngól",AE437,AD437)</f>
        <v>#N/A</v>
      </c>
      <c r="AE446" s="327" t="e">
        <f>IF(O446="öngól",AD437,AE437)</f>
        <v>#N/A</v>
      </c>
      <c r="AF446" s="325"/>
      <c r="AG446" s="485">
        <v>9</v>
      </c>
      <c r="AH446" s="488" t="b">
        <f ca="1">AND(W440,X441,D446="",AG446&lt;=W446)</f>
        <v>0</v>
      </c>
      <c r="AI446" s="488" t="b">
        <f ca="1">AND(W440,X441,E446="",AG446&lt;=W446)</f>
        <v>0</v>
      </c>
      <c r="AJ446" s="488" t="b">
        <f ca="1">AND(W440,X441,F446="",AG446&lt;=X446)</f>
        <v>0</v>
      </c>
      <c r="AK446" s="488" t="b">
        <f ca="1">AND(W440,X441,G446="",AG446&lt;=X446)</f>
        <v>0</v>
      </c>
      <c r="AL446" s="488" t="b">
        <f ca="1">AND(Y440,Z441,K446="",AG446&lt;=Y446)</f>
        <v>0</v>
      </c>
      <c r="AM446" s="488" t="b">
        <f ca="1">AND(Y440,Z441,L446="",AG446&lt;=Y446)</f>
        <v>0</v>
      </c>
      <c r="AN446" s="488" t="b">
        <f ca="1">AND(Y440,Z441,M446="",AG446&lt;=Z446)</f>
        <v>0</v>
      </c>
      <c r="AO446" s="488" t="b">
        <f ca="1">AND(Y440,Z441,N446="",AG446&lt;=Z446)</f>
        <v>0</v>
      </c>
      <c r="AQ446" s="326" t="str">
        <f>IF(OR(NOT(Góllista!$E$6),D446=""),"",IF(C446="öngól","ö"&amp;G437&amp;D446,D437&amp;D446))</f>
        <v/>
      </c>
      <c r="AR446" s="326" t="str">
        <f>IF(OR(NOT(Góllista!$E$6),G446=""),"",IF(H446="öngól","ö"&amp;D437&amp;G446,G437&amp;G446))</f>
        <v/>
      </c>
      <c r="AS446" s="326" t="str">
        <f>IF(OR(NOT(Góllista!$E$6),K446=""),"",IF(J446="öngól","ö"&amp;N437&amp;K446,K437&amp;K446))</f>
        <v/>
      </c>
      <c r="AT446" s="326" t="str">
        <f>IF(OR(NOT(Góllista!$E$6),N446=""),"",IF(O446="öngól","ö"&amp;K437&amp;N446,N437&amp;N446))</f>
        <v/>
      </c>
      <c r="AY446" s="323"/>
      <c r="BA446" s="323"/>
      <c r="BC446" s="323"/>
      <c r="BE446" s="323"/>
      <c r="BG446" s="323"/>
      <c r="BI446" s="323"/>
      <c r="BK446" s="323"/>
      <c r="BM446" s="323"/>
      <c r="BO446" s="323"/>
      <c r="BQ446" s="323"/>
      <c r="BS446" s="323"/>
      <c r="BU446" s="323"/>
      <c r="BW446" s="323"/>
      <c r="BY446" s="323"/>
      <c r="CA446" s="323"/>
      <c r="CC446" s="323"/>
      <c r="CE446" s="323"/>
      <c r="CG446" s="323"/>
      <c r="CI446" s="323"/>
      <c r="CK446" s="323"/>
      <c r="CM446" s="323"/>
      <c r="CO446" s="323"/>
      <c r="CQ446" s="323"/>
      <c r="CS446" s="323"/>
      <c r="CU446" s="323"/>
      <c r="CW446" s="323"/>
      <c r="CY446" s="323"/>
      <c r="DA446" s="323"/>
      <c r="DC446" s="323"/>
      <c r="DE446" s="323"/>
      <c r="DG446" s="323"/>
      <c r="DI446" s="323"/>
    </row>
    <row r="447" spans="1:115" ht="12" customHeight="1" x14ac:dyDescent="0.3">
      <c r="A447" s="765"/>
      <c r="C447" s="768"/>
      <c r="D447" s="768"/>
      <c r="E447" s="768"/>
      <c r="F447" s="768"/>
      <c r="G447" s="768"/>
      <c r="H447" s="768"/>
      <c r="J447" s="768"/>
      <c r="K447" s="768"/>
      <c r="L447" s="768"/>
      <c r="M447" s="768"/>
      <c r="N447" s="768"/>
      <c r="O447" s="768"/>
      <c r="AY447" s="323"/>
      <c r="BA447" s="323"/>
      <c r="BC447" s="323"/>
      <c r="BE447" s="323"/>
      <c r="BG447" s="323"/>
      <c r="BI447" s="323"/>
      <c r="BK447" s="323"/>
      <c r="BM447" s="323"/>
      <c r="BO447" s="323"/>
      <c r="BQ447" s="323"/>
      <c r="BS447" s="323"/>
      <c r="BU447" s="323"/>
      <c r="BW447" s="323"/>
      <c r="BY447" s="323"/>
      <c r="CA447" s="323"/>
      <c r="CC447" s="323"/>
      <c r="CE447" s="323"/>
      <c r="CG447" s="323"/>
      <c r="CI447" s="323"/>
      <c r="CK447" s="323"/>
      <c r="CM447" s="323"/>
      <c r="CO447" s="323"/>
      <c r="CQ447" s="323"/>
      <c r="CS447" s="323"/>
      <c r="CU447" s="323"/>
      <c r="CW447" s="323"/>
      <c r="CY447" s="323"/>
      <c r="DA447" s="323"/>
      <c r="DC447" s="323"/>
      <c r="DE447" s="323"/>
      <c r="DG447" s="323"/>
      <c r="DI447" s="323"/>
    </row>
    <row r="448" spans="1:115" ht="12" hidden="1" customHeight="1" x14ac:dyDescent="0.3">
      <c r="A448" s="765"/>
      <c r="C448" s="767"/>
      <c r="D448" s="767"/>
      <c r="E448" s="767"/>
      <c r="F448" s="767"/>
      <c r="G448" s="767"/>
      <c r="H448" s="767"/>
      <c r="J448" s="767"/>
      <c r="K448" s="767"/>
      <c r="L448" s="767"/>
      <c r="M448" s="767"/>
      <c r="N448" s="767"/>
      <c r="O448" s="767"/>
      <c r="AY448" s="323"/>
      <c r="BA448" s="323"/>
      <c r="BC448" s="323"/>
      <c r="BE448" s="323"/>
      <c r="BG448" s="323"/>
      <c r="BI448" s="323"/>
      <c r="BK448" s="323"/>
      <c r="BM448" s="323"/>
      <c r="BO448" s="323"/>
      <c r="BQ448" s="323"/>
      <c r="BS448" s="323"/>
      <c r="BU448" s="323"/>
      <c r="BW448" s="323"/>
      <c r="BY448" s="323"/>
      <c r="CA448" s="323"/>
      <c r="CC448" s="323"/>
      <c r="CE448" s="323"/>
      <c r="CG448" s="323"/>
      <c r="CI448" s="323"/>
      <c r="CK448" s="323"/>
      <c r="CM448" s="323"/>
      <c r="CO448" s="323"/>
      <c r="CQ448" s="323"/>
      <c r="CS448" s="323"/>
      <c r="CU448" s="323"/>
      <c r="CW448" s="323"/>
      <c r="CY448" s="323"/>
      <c r="DA448" s="323"/>
      <c r="DC448" s="323"/>
      <c r="DE448" s="323"/>
      <c r="DG448" s="323"/>
      <c r="DI448" s="323"/>
    </row>
    <row r="449" spans="1:114" ht="12" hidden="1" customHeight="1" x14ac:dyDescent="0.3">
      <c r="A449" s="765"/>
      <c r="C449" s="767"/>
      <c r="D449" s="767"/>
      <c r="E449" s="767"/>
      <c r="F449" s="767"/>
      <c r="G449" s="767"/>
      <c r="H449" s="767"/>
      <c r="J449" s="767"/>
      <c r="K449" s="767"/>
      <c r="L449" s="767"/>
      <c r="M449" s="767"/>
      <c r="N449" s="767"/>
      <c r="O449" s="767"/>
      <c r="AY449" s="323"/>
      <c r="BA449" s="323"/>
      <c r="BC449" s="323"/>
      <c r="BE449" s="323"/>
      <c r="BG449" s="323"/>
      <c r="BI449" s="323"/>
      <c r="BK449" s="323"/>
      <c r="BM449" s="323"/>
      <c r="BO449" s="323"/>
      <c r="BQ449" s="323"/>
      <c r="BS449" s="323"/>
      <c r="BU449" s="323"/>
      <c r="BW449" s="323"/>
      <c r="BY449" s="323"/>
      <c r="CA449" s="323"/>
      <c r="CC449" s="323"/>
      <c r="CE449" s="323"/>
      <c r="CG449" s="323"/>
      <c r="CI449" s="323"/>
      <c r="CK449" s="323"/>
      <c r="CM449" s="323"/>
      <c r="CO449" s="323"/>
      <c r="CQ449" s="323"/>
      <c r="CS449" s="323"/>
      <c r="CU449" s="323"/>
      <c r="CW449" s="323"/>
      <c r="CY449" s="323"/>
      <c r="DA449" s="323"/>
      <c r="DC449" s="323"/>
      <c r="DE449" s="323"/>
      <c r="DG449" s="323"/>
      <c r="DI449" s="323"/>
    </row>
    <row r="450" spans="1:114" ht="3.75" customHeight="1" x14ac:dyDescent="0.3">
      <c r="A450" s="765"/>
      <c r="AH450" s="494"/>
      <c r="AY450" s="323"/>
      <c r="BA450" s="323"/>
      <c r="BC450" s="323"/>
      <c r="BE450" s="323"/>
      <c r="BG450" s="323"/>
      <c r="BI450" s="323"/>
      <c r="BK450" s="323"/>
      <c r="BM450" s="323"/>
      <c r="BO450" s="323"/>
      <c r="BQ450" s="323"/>
      <c r="BS450" s="323"/>
      <c r="BU450" s="323"/>
      <c r="BW450" s="323"/>
      <c r="BY450" s="323"/>
      <c r="CA450" s="323"/>
      <c r="CC450" s="323"/>
      <c r="CE450" s="323"/>
      <c r="CG450" s="323"/>
      <c r="CI450" s="323"/>
      <c r="CK450" s="323"/>
      <c r="CM450" s="323"/>
      <c r="CO450" s="323"/>
      <c r="CQ450" s="323"/>
      <c r="CS450" s="323"/>
      <c r="CU450" s="323"/>
      <c r="CW450" s="323"/>
      <c r="CY450" s="323"/>
      <c r="DA450" s="323"/>
      <c r="DC450" s="323"/>
      <c r="DE450" s="323"/>
      <c r="DG450" s="323"/>
      <c r="DI450" s="323"/>
    </row>
    <row r="451" spans="1:114" ht="11.25" customHeight="1" x14ac:dyDescent="0.3">
      <c r="A451" s="765"/>
      <c r="B451" s="15"/>
      <c r="D451" s="235"/>
      <c r="E451" s="722" t="str">
        <f>IF(W451,"  BÜNTETŐK:","  BÜNTETŐK:  –")</f>
        <v xml:space="preserve">  BÜNTETŐK:  –</v>
      </c>
      <c r="F451" s="235"/>
      <c r="G451" s="235"/>
      <c r="H451" s="235"/>
      <c r="I451" s="37"/>
      <c r="J451" s="234"/>
      <c r="K451" s="235"/>
      <c r="L451" s="722" t="str">
        <f>IF(AD451,"  BÜNTETŐK:","  BÜNTETŐK:  –")</f>
        <v xml:space="preserve">  BÜNTETŐK:  –</v>
      </c>
      <c r="M451" s="235"/>
      <c r="N451" s="235"/>
      <c r="O451" s="235"/>
      <c r="V451" s="487" t="s">
        <v>712</v>
      </c>
      <c r="W451" s="489" t="b">
        <f>INDEX(n.er,W439,14)</f>
        <v>0</v>
      </c>
      <c r="Y451" s="489" t="b">
        <f>INDEX(n.er,Y439,14)</f>
        <v>0</v>
      </c>
      <c r="AF451" s="325"/>
      <c r="AQ451" s="323"/>
      <c r="AR451" s="323"/>
      <c r="AS451" s="323"/>
      <c r="AT451" s="323"/>
      <c r="AW451" s="485"/>
      <c r="AY451" s="323"/>
      <c r="BA451" s="323"/>
      <c r="BC451" s="323"/>
      <c r="BE451" s="323"/>
      <c r="BG451" s="323"/>
      <c r="BI451" s="323"/>
      <c r="BK451" s="323"/>
      <c r="BM451" s="323"/>
      <c r="BO451" s="323"/>
      <c r="BQ451" s="323"/>
      <c r="BS451" s="323"/>
      <c r="BU451" s="323"/>
      <c r="BW451" s="323"/>
      <c r="BY451" s="323"/>
      <c r="CA451" s="323"/>
      <c r="CC451" s="323"/>
      <c r="CE451" s="323"/>
      <c r="CG451" s="323"/>
      <c r="CI451" s="323"/>
      <c r="CK451" s="323"/>
      <c r="CM451" s="323"/>
      <c r="CO451" s="323"/>
      <c r="CQ451" s="323"/>
      <c r="CS451" s="323"/>
      <c r="CU451" s="323"/>
      <c r="CW451" s="323"/>
      <c r="CY451" s="323"/>
      <c r="DA451" s="323"/>
      <c r="DC451" s="323"/>
      <c r="DE451" s="323"/>
      <c r="DG451" s="323"/>
      <c r="DI451" s="323"/>
      <c r="DJ451" s="485"/>
    </row>
    <row r="452" spans="1:114" ht="11.25" customHeight="1" x14ac:dyDescent="0.3">
      <c r="A452" s="765"/>
      <c r="C452" s="241" t="str">
        <f>IF(W453=0,"",IF(W453&gt;0,CONCATENATE("még ",W453," büntető"),CONCATENATE("túl sok (",W453," büntető)")))</f>
        <v/>
      </c>
      <c r="D452" s="237" t="str">
        <f>IF(W451,W445,"")</f>
        <v/>
      </c>
      <c r="E452" s="239" t="str">
        <f>IF(W451,W452,"")</f>
        <v/>
      </c>
      <c r="F452" s="240" t="str">
        <f>IF(W451,X452,"")</f>
        <v/>
      </c>
      <c r="G452" s="238" t="str">
        <f>IF(W451,X445,"")</f>
        <v/>
      </c>
      <c r="H452" s="241" t="str">
        <f>IF(X453=0,"",IF(X453&gt;0,CONCATENATE("még ",X453," büntető"),CONCATENATE("túl sok (",X453," büntető)")))</f>
        <v/>
      </c>
      <c r="J452" s="241" t="str">
        <f>IF(Y453=0,"",IF(Y453&gt;0,CONCATENATE("még ",Y453," büntető"),CONCATENATE("túl sok (",Y453," büntető)")))</f>
        <v/>
      </c>
      <c r="K452" s="237" t="str">
        <f>IF(Y451,Y445,"")</f>
        <v/>
      </c>
      <c r="L452" s="239" t="str">
        <f>IF(Y451,Y452,"")</f>
        <v/>
      </c>
      <c r="M452" s="240" t="str">
        <f>IF(Y451,Z452,"")</f>
        <v/>
      </c>
      <c r="N452" s="238" t="str">
        <f>IF(Y451,Z445,"")</f>
        <v/>
      </c>
      <c r="O452" s="241" t="str">
        <f>IF(Z453=0,"",IF(Z453&gt;0,CONCATENATE("még ",Z453," büntető"),CONCATENATE("túl sok (",Z453," büntető)")))</f>
        <v/>
      </c>
      <c r="V452" s="487" t="s">
        <v>709</v>
      </c>
      <c r="W452" s="492" t="str">
        <f>IF(NOT(W451),"",INDEX(n.er,W439,17))</f>
        <v/>
      </c>
      <c r="X452" s="493" t="str">
        <f>IF(NOT(W451),"",INDEX(n.er,W439,18))</f>
        <v/>
      </c>
      <c r="Y452" s="492" t="str">
        <f>IF(NOT(Y451),"",INDEX(n.er,Y439,17))</f>
        <v/>
      </c>
      <c r="Z452" s="493" t="str">
        <f>IF(NOT(Y451),"",INDEX(n.er,Y439,18))</f>
        <v/>
      </c>
      <c r="AF452" s="325"/>
      <c r="AH452" s="494"/>
      <c r="AQ452" s="323"/>
      <c r="AR452" s="323"/>
      <c r="AS452" s="323"/>
      <c r="AT452" s="323"/>
      <c r="AW452" s="485"/>
      <c r="AY452" s="323"/>
      <c r="BA452" s="323"/>
      <c r="BC452" s="323"/>
      <c r="BE452" s="323"/>
      <c r="BG452" s="323"/>
      <c r="BI452" s="323"/>
      <c r="BK452" s="323"/>
      <c r="BM452" s="323"/>
      <c r="BO452" s="323"/>
      <c r="BQ452" s="323"/>
      <c r="BS452" s="323"/>
      <c r="BU452" s="323"/>
      <c r="BW452" s="323"/>
      <c r="BY452" s="323"/>
      <c r="CA452" s="323"/>
      <c r="CC452" s="323"/>
      <c r="CE452" s="323"/>
      <c r="CG452" s="323"/>
      <c r="CI452" s="323"/>
      <c r="CK452" s="323"/>
      <c r="CM452" s="323"/>
      <c r="CO452" s="323"/>
      <c r="CQ452" s="323"/>
      <c r="CS452" s="323"/>
      <c r="CU452" s="323"/>
      <c r="CW452" s="323"/>
      <c r="CY452" s="323"/>
      <c r="DA452" s="323"/>
      <c r="DC452" s="323"/>
      <c r="DE452" s="323"/>
      <c r="DG452" s="323"/>
      <c r="DI452" s="323"/>
    </row>
    <row r="453" spans="1:114" ht="11.25" customHeight="1" x14ac:dyDescent="0.3">
      <c r="A453" s="765"/>
      <c r="C453" s="236"/>
      <c r="D453" s="220"/>
      <c r="E453" s="515"/>
      <c r="F453" s="516"/>
      <c r="G453" s="223"/>
      <c r="H453" s="236"/>
      <c r="J453" s="236"/>
      <c r="K453" s="220"/>
      <c r="L453" s="515"/>
      <c r="M453" s="516"/>
      <c r="N453" s="223"/>
      <c r="O453" s="236"/>
      <c r="V453" s="485" t="s">
        <v>707</v>
      </c>
      <c r="W453" s="327">
        <f>IF(W452="",0,E452-COUNTIF(E453:E466,"O"))</f>
        <v>0</v>
      </c>
      <c r="X453" s="327">
        <f>IF(X452="",0,F452-COUNTIF(F453:F466,"O"))</f>
        <v>0</v>
      </c>
      <c r="Y453" s="327">
        <f>IF(Y452="",0,L452-COUNTIF(L453:L468,"O"))</f>
        <v>0</v>
      </c>
      <c r="Z453" s="327">
        <f>IF(Z452="",0,M452-COUNTIF(M453:M468,"O"))</f>
        <v>0</v>
      </c>
      <c r="AB453" s="52" t="str">
        <f>IF(NOT(W451),"",HLOOKUP(D452,nevek.li,2,FALSE))</f>
        <v/>
      </c>
      <c r="AC453" s="52" t="str">
        <f>IF(NOT(W451),"",HLOOKUP(G452,nevek.li,2,FALSE))</f>
        <v/>
      </c>
      <c r="AD453" s="52" t="str">
        <f>IF(NOT(Y451),"",HLOOKUP(K452,nevek.li,2,FALSE))</f>
        <v/>
      </c>
      <c r="AE453" s="52" t="str">
        <f>IF(NOT(Y451),"",HLOOKUP(N452,nevek.li,2,FALSE))</f>
        <v/>
      </c>
      <c r="AF453" s="325"/>
      <c r="AG453" s="485">
        <v>1</v>
      </c>
      <c r="AH453" s="488" t="b">
        <f ca="1">IF(OR(NOT(W451),NOT(X441)),FALSE,D453="")</f>
        <v>0</v>
      </c>
      <c r="AI453" s="488" t="b">
        <f ca="1">IF(OR(NOT(W451),NOT(X441)),FALSE,E453="")</f>
        <v>0</v>
      </c>
      <c r="AJ453" s="488" t="b">
        <f ca="1">IF(OR(NOT(W451),NOT(X441)),FALSE,F453="")</f>
        <v>0</v>
      </c>
      <c r="AK453" s="488" t="b">
        <f ca="1">IF(OR(NOT(W451),NOT(X441)),FALSE,G453="")</f>
        <v>0</v>
      </c>
      <c r="AL453" s="488" t="b">
        <f ca="1">IF(OR(NOT(Y451),NOT(Z441)),FALSE,K453="")</f>
        <v>0</v>
      </c>
      <c r="AM453" s="488" t="b">
        <f ca="1">IF(OR(NOT(Y451),NOT(Z441)),FALSE,L453="")</f>
        <v>0</v>
      </c>
      <c r="AN453" s="488" t="b">
        <f ca="1">IF(OR(NOT(Y451),NOT(Z441)),FALSE,M453="")</f>
        <v>0</v>
      </c>
      <c r="AO453" s="488" t="b">
        <f ca="1">IF(OR(NOT(Y451),NOT(Z441)),FALSE,N453="")</f>
        <v>0</v>
      </c>
      <c r="AS453" s="323"/>
      <c r="AT453" s="323"/>
      <c r="AY453" s="323"/>
      <c r="BA453" s="323"/>
      <c r="BC453" s="323"/>
      <c r="BE453" s="323"/>
      <c r="BG453" s="323"/>
      <c r="BI453" s="323"/>
      <c r="BK453" s="323"/>
      <c r="BM453" s="323"/>
      <c r="BO453" s="323"/>
      <c r="BQ453" s="323"/>
      <c r="BS453" s="323"/>
      <c r="BU453" s="323"/>
      <c r="BW453" s="323"/>
      <c r="BY453" s="323"/>
      <c r="CA453" s="323"/>
      <c r="CC453" s="323"/>
      <c r="CE453" s="323"/>
      <c r="CG453" s="323"/>
      <c r="CI453" s="323"/>
      <c r="CK453" s="323"/>
      <c r="CM453" s="323"/>
      <c r="CO453" s="323"/>
      <c r="CQ453" s="323"/>
      <c r="CS453" s="323"/>
      <c r="CU453" s="323"/>
      <c r="CW453" s="323"/>
      <c r="CY453" s="323"/>
      <c r="DA453" s="323"/>
      <c r="DC453" s="323"/>
      <c r="DE453" s="323"/>
      <c r="DG453" s="323"/>
      <c r="DI453" s="323"/>
      <c r="DJ453" s="485"/>
    </row>
    <row r="454" spans="1:114" ht="11.25" customHeight="1" x14ac:dyDescent="0.3">
      <c r="A454" s="765"/>
      <c r="C454" s="219"/>
      <c r="D454" s="220"/>
      <c r="E454" s="517"/>
      <c r="F454" s="516"/>
      <c r="G454" s="223"/>
      <c r="H454" s="219"/>
      <c r="J454" s="219"/>
      <c r="K454" s="220"/>
      <c r="L454" s="517"/>
      <c r="M454" s="516"/>
      <c r="N454" s="223"/>
      <c r="O454" s="219"/>
      <c r="AB454" s="327" t="str">
        <f>AB453</f>
        <v/>
      </c>
      <c r="AC454" s="327" t="str">
        <f>AC453</f>
        <v/>
      </c>
      <c r="AD454" s="327" t="str">
        <f>AD453</f>
        <v/>
      </c>
      <c r="AE454" s="327" t="str">
        <f>AE453</f>
        <v/>
      </c>
      <c r="AF454" s="325"/>
      <c r="AG454" s="485">
        <v>2</v>
      </c>
      <c r="AH454" s="488" t="b">
        <f ca="1">IF(OR(NOT(W451),NOT(X441)),FALSE,D454="")</f>
        <v>0</v>
      </c>
      <c r="AI454" s="488" t="b">
        <f ca="1">IF(OR(NOT(W451),NOT(X441)),FALSE,E454="")</f>
        <v>0</v>
      </c>
      <c r="AJ454" s="488" t="b">
        <f ca="1">IF(OR(NOT(W451),NOT(X441)),FALSE,F454="")</f>
        <v>0</v>
      </c>
      <c r="AK454" s="488" t="b">
        <f ca="1">IF(OR(NOT(W451),NOT(X441)),FALSE,G454="")</f>
        <v>0</v>
      </c>
      <c r="AL454" s="488" t="b">
        <f ca="1">IF(OR(NOT(Y451),NOT(Z441)),FALSE,K454="")</f>
        <v>0</v>
      </c>
      <c r="AM454" s="488" t="b">
        <f ca="1">IF(OR(NOT(Y451),NOT(Z441)),FALSE,L454="")</f>
        <v>0</v>
      </c>
      <c r="AN454" s="488" t="b">
        <f ca="1">IF(OR(NOT(Y451),NOT(Z441)),FALSE,M454="")</f>
        <v>0</v>
      </c>
      <c r="AO454" s="488" t="b">
        <f ca="1">IF(OR(NOT(Y451),NOT(Z441)),FALSE,N454="")</f>
        <v>0</v>
      </c>
      <c r="AS454" s="323"/>
      <c r="AT454" s="323"/>
      <c r="AW454" s="485"/>
      <c r="AY454" s="323"/>
      <c r="BA454" s="323"/>
      <c r="BC454" s="323"/>
      <c r="BE454" s="323"/>
      <c r="BG454" s="323"/>
      <c r="BI454" s="323"/>
      <c r="BK454" s="323"/>
      <c r="BM454" s="323"/>
      <c r="BO454" s="323"/>
      <c r="BQ454" s="323"/>
      <c r="BS454" s="323"/>
      <c r="BU454" s="323"/>
      <c r="BW454" s="323"/>
      <c r="BY454" s="323"/>
      <c r="CA454" s="323"/>
      <c r="CC454" s="323"/>
      <c r="CE454" s="323"/>
      <c r="CG454" s="323"/>
      <c r="CI454" s="323"/>
      <c r="CK454" s="323"/>
      <c r="CM454" s="323"/>
      <c r="CO454" s="323"/>
      <c r="CQ454" s="323"/>
      <c r="CS454" s="323"/>
      <c r="CU454" s="323"/>
      <c r="CW454" s="323"/>
      <c r="CY454" s="323"/>
      <c r="DA454" s="323"/>
      <c r="DC454" s="323"/>
      <c r="DE454" s="323"/>
      <c r="DG454" s="323"/>
      <c r="DI454" s="323"/>
      <c r="DJ454" s="485"/>
    </row>
    <row r="455" spans="1:114" ht="11.25" customHeight="1" x14ac:dyDescent="0.3">
      <c r="A455" s="765"/>
      <c r="C455" s="219"/>
      <c r="D455" s="220"/>
      <c r="E455" s="517"/>
      <c r="F455" s="516"/>
      <c r="G455" s="223"/>
      <c r="H455" s="219"/>
      <c r="J455" s="219"/>
      <c r="K455" s="220"/>
      <c r="L455" s="517"/>
      <c r="M455" s="516"/>
      <c r="N455" s="223"/>
      <c r="O455" s="219"/>
      <c r="AB455" s="327" t="str">
        <f t="shared" ref="AB455:AB466" si="108">AB454</f>
        <v/>
      </c>
      <c r="AC455" s="327" t="str">
        <f t="shared" ref="AC455:AC466" si="109">AC454</f>
        <v/>
      </c>
      <c r="AD455" s="327" t="str">
        <f t="shared" ref="AD455:AD466" si="110">AD454</f>
        <v/>
      </c>
      <c r="AE455" s="327" t="str">
        <f t="shared" ref="AE455:AE466" si="111">AE454</f>
        <v/>
      </c>
      <c r="AF455" s="325"/>
      <c r="AG455" s="485">
        <v>3</v>
      </c>
      <c r="AH455" s="488" t="b">
        <f ca="1">IF(OR(NOT(W451),NOT(X441)),FALSE,D455="")</f>
        <v>0</v>
      </c>
      <c r="AI455" s="488" t="b">
        <f ca="1">IF(OR(NOT(W451),NOT(X441)),FALSE,E455="")</f>
        <v>0</v>
      </c>
      <c r="AJ455" s="488" t="b">
        <f ca="1">IF(OR(NOT(W451),NOT(X441)),FALSE,F455="")</f>
        <v>0</v>
      </c>
      <c r="AK455" s="488" t="b">
        <f ca="1">IF(OR(NOT(W451),NOT(X441)),FALSE,G455="")</f>
        <v>0</v>
      </c>
      <c r="AL455" s="488" t="b">
        <f ca="1">IF(OR(NOT(Y451),NOT(Z441)),FALSE,K455="")</f>
        <v>0</v>
      </c>
      <c r="AM455" s="488" t="b">
        <f ca="1">IF(OR(NOT(Y451),NOT(Z441)),FALSE,L455="")</f>
        <v>0</v>
      </c>
      <c r="AN455" s="488" t="b">
        <f ca="1">IF(OR(NOT(Y451),NOT(Z441)),FALSE,M455="")</f>
        <v>0</v>
      </c>
      <c r="AO455" s="488" t="b">
        <f ca="1">IF(OR(NOT(Y451),NOT(Z441)),FALSE,N455="")</f>
        <v>0</v>
      </c>
      <c r="AS455" s="323"/>
      <c r="AT455" s="323"/>
      <c r="AW455" s="485"/>
      <c r="AY455" s="323"/>
      <c r="BA455" s="323"/>
      <c r="BC455" s="323"/>
      <c r="BE455" s="323"/>
      <c r="BG455" s="323"/>
      <c r="BI455" s="323"/>
      <c r="BK455" s="323"/>
      <c r="BM455" s="323"/>
      <c r="BO455" s="323"/>
      <c r="BQ455" s="323"/>
      <c r="BS455" s="323"/>
      <c r="BU455" s="323"/>
      <c r="BW455" s="323"/>
      <c r="BY455" s="323"/>
      <c r="CA455" s="323"/>
      <c r="CC455" s="323"/>
      <c r="CE455" s="323"/>
      <c r="CG455" s="323"/>
      <c r="CI455" s="323"/>
      <c r="CK455" s="323"/>
      <c r="CM455" s="323"/>
      <c r="CO455" s="323"/>
      <c r="CQ455" s="323"/>
      <c r="CS455" s="323"/>
      <c r="CU455" s="323"/>
      <c r="CW455" s="323"/>
      <c r="CY455" s="323"/>
      <c r="DA455" s="323"/>
      <c r="DC455" s="323"/>
      <c r="DE455" s="323"/>
      <c r="DG455" s="323"/>
      <c r="DI455" s="323"/>
      <c r="DJ455" s="485"/>
    </row>
    <row r="456" spans="1:114" ht="11.25" customHeight="1" x14ac:dyDescent="0.3">
      <c r="A456" s="765"/>
      <c r="C456" s="219"/>
      <c r="D456" s="220"/>
      <c r="E456" s="517"/>
      <c r="F456" s="516"/>
      <c r="G456" s="223"/>
      <c r="H456" s="219"/>
      <c r="J456" s="219"/>
      <c r="K456" s="220"/>
      <c r="L456" s="517"/>
      <c r="M456" s="516"/>
      <c r="N456" s="223"/>
      <c r="O456" s="219"/>
      <c r="AB456" s="327" t="str">
        <f t="shared" si="108"/>
        <v/>
      </c>
      <c r="AC456" s="327" t="str">
        <f t="shared" si="109"/>
        <v/>
      </c>
      <c r="AD456" s="327" t="str">
        <f t="shared" si="110"/>
        <v/>
      </c>
      <c r="AE456" s="327" t="str">
        <f t="shared" si="111"/>
        <v/>
      </c>
      <c r="AF456" s="325"/>
      <c r="AG456" s="485">
        <v>4</v>
      </c>
      <c r="AH456" s="488" t="b">
        <f ca="1">IF(OR(NOT(W451),NOT(X441)),FALSE,D456="")</f>
        <v>0</v>
      </c>
      <c r="AI456" s="488" t="b">
        <f ca="1">IF(OR(NOT(W451),NOT(X441)),FALSE,E456="")</f>
        <v>0</v>
      </c>
      <c r="AJ456" s="488" t="b">
        <f ca="1">IF(OR(NOT(W451),NOT(X441)),FALSE,F456="")</f>
        <v>0</v>
      </c>
      <c r="AK456" s="488" t="b">
        <f ca="1">IF(OR(NOT(W451),NOT(X441)),FALSE,G456="")</f>
        <v>0</v>
      </c>
      <c r="AL456" s="488" t="b">
        <f ca="1">IF(OR(NOT(Y451),NOT(Z441)),FALSE,K456="")</f>
        <v>0</v>
      </c>
      <c r="AM456" s="488" t="b">
        <f ca="1">IF(OR(NOT(Y451),NOT(Z441)),FALSE,L456="")</f>
        <v>0</v>
      </c>
      <c r="AN456" s="488" t="b">
        <f ca="1">IF(OR(NOT(Y451),NOT(Z441)),FALSE,M456="")</f>
        <v>0</v>
      </c>
      <c r="AO456" s="488" t="b">
        <f ca="1">IF(OR(NOT(Y451),NOT(Z441)),FALSE,N456="")</f>
        <v>0</v>
      </c>
      <c r="AS456" s="323"/>
      <c r="AT456" s="323"/>
      <c r="AW456" s="485"/>
      <c r="AY456" s="323"/>
      <c r="BA456" s="323"/>
      <c r="BC456" s="323"/>
      <c r="BE456" s="323"/>
      <c r="BG456" s="323"/>
      <c r="BI456" s="323"/>
      <c r="BK456" s="323"/>
      <c r="BM456" s="323"/>
      <c r="BO456" s="323"/>
      <c r="BQ456" s="323"/>
      <c r="BS456" s="323"/>
      <c r="BU456" s="323"/>
      <c r="BW456" s="323"/>
      <c r="BY456" s="323"/>
      <c r="CA456" s="323"/>
      <c r="CC456" s="323"/>
      <c r="CE456" s="323"/>
      <c r="CG456" s="323"/>
      <c r="CI456" s="323"/>
      <c r="CK456" s="323"/>
      <c r="CM456" s="323"/>
      <c r="CO456" s="323"/>
      <c r="CQ456" s="323"/>
      <c r="CS456" s="323"/>
      <c r="CU456" s="323"/>
      <c r="CW456" s="323"/>
      <c r="CY456" s="323"/>
      <c r="DA456" s="323"/>
      <c r="DC456" s="323"/>
      <c r="DE456" s="323"/>
      <c r="DG456" s="323"/>
      <c r="DI456" s="323"/>
      <c r="DJ456" s="485"/>
    </row>
    <row r="457" spans="1:114" ht="11.25" customHeight="1" x14ac:dyDescent="0.3">
      <c r="A457" s="765"/>
      <c r="C457" s="219"/>
      <c r="D457" s="220"/>
      <c r="E457" s="517"/>
      <c r="F457" s="516"/>
      <c r="G457" s="223"/>
      <c r="H457" s="219"/>
      <c r="J457" s="219"/>
      <c r="K457" s="220"/>
      <c r="L457" s="517"/>
      <c r="M457" s="516"/>
      <c r="N457" s="223"/>
      <c r="O457" s="219"/>
      <c r="AB457" s="327" t="str">
        <f t="shared" si="108"/>
        <v/>
      </c>
      <c r="AC457" s="327" t="str">
        <f t="shared" si="109"/>
        <v/>
      </c>
      <c r="AD457" s="327" t="str">
        <f t="shared" si="110"/>
        <v/>
      </c>
      <c r="AE457" s="327" t="str">
        <f t="shared" si="111"/>
        <v/>
      </c>
      <c r="AF457" s="325"/>
      <c r="AG457" s="495">
        <v>5</v>
      </c>
      <c r="AH457" s="488" t="b">
        <f ca="1">IF(OR(NOT(W451),NOT(X441)),FALSE,D457="")</f>
        <v>0</v>
      </c>
      <c r="AI457" s="488" t="b">
        <f ca="1">IF(OR(NOT(W451),NOT(X441)),FALSE,E457="")</f>
        <v>0</v>
      </c>
      <c r="AJ457" s="488" t="b">
        <f ca="1">IF(OR(NOT(W451),NOT(X441)),FALSE,F457="")</f>
        <v>0</v>
      </c>
      <c r="AK457" s="488" t="b">
        <f ca="1">IF(OR(NOT(W451),NOT(X441)),FALSE,G457="")</f>
        <v>0</v>
      </c>
      <c r="AL457" s="488" t="b">
        <f ca="1">IF(OR(NOT(Y451),NOT(Z441)),FALSE,K457="")</f>
        <v>0</v>
      </c>
      <c r="AM457" s="488" t="b">
        <f ca="1">IF(OR(NOT(Y451),NOT(Z441)),FALSE,L457="")</f>
        <v>0</v>
      </c>
      <c r="AN457" s="488" t="b">
        <f ca="1">IF(OR(NOT(Y451),NOT(Z441)),FALSE,M457="")</f>
        <v>0</v>
      </c>
      <c r="AO457" s="488" t="b">
        <f ca="1">IF(OR(NOT(Y451),NOT(Z441)),FALSE,N457="")</f>
        <v>0</v>
      </c>
      <c r="AP457" s="495"/>
      <c r="AS457" s="323"/>
      <c r="AT457" s="323"/>
      <c r="AW457" s="485"/>
      <c r="AY457" s="323"/>
      <c r="BA457" s="323"/>
      <c r="BC457" s="323"/>
      <c r="BE457" s="323"/>
      <c r="BG457" s="323"/>
      <c r="BI457" s="323"/>
      <c r="BK457" s="323"/>
      <c r="BM457" s="323"/>
      <c r="BO457" s="323"/>
      <c r="BQ457" s="323"/>
      <c r="BS457" s="323"/>
      <c r="BU457" s="323"/>
      <c r="BW457" s="323"/>
      <c r="BY457" s="323"/>
      <c r="CA457" s="323"/>
      <c r="CC457" s="323"/>
      <c r="CE457" s="323"/>
      <c r="CG457" s="323"/>
      <c r="CI457" s="323"/>
      <c r="CK457" s="323"/>
      <c r="CM457" s="323"/>
      <c r="CO457" s="323"/>
      <c r="CQ457" s="323"/>
      <c r="CS457" s="323"/>
      <c r="CU457" s="323"/>
      <c r="CW457" s="323"/>
      <c r="CY457" s="323"/>
      <c r="DA457" s="323"/>
      <c r="DC457" s="323"/>
      <c r="DE457" s="323"/>
      <c r="DG457" s="323"/>
      <c r="DI457" s="323"/>
      <c r="DJ457" s="485"/>
    </row>
    <row r="458" spans="1:114" ht="11.25" customHeight="1" x14ac:dyDescent="0.3">
      <c r="A458" s="765"/>
      <c r="C458" s="219"/>
      <c r="D458" s="220"/>
      <c r="E458" s="517"/>
      <c r="F458" s="516"/>
      <c r="G458" s="223"/>
      <c r="H458" s="219"/>
      <c r="J458" s="219"/>
      <c r="K458" s="220"/>
      <c r="L458" s="517"/>
      <c r="M458" s="516"/>
      <c r="N458" s="223"/>
      <c r="O458" s="219"/>
      <c r="AB458" s="327" t="str">
        <f t="shared" si="108"/>
        <v/>
      </c>
      <c r="AC458" s="327" t="str">
        <f t="shared" si="109"/>
        <v/>
      </c>
      <c r="AD458" s="327" t="str">
        <f t="shared" si="110"/>
        <v/>
      </c>
      <c r="AE458" s="327" t="str">
        <f t="shared" si="111"/>
        <v/>
      </c>
      <c r="AF458" s="325"/>
      <c r="AG458" s="485">
        <v>6</v>
      </c>
      <c r="AH458" s="496" t="b">
        <f ca="1">IF(OR(NOT(W451),NOT(X441)),FALSE,AND(D458="",OR(AG458&lt;=W452+COUNTIF(E453:E458,$W$218),AG458&lt;=X452+COUNTIF(F453:F458,$W$218))))</f>
        <v>0</v>
      </c>
      <c r="AI458" s="496" t="b">
        <f ca="1">IF(OR(NOT(W451),NOT(X441)),FALSE,AND(E458="",OR(AG458&lt;=W452+COUNTIF(E453:E458,$W$218),AG458&lt;=X452+COUNTIF(F453:F458,$W$218))))</f>
        <v>0</v>
      </c>
      <c r="AJ458" s="496" t="b">
        <f ca="1">IF(OR(NOT(W451),NOT(X441)),FALSE,AND(F458="",OR(AG458&lt;=W452+COUNTIF(E453:E458,$W$218),AG458&lt;=X452+COUNTIF(F453:F458,$W$218))))</f>
        <v>0</v>
      </c>
      <c r="AK458" s="496" t="b">
        <f ca="1">IF(OR(NOT(W451),NOT(X441)),FALSE,AND(G458="",OR(AG458&lt;=W452+COUNTIF(E453:E458,$W$218),AG458&lt;=X452+COUNTIF(F453:F458,$W$218))))</f>
        <v>0</v>
      </c>
      <c r="AL458" s="496" t="b">
        <f ca="1">IF(OR(NOT(Y451),NOT(Z441)),FALSE,AND(K458="",OR(AG458&lt;=Y452+COUNTIF(L453:L458,$W$218),AG458&lt;=Z452+COUNTIF(M453:M458,$W$218))))</f>
        <v>0</v>
      </c>
      <c r="AM458" s="496" t="b">
        <f ca="1">IF(OR(NOT(Y451),NOT(Z441)),FALSE,AND(L458="",OR(AG458&lt;=Y452+COUNTIF(L453:L458,$W$218),AG458&lt;=Z452+COUNTIF(M453:M458,$W$218))))</f>
        <v>0</v>
      </c>
      <c r="AN458" s="496" t="b">
        <f ca="1">IF(OR(NOT(Y451),NOT(Z441)),FALSE,AND(M458="",OR(AG458&lt;=Y452+COUNTIF(L453:L458,$W$218),AG458&lt;=Z452+COUNTIF(M453:M458,$W$218))))</f>
        <v>0</v>
      </c>
      <c r="AO458" s="496" t="b">
        <f ca="1">IF(OR(NOT(Y451),NOT(Z441)),FALSE,AND(N458="",OR(AG458&lt;=Y452+COUNTIF(L453:L458,$W$218),AG458&lt;=Z452+COUNTIF(M453:M458,$W$218))))</f>
        <v>0</v>
      </c>
      <c r="AS458" s="323"/>
      <c r="AT458" s="323"/>
      <c r="AW458" s="485"/>
      <c r="AY458" s="323"/>
      <c r="BA458" s="323"/>
      <c r="BC458" s="323"/>
      <c r="BE458" s="323"/>
      <c r="BG458" s="323"/>
      <c r="BI458" s="323"/>
      <c r="BK458" s="323"/>
      <c r="BM458" s="323"/>
      <c r="BO458" s="323"/>
      <c r="BQ458" s="323"/>
      <c r="BS458" s="323"/>
      <c r="BU458" s="323"/>
      <c r="BW458" s="323"/>
      <c r="BY458" s="323"/>
      <c r="CA458" s="323"/>
      <c r="CC458" s="323"/>
      <c r="CE458" s="323"/>
      <c r="CG458" s="323"/>
      <c r="CI458" s="323"/>
      <c r="CK458" s="323"/>
      <c r="CM458" s="323"/>
      <c r="CO458" s="323"/>
      <c r="CQ458" s="323"/>
      <c r="CS458" s="323"/>
      <c r="CU458" s="323"/>
      <c r="CW458" s="323"/>
      <c r="CY458" s="323"/>
      <c r="DA458" s="323"/>
      <c r="DC458" s="323"/>
      <c r="DE458" s="323"/>
      <c r="DG458" s="323"/>
      <c r="DI458" s="323"/>
      <c r="DJ458" s="485"/>
    </row>
    <row r="459" spans="1:114" ht="11.25" customHeight="1" x14ac:dyDescent="0.3">
      <c r="A459" s="765"/>
      <c r="C459" s="219"/>
      <c r="D459" s="220"/>
      <c r="E459" s="517"/>
      <c r="F459" s="516"/>
      <c r="G459" s="223"/>
      <c r="H459" s="219"/>
      <c r="J459" s="219"/>
      <c r="K459" s="220"/>
      <c r="L459" s="517"/>
      <c r="M459" s="516"/>
      <c r="N459" s="223"/>
      <c r="O459" s="219"/>
      <c r="AB459" s="327" t="str">
        <f t="shared" si="108"/>
        <v/>
      </c>
      <c r="AC459" s="327" t="str">
        <f t="shared" si="109"/>
        <v/>
      </c>
      <c r="AD459" s="327" t="str">
        <f t="shared" si="110"/>
        <v/>
      </c>
      <c r="AE459" s="327" t="str">
        <f t="shared" si="111"/>
        <v/>
      </c>
      <c r="AF459" s="325"/>
      <c r="AG459" s="485">
        <v>7</v>
      </c>
      <c r="AH459" s="496" t="b">
        <f ca="1">IF(OR(NOT(W451),NOT(X441)),FALSE,AND(D459="",OR(AG459&lt;=W452+COUNTIF(E453:E459,$W$218),AG459&lt;=X452+COUNTIF(F453:F459,$W$218))))</f>
        <v>0</v>
      </c>
      <c r="AI459" s="496" t="b">
        <f ca="1">IF(OR(NOT(W451),NOT(X441)),FALSE,AND(E459="",OR(AG459&lt;=W452+COUNTIF(E453:E459,$W$218),AG459&lt;=X452+COUNTIF(F453:F459,$W$218))))</f>
        <v>0</v>
      </c>
      <c r="AJ459" s="496" t="b">
        <f ca="1">IF(OR(NOT(W451),NOT(X441)),FALSE,AND(F459="",OR(AG459&lt;=W452+COUNTIF(E453:E459,$W$218),AG459&lt;=X452+COUNTIF(F453:F459,$W$218))))</f>
        <v>0</v>
      </c>
      <c r="AK459" s="496" t="b">
        <f ca="1">IF(OR(NOT(W451),NOT(X441)),FALSE,AND(G459="",OR(AG459&lt;=W452+COUNTIF(E453:E459,$W$218),AG459&lt;=X452+COUNTIF(F453:F459,$W$218))))</f>
        <v>0</v>
      </c>
      <c r="AL459" s="496" t="b">
        <f ca="1">IF(OR(NOT(Y451),NOT(Z441)),FALSE,AND(K459="",OR(AG459&lt;=Y452+COUNTIF(L453:L459,$W$218),AG459&lt;=Z452+COUNTIF(M453:M459,$W$218))))</f>
        <v>0</v>
      </c>
      <c r="AM459" s="496" t="b">
        <f ca="1">IF(OR(NOT(Y451),NOT(Z441)),FALSE,AND(L459="",OR(AG459&lt;=Y452+COUNTIF(L453:L459,$W$218),AG459&lt;=Z452+COUNTIF(M453:M459,$W$218))))</f>
        <v>0</v>
      </c>
      <c r="AN459" s="496" t="b">
        <f ca="1">IF(OR(NOT(Y451),NOT(Z441)),FALSE,AND(M459="",OR(AG459&lt;=Y452+COUNTIF(L453:L459,$W$218),AG459&lt;=Z452+COUNTIF(M453:M459,$W$218))))</f>
        <v>0</v>
      </c>
      <c r="AO459" s="496" t="b">
        <f ca="1">IF(OR(NOT(Y451),NOT(Z441)),FALSE,AND(N459="",OR(AG459&lt;=Y452+COUNTIF(L453:L459,$W$218),AG459&lt;=Z452+COUNTIF(M453:M459,$W$218))))</f>
        <v>0</v>
      </c>
      <c r="AS459" s="323"/>
      <c r="AT459" s="323"/>
      <c r="AW459" s="485"/>
      <c r="AY459" s="323"/>
      <c r="BA459" s="323"/>
      <c r="BC459" s="323"/>
      <c r="BE459" s="323"/>
      <c r="BG459" s="323"/>
      <c r="BI459" s="323"/>
      <c r="BK459" s="323"/>
      <c r="BM459" s="323"/>
      <c r="BO459" s="323"/>
      <c r="BQ459" s="323"/>
      <c r="BS459" s="323"/>
      <c r="BU459" s="323"/>
      <c r="BW459" s="323"/>
      <c r="BY459" s="323"/>
      <c r="CA459" s="323"/>
      <c r="CC459" s="323"/>
      <c r="CE459" s="323"/>
      <c r="CG459" s="323"/>
      <c r="CI459" s="323"/>
      <c r="CK459" s="323"/>
      <c r="CM459" s="323"/>
      <c r="CO459" s="323"/>
      <c r="CQ459" s="323"/>
      <c r="CS459" s="323"/>
      <c r="CU459" s="323"/>
      <c r="CW459" s="323"/>
      <c r="CY459" s="323"/>
      <c r="DA459" s="323"/>
      <c r="DC459" s="323"/>
      <c r="DE459" s="323"/>
      <c r="DG459" s="323"/>
      <c r="DI459" s="323"/>
      <c r="DJ459" s="485"/>
    </row>
    <row r="460" spans="1:114" ht="11.25" customHeight="1" x14ac:dyDescent="0.3">
      <c r="A460" s="765"/>
      <c r="C460" s="219"/>
      <c r="D460" s="220"/>
      <c r="E460" s="517"/>
      <c r="F460" s="516"/>
      <c r="G460" s="223"/>
      <c r="H460" s="219"/>
      <c r="J460" s="219"/>
      <c r="K460" s="220"/>
      <c r="L460" s="517"/>
      <c r="M460" s="516"/>
      <c r="N460" s="223"/>
      <c r="O460" s="219"/>
      <c r="AB460" s="327" t="str">
        <f t="shared" si="108"/>
        <v/>
      </c>
      <c r="AC460" s="327" t="str">
        <f t="shared" si="109"/>
        <v/>
      </c>
      <c r="AD460" s="327" t="str">
        <f t="shared" si="110"/>
        <v/>
      </c>
      <c r="AE460" s="327" t="str">
        <f t="shared" si="111"/>
        <v/>
      </c>
      <c r="AF460" s="325"/>
      <c r="AG460" s="485">
        <v>8</v>
      </c>
      <c r="AH460" s="496" t="b">
        <f ca="1">IF(OR(NOT(W451),NOT(X441)),FALSE,AND(D460="",OR(AG460&lt;=W452+COUNTIF(E453:E460,$W$218),AG460&lt;=X452+COUNTIF(F453:F460,$W$218))))</f>
        <v>0</v>
      </c>
      <c r="AI460" s="496" t="b">
        <f ca="1">IF(OR(NOT(W451),NOT(X441)),FALSE,AND(E460="",OR(AG460&lt;=W452+COUNTIF(E453:E460,$W$218),AG460&lt;=X452+COUNTIF(F453:F460,$W$218))))</f>
        <v>0</v>
      </c>
      <c r="AJ460" s="496" t="b">
        <f ca="1">IF(OR(NOT(W451),NOT(X441)),FALSE,AND(F460="",OR(AG460&lt;=W452+COUNTIF(E453:E460,$W$218),AG460&lt;=X452+COUNTIF(F453:F460,$W$218))))</f>
        <v>0</v>
      </c>
      <c r="AK460" s="496" t="b">
        <f ca="1">IF(OR(NOT(W451),NOT(X441)),FALSE,AND(G460="",OR(AG460&lt;=W452+COUNTIF(E453:E460,$W$218),AG460&lt;=X452+COUNTIF(F453:F460,$W$218))))</f>
        <v>0</v>
      </c>
      <c r="AL460" s="496" t="b">
        <f ca="1">IF(OR(NOT(Y451),NOT(Z441)),FALSE,AND(K460="",OR(AG460&lt;=Y452+COUNTIF(L453:L460,$W$218),AG460&lt;=Z452+COUNTIF(M453:M460,$W$218))))</f>
        <v>0</v>
      </c>
      <c r="AM460" s="496" t="b">
        <f ca="1">IF(OR(NOT(Y451),NOT(Z441)),FALSE,AND(L460="",OR(AG460&lt;=Y452+COUNTIF(L453:L460,$W$218),AG460&lt;=Z452+COUNTIF(M453:M460,$W$218))))</f>
        <v>0</v>
      </c>
      <c r="AN460" s="496" t="b">
        <f ca="1">IF(OR(NOT(Y451),NOT(Z441)),FALSE,AND(M460="",OR(AG460&lt;=Y452+COUNTIF(L453:L460,$W$218),AG460&lt;=Z452+COUNTIF(M453:M460,$W$218))))</f>
        <v>0</v>
      </c>
      <c r="AO460" s="496" t="b">
        <f ca="1">IF(OR(NOT(Y451),NOT(Z441)),FALSE,AND(N460="",OR(AG460&lt;=Y452+COUNTIF(L453:L460,$W$218),AG460&lt;=Z452+COUNTIF(M453:M460,$W$218))))</f>
        <v>0</v>
      </c>
      <c r="AS460" s="323"/>
      <c r="AT460" s="323"/>
      <c r="AW460" s="485"/>
      <c r="AY460" s="323"/>
      <c r="BA460" s="323"/>
      <c r="BC460" s="323"/>
      <c r="BE460" s="323"/>
      <c r="BG460" s="323"/>
      <c r="BI460" s="323"/>
      <c r="BK460" s="323"/>
      <c r="BM460" s="323"/>
      <c r="BO460" s="323"/>
      <c r="BQ460" s="323"/>
      <c r="BS460" s="323"/>
      <c r="BU460" s="323"/>
      <c r="BW460" s="323"/>
      <c r="BY460" s="323"/>
      <c r="CA460" s="323"/>
      <c r="CC460" s="323"/>
      <c r="CE460" s="323"/>
      <c r="CG460" s="323"/>
      <c r="CI460" s="323"/>
      <c r="CK460" s="323"/>
      <c r="CM460" s="323"/>
      <c r="CO460" s="323"/>
      <c r="CQ460" s="323"/>
      <c r="CS460" s="323"/>
      <c r="CU460" s="323"/>
      <c r="CW460" s="323"/>
      <c r="CY460" s="323"/>
      <c r="DA460" s="323"/>
      <c r="DC460" s="323"/>
      <c r="DE460" s="323"/>
      <c r="DG460" s="323"/>
      <c r="DI460" s="323"/>
      <c r="DJ460" s="485"/>
    </row>
    <row r="461" spans="1:114" ht="11.25" customHeight="1" x14ac:dyDescent="0.3">
      <c r="A461" s="765"/>
      <c r="C461" s="219"/>
      <c r="D461" s="220"/>
      <c r="E461" s="517"/>
      <c r="F461" s="516"/>
      <c r="G461" s="223"/>
      <c r="H461" s="219"/>
      <c r="J461" s="219"/>
      <c r="K461" s="220"/>
      <c r="L461" s="517"/>
      <c r="M461" s="516"/>
      <c r="N461" s="223"/>
      <c r="O461" s="219"/>
      <c r="AB461" s="327" t="str">
        <f t="shared" si="108"/>
        <v/>
      </c>
      <c r="AC461" s="327" t="str">
        <f t="shared" si="109"/>
        <v/>
      </c>
      <c r="AD461" s="327" t="str">
        <f t="shared" si="110"/>
        <v/>
      </c>
      <c r="AE461" s="327" t="str">
        <f t="shared" si="111"/>
        <v/>
      </c>
      <c r="AF461" s="325"/>
      <c r="AG461" s="485">
        <v>9</v>
      </c>
      <c r="AH461" s="496" t="b">
        <f ca="1">IF(OR(NOT(W451),NOT(X441)),FALSE,AND(D461="",OR(AG461&lt;=W452+COUNTIF(E453:E461,$W$218),AG461&lt;=X452+COUNTIF(F453:F461,$W$218))))</f>
        <v>0</v>
      </c>
      <c r="AI461" s="496" t="b">
        <f ca="1">IF(OR(NOT(W451),NOT(X441)),FALSE,AND(E461="",OR(AG461&lt;=W452+COUNTIF(E453:E461,$W$218),AG461&lt;=X452+COUNTIF(F453:F461,$W$218))))</f>
        <v>0</v>
      </c>
      <c r="AJ461" s="496" t="b">
        <f ca="1">IF(OR(NOT(W451),NOT(X441)),FALSE,AND(F461="",OR(AG461&lt;=W452+COUNTIF(E453:E461,$W$218),AG461&lt;=X452+COUNTIF(F453:F461,$W$218))))</f>
        <v>0</v>
      </c>
      <c r="AK461" s="496" t="b">
        <f ca="1">IF(OR(NOT(W451),NOT(X441)),FALSE,AND(G461="",OR(AG461&lt;=W452+COUNTIF(E453:E461,$W$218),AG461&lt;=X452+COUNTIF(F453:F461,$W$218))))</f>
        <v>0</v>
      </c>
      <c r="AL461" s="496" t="b">
        <f ca="1">IF(OR(NOT(Y451),NOT(Z441)),FALSE,AND(K461="",OR(AG461&lt;=Y452+COUNTIF(L453:L461,$W$218),AG461&lt;=Z452+COUNTIF(M453:M461,$W$218))))</f>
        <v>0</v>
      </c>
      <c r="AM461" s="496" t="b">
        <f ca="1">IF(OR(NOT(Y451),NOT(Z441)),FALSE,AND(L461="",OR(AG461&lt;=Y452+COUNTIF(L453:L461,$W$218),AG461&lt;=Z452+COUNTIF(M453:M461,$W$218))))</f>
        <v>0</v>
      </c>
      <c r="AN461" s="496" t="b">
        <f ca="1">IF(OR(NOT(Y451),NOT(Z441)),FALSE,AND(M461="",OR(AG461&lt;=Y452+COUNTIF(L453:L461,$W$218),AG461&lt;=Z452+COUNTIF(M453:M461,$W$218))))</f>
        <v>0</v>
      </c>
      <c r="AO461" s="496" t="b">
        <f ca="1">IF(OR(NOT(Y451),NOT(Z441)),FALSE,AND(N461="",OR(AG461&lt;=Y452+COUNTIF(L453:L461,$W$218),AG461&lt;=Z452+COUNTIF(M453:M461,$W$218))))</f>
        <v>0</v>
      </c>
      <c r="AS461" s="323"/>
      <c r="AT461" s="323"/>
      <c r="AW461" s="485"/>
      <c r="AY461" s="323"/>
      <c r="BA461" s="323"/>
      <c r="BC461" s="323"/>
      <c r="BE461" s="323"/>
      <c r="BG461" s="323"/>
      <c r="BI461" s="323"/>
      <c r="BK461" s="323"/>
      <c r="BM461" s="323"/>
      <c r="BO461" s="323"/>
      <c r="BQ461" s="323"/>
      <c r="BS461" s="323"/>
      <c r="BU461" s="323"/>
      <c r="BW461" s="323"/>
      <c r="BY461" s="323"/>
      <c r="CA461" s="323"/>
      <c r="CC461" s="323"/>
      <c r="CE461" s="323"/>
      <c r="CG461" s="323"/>
      <c r="CI461" s="323"/>
      <c r="CK461" s="323"/>
      <c r="CM461" s="323"/>
      <c r="CO461" s="323"/>
      <c r="CQ461" s="323"/>
      <c r="CS461" s="323"/>
      <c r="CU461" s="323"/>
      <c r="CW461" s="323"/>
      <c r="CY461" s="323"/>
      <c r="DA461" s="323"/>
      <c r="DC461" s="323"/>
      <c r="DE461" s="323"/>
      <c r="DG461" s="323"/>
      <c r="DI461" s="323"/>
      <c r="DJ461" s="485"/>
    </row>
    <row r="462" spans="1:114" ht="11.25" customHeight="1" x14ac:dyDescent="0.3">
      <c r="A462" s="765"/>
      <c r="C462" s="219"/>
      <c r="D462" s="220"/>
      <c r="E462" s="517"/>
      <c r="F462" s="516"/>
      <c r="G462" s="223"/>
      <c r="H462" s="219"/>
      <c r="J462" s="219"/>
      <c r="K462" s="220"/>
      <c r="L462" s="517"/>
      <c r="M462" s="516"/>
      <c r="N462" s="223"/>
      <c r="O462" s="219"/>
      <c r="AB462" s="327" t="str">
        <f t="shared" si="108"/>
        <v/>
      </c>
      <c r="AC462" s="327" t="str">
        <f t="shared" si="109"/>
        <v/>
      </c>
      <c r="AD462" s="327" t="str">
        <f t="shared" si="110"/>
        <v/>
      </c>
      <c r="AE462" s="327" t="str">
        <f t="shared" si="111"/>
        <v/>
      </c>
      <c r="AF462" s="325"/>
      <c r="AG462" s="485">
        <v>10</v>
      </c>
      <c r="AH462" s="496" t="b">
        <f ca="1">IF(OR(NOT(W451),NOT(X441)),FALSE,AND(D462="",OR(AG462&lt;=W452+COUNTIF(E453:E462,$W$218),AG462&lt;=X452+COUNTIF(F453:F462,$W$218))))</f>
        <v>0</v>
      </c>
      <c r="AI462" s="496" t="b">
        <f ca="1">IF(OR(NOT(W451),NOT(X441)),FALSE,AND(E462="",OR(AG462&lt;=W452+COUNTIF(E453:E462,$W$218),AG462&lt;=X452+COUNTIF(F453:F462,$W$218))))</f>
        <v>0</v>
      </c>
      <c r="AJ462" s="496" t="b">
        <f ca="1">IF(OR(NOT(W451),NOT(X441)),FALSE,AND(F462="",OR(AG462&lt;=W452+COUNTIF(E453:E462,$W$218),AG462&lt;=X452+COUNTIF(F453:F462,$W$218))))</f>
        <v>0</v>
      </c>
      <c r="AK462" s="496" t="b">
        <f ca="1">IF(OR(NOT(W451),NOT(X441)),FALSE,AND(G462="",OR(AG462&lt;=W452+COUNTIF(E453:E462,$W$218),AG462&lt;=X452+COUNTIF(F453:F462,$W$218))))</f>
        <v>0</v>
      </c>
      <c r="AL462" s="496" t="b">
        <f ca="1">IF(OR(NOT(Y451),NOT(Z441)),FALSE,AND(K462="",OR(AG462&lt;=Y452+COUNTIF(L453:L462,$W$218),AG462&lt;=Z452+COUNTIF(M453:M462,$W$218))))</f>
        <v>0</v>
      </c>
      <c r="AM462" s="496" t="b">
        <f ca="1">IF(OR(NOT(Y451),NOT(Z441)),FALSE,AND(L462="",OR(AG462&lt;=Y452+COUNTIF(L453:L462,$W$218),AG462&lt;=Z452+COUNTIF(M453:M462,$W$218))))</f>
        <v>0</v>
      </c>
      <c r="AN462" s="496" t="b">
        <f ca="1">IF(OR(NOT(Y451),NOT(Z441)),FALSE,AND(M462="",OR(AG462&lt;=Y452+COUNTIF(L453:L462,$W$218),AG462&lt;=Z452+COUNTIF(M453:M462,$W$218))))</f>
        <v>0</v>
      </c>
      <c r="AO462" s="496" t="b">
        <f ca="1">IF(OR(NOT(Y451),NOT(Z441)),FALSE,AND(N462="",OR(AG462&lt;=Y452+COUNTIF(L453:L462,$W$218),AG462&lt;=Z452+COUNTIF(M453:M462,$W$218))))</f>
        <v>0</v>
      </c>
      <c r="AW462" s="485"/>
      <c r="AY462" s="323"/>
      <c r="BA462" s="323"/>
      <c r="BC462" s="323"/>
      <c r="BE462" s="323"/>
      <c r="BG462" s="323"/>
      <c r="BI462" s="323"/>
      <c r="BK462" s="323"/>
      <c r="BM462" s="323"/>
      <c r="BO462" s="323"/>
      <c r="BQ462" s="323"/>
      <c r="BS462" s="323"/>
      <c r="BU462" s="323"/>
      <c r="BW462" s="323"/>
      <c r="BY462" s="323"/>
      <c r="CA462" s="323"/>
      <c r="CC462" s="323"/>
      <c r="CE462" s="323"/>
      <c r="CG462" s="323"/>
      <c r="CI462" s="323"/>
      <c r="CK462" s="323"/>
      <c r="CM462" s="323"/>
      <c r="CO462" s="323"/>
      <c r="CQ462" s="323"/>
      <c r="CS462" s="323"/>
      <c r="CU462" s="323"/>
      <c r="CW462" s="323"/>
      <c r="CY462" s="323"/>
      <c r="DA462" s="323"/>
      <c r="DC462" s="323"/>
      <c r="DE462" s="323"/>
      <c r="DG462" s="323"/>
      <c r="DI462" s="323"/>
      <c r="DJ462" s="485"/>
    </row>
    <row r="463" spans="1:114" ht="11.25" customHeight="1" x14ac:dyDescent="0.3">
      <c r="A463" s="765"/>
      <c r="C463" s="219"/>
      <c r="D463" s="220"/>
      <c r="E463" s="517"/>
      <c r="F463" s="516"/>
      <c r="G463" s="223"/>
      <c r="H463" s="219"/>
      <c r="J463" s="219"/>
      <c r="K463" s="220"/>
      <c r="L463" s="517"/>
      <c r="M463" s="516"/>
      <c r="N463" s="223"/>
      <c r="O463" s="219"/>
      <c r="AB463" s="327" t="str">
        <f t="shared" si="108"/>
        <v/>
      </c>
      <c r="AC463" s="327" t="str">
        <f t="shared" si="109"/>
        <v/>
      </c>
      <c r="AD463" s="327" t="str">
        <f t="shared" si="110"/>
        <v/>
      </c>
      <c r="AE463" s="327" t="str">
        <f t="shared" si="111"/>
        <v/>
      </c>
      <c r="AF463" s="325"/>
      <c r="AG463" s="485">
        <v>11</v>
      </c>
      <c r="AH463" s="496" t="b">
        <f ca="1">IF(OR(NOT(W451),NOT(X441)),FALSE,AND(D463="",OR(AG463&lt;=W452+COUNTIF(E453:E463,$W$218),AG463&lt;=X452+COUNTIF(F453:F463,$W$218))))</f>
        <v>0</v>
      </c>
      <c r="AI463" s="496" t="b">
        <f ca="1">IF(OR(NOT(W451),NOT(X441)),FALSE,AND(E463="",OR(AG463&lt;=W452+COUNTIF(E453:E463,$W$218),AG463&lt;=X452+COUNTIF(F453:F463,$W$218))))</f>
        <v>0</v>
      </c>
      <c r="AJ463" s="496" t="b">
        <f ca="1">IF(OR(NOT(W451),NOT(X441)),FALSE,AND(F463="",OR(AG463&lt;=W452+COUNTIF(E453:E463,$W$218),AG463&lt;=X452+COUNTIF(F453:F463,$W$218))))</f>
        <v>0</v>
      </c>
      <c r="AK463" s="496" t="b">
        <f ca="1">IF(OR(NOT(W451),NOT(X441)),FALSE,AND(G463="",OR(AG463&lt;=W452+COUNTIF(E453:E463,$W$218),AG463&lt;=X452+COUNTIF(F453:F463,$W$218))))</f>
        <v>0</v>
      </c>
      <c r="AL463" s="496" t="b">
        <f ca="1">IF(OR(NOT(Y451),NOT(Z441)),FALSE,AND(K463="",OR(AG463&lt;=Y452+COUNTIF(L453:L463,$W$218),AG463&lt;=Z452+COUNTIF(M453:M463,$W$218))))</f>
        <v>0</v>
      </c>
      <c r="AM463" s="496" t="b">
        <f ca="1">IF(OR(NOT(Y451),NOT(Z441)),FALSE,AND(L463="",OR(AG463&lt;=Y452+COUNTIF(L453:L463,$W$218),AG463&lt;=Z452+COUNTIF(M453:M463,$W$218))))</f>
        <v>0</v>
      </c>
      <c r="AN463" s="496" t="b">
        <f ca="1">IF(OR(NOT(Y451),NOT(Z441)),FALSE,AND(M463="",OR(AG463&lt;=Y452+COUNTIF(L453:L463,$W$218),AG463&lt;=Z452+COUNTIF(M453:M463,$W$218))))</f>
        <v>0</v>
      </c>
      <c r="AO463" s="496" t="b">
        <f ca="1">IF(OR(NOT(Y451),NOT(Z441)),FALSE,AND(N463="",OR(AG463&lt;=Y452+COUNTIF(L453:L463,$W$218),AG463&lt;=Z452+COUNTIF(M453:M463,$W$218))))</f>
        <v>0</v>
      </c>
      <c r="AW463" s="485"/>
      <c r="AY463" s="323"/>
      <c r="BA463" s="323"/>
      <c r="BC463" s="323"/>
      <c r="BE463" s="323"/>
      <c r="BG463" s="323"/>
      <c r="BI463" s="323"/>
      <c r="BK463" s="323"/>
      <c r="BM463" s="323"/>
      <c r="BO463" s="323"/>
      <c r="BQ463" s="323"/>
      <c r="BS463" s="323"/>
      <c r="BU463" s="323"/>
      <c r="BW463" s="323"/>
      <c r="BY463" s="323"/>
      <c r="CA463" s="323"/>
      <c r="CC463" s="323"/>
      <c r="CE463" s="323"/>
      <c r="CG463" s="323"/>
      <c r="CI463" s="323"/>
      <c r="CK463" s="323"/>
      <c r="CM463" s="323"/>
      <c r="CO463" s="323"/>
      <c r="CQ463" s="323"/>
      <c r="CS463" s="323"/>
      <c r="CU463" s="323"/>
      <c r="CW463" s="323"/>
      <c r="CY463" s="323"/>
      <c r="DA463" s="323"/>
      <c r="DC463" s="323"/>
      <c r="DE463" s="323"/>
      <c r="DG463" s="323"/>
      <c r="DI463" s="323"/>
      <c r="DJ463" s="485"/>
    </row>
    <row r="464" spans="1:114" ht="11.25" customHeight="1" x14ac:dyDescent="0.3">
      <c r="A464" s="765"/>
      <c r="C464" s="219"/>
      <c r="D464" s="220"/>
      <c r="E464" s="517"/>
      <c r="F464" s="516"/>
      <c r="G464" s="223"/>
      <c r="H464" s="219"/>
      <c r="J464" s="219"/>
      <c r="K464" s="220"/>
      <c r="L464" s="517"/>
      <c r="M464" s="516"/>
      <c r="N464" s="223"/>
      <c r="O464" s="219"/>
      <c r="AB464" s="327" t="str">
        <f t="shared" si="108"/>
        <v/>
      </c>
      <c r="AC464" s="327" t="str">
        <f t="shared" si="109"/>
        <v/>
      </c>
      <c r="AD464" s="327" t="str">
        <f t="shared" si="110"/>
        <v/>
      </c>
      <c r="AE464" s="327" t="str">
        <f t="shared" si="111"/>
        <v/>
      </c>
      <c r="AF464" s="325"/>
      <c r="AG464" s="485">
        <v>12</v>
      </c>
      <c r="AH464" s="496" t="b">
        <f ca="1">IF(OR(NOT(W451),NOT(X441)),FALSE,AND(D464="",OR(AG464&lt;=W452+COUNTIF(E453:E464,$W$218),AG464&lt;=X452+COUNTIF(F453:F464,$W$218))))</f>
        <v>0</v>
      </c>
      <c r="AI464" s="496" t="b">
        <f ca="1">IF(OR(NOT(W451),NOT(X441)),FALSE,AND(E464="",OR(AG464&lt;=W452+COUNTIF(E453:E464,$W$218),AG464&lt;=X452+COUNTIF(F453:F464,$W$218))))</f>
        <v>0</v>
      </c>
      <c r="AJ464" s="496" t="b">
        <f ca="1">IF(OR(NOT(W451),NOT(X441)),FALSE,AND(F464="",OR(AG464&lt;=W452+COUNTIF(E453:E464,$W$218),AG464&lt;=X452+COUNTIF(F453:F464,$W$218))))</f>
        <v>0</v>
      </c>
      <c r="AK464" s="496" t="b">
        <f ca="1">IF(OR(NOT(W451),NOT(X441)),FALSE,AND(G464="",OR(AG464&lt;=W452+COUNTIF(E453:E464,$W$218),AG464&lt;=X452+COUNTIF(F453:F464,$W$218))))</f>
        <v>0</v>
      </c>
      <c r="AL464" s="496" t="b">
        <f ca="1">IF(OR(NOT(Y451),NOT(Z441)),FALSE,AND(K464="",OR(AG464&lt;=Y452+COUNTIF(L453:L464,$W$218),AG464&lt;=Z452+COUNTIF(M453:M464,$W$218))))</f>
        <v>0</v>
      </c>
      <c r="AM464" s="496" t="b">
        <f ca="1">IF(OR(NOT(Y451),NOT(Z441)),FALSE,AND(L464="",OR(AG464&lt;=Y452+COUNTIF(L453:L464,$W$218),AG464&lt;=Z452+COUNTIF(M453:M464,$W$218))))</f>
        <v>0</v>
      </c>
      <c r="AN464" s="496" t="b">
        <f ca="1">IF(OR(NOT(Y451),NOT(Z441)),FALSE,AND(M464="",OR(AG464&lt;=Y452+COUNTIF(L453:L464,$W$218),AG464&lt;=Z452+COUNTIF(M453:M464,$W$218))))</f>
        <v>0</v>
      </c>
      <c r="AO464" s="496" t="b">
        <f ca="1">IF(OR(NOT(Y451),NOT(Z441)),FALSE,AND(N464="",OR(AG464&lt;=Y452+COUNTIF(L453:L464,$W$218),AG464&lt;=Z452+COUNTIF(M453:M464,$W$218))))</f>
        <v>0</v>
      </c>
      <c r="AW464" s="485"/>
      <c r="AY464" s="323"/>
      <c r="BA464" s="323"/>
      <c r="BC464" s="323"/>
      <c r="BE464" s="323"/>
      <c r="BG464" s="323"/>
      <c r="BI464" s="323"/>
      <c r="BK464" s="323"/>
      <c r="BM464" s="323"/>
      <c r="BO464" s="323"/>
      <c r="BQ464" s="323"/>
      <c r="BS464" s="323"/>
      <c r="BU464" s="323"/>
      <c r="BW464" s="323"/>
      <c r="BY464" s="323"/>
      <c r="CA464" s="323"/>
      <c r="CC464" s="323"/>
      <c r="CE464" s="323"/>
      <c r="CG464" s="323"/>
      <c r="CI464" s="323"/>
      <c r="CK464" s="323"/>
      <c r="CM464" s="323"/>
      <c r="CO464" s="323"/>
      <c r="CQ464" s="323"/>
      <c r="CS464" s="323"/>
      <c r="CU464" s="323"/>
      <c r="CW464" s="323"/>
      <c r="CY464" s="323"/>
      <c r="DA464" s="323"/>
      <c r="DC464" s="323"/>
      <c r="DE464" s="323"/>
      <c r="DG464" s="323"/>
      <c r="DI464" s="323"/>
      <c r="DJ464" s="485"/>
    </row>
    <row r="465" spans="1:115" ht="11.25" customHeight="1" x14ac:dyDescent="0.3">
      <c r="A465" s="765"/>
      <c r="C465" s="219"/>
      <c r="D465" s="220"/>
      <c r="E465" s="516"/>
      <c r="F465" s="516"/>
      <c r="G465" s="223"/>
      <c r="H465" s="219"/>
      <c r="J465" s="219"/>
      <c r="K465" s="220"/>
      <c r="L465" s="516"/>
      <c r="M465" s="516"/>
      <c r="N465" s="223"/>
      <c r="O465" s="219"/>
      <c r="AB465" s="327" t="str">
        <f t="shared" si="108"/>
        <v/>
      </c>
      <c r="AC465" s="327" t="str">
        <f t="shared" si="109"/>
        <v/>
      </c>
      <c r="AD465" s="327" t="str">
        <f t="shared" si="110"/>
        <v/>
      </c>
      <c r="AE465" s="327" t="str">
        <f t="shared" si="111"/>
        <v/>
      </c>
      <c r="AG465" s="485">
        <v>13</v>
      </c>
      <c r="AH465" s="496" t="b">
        <f ca="1">IF(OR(NOT(W451),NOT(X441)),FALSE,AND(D465="",OR(AG465&lt;=W452+COUNTIF(E453:E465,$W$218),AG465&lt;=X452+COUNTIF(F453:F465,$W$218))))</f>
        <v>0</v>
      </c>
      <c r="AI465" s="496" t="b">
        <f ca="1">IF(OR(NOT(W451),NOT(X441)),FALSE,AND(E465="",OR(AG465&lt;=W452+COUNTIF(E453:E465,$W$218),AG465&lt;=X452+COUNTIF(F453:F465,$W$218))))</f>
        <v>0</v>
      </c>
      <c r="AJ465" s="496" t="b">
        <f ca="1">IF(OR(NOT(W451),NOT(X441)),FALSE,AND(F465="",OR(AG465&lt;=W452+COUNTIF(E453:E465,$W$218),AG465&lt;=X452+COUNTIF(F453:F465,$W$218))))</f>
        <v>0</v>
      </c>
      <c r="AK465" s="496" t="b">
        <f ca="1">IF(OR(NOT(W451),NOT(X441)),FALSE,AND(G465="",OR(AG465&lt;=W452+COUNTIF(E453:E465,$W$218),AG465&lt;=X452+COUNTIF(F453:F465,$W$218))))</f>
        <v>0</v>
      </c>
      <c r="AL465" s="496" t="b">
        <f ca="1">IF(OR(NOT(Y451),NOT(Z441)),FALSE,AND(K465="",OR(AG465&lt;=Y452+COUNTIF(L453:L465,$W$218),AG465&lt;=Z452+COUNTIF(M453:M465,$W$218))))</f>
        <v>0</v>
      </c>
      <c r="AM465" s="496" t="b">
        <f ca="1">IF(OR(NOT(Y451),NOT(Z441)),FALSE,AND(L465="",OR(AG465&lt;=Y452+COUNTIF(L453:L465,$W$218),AG465&lt;=Z452+COUNTIF(M453:M465,$W$218))))</f>
        <v>0</v>
      </c>
      <c r="AN465" s="496" t="b">
        <f ca="1">IF(OR(NOT(Y451),NOT(Z441)),FALSE,AND(M465="",OR(AG465&lt;=Y452+COUNTIF(L453:L465,$W$218),AG465&lt;=Z452+COUNTIF(M453:M465,$W$218))))</f>
        <v>0</v>
      </c>
      <c r="AO465" s="496" t="b">
        <f ca="1">IF(OR(NOT(Y451),NOT(Z441)),FALSE,AND(N465="",OR(AG465&lt;=Y452+COUNTIF(L453:L465,$W$218),AG465&lt;=Z452+COUNTIF(M453:M465,$W$218))))</f>
        <v>0</v>
      </c>
      <c r="AW465" s="485"/>
      <c r="AY465" s="323"/>
      <c r="BA465" s="323"/>
      <c r="BC465" s="323"/>
      <c r="BE465" s="323"/>
      <c r="BG465" s="323"/>
      <c r="BI465" s="323"/>
      <c r="BK465" s="323"/>
      <c r="BM465" s="323"/>
      <c r="BO465" s="323"/>
      <c r="BQ465" s="323"/>
      <c r="BS465" s="323"/>
      <c r="BU465" s="323"/>
      <c r="BW465" s="323"/>
      <c r="BY465" s="323"/>
      <c r="CA465" s="323"/>
      <c r="CC465" s="323"/>
      <c r="CE465" s="323"/>
      <c r="CG465" s="323"/>
      <c r="CI465" s="323"/>
      <c r="CK465" s="323"/>
      <c r="CM465" s="323"/>
      <c r="CO465" s="323"/>
      <c r="CQ465" s="323"/>
      <c r="CS465" s="323"/>
      <c r="CU465" s="323"/>
      <c r="CW465" s="323"/>
      <c r="CY465" s="323"/>
      <c r="DA465" s="323"/>
      <c r="DC465" s="323"/>
      <c r="DE465" s="323"/>
      <c r="DG465" s="323"/>
      <c r="DI465" s="323"/>
      <c r="DJ465" s="485"/>
    </row>
    <row r="466" spans="1:115" ht="11.25" hidden="1" customHeight="1" x14ac:dyDescent="0.3">
      <c r="A466" s="765"/>
      <c r="C466" s="219"/>
      <c r="D466" s="220"/>
      <c r="E466" s="517"/>
      <c r="F466" s="516"/>
      <c r="G466" s="223"/>
      <c r="H466" s="219"/>
      <c r="J466" s="219"/>
      <c r="K466" s="220"/>
      <c r="L466" s="517"/>
      <c r="M466" s="516"/>
      <c r="N466" s="223"/>
      <c r="O466" s="219"/>
      <c r="AB466" s="327" t="str">
        <f t="shared" si="108"/>
        <v/>
      </c>
      <c r="AC466" s="327" t="str">
        <f t="shared" si="109"/>
        <v/>
      </c>
      <c r="AD466" s="327" t="str">
        <f t="shared" si="110"/>
        <v/>
      </c>
      <c r="AE466" s="327" t="str">
        <f t="shared" si="111"/>
        <v/>
      </c>
      <c r="AG466" s="485">
        <v>14</v>
      </c>
      <c r="AH466" s="496" t="b">
        <f ca="1">IF(OR(NOT(W451),NOT(X441)),FALSE,AND(D466="",OR(AG466&lt;=W452+COUNTIF(E453:E466,$W$218),AG466&lt;=X452+COUNTIF(F453:F466,$W$218))))</f>
        <v>0</v>
      </c>
      <c r="AI466" s="496" t="b">
        <f ca="1">IF(OR(NOT(W451),NOT(X441)),FALSE,AND(E466="",OR(AG466&lt;=W452+COUNTIF(E453:E466,$W$218),AG466&lt;=X452+COUNTIF(F453:F466,$W$218))))</f>
        <v>0</v>
      </c>
      <c r="AJ466" s="496" t="b">
        <f ca="1">IF(OR(NOT(W451),NOT(X441)),FALSE,AND(F466="",OR(AG466&lt;=W452+COUNTIF(E453:E466,$W$218),AG466&lt;=X452+COUNTIF(F453:F466,$W$218))))</f>
        <v>0</v>
      </c>
      <c r="AK466" s="496" t="b">
        <f ca="1">IF(OR(NOT(W451),NOT(X441)),FALSE,AND(G466="",OR(AG466&lt;=W452+COUNTIF(E453:E466,$W$218),AG466&lt;=X452+COUNTIF(F453:F466,$W$218))))</f>
        <v>0</v>
      </c>
      <c r="AL466" s="496" t="b">
        <f ca="1">IF(OR(NOT(Y451),NOT(Z441)),FALSE,AND(K466="",OR(AG466&lt;=Y452+COUNTIF(L453:L466,$W$218),AG466&lt;=Z452+COUNTIF(M453:M466,$W$218))))</f>
        <v>0</v>
      </c>
      <c r="AM466" s="496" t="b">
        <f ca="1">IF(OR(NOT(Y451),NOT(Z441)),FALSE,AND(L466="",OR(AG466&lt;=Y452+COUNTIF(L453:L466,$W$218),AG466&lt;=Z452+COUNTIF(M453:M466,$W$218))))</f>
        <v>0</v>
      </c>
      <c r="AN466" s="496" t="b">
        <f ca="1">IF(OR(NOT(Y451),NOT(Z441)),FALSE,AND(M466="",OR(AG466&lt;=Y452+COUNTIF(L453:L466,$W$218),AG466&lt;=Z452+COUNTIF(M453:M466,$W$218))))</f>
        <v>0</v>
      </c>
      <c r="AO466" s="496" t="b">
        <f ca="1">IF(OR(NOT(Y451),NOT(Z441)),FALSE,AND(N466="",OR(AG466&lt;=Y452+COUNTIF(L453:L466,$W$218),AG466&lt;=Z452+COUNTIF(M453:M466,$W$218))))</f>
        <v>0</v>
      </c>
      <c r="AS466" s="323"/>
      <c r="AT466" s="323"/>
      <c r="AW466" s="485"/>
      <c r="AY466" s="323"/>
      <c r="BA466" s="323"/>
      <c r="BC466" s="323"/>
      <c r="BE466" s="323"/>
      <c r="BG466" s="323"/>
      <c r="BI466" s="323"/>
      <c r="BK466" s="323"/>
      <c r="BM466" s="323"/>
      <c r="BO466" s="323"/>
      <c r="BQ466" s="323"/>
      <c r="BS466" s="323"/>
      <c r="BU466" s="323"/>
      <c r="BW466" s="323"/>
      <c r="BY466" s="323"/>
      <c r="CA466" s="323"/>
      <c r="CC466" s="323"/>
      <c r="CE466" s="323"/>
      <c r="CG466" s="323"/>
      <c r="CI466" s="323"/>
      <c r="CK466" s="323"/>
      <c r="CM466" s="323"/>
      <c r="CO466" s="323"/>
      <c r="CQ466" s="323"/>
      <c r="CS466" s="323"/>
      <c r="CU466" s="323"/>
      <c r="CW466" s="323"/>
      <c r="CY466" s="323"/>
      <c r="DA466" s="323"/>
      <c r="DC466" s="323"/>
      <c r="DE466" s="323"/>
      <c r="DG466" s="323"/>
      <c r="DI466" s="323"/>
      <c r="DJ466" s="485"/>
    </row>
    <row r="467" spans="1:115" ht="10.5" hidden="1" customHeight="1" x14ac:dyDescent="0.3">
      <c r="A467" s="76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AQ467" s="323"/>
      <c r="AR467" s="323"/>
      <c r="AS467" s="323"/>
      <c r="AT467" s="323"/>
      <c r="AW467" s="485"/>
      <c r="AY467" s="323"/>
      <c r="BA467" s="323"/>
      <c r="BC467" s="323"/>
      <c r="BE467" s="323"/>
      <c r="BG467" s="323"/>
      <c r="BI467" s="323"/>
      <c r="BK467" s="323"/>
      <c r="BM467" s="323"/>
      <c r="BO467" s="323"/>
      <c r="BQ467" s="323"/>
      <c r="BS467" s="323"/>
      <c r="BU467" s="323"/>
      <c r="BW467" s="323"/>
      <c r="BY467" s="323"/>
      <c r="CA467" s="323"/>
      <c r="CC467" s="323"/>
      <c r="CE467" s="323"/>
      <c r="CG467" s="323"/>
      <c r="CI467" s="323"/>
      <c r="CK467" s="323"/>
      <c r="CM467" s="323"/>
      <c r="CO467" s="323"/>
      <c r="CQ467" s="323"/>
      <c r="CS467" s="323"/>
      <c r="CU467" s="323"/>
      <c r="CW467" s="323"/>
      <c r="CY467" s="323"/>
      <c r="DA467" s="323"/>
      <c r="DC467" s="323"/>
      <c r="DE467" s="323"/>
      <c r="DG467" s="323"/>
      <c r="DI467" s="323"/>
    </row>
    <row r="468" spans="1:115" ht="10.5" customHeight="1" x14ac:dyDescent="0.3">
      <c r="A468" s="76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AQ468" s="323"/>
      <c r="AR468" s="323"/>
      <c r="AS468" s="323"/>
      <c r="AT468" s="323"/>
      <c r="AW468" s="485"/>
      <c r="AY468" s="323"/>
      <c r="BA468" s="323"/>
      <c r="BC468" s="323"/>
      <c r="BE468" s="323"/>
      <c r="BG468" s="323"/>
      <c r="BI468" s="323"/>
      <c r="BK468" s="323"/>
      <c r="BM468" s="323"/>
      <c r="BO468" s="323"/>
      <c r="BQ468" s="323"/>
      <c r="BS468" s="323"/>
      <c r="BU468" s="323"/>
      <c r="BW468" s="323"/>
      <c r="BY468" s="323"/>
      <c r="CA468" s="323"/>
      <c r="CC468" s="323"/>
      <c r="CE468" s="323"/>
      <c r="CG468" s="323"/>
      <c r="CI468" s="323"/>
      <c r="CK468" s="323"/>
      <c r="CM468" s="323"/>
      <c r="CO468" s="323"/>
      <c r="CQ468" s="323"/>
      <c r="CS468" s="323"/>
      <c r="CU468" s="323"/>
      <c r="CW468" s="323"/>
      <c r="CY468" s="323"/>
      <c r="DA468" s="323"/>
      <c r="DC468" s="323"/>
      <c r="DE468" s="323"/>
      <c r="DG468" s="323"/>
      <c r="DI468" s="323"/>
    </row>
    <row r="469" spans="1:115" ht="3.75" customHeight="1" x14ac:dyDescent="0.3">
      <c r="A469" s="765"/>
      <c r="AQ469" s="323"/>
      <c r="AR469" s="323"/>
      <c r="AS469" s="323"/>
      <c r="AT469" s="323"/>
      <c r="AY469" s="323"/>
      <c r="BA469" s="323"/>
      <c r="BC469" s="323"/>
      <c r="BE469" s="323"/>
      <c r="BG469" s="323"/>
      <c r="BI469" s="323"/>
      <c r="BK469" s="323"/>
      <c r="BM469" s="323"/>
      <c r="BO469" s="323"/>
      <c r="BQ469" s="323"/>
      <c r="BS469" s="323"/>
      <c r="BU469" s="323"/>
      <c r="BW469" s="323"/>
      <c r="BY469" s="323"/>
      <c r="CA469" s="323"/>
      <c r="CC469" s="323"/>
      <c r="CE469" s="323"/>
      <c r="CG469" s="323"/>
      <c r="CI469" s="323"/>
      <c r="CK469" s="323"/>
      <c r="CM469" s="323"/>
      <c r="CO469" s="323"/>
      <c r="CQ469" s="323"/>
      <c r="CS469" s="323"/>
      <c r="CU469" s="323"/>
      <c r="CW469" s="323"/>
      <c r="CY469" s="323"/>
      <c r="DA469" s="323"/>
      <c r="DC469" s="323"/>
      <c r="DE469" s="323"/>
      <c r="DG469" s="323"/>
      <c r="DI469" s="323"/>
    </row>
    <row r="470" spans="1:115" ht="12" customHeight="1" x14ac:dyDescent="0.3">
      <c r="A470" s="765"/>
      <c r="B470" s="15"/>
      <c r="C470" s="247" t="str">
        <f>W475</f>
        <v>JÚNIUS 28. – HÉTFŐ 18:00</v>
      </c>
      <c r="D470" s="227"/>
      <c r="E470" s="228"/>
      <c r="F470" s="229"/>
      <c r="G470" s="230"/>
      <c r="H470" s="231" t="str">
        <f>W476</f>
        <v>NYOLCADDÖNTŐ</v>
      </c>
      <c r="I470" s="138"/>
      <c r="J470" s="246" t="str">
        <f>Y475</f>
        <v>JÚNIUS 28. – HÉTFŐ 21:00</v>
      </c>
      <c r="K470" s="227"/>
      <c r="L470" s="228"/>
      <c r="M470" s="229"/>
      <c r="N470" s="230"/>
      <c r="O470" s="226" t="str">
        <f>Y476</f>
        <v>NYOLCADDÖNTŐ</v>
      </c>
      <c r="AQ470" s="323"/>
      <c r="AR470" s="323"/>
      <c r="AS470" s="323"/>
      <c r="AT470" s="323"/>
      <c r="AY470" s="323"/>
      <c r="BA470" s="323"/>
      <c r="BC470" s="323"/>
      <c r="BE470" s="323"/>
      <c r="BG470" s="323"/>
      <c r="BI470" s="323"/>
      <c r="BK470" s="323"/>
      <c r="BM470" s="323"/>
      <c r="BO470" s="323"/>
      <c r="BQ470" s="323"/>
      <c r="BS470" s="323"/>
      <c r="BU470" s="323"/>
      <c r="BW470" s="323"/>
      <c r="BY470" s="323"/>
      <c r="CA470" s="323"/>
      <c r="CC470" s="323"/>
      <c r="CE470" s="323"/>
      <c r="CG470" s="323"/>
      <c r="CI470" s="323"/>
      <c r="CK470" s="323"/>
      <c r="CM470" s="323"/>
      <c r="CO470" s="323"/>
      <c r="CQ470" s="323"/>
      <c r="CS470" s="323"/>
      <c r="CU470" s="323"/>
      <c r="CW470" s="323"/>
      <c r="CY470" s="323"/>
      <c r="DA470" s="323"/>
      <c r="DC470" s="323"/>
      <c r="DE470" s="323"/>
      <c r="DG470" s="323"/>
      <c r="DI470" s="323"/>
    </row>
    <row r="471" spans="1:115" s="138" customFormat="1" ht="14.25" customHeight="1" x14ac:dyDescent="0.3">
      <c r="A471" s="765"/>
      <c r="B471" s="137"/>
      <c r="C471" s="233" t="str">
        <f>IF(W478=0,"",IF(W478&gt;0,CONCATENATE("még ",W478," gól"),CONCATENATE("túl sok (",W478," gól)")))</f>
        <v/>
      </c>
      <c r="D471" s="714" t="str">
        <f>W479</f>
        <v>D csoport 2. hely</v>
      </c>
      <c r="E471" s="716" t="str">
        <f>W480</f>
        <v/>
      </c>
      <c r="F471" s="717" t="str">
        <f>X480</f>
        <v/>
      </c>
      <c r="G471" s="715" t="str">
        <f>X479</f>
        <v>E csoport 2. hely</v>
      </c>
      <c r="H471" s="232" t="str">
        <f>IF(X478=0,"",IF(X478&gt;0,CONCATENATE("még ",X478," gól"),CONCATENATE("túl sok (",X478," gól)")))</f>
        <v/>
      </c>
      <c r="I471" s="127"/>
      <c r="J471" s="233" t="str">
        <f>IF(Y478=0,"",IF(Y478&gt;0,CONCATENATE("még ",Y478," gól"),CONCATENATE("túl sok (",Y478," gól)")))</f>
        <v/>
      </c>
      <c r="K471" s="714" t="str">
        <f>Y479</f>
        <v>F csoport 1. hely</v>
      </c>
      <c r="L471" s="716" t="str">
        <f>Y480</f>
        <v/>
      </c>
      <c r="M471" s="717" t="str">
        <f>Z480</f>
        <v/>
      </c>
      <c r="N471" s="715" t="str">
        <f>Z479</f>
        <v>A/B/C csoport 3. hely</v>
      </c>
      <c r="O471" s="232" t="str">
        <f>IF(Z478=0,"",IF(Z478&gt;0,CONCATENATE("még ",Z478," gól"),CONCATENATE("túl sok (",Z478," gól)")))</f>
        <v/>
      </c>
      <c r="P471" s="139"/>
      <c r="Q471" s="140"/>
      <c r="R471" s="141"/>
      <c r="S471" s="141"/>
      <c r="T471" s="484"/>
      <c r="U471" s="485"/>
      <c r="V471" s="485"/>
      <c r="W471" s="485"/>
      <c r="X471" s="485"/>
      <c r="Y471" s="485"/>
      <c r="Z471" s="485"/>
      <c r="AA471" s="485"/>
      <c r="AB471" s="242" t="e">
        <f>HLOOKUP(D471,nevek.li,2,FALSE)</f>
        <v>#N/A</v>
      </c>
      <c r="AC471" s="242" t="e">
        <f>HLOOKUP(G471,nevek.li,2,FALSE)</f>
        <v>#N/A</v>
      </c>
      <c r="AD471" s="242" t="e">
        <f>HLOOKUP(K471,nevek.li,2,FALSE)</f>
        <v>#N/A</v>
      </c>
      <c r="AE471" s="242" t="e">
        <f>HLOOKUP(N471,nevek.li,2,FALSE)</f>
        <v>#N/A</v>
      </c>
      <c r="AF471" s="485"/>
      <c r="AG471" s="485"/>
      <c r="AH471" s="485"/>
      <c r="AI471" s="485"/>
      <c r="AJ471" s="485"/>
      <c r="AK471" s="485"/>
      <c r="AL471" s="485"/>
      <c r="AM471" s="485"/>
      <c r="AN471" s="485"/>
      <c r="AO471" s="485"/>
      <c r="AP471" s="485"/>
      <c r="AQ471" s="485"/>
      <c r="AR471" s="485"/>
      <c r="AS471" s="485"/>
      <c r="AT471" s="485"/>
      <c r="AU471" s="485"/>
      <c r="AV471" s="500"/>
      <c r="AW471" s="323"/>
      <c r="AX471" s="323"/>
      <c r="AY471" s="323"/>
      <c r="AZ471" s="323"/>
      <c r="BA471" s="323"/>
      <c r="BB471" s="323"/>
      <c r="BC471" s="323"/>
      <c r="BD471" s="323"/>
      <c r="BE471" s="323"/>
      <c r="BF471" s="323"/>
      <c r="BG471" s="323"/>
      <c r="BH471" s="323"/>
      <c r="BI471" s="323"/>
      <c r="BJ471" s="323"/>
      <c r="BK471" s="323"/>
      <c r="BL471" s="323"/>
      <c r="BM471" s="323"/>
      <c r="BN471" s="323"/>
      <c r="BO471" s="323"/>
      <c r="BP471" s="323"/>
      <c r="BQ471" s="323"/>
      <c r="BR471" s="323"/>
      <c r="BS471" s="323"/>
      <c r="BT471" s="323"/>
      <c r="BU471" s="323"/>
      <c r="BV471" s="323"/>
      <c r="BW471" s="323"/>
      <c r="BX471" s="323"/>
      <c r="BY471" s="323"/>
      <c r="BZ471" s="323"/>
      <c r="CA471" s="323"/>
      <c r="CB471" s="323"/>
      <c r="CC471" s="323"/>
      <c r="CD471" s="323"/>
      <c r="CE471" s="323"/>
      <c r="CF471" s="323"/>
      <c r="CG471" s="323"/>
      <c r="CH471" s="323"/>
      <c r="CI471" s="323"/>
      <c r="CJ471" s="323"/>
      <c r="CK471" s="323"/>
      <c r="CL471" s="323"/>
      <c r="CM471" s="323"/>
      <c r="CN471" s="323"/>
      <c r="CO471" s="323"/>
      <c r="CP471" s="323"/>
      <c r="CQ471" s="323"/>
      <c r="CR471" s="323"/>
      <c r="CS471" s="323"/>
      <c r="CT471" s="323"/>
      <c r="CU471" s="323"/>
      <c r="CV471" s="323"/>
      <c r="CW471" s="323"/>
      <c r="CX471" s="323"/>
      <c r="CY471" s="323"/>
      <c r="CZ471" s="323"/>
      <c r="DA471" s="323"/>
      <c r="DB471" s="323"/>
      <c r="DC471" s="323"/>
      <c r="DD471" s="323"/>
      <c r="DE471" s="323"/>
      <c r="DF471" s="323"/>
      <c r="DG471" s="323"/>
      <c r="DH471" s="323"/>
      <c r="DI471" s="323"/>
      <c r="DJ471" s="323"/>
      <c r="DK471" s="500"/>
    </row>
    <row r="472" spans="1:115" ht="12" customHeight="1" x14ac:dyDescent="0.3">
      <c r="A472" s="765"/>
      <c r="C472" s="218"/>
      <c r="D472" s="220"/>
      <c r="E472" s="221"/>
      <c r="F472" s="222"/>
      <c r="G472" s="223"/>
      <c r="H472" s="218"/>
      <c r="J472" s="218"/>
      <c r="K472" s="220"/>
      <c r="L472" s="221"/>
      <c r="M472" s="222"/>
      <c r="N472" s="223"/>
      <c r="O472" s="218"/>
      <c r="V472" s="487" t="s">
        <v>706</v>
      </c>
      <c r="W472" s="242">
        <v>42</v>
      </c>
      <c r="X472" s="485" t="str">
        <f>""</f>
        <v/>
      </c>
      <c r="Y472" s="242">
        <v>41</v>
      </c>
      <c r="AB472" s="327" t="e">
        <f>IF(C472="öngól",AC471,AB471)</f>
        <v>#N/A</v>
      </c>
      <c r="AC472" s="327" t="e">
        <f>IF(H472="öngól",AB471,AC471)</f>
        <v>#N/A</v>
      </c>
      <c r="AD472" s="327" t="e">
        <f>IF(J472="öngól",AE471,AD471)</f>
        <v>#N/A</v>
      </c>
      <c r="AE472" s="327" t="e">
        <f>IF(O472="öngól",AD471,AE471)</f>
        <v>#N/A</v>
      </c>
      <c r="AF472" s="325"/>
      <c r="AG472" s="485">
        <v>1</v>
      </c>
      <c r="AH472" s="488" t="b">
        <f ca="1">AND(W474,X475,D472="",AG472&lt;=W480)</f>
        <v>0</v>
      </c>
      <c r="AI472" s="488" t="b">
        <f ca="1">AND(W474,X475,E472="",AG472&lt;=W480)</f>
        <v>0</v>
      </c>
      <c r="AJ472" s="488" t="b">
        <f ca="1">AND(W474,X475,F472="",AG472&lt;=X480)</f>
        <v>0</v>
      </c>
      <c r="AK472" s="488" t="b">
        <f ca="1">AND(W474,X475,G472="",AG472&lt;=X480)</f>
        <v>0</v>
      </c>
      <c r="AL472" s="488" t="b">
        <f ca="1">AND(Y474,Z475,K472="",AG472&lt;=Y480)</f>
        <v>0</v>
      </c>
      <c r="AM472" s="488" t="b">
        <f ca="1">AND(Y474,Z475,L472="",AG472&lt;=Y480)</f>
        <v>0</v>
      </c>
      <c r="AN472" s="488" t="b">
        <f ca="1">AND(Y474,Z475,M472="",AG472&lt;=Z480)</f>
        <v>0</v>
      </c>
      <c r="AO472" s="488" t="b">
        <f ca="1">AND(Y474,Z475,N472="",AG472&lt;=Z480)</f>
        <v>0</v>
      </c>
      <c r="AQ472" s="326" t="str">
        <f>IF(OR(NOT(Góllista!$E$6),D472=""),"",IF(C472="öngól","ö"&amp;G471&amp;D472,D471&amp;D472))</f>
        <v/>
      </c>
      <c r="AR472" s="326" t="str">
        <f>IF(OR(NOT(Góllista!$E$6),G472=""),"",IF(H472="öngól","ö"&amp;D471&amp;G472,G471&amp;G472))</f>
        <v/>
      </c>
      <c r="AS472" s="326" t="str">
        <f>IF(OR(NOT(Góllista!$E$6),K472=""),"",IF(J472="öngól","ö"&amp;N471&amp;K472,K471&amp;K472))</f>
        <v/>
      </c>
      <c r="AT472" s="326" t="str">
        <f>IF(OR(NOT(Góllista!$E$6),N472=""),"",IF(O472="öngól","ö"&amp;K471&amp;N472,N471&amp;N472))</f>
        <v/>
      </c>
      <c r="AY472" s="323"/>
      <c r="BA472" s="323"/>
      <c r="BC472" s="323"/>
      <c r="BE472" s="323"/>
      <c r="BG472" s="323"/>
      <c r="BI472" s="323"/>
      <c r="BK472" s="323"/>
      <c r="BM472" s="323"/>
      <c r="BO472" s="323"/>
      <c r="BQ472" s="323"/>
      <c r="BS472" s="323"/>
      <c r="BU472" s="323"/>
      <c r="BW472" s="323"/>
      <c r="BY472" s="323"/>
      <c r="CA472" s="323"/>
      <c r="CC472" s="323"/>
      <c r="CE472" s="323"/>
      <c r="CG472" s="323"/>
      <c r="CI472" s="323"/>
      <c r="CK472" s="323"/>
      <c r="CM472" s="323"/>
      <c r="CO472" s="323"/>
      <c r="CQ472" s="323"/>
      <c r="CS472" s="323"/>
      <c r="CU472" s="323"/>
      <c r="CW472" s="323"/>
      <c r="CY472" s="323"/>
      <c r="DA472" s="323"/>
      <c r="DC472" s="323"/>
      <c r="DE472" s="323"/>
      <c r="DG472" s="323"/>
      <c r="DI472" s="323"/>
    </row>
    <row r="473" spans="1:115" ht="12" customHeight="1" x14ac:dyDescent="0.3">
      <c r="A473" s="765"/>
      <c r="C473" s="219"/>
      <c r="D473" s="220"/>
      <c r="E473" s="224"/>
      <c r="F473" s="222"/>
      <c r="G473" s="223"/>
      <c r="H473" s="219"/>
      <c r="J473" s="219"/>
      <c r="K473" s="220"/>
      <c r="L473" s="224"/>
      <c r="M473" s="222"/>
      <c r="N473" s="223"/>
      <c r="O473" s="219"/>
      <c r="V473" s="487" t="s">
        <v>711</v>
      </c>
      <c r="W473" s="327">
        <f>MATCH(W472,n.er.index,0)</f>
        <v>103</v>
      </c>
      <c r="X473" s="485" t="str">
        <f>""</f>
        <v/>
      </c>
      <c r="Y473" s="327">
        <f>MATCH(Y472,n.er.index,0)</f>
        <v>104</v>
      </c>
      <c r="AB473" s="327" t="e">
        <f>IF(C473="öngól",AC471,AB471)</f>
        <v>#N/A</v>
      </c>
      <c r="AC473" s="327" t="e">
        <f>IF(H473="öngól",AB471,AC471)</f>
        <v>#N/A</v>
      </c>
      <c r="AD473" s="327" t="e">
        <f>IF(J473="öngól",AE471,AD471)</f>
        <v>#N/A</v>
      </c>
      <c r="AE473" s="327" t="e">
        <f>IF(O473="öngól",AD471,AE471)</f>
        <v>#N/A</v>
      </c>
      <c r="AF473" s="325"/>
      <c r="AG473" s="485">
        <v>2</v>
      </c>
      <c r="AH473" s="488" t="b">
        <f ca="1">AND(W474,X475,D473="",AG473&lt;=W480)</f>
        <v>0</v>
      </c>
      <c r="AI473" s="488" t="b">
        <f ca="1">AND(W474,X475,E473="",AG473&lt;=W480)</f>
        <v>0</v>
      </c>
      <c r="AJ473" s="488" t="b">
        <f ca="1">AND(W474,X475,F473="",AG473&lt;=X480)</f>
        <v>0</v>
      </c>
      <c r="AK473" s="488" t="b">
        <f ca="1">AND(W474,X475,G473="",AG473&lt;=X480)</f>
        <v>0</v>
      </c>
      <c r="AL473" s="488" t="b">
        <f ca="1">AND(Y474,Z475,K473="",AG473&lt;=Y480)</f>
        <v>0</v>
      </c>
      <c r="AM473" s="488" t="b">
        <f ca="1">AND(Y474,Z475,L473="",AG473&lt;=Y480)</f>
        <v>0</v>
      </c>
      <c r="AN473" s="488" t="b">
        <f ca="1">AND(Y474,Z475,M473="",AG473&lt;=Z480)</f>
        <v>0</v>
      </c>
      <c r="AO473" s="488" t="b">
        <f ca="1">AND(Y474,Z475,N473="",AG473&lt;=Z480)</f>
        <v>0</v>
      </c>
      <c r="AQ473" s="326" t="str">
        <f>IF(OR(NOT(Góllista!$E$6),D473=""),"",IF(C473="öngól","ö"&amp;G471&amp;D473,D471&amp;D473))</f>
        <v/>
      </c>
      <c r="AR473" s="326" t="str">
        <f>IF(OR(NOT(Góllista!$E$6),G473=""),"",IF(H473="öngól","ö"&amp;D471&amp;G473,G471&amp;G473))</f>
        <v/>
      </c>
      <c r="AS473" s="326" t="str">
        <f>IF(OR(NOT(Góllista!$E$6),K473=""),"",IF(J473="öngól","ö"&amp;N471&amp;K473,K471&amp;K473))</f>
        <v/>
      </c>
      <c r="AT473" s="326" t="str">
        <f>IF(OR(NOT(Góllista!$E$6),N473=""),"",IF(O473="öngól","ö"&amp;K471&amp;N473,N471&amp;N473))</f>
        <v/>
      </c>
      <c r="AY473" s="323"/>
      <c r="BA473" s="323"/>
      <c r="BC473" s="323"/>
      <c r="BE473" s="323"/>
      <c r="BG473" s="323"/>
      <c r="BI473" s="323"/>
      <c r="BK473" s="323"/>
      <c r="BM473" s="323"/>
      <c r="BO473" s="323"/>
      <c r="BQ473" s="323"/>
      <c r="BS473" s="323"/>
      <c r="BU473" s="323"/>
      <c r="BW473" s="323"/>
      <c r="BY473" s="323"/>
      <c r="CA473" s="323"/>
      <c r="CC473" s="323"/>
      <c r="CE473" s="323"/>
      <c r="CG473" s="323"/>
      <c r="CI473" s="323"/>
      <c r="CK473" s="323"/>
      <c r="CM473" s="323"/>
      <c r="CO473" s="323"/>
      <c r="CQ473" s="323"/>
      <c r="CS473" s="323"/>
      <c r="CU473" s="323"/>
      <c r="CW473" s="323"/>
      <c r="CY473" s="323"/>
      <c r="DA473" s="323"/>
      <c r="DC473" s="323"/>
      <c r="DE473" s="323"/>
      <c r="DG473" s="323"/>
      <c r="DI473" s="323"/>
    </row>
    <row r="474" spans="1:115" ht="12" customHeight="1" x14ac:dyDescent="0.3">
      <c r="A474" s="765"/>
      <c r="C474" s="219"/>
      <c r="D474" s="220"/>
      <c r="E474" s="224"/>
      <c r="F474" s="222"/>
      <c r="G474" s="223"/>
      <c r="H474" s="219"/>
      <c r="J474" s="219"/>
      <c r="K474" s="220"/>
      <c r="L474" s="224"/>
      <c r="M474" s="222"/>
      <c r="N474" s="223"/>
      <c r="O474" s="219"/>
      <c r="V474" s="487" t="s">
        <v>710</v>
      </c>
      <c r="W474" s="489" t="b">
        <f>INDEX(n.er,W473,3)</f>
        <v>0</v>
      </c>
      <c r="X474" s="485" t="str">
        <f>""</f>
        <v/>
      </c>
      <c r="Y474" s="489" t="b">
        <f>INDEX(n.er,Y473,3)</f>
        <v>0</v>
      </c>
      <c r="AB474" s="327" t="e">
        <f>IF(C474="öngól",AC471,AB471)</f>
        <v>#N/A</v>
      </c>
      <c r="AC474" s="327" t="e">
        <f>IF(H474="öngól",AB471,AC471)</f>
        <v>#N/A</v>
      </c>
      <c r="AD474" s="327" t="e">
        <f>IF(J474="öngól",AE471,AD471)</f>
        <v>#N/A</v>
      </c>
      <c r="AE474" s="327" t="e">
        <f>IF(O474="öngól",AD471,AE471)</f>
        <v>#N/A</v>
      </c>
      <c r="AF474" s="325"/>
      <c r="AG474" s="485">
        <v>3</v>
      </c>
      <c r="AH474" s="488" t="b">
        <f ca="1">AND(W474,X475,D474="",AG474&lt;=W480)</f>
        <v>0</v>
      </c>
      <c r="AI474" s="488" t="b">
        <f ca="1">AND(W474,X475,E474="",AG474&lt;=W480)</f>
        <v>0</v>
      </c>
      <c r="AJ474" s="488" t="b">
        <f ca="1">AND(W474,X475,F474="",AG474&lt;=X480)</f>
        <v>0</v>
      </c>
      <c r="AK474" s="488" t="b">
        <f ca="1">AND(W474,X475,G474="",AG474&lt;=X480)</f>
        <v>0</v>
      </c>
      <c r="AL474" s="488" t="b">
        <f ca="1">AND(Y474,Z475,K474="",AG474&lt;=Y480)</f>
        <v>0</v>
      </c>
      <c r="AM474" s="488" t="b">
        <f ca="1">AND(Y474,Z475,L474="",AG474&lt;=Y480)</f>
        <v>0</v>
      </c>
      <c r="AN474" s="488" t="b">
        <f ca="1">AND(Y474,Z475,M474="",AG474&lt;=Z480)</f>
        <v>0</v>
      </c>
      <c r="AO474" s="488" t="b">
        <f ca="1">AND(Y474,Z475,N474="",AG474&lt;=Z480)</f>
        <v>0</v>
      </c>
      <c r="AQ474" s="326" t="str">
        <f>IF(OR(NOT(Góllista!$E$6),D474=""),"",IF(C474="öngól","ö"&amp;G471&amp;D474,D471&amp;D474))</f>
        <v/>
      </c>
      <c r="AR474" s="326" t="str">
        <f>IF(OR(NOT(Góllista!$E$6),G474=""),"",IF(H474="öngól","ö"&amp;D471&amp;G474,G471&amp;G474))</f>
        <v/>
      </c>
      <c r="AS474" s="326" t="str">
        <f>IF(OR(NOT(Góllista!$E$6),K474=""),"",IF(J474="öngól","ö"&amp;N471&amp;K474,K471&amp;K474))</f>
        <v/>
      </c>
      <c r="AT474" s="326" t="str">
        <f>IF(OR(NOT(Góllista!$E$6),N474=""),"",IF(O474="öngól","ö"&amp;K471&amp;N474,N471&amp;N474))</f>
        <v/>
      </c>
      <c r="AY474" s="323"/>
      <c r="BA474" s="323"/>
      <c r="BC474" s="323"/>
      <c r="BE474" s="323"/>
      <c r="BG474" s="323"/>
      <c r="BI474" s="323"/>
      <c r="BK474" s="323"/>
      <c r="BM474" s="323"/>
      <c r="BO474" s="323"/>
      <c r="BQ474" s="323"/>
      <c r="BS474" s="323"/>
      <c r="BU474" s="323"/>
      <c r="BW474" s="323"/>
      <c r="BY474" s="323"/>
      <c r="CA474" s="323"/>
      <c r="CC474" s="323"/>
      <c r="CE474" s="323"/>
      <c r="CG474" s="323"/>
      <c r="CI474" s="323"/>
      <c r="CK474" s="323"/>
      <c r="CM474" s="323"/>
      <c r="CO474" s="323"/>
      <c r="CQ474" s="323"/>
      <c r="CS474" s="323"/>
      <c r="CU474" s="323"/>
      <c r="CW474" s="323"/>
      <c r="CY474" s="323"/>
      <c r="DA474" s="323"/>
      <c r="DC474" s="323"/>
      <c r="DE474" s="323"/>
      <c r="DG474" s="323"/>
      <c r="DI474" s="323"/>
    </row>
    <row r="475" spans="1:115" ht="12" customHeight="1" x14ac:dyDescent="0.3">
      <c r="A475" s="765"/>
      <c r="C475" s="219"/>
      <c r="D475" s="220"/>
      <c r="E475" s="224"/>
      <c r="F475" s="222"/>
      <c r="G475" s="223"/>
      <c r="H475" s="219"/>
      <c r="J475" s="219"/>
      <c r="K475" s="220"/>
      <c r="L475" s="224"/>
      <c r="M475" s="222"/>
      <c r="N475" s="223"/>
      <c r="O475" s="219"/>
      <c r="V475" s="487" t="s">
        <v>705</v>
      </c>
      <c r="W475" s="490" t="str">
        <f>VLOOKUP(W472,schedule,18,FALSE)</f>
        <v>JÚNIUS 28. – HÉTFŐ 18:00</v>
      </c>
      <c r="X475" s="489" t="b">
        <f ca="1">VLOOKUP(W472,schedule,14,FALSE)&lt;=NOW()</f>
        <v>0</v>
      </c>
      <c r="Y475" s="490" t="str">
        <f>VLOOKUP(Y472,schedule,18,FALSE)</f>
        <v>JÚNIUS 28. – HÉTFŐ 21:00</v>
      </c>
      <c r="Z475" s="489" t="b">
        <f ca="1">VLOOKUP(Y472,schedule,14,FALSE)&lt;=NOW()</f>
        <v>0</v>
      </c>
      <c r="AB475" s="327" t="e">
        <f>IF(C475="öngól",AC471,AB471)</f>
        <v>#N/A</v>
      </c>
      <c r="AC475" s="327" t="e">
        <f>IF(H475="öngól",AB471,AC471)</f>
        <v>#N/A</v>
      </c>
      <c r="AD475" s="327" t="e">
        <f>IF(J475="öngól",AE471,AD471)</f>
        <v>#N/A</v>
      </c>
      <c r="AE475" s="327" t="e">
        <f>IF(O475="öngól",AD471,AE471)</f>
        <v>#N/A</v>
      </c>
      <c r="AF475" s="325"/>
      <c r="AG475" s="485">
        <v>4</v>
      </c>
      <c r="AH475" s="488" t="b">
        <f ca="1">AND(W474,X475,D475="",AG475&lt;=W480)</f>
        <v>0</v>
      </c>
      <c r="AI475" s="488" t="b">
        <f ca="1">AND(W474,X475,E475="",AG475&lt;=W480)</f>
        <v>0</v>
      </c>
      <c r="AJ475" s="488" t="b">
        <f ca="1">AND(W474,X475,F475="",AG475&lt;=X480)</f>
        <v>0</v>
      </c>
      <c r="AK475" s="488" t="b">
        <f ca="1">AND(W474,X475,G475="",AG475&lt;=X480)</f>
        <v>0</v>
      </c>
      <c r="AL475" s="488" t="b">
        <f ca="1">AND(Y474,Z475,K475="",AG475&lt;=Y480)</f>
        <v>0</v>
      </c>
      <c r="AM475" s="488" t="b">
        <f ca="1">AND(Y474,Z475,L475="",AG475&lt;=Y480)</f>
        <v>0</v>
      </c>
      <c r="AN475" s="488" t="b">
        <f ca="1">AND(Y474,Z475,M475="",AG475&lt;=Z480)</f>
        <v>0</v>
      </c>
      <c r="AO475" s="488" t="b">
        <f ca="1">AND(Y474,Z475,N475="",AG475&lt;=Z480)</f>
        <v>0</v>
      </c>
      <c r="AQ475" s="326" t="str">
        <f>IF(OR(NOT(Góllista!$E$6),D475=""),"",IF(C475="öngól","ö"&amp;G471&amp;D475,D471&amp;D475))</f>
        <v/>
      </c>
      <c r="AR475" s="326" t="str">
        <f>IF(OR(NOT(Góllista!$E$6),G475=""),"",IF(H475="öngól","ö"&amp;D471&amp;G475,G471&amp;G475))</f>
        <v/>
      </c>
      <c r="AS475" s="326" t="str">
        <f>IF(OR(NOT(Góllista!$E$6),K475=""),"",IF(J475="öngól","ö"&amp;N471&amp;K475,K471&amp;K475))</f>
        <v/>
      </c>
      <c r="AT475" s="326" t="str">
        <f>IF(OR(NOT(Góllista!$E$6),N475=""),"",IF(O475="öngól","ö"&amp;K471&amp;N475,N471&amp;N475))</f>
        <v/>
      </c>
      <c r="AY475" s="323"/>
      <c r="BA475" s="323"/>
      <c r="BC475" s="323"/>
      <c r="BE475" s="323"/>
      <c r="BG475" s="323"/>
      <c r="BI475" s="323"/>
      <c r="BK475" s="323"/>
      <c r="BM475" s="323"/>
      <c r="BO475" s="323"/>
      <c r="BQ475" s="323"/>
      <c r="BS475" s="323"/>
      <c r="BU475" s="323"/>
      <c r="BW475" s="323"/>
      <c r="BY475" s="323"/>
      <c r="CA475" s="323"/>
      <c r="CC475" s="323"/>
      <c r="CE475" s="323"/>
      <c r="CG475" s="323"/>
      <c r="CI475" s="323"/>
      <c r="CK475" s="323"/>
      <c r="CM475" s="323"/>
      <c r="CO475" s="323"/>
      <c r="CQ475" s="323"/>
      <c r="CS475" s="323"/>
      <c r="CU475" s="323"/>
      <c r="CW475" s="323"/>
      <c r="CY475" s="323"/>
      <c r="DA475" s="323"/>
      <c r="DC475" s="323"/>
      <c r="DE475" s="323"/>
      <c r="DG475" s="323"/>
      <c r="DI475" s="323"/>
    </row>
    <row r="476" spans="1:115" ht="12" customHeight="1" x14ac:dyDescent="0.3">
      <c r="A476" s="765"/>
      <c r="C476" s="219"/>
      <c r="D476" s="220"/>
      <c r="E476" s="224"/>
      <c r="F476" s="222"/>
      <c r="G476" s="223"/>
      <c r="H476" s="219"/>
      <c r="J476" s="219"/>
      <c r="K476" s="220"/>
      <c r="L476" s="224"/>
      <c r="M476" s="222"/>
      <c r="N476" s="223"/>
      <c r="O476" s="219"/>
      <c r="V476" s="487" t="s">
        <v>1265</v>
      </c>
      <c r="W476" s="491" t="str">
        <f>VLOOKUP(W472,schedule,12,FALSE)</f>
        <v>NYOLCADDÖNTŐ</v>
      </c>
      <c r="X476" s="485" t="str">
        <f>""</f>
        <v/>
      </c>
      <c r="Y476" s="491" t="str">
        <f>VLOOKUP(Y472,schedule,12,FALSE)</f>
        <v>NYOLCADDÖNTŐ</v>
      </c>
      <c r="AB476" s="327" t="e">
        <f>IF(C476="öngól",AC471,AB471)</f>
        <v>#N/A</v>
      </c>
      <c r="AC476" s="327" t="e">
        <f>IF(H476="öngól",AB471,AC471)</f>
        <v>#N/A</v>
      </c>
      <c r="AD476" s="327" t="e">
        <f>IF(J476="öngól",AE471,AD471)</f>
        <v>#N/A</v>
      </c>
      <c r="AE476" s="327" t="e">
        <f>IF(O476="öngól",AD471,AE471)</f>
        <v>#N/A</v>
      </c>
      <c r="AF476" s="325"/>
      <c r="AG476" s="485">
        <v>5</v>
      </c>
      <c r="AH476" s="488" t="b">
        <f ca="1">AND(W474,X475,D476="",AG476&lt;=W480)</f>
        <v>0</v>
      </c>
      <c r="AI476" s="488" t="b">
        <f ca="1">AND(W474,X475,E476="",AG476&lt;=W480)</f>
        <v>0</v>
      </c>
      <c r="AJ476" s="488" t="b">
        <f ca="1">AND(W474,X475,F476="",AG476&lt;=X480)</f>
        <v>0</v>
      </c>
      <c r="AK476" s="488" t="b">
        <f ca="1">AND(W474,X475,G476="",AG476&lt;=X480)</f>
        <v>0</v>
      </c>
      <c r="AL476" s="488" t="b">
        <f ca="1">AND(Y474,Z475,K476="",AG476&lt;=Y480)</f>
        <v>0</v>
      </c>
      <c r="AM476" s="488" t="b">
        <f ca="1">AND(Y474,Z475,L476="",AG476&lt;=Y480)</f>
        <v>0</v>
      </c>
      <c r="AN476" s="488" t="b">
        <f ca="1">AND(Y474,Z475,M476="",AG476&lt;=Z480)</f>
        <v>0</v>
      </c>
      <c r="AO476" s="488" t="b">
        <f ca="1">AND(Y474,Z475,N476="",AG476&lt;=Z480)</f>
        <v>0</v>
      </c>
      <c r="AQ476" s="326" t="str">
        <f>IF(OR(NOT(Góllista!$E$6),D476=""),"",IF(C476="öngól","ö"&amp;G471&amp;D476,D471&amp;D476))</f>
        <v/>
      </c>
      <c r="AR476" s="326" t="str">
        <f>IF(OR(NOT(Góllista!$E$6),G476=""),"",IF(H476="öngól","ö"&amp;D471&amp;G476,G471&amp;G476))</f>
        <v/>
      </c>
      <c r="AS476" s="326" t="str">
        <f>IF(OR(NOT(Góllista!$E$6),K476=""),"",IF(J476="öngól","ö"&amp;N471&amp;K476,K471&amp;K476))</f>
        <v/>
      </c>
      <c r="AT476" s="326" t="str">
        <f>IF(OR(NOT(Góllista!$E$6),N476=""),"",IF(O476="öngól","ö"&amp;K471&amp;N476,N471&amp;N476))</f>
        <v/>
      </c>
      <c r="AY476" s="323"/>
      <c r="BA476" s="323"/>
      <c r="BC476" s="323"/>
      <c r="BE476" s="323"/>
      <c r="BG476" s="323"/>
      <c r="BI476" s="323"/>
      <c r="BK476" s="323"/>
      <c r="BM476" s="323"/>
      <c r="BO476" s="323"/>
      <c r="BQ476" s="323"/>
      <c r="BS476" s="323"/>
      <c r="BU476" s="323"/>
      <c r="BW476" s="323"/>
      <c r="BY476" s="323"/>
      <c r="CA476" s="323"/>
      <c r="CC476" s="323"/>
      <c r="CE476" s="323"/>
      <c r="CG476" s="323"/>
      <c r="CI476" s="323"/>
      <c r="CK476" s="323"/>
      <c r="CM476" s="323"/>
      <c r="CO476" s="323"/>
      <c r="CQ476" s="323"/>
      <c r="CS476" s="323"/>
      <c r="CU476" s="323"/>
      <c r="CW476" s="323"/>
      <c r="CY476" s="323"/>
      <c r="DA476" s="323"/>
      <c r="DC476" s="323"/>
      <c r="DE476" s="323"/>
      <c r="DG476" s="323"/>
      <c r="DI476" s="323"/>
    </row>
    <row r="477" spans="1:115" ht="12" customHeight="1" x14ac:dyDescent="0.3">
      <c r="A477" s="765"/>
      <c r="C477" s="219"/>
      <c r="D477" s="220"/>
      <c r="E477" s="224"/>
      <c r="F477" s="222"/>
      <c r="G477" s="223"/>
      <c r="H477" s="219"/>
      <c r="J477" s="219"/>
      <c r="K477" s="220"/>
      <c r="L477" s="224"/>
      <c r="M477" s="222"/>
      <c r="N477" s="223"/>
      <c r="O477" s="219"/>
      <c r="V477" s="487" t="s">
        <v>1264</v>
      </c>
      <c r="W477" s="327" t="str">
        <f>VLOOKUP(W472,schedule,3,FALSE)</f>
        <v>4/8</v>
      </c>
      <c r="X477" s="485" t="str">
        <f>""</f>
        <v/>
      </c>
      <c r="Y477" s="327" t="str">
        <f>VLOOKUP(Y472,schedule,3,FALSE)</f>
        <v>3/8</v>
      </c>
      <c r="AB477" s="327" t="e">
        <f>IF(C477="öngól",AC471,AB471)</f>
        <v>#N/A</v>
      </c>
      <c r="AC477" s="327" t="e">
        <f>IF(H477="öngól",AB471,AC471)</f>
        <v>#N/A</v>
      </c>
      <c r="AD477" s="327" t="e">
        <f>IF(J477="öngól",AE471,AD471)</f>
        <v>#N/A</v>
      </c>
      <c r="AE477" s="327" t="e">
        <f>IF(O477="öngól",AD471,AE471)</f>
        <v>#N/A</v>
      </c>
      <c r="AF477" s="325"/>
      <c r="AG477" s="485">
        <v>6</v>
      </c>
      <c r="AH477" s="488" t="b">
        <f ca="1">AND(W474,X475,D477="",AG477&lt;=W480)</f>
        <v>0</v>
      </c>
      <c r="AI477" s="488" t="b">
        <f ca="1">AND(W474,X475,E477="",AG477&lt;=W480)</f>
        <v>0</v>
      </c>
      <c r="AJ477" s="488" t="b">
        <f ca="1">AND(W474,X475,F477="",AG477&lt;=X480)</f>
        <v>0</v>
      </c>
      <c r="AK477" s="488" t="b">
        <f ca="1">AND(W474,X475,G477="",AG477&lt;=X480)</f>
        <v>0</v>
      </c>
      <c r="AL477" s="488" t="b">
        <f ca="1">AND(Y474,Z475,K477="",AG477&lt;=Y480)</f>
        <v>0</v>
      </c>
      <c r="AM477" s="488" t="b">
        <f ca="1">AND(Y474,Z475,L477="",AG477&lt;=Y480)</f>
        <v>0</v>
      </c>
      <c r="AN477" s="488" t="b">
        <f ca="1">AND(Y474,Z475,M477="",AG477&lt;=Z480)</f>
        <v>0</v>
      </c>
      <c r="AO477" s="488" t="b">
        <f ca="1">AND(Y474,Z475,N477="",AG477&lt;=Z480)</f>
        <v>0</v>
      </c>
      <c r="AQ477" s="326" t="str">
        <f>IF(OR(NOT(Góllista!$E$6),D477=""),"",IF(C477="öngól","ö"&amp;G471&amp;D477,D471&amp;D477))</f>
        <v/>
      </c>
      <c r="AR477" s="326" t="str">
        <f>IF(OR(NOT(Góllista!$E$6),G477=""),"",IF(H477="öngól","ö"&amp;D471&amp;G477,G471&amp;G477))</f>
        <v/>
      </c>
      <c r="AS477" s="326" t="str">
        <f>IF(OR(NOT(Góllista!$E$6),K477=""),"",IF(J477="öngól","ö"&amp;N471&amp;K477,K471&amp;K477))</f>
        <v/>
      </c>
      <c r="AT477" s="326" t="str">
        <f>IF(OR(NOT(Góllista!$E$6),N477=""),"",IF(O477="öngól","ö"&amp;K471&amp;N477,N471&amp;N477))</f>
        <v/>
      </c>
      <c r="AY477" s="323"/>
      <c r="BA477" s="323"/>
      <c r="BC477" s="323"/>
      <c r="BE477" s="323"/>
      <c r="BG477" s="323"/>
      <c r="BI477" s="323"/>
      <c r="BK477" s="323"/>
      <c r="BM477" s="323"/>
      <c r="BO477" s="323"/>
      <c r="BQ477" s="323"/>
      <c r="BS477" s="323"/>
      <c r="BU477" s="323"/>
      <c r="BW477" s="323"/>
      <c r="BY477" s="323"/>
      <c r="CA477" s="323"/>
      <c r="CC477" s="323"/>
      <c r="CE477" s="323"/>
      <c r="CG477" s="323"/>
      <c r="CI477" s="323"/>
      <c r="CK477" s="323"/>
      <c r="CM477" s="323"/>
      <c r="CO477" s="323"/>
      <c r="CQ477" s="323"/>
      <c r="CS477" s="323"/>
      <c r="CU477" s="323"/>
      <c r="CW477" s="323"/>
      <c r="CY477" s="323"/>
      <c r="DA477" s="323"/>
      <c r="DC477" s="323"/>
      <c r="DE477" s="323"/>
      <c r="DG477" s="323"/>
      <c r="DI477" s="323"/>
    </row>
    <row r="478" spans="1:115" ht="12" customHeight="1" x14ac:dyDescent="0.3">
      <c r="A478" s="765"/>
      <c r="C478" s="219"/>
      <c r="D478" s="220"/>
      <c r="E478" s="224"/>
      <c r="F478" s="222"/>
      <c r="G478" s="223"/>
      <c r="H478" s="219"/>
      <c r="J478" s="219"/>
      <c r="K478" s="220"/>
      <c r="L478" s="224"/>
      <c r="M478" s="222"/>
      <c r="N478" s="223"/>
      <c r="O478" s="219"/>
      <c r="V478" s="485" t="s">
        <v>707</v>
      </c>
      <c r="W478" s="327">
        <f>IF(NOT(W474),0,E471-9+COUNTBLANK(D472:D480))</f>
        <v>0</v>
      </c>
      <c r="X478" s="327">
        <f>IF(NOT(W474),0,F471-9+COUNTBLANK(G472:G480))</f>
        <v>0</v>
      </c>
      <c r="Y478" s="327">
        <f>IF(NOT(Y474),0,L471-9+COUNTBLANK(K472:K480))</f>
        <v>0</v>
      </c>
      <c r="Z478" s="327">
        <f>IF(NOT(Y474),0,M471-9+COUNTBLANK(N472:N480))</f>
        <v>0</v>
      </c>
      <c r="AB478" s="327" t="e">
        <f>IF(C478="öngól",AC471,AB471)</f>
        <v>#N/A</v>
      </c>
      <c r="AC478" s="327" t="e">
        <f>IF(H478="öngól",AB471,AC471)</f>
        <v>#N/A</v>
      </c>
      <c r="AD478" s="327" t="e">
        <f>IF(J478="öngól",AE471,AD471)</f>
        <v>#N/A</v>
      </c>
      <c r="AE478" s="327" t="e">
        <f>IF(O478="öngól",AD471,AE471)</f>
        <v>#N/A</v>
      </c>
      <c r="AF478" s="325"/>
      <c r="AG478" s="485">
        <v>7</v>
      </c>
      <c r="AH478" s="488" t="b">
        <f ca="1">AND(W474,X475,D478="",AG478&lt;=W480)</f>
        <v>0</v>
      </c>
      <c r="AI478" s="488" t="b">
        <f ca="1">AND(W474,X475,E478="",AG478&lt;=W480)</f>
        <v>0</v>
      </c>
      <c r="AJ478" s="488" t="b">
        <f ca="1">AND(W474,X475,F478="",AG478&lt;=X480)</f>
        <v>0</v>
      </c>
      <c r="AK478" s="488" t="b">
        <f ca="1">AND(W474,X475,G478="",AG478&lt;=X480)</f>
        <v>0</v>
      </c>
      <c r="AL478" s="488" t="b">
        <f ca="1">AND(Y474,Z475,K478="",AG478&lt;=Y480)</f>
        <v>0</v>
      </c>
      <c r="AM478" s="488" t="b">
        <f ca="1">AND(Y474,Z475,L478="",AG478&lt;=Y480)</f>
        <v>0</v>
      </c>
      <c r="AN478" s="488" t="b">
        <f ca="1">AND(Y474,Z475,M478="",AG478&lt;=Z480)</f>
        <v>0</v>
      </c>
      <c r="AO478" s="488" t="b">
        <f ca="1">AND(Y474,Z475,N478="",AG478&lt;=Z480)</f>
        <v>0</v>
      </c>
      <c r="AQ478" s="326" t="str">
        <f>IF(OR(NOT(Góllista!$E$6),D478=""),"",IF(C478="öngól","ö"&amp;G471&amp;D478,D471&amp;D478))</f>
        <v/>
      </c>
      <c r="AR478" s="326" t="str">
        <f>IF(OR(NOT(Góllista!$E$6),G478=""),"",IF(H478="öngól","ö"&amp;D471&amp;G478,G471&amp;G478))</f>
        <v/>
      </c>
      <c r="AS478" s="326" t="str">
        <f>IF(OR(NOT(Góllista!$E$6),K478=""),"",IF(J478="öngól","ö"&amp;N471&amp;K478,K471&amp;K478))</f>
        <v/>
      </c>
      <c r="AT478" s="326" t="str">
        <f>IF(OR(NOT(Góllista!$E$6),N478=""),"",IF(O478="öngól","ö"&amp;K471&amp;N478,N471&amp;N478))</f>
        <v/>
      </c>
      <c r="AY478" s="323"/>
      <c r="BA478" s="323"/>
      <c r="BC478" s="323"/>
      <c r="BE478" s="323"/>
      <c r="BG478" s="323"/>
      <c r="BI478" s="323"/>
      <c r="BK478" s="323"/>
      <c r="BM478" s="323"/>
      <c r="BO478" s="323"/>
      <c r="BQ478" s="323"/>
      <c r="BS478" s="323"/>
      <c r="BU478" s="323"/>
      <c r="BW478" s="323"/>
      <c r="BY478" s="323"/>
      <c r="CA478" s="323"/>
      <c r="CC478" s="323"/>
      <c r="CE478" s="323"/>
      <c r="CG478" s="323"/>
      <c r="CI478" s="323"/>
      <c r="CK478" s="323"/>
      <c r="CM478" s="323"/>
      <c r="CO478" s="323"/>
      <c r="CQ478" s="323"/>
      <c r="CS478" s="323"/>
      <c r="CU478" s="323"/>
      <c r="CW478" s="323"/>
      <c r="CY478" s="323"/>
      <c r="DA478" s="323"/>
      <c r="DC478" s="323"/>
      <c r="DE478" s="323"/>
      <c r="DG478" s="323"/>
      <c r="DI478" s="323"/>
    </row>
    <row r="479" spans="1:115" ht="12" customHeight="1" x14ac:dyDescent="0.3">
      <c r="A479" s="765"/>
      <c r="C479" s="219"/>
      <c r="D479" s="220"/>
      <c r="E479" s="224"/>
      <c r="F479" s="222"/>
      <c r="G479" s="223"/>
      <c r="H479" s="219"/>
      <c r="J479" s="219"/>
      <c r="K479" s="220"/>
      <c r="L479" s="224"/>
      <c r="M479" s="222"/>
      <c r="N479" s="223"/>
      <c r="O479" s="219"/>
      <c r="V479" s="485" t="s">
        <v>708</v>
      </c>
      <c r="W479" s="411" t="str">
        <f>VLOOKUP(W472,schedule,8,FALSE)</f>
        <v>D csoport 2. hely</v>
      </c>
      <c r="X479" s="411" t="str">
        <f>VLOOKUP(W472,schedule,9,FALSE)</f>
        <v>E csoport 2. hely</v>
      </c>
      <c r="Y479" s="411" t="str">
        <f>VLOOKUP(Y472,schedule,8,FALSE)</f>
        <v>F csoport 1. hely</v>
      </c>
      <c r="Z479" s="491" t="str">
        <f>VLOOKUP(Y472,schedule,9,FALSE)</f>
        <v>A/B/C csoport 3. hely</v>
      </c>
      <c r="AB479" s="327" t="e">
        <f>IF(C479="öngól",AC471,AB471)</f>
        <v>#N/A</v>
      </c>
      <c r="AC479" s="327" t="e">
        <f>IF(H479="öngól",AB471,AC471)</f>
        <v>#N/A</v>
      </c>
      <c r="AD479" s="327" t="e">
        <f>IF(J479="öngól",AE471,AD471)</f>
        <v>#N/A</v>
      </c>
      <c r="AE479" s="327" t="e">
        <f>IF(O479="öngól",AD471,AE471)</f>
        <v>#N/A</v>
      </c>
      <c r="AF479" s="325"/>
      <c r="AG479" s="485">
        <v>8</v>
      </c>
      <c r="AH479" s="488" t="b">
        <f ca="1">AND(W474,X475,D479="",AG479&lt;=W480)</f>
        <v>0</v>
      </c>
      <c r="AI479" s="488" t="b">
        <f ca="1">AND(W474,X475,E479="",AG479&lt;=W480)</f>
        <v>0</v>
      </c>
      <c r="AJ479" s="488" t="b">
        <f ca="1">AND(W474,X475,F479="",AG479&lt;=X480)</f>
        <v>0</v>
      </c>
      <c r="AK479" s="488" t="b">
        <f ca="1">AND(W474,X475,G479="",AG479&lt;=X480)</f>
        <v>0</v>
      </c>
      <c r="AL479" s="488" t="b">
        <f ca="1">AND(Y474,Z475,K479="",AG479&lt;=Y480)</f>
        <v>0</v>
      </c>
      <c r="AM479" s="488" t="b">
        <f ca="1">AND(Y474,Z475,L479="",AG479&lt;=Y480)</f>
        <v>0</v>
      </c>
      <c r="AN479" s="488" t="b">
        <f ca="1">AND(Y474,Z475,M479="",AG479&lt;=Z480)</f>
        <v>0</v>
      </c>
      <c r="AO479" s="488" t="b">
        <f ca="1">AND(Y474,Z475,N479="",AG479&lt;=Z480)</f>
        <v>0</v>
      </c>
      <c r="AQ479" s="326" t="str">
        <f>IF(OR(NOT(Góllista!$E$6),D479=""),"",IF(C479="öngól","ö"&amp;G471&amp;D479,D471&amp;D479))</f>
        <v/>
      </c>
      <c r="AR479" s="326" t="str">
        <f>IF(OR(NOT(Góllista!$E$6),G479=""),"",IF(H479="öngól","ö"&amp;D471&amp;G479,G471&amp;G479))</f>
        <v/>
      </c>
      <c r="AS479" s="326" t="str">
        <f>IF(OR(NOT(Góllista!$E$6),K479=""),"",IF(J479="öngól","ö"&amp;N471&amp;K479,K471&amp;K479))</f>
        <v/>
      </c>
      <c r="AT479" s="326" t="str">
        <f>IF(OR(NOT(Góllista!$E$6),N479=""),"",IF(O479="öngól","ö"&amp;K471&amp;N479,N471&amp;N479))</f>
        <v/>
      </c>
      <c r="AY479" s="323"/>
      <c r="BA479" s="323"/>
      <c r="BC479" s="323"/>
      <c r="BE479" s="323"/>
      <c r="BG479" s="323"/>
      <c r="BI479" s="323"/>
      <c r="BK479" s="323"/>
      <c r="BM479" s="323"/>
      <c r="BO479" s="323"/>
      <c r="BQ479" s="323"/>
      <c r="BS479" s="323"/>
      <c r="BU479" s="323"/>
      <c r="BW479" s="323"/>
      <c r="BY479" s="323"/>
      <c r="CA479" s="323"/>
      <c r="CC479" s="323"/>
      <c r="CE479" s="323"/>
      <c r="CG479" s="323"/>
      <c r="CI479" s="323"/>
      <c r="CK479" s="323"/>
      <c r="CM479" s="323"/>
      <c r="CO479" s="323"/>
      <c r="CQ479" s="323"/>
      <c r="CS479" s="323"/>
      <c r="CU479" s="323"/>
      <c r="CW479" s="323"/>
      <c r="CY479" s="323"/>
      <c r="DA479" s="323"/>
      <c r="DC479" s="323"/>
      <c r="DE479" s="323"/>
      <c r="DG479" s="323"/>
      <c r="DI479" s="323"/>
    </row>
    <row r="480" spans="1:115" ht="12" customHeight="1" x14ac:dyDescent="0.3">
      <c r="A480" s="765"/>
      <c r="C480" s="219"/>
      <c r="D480" s="220"/>
      <c r="E480" s="225"/>
      <c r="F480" s="222"/>
      <c r="G480" s="223"/>
      <c r="H480" s="219"/>
      <c r="J480" s="219"/>
      <c r="K480" s="220"/>
      <c r="L480" s="225"/>
      <c r="M480" s="222"/>
      <c r="N480" s="223"/>
      <c r="O480" s="219"/>
      <c r="V480" s="485" t="s">
        <v>709</v>
      </c>
      <c r="W480" s="492" t="str">
        <f>INDEX(n.er,W473,9)</f>
        <v/>
      </c>
      <c r="X480" s="493" t="str">
        <f>INDEX(n.er,W473,10)</f>
        <v/>
      </c>
      <c r="Y480" s="492" t="str">
        <f>INDEX(n.er,Y473,9)</f>
        <v/>
      </c>
      <c r="Z480" s="493" t="str">
        <f>INDEX(n.er,Y473,10)</f>
        <v/>
      </c>
      <c r="AB480" s="327" t="e">
        <f>IF(C480="öngól",AC471,AB471)</f>
        <v>#N/A</v>
      </c>
      <c r="AC480" s="327" t="e">
        <f>IF(H480="öngól",AB471,AC471)</f>
        <v>#N/A</v>
      </c>
      <c r="AD480" s="327" t="e">
        <f>IF(J480="öngól",AE471,AD471)</f>
        <v>#N/A</v>
      </c>
      <c r="AE480" s="327" t="e">
        <f>IF(O480="öngól",AD471,AE471)</f>
        <v>#N/A</v>
      </c>
      <c r="AF480" s="325"/>
      <c r="AG480" s="485">
        <v>9</v>
      </c>
      <c r="AH480" s="488" t="b">
        <f ca="1">AND(W474,X475,D480="",AG480&lt;=W480)</f>
        <v>0</v>
      </c>
      <c r="AI480" s="488" t="b">
        <f ca="1">AND(W474,X475,E480="",AG480&lt;=W480)</f>
        <v>0</v>
      </c>
      <c r="AJ480" s="488" t="b">
        <f ca="1">AND(W474,X475,F480="",AG480&lt;=X480)</f>
        <v>0</v>
      </c>
      <c r="AK480" s="488" t="b">
        <f ca="1">AND(W474,X475,G480="",AG480&lt;=X480)</f>
        <v>0</v>
      </c>
      <c r="AL480" s="488" t="b">
        <f ca="1">AND(Y474,Z475,K480="",AG480&lt;=Y480)</f>
        <v>0</v>
      </c>
      <c r="AM480" s="488" t="b">
        <f ca="1">AND(Y474,Z475,L480="",AG480&lt;=Y480)</f>
        <v>0</v>
      </c>
      <c r="AN480" s="488" t="b">
        <f ca="1">AND(Y474,Z475,M480="",AG480&lt;=Z480)</f>
        <v>0</v>
      </c>
      <c r="AO480" s="488" t="b">
        <f ca="1">AND(Y474,Z475,N480="",AG480&lt;=Z480)</f>
        <v>0</v>
      </c>
      <c r="AQ480" s="326" t="str">
        <f>IF(OR(NOT(Góllista!$E$6),D480=""),"",IF(C480="öngól","ö"&amp;G471&amp;D480,D471&amp;D480))</f>
        <v/>
      </c>
      <c r="AR480" s="326" t="str">
        <f>IF(OR(NOT(Góllista!$E$6),G480=""),"",IF(H480="öngól","ö"&amp;D471&amp;G480,G471&amp;G480))</f>
        <v/>
      </c>
      <c r="AS480" s="326" t="str">
        <f>IF(OR(NOT(Góllista!$E$6),K480=""),"",IF(J480="öngól","ö"&amp;N471&amp;K480,K471&amp;K480))</f>
        <v/>
      </c>
      <c r="AT480" s="326" t="str">
        <f>IF(OR(NOT(Góllista!$E$6),N480=""),"",IF(O480="öngól","ö"&amp;K471&amp;N480,N471&amp;N480))</f>
        <v/>
      </c>
      <c r="AY480" s="323"/>
      <c r="BA480" s="323"/>
      <c r="BC480" s="323"/>
      <c r="BE480" s="323"/>
      <c r="BG480" s="323"/>
      <c r="BI480" s="323"/>
      <c r="BK480" s="323"/>
      <c r="BM480" s="323"/>
      <c r="BO480" s="323"/>
      <c r="BQ480" s="323"/>
      <c r="BS480" s="323"/>
      <c r="BU480" s="323"/>
      <c r="BW480" s="323"/>
      <c r="BY480" s="323"/>
      <c r="CA480" s="323"/>
      <c r="CC480" s="323"/>
      <c r="CE480" s="323"/>
      <c r="CG480" s="323"/>
      <c r="CI480" s="323"/>
      <c r="CK480" s="323"/>
      <c r="CM480" s="323"/>
      <c r="CO480" s="323"/>
      <c r="CQ480" s="323"/>
      <c r="CS480" s="323"/>
      <c r="CU480" s="323"/>
      <c r="CW480" s="323"/>
      <c r="CY480" s="323"/>
      <c r="DA480" s="323"/>
      <c r="DC480" s="323"/>
      <c r="DE480" s="323"/>
      <c r="DG480" s="323"/>
      <c r="DI480" s="323"/>
    </row>
    <row r="481" spans="1:114" ht="12" customHeight="1" x14ac:dyDescent="0.3">
      <c r="A481" s="765"/>
      <c r="C481" s="768"/>
      <c r="D481" s="768"/>
      <c r="E481" s="768"/>
      <c r="F481" s="768"/>
      <c r="G481" s="768"/>
      <c r="H481" s="768"/>
      <c r="J481" s="768"/>
      <c r="K481" s="768"/>
      <c r="L481" s="768"/>
      <c r="M481" s="768"/>
      <c r="N481" s="768"/>
      <c r="O481" s="768"/>
      <c r="AY481" s="323"/>
      <c r="BA481" s="323"/>
      <c r="BC481" s="323"/>
      <c r="BE481" s="323"/>
      <c r="BG481" s="323"/>
      <c r="BI481" s="323"/>
      <c r="BK481" s="323"/>
      <c r="BM481" s="323"/>
      <c r="BO481" s="323"/>
      <c r="BQ481" s="323"/>
      <c r="BS481" s="323"/>
      <c r="BU481" s="323"/>
      <c r="BW481" s="323"/>
      <c r="BY481" s="323"/>
      <c r="CA481" s="323"/>
      <c r="CC481" s="323"/>
      <c r="CE481" s="323"/>
      <c r="CG481" s="323"/>
      <c r="CI481" s="323"/>
      <c r="CK481" s="323"/>
      <c r="CM481" s="323"/>
      <c r="CO481" s="323"/>
      <c r="CQ481" s="323"/>
      <c r="CS481" s="323"/>
      <c r="CU481" s="323"/>
      <c r="CW481" s="323"/>
      <c r="CY481" s="323"/>
      <c r="DA481" s="323"/>
      <c r="DC481" s="323"/>
      <c r="DE481" s="323"/>
      <c r="DG481" s="323"/>
      <c r="DI481" s="323"/>
    </row>
    <row r="482" spans="1:114" ht="12" hidden="1" customHeight="1" x14ac:dyDescent="0.3">
      <c r="A482" s="765"/>
      <c r="C482" s="767"/>
      <c r="D482" s="767"/>
      <c r="E482" s="767"/>
      <c r="F482" s="767"/>
      <c r="G482" s="767"/>
      <c r="H482" s="767"/>
      <c r="J482" s="767"/>
      <c r="K482" s="767"/>
      <c r="L482" s="767"/>
      <c r="M482" s="767"/>
      <c r="N482" s="767"/>
      <c r="O482" s="767"/>
      <c r="AY482" s="323"/>
      <c r="BA482" s="323"/>
      <c r="BC482" s="323"/>
      <c r="BE482" s="323"/>
      <c r="BG482" s="323"/>
      <c r="BI482" s="323"/>
      <c r="BK482" s="323"/>
      <c r="BM482" s="323"/>
      <c r="BO482" s="323"/>
      <c r="BQ482" s="323"/>
      <c r="BS482" s="323"/>
      <c r="BU482" s="323"/>
      <c r="BW482" s="323"/>
      <c r="BY482" s="323"/>
      <c r="CA482" s="323"/>
      <c r="CC482" s="323"/>
      <c r="CE482" s="323"/>
      <c r="CG482" s="323"/>
      <c r="CI482" s="323"/>
      <c r="CK482" s="323"/>
      <c r="CM482" s="323"/>
      <c r="CO482" s="323"/>
      <c r="CQ482" s="323"/>
      <c r="CS482" s="323"/>
      <c r="CU482" s="323"/>
      <c r="CW482" s="323"/>
      <c r="CY482" s="323"/>
      <c r="DA482" s="323"/>
      <c r="DC482" s="323"/>
      <c r="DE482" s="323"/>
      <c r="DG482" s="323"/>
      <c r="DI482" s="323"/>
    </row>
    <row r="483" spans="1:114" ht="12" hidden="1" customHeight="1" x14ac:dyDescent="0.3">
      <c r="A483" s="765"/>
      <c r="C483" s="767"/>
      <c r="D483" s="767"/>
      <c r="E483" s="767"/>
      <c r="F483" s="767"/>
      <c r="G483" s="767"/>
      <c r="H483" s="767"/>
      <c r="J483" s="767"/>
      <c r="K483" s="767"/>
      <c r="L483" s="767"/>
      <c r="M483" s="767"/>
      <c r="N483" s="767"/>
      <c r="O483" s="767"/>
      <c r="AY483" s="323"/>
      <c r="BA483" s="323"/>
      <c r="BC483" s="323"/>
      <c r="BE483" s="323"/>
      <c r="BG483" s="323"/>
      <c r="BI483" s="323"/>
      <c r="BK483" s="323"/>
      <c r="BM483" s="323"/>
      <c r="BO483" s="323"/>
      <c r="BQ483" s="323"/>
      <c r="BS483" s="323"/>
      <c r="BU483" s="323"/>
      <c r="BW483" s="323"/>
      <c r="BY483" s="323"/>
      <c r="CA483" s="323"/>
      <c r="CC483" s="323"/>
      <c r="CE483" s="323"/>
      <c r="CG483" s="323"/>
      <c r="CI483" s="323"/>
      <c r="CK483" s="323"/>
      <c r="CM483" s="323"/>
      <c r="CO483" s="323"/>
      <c r="CQ483" s="323"/>
      <c r="CS483" s="323"/>
      <c r="CU483" s="323"/>
      <c r="CW483" s="323"/>
      <c r="CY483" s="323"/>
      <c r="DA483" s="323"/>
      <c r="DC483" s="323"/>
      <c r="DE483" s="323"/>
      <c r="DG483" s="323"/>
      <c r="DI483" s="323"/>
    </row>
    <row r="484" spans="1:114" ht="3.75" customHeight="1" x14ac:dyDescent="0.3">
      <c r="A484" s="765"/>
      <c r="AH484" s="494"/>
      <c r="AY484" s="323"/>
      <c r="BA484" s="323"/>
      <c r="BC484" s="323"/>
      <c r="BE484" s="323"/>
      <c r="BG484" s="323"/>
      <c r="BI484" s="323"/>
      <c r="BK484" s="323"/>
      <c r="BM484" s="323"/>
      <c r="BO484" s="323"/>
      <c r="BQ484" s="323"/>
      <c r="BS484" s="323"/>
      <c r="BU484" s="323"/>
      <c r="BW484" s="323"/>
      <c r="BY484" s="323"/>
      <c r="CA484" s="323"/>
      <c r="CC484" s="323"/>
      <c r="CE484" s="323"/>
      <c r="CG484" s="323"/>
      <c r="CI484" s="323"/>
      <c r="CK484" s="323"/>
      <c r="CM484" s="323"/>
      <c r="CO484" s="323"/>
      <c r="CQ484" s="323"/>
      <c r="CS484" s="323"/>
      <c r="CU484" s="323"/>
      <c r="CW484" s="323"/>
      <c r="CY484" s="323"/>
      <c r="DA484" s="323"/>
      <c r="DC484" s="323"/>
      <c r="DE484" s="323"/>
      <c r="DG484" s="323"/>
      <c r="DI484" s="323"/>
    </row>
    <row r="485" spans="1:114" ht="11.25" customHeight="1" x14ac:dyDescent="0.3">
      <c r="A485" s="765"/>
      <c r="B485" s="15"/>
      <c r="D485" s="235"/>
      <c r="E485" s="722" t="str">
        <f>IF(W485,"  BÜNTETŐK:","  BÜNTETŐK:  –")</f>
        <v xml:space="preserve">  BÜNTETŐK:  –</v>
      </c>
      <c r="F485" s="235"/>
      <c r="G485" s="235"/>
      <c r="H485" s="235"/>
      <c r="I485" s="37"/>
      <c r="J485" s="234"/>
      <c r="K485" s="235"/>
      <c r="L485" s="722" t="str">
        <f>IF(AD485,"  BÜNTETŐK:","  BÜNTETŐK:  –")</f>
        <v xml:space="preserve">  BÜNTETŐK:  –</v>
      </c>
      <c r="M485" s="235"/>
      <c r="N485" s="235"/>
      <c r="O485" s="235"/>
      <c r="V485" s="487" t="s">
        <v>712</v>
      </c>
      <c r="W485" s="489" t="b">
        <f>INDEX(n.er,W473,14)</f>
        <v>0</v>
      </c>
      <c r="Y485" s="489" t="b">
        <f>INDEX(n.er,Y473,14)</f>
        <v>0</v>
      </c>
      <c r="AF485" s="325"/>
      <c r="AQ485" s="323"/>
      <c r="AR485" s="323"/>
      <c r="AS485" s="323"/>
      <c r="AT485" s="323"/>
      <c r="AW485" s="485"/>
      <c r="AY485" s="323"/>
      <c r="BA485" s="323"/>
      <c r="BC485" s="323"/>
      <c r="BE485" s="323"/>
      <c r="BG485" s="323"/>
      <c r="BI485" s="323"/>
      <c r="BK485" s="323"/>
      <c r="BM485" s="323"/>
      <c r="BO485" s="323"/>
      <c r="BQ485" s="323"/>
      <c r="BS485" s="323"/>
      <c r="BU485" s="323"/>
      <c r="BW485" s="323"/>
      <c r="BY485" s="323"/>
      <c r="CA485" s="323"/>
      <c r="CC485" s="323"/>
      <c r="CE485" s="323"/>
      <c r="CG485" s="323"/>
      <c r="CI485" s="323"/>
      <c r="CK485" s="323"/>
      <c r="CM485" s="323"/>
      <c r="CO485" s="323"/>
      <c r="CQ485" s="323"/>
      <c r="CS485" s="323"/>
      <c r="CU485" s="323"/>
      <c r="CW485" s="323"/>
      <c r="CY485" s="323"/>
      <c r="DA485" s="323"/>
      <c r="DC485" s="323"/>
      <c r="DE485" s="323"/>
      <c r="DG485" s="323"/>
      <c r="DI485" s="323"/>
      <c r="DJ485" s="485"/>
    </row>
    <row r="486" spans="1:114" ht="11.25" customHeight="1" x14ac:dyDescent="0.3">
      <c r="A486" s="765"/>
      <c r="C486" s="241" t="str">
        <f>IF(W487=0,"",IF(W487&gt;0,CONCATENATE("még ",W487," büntető"),CONCATENATE("túl sok (",W487," büntető)")))</f>
        <v/>
      </c>
      <c r="D486" s="237" t="str">
        <f>IF(W485,W479,"")</f>
        <v/>
      </c>
      <c r="E486" s="239" t="str">
        <f>IF(W485,W486,"")</f>
        <v/>
      </c>
      <c r="F486" s="240" t="str">
        <f>IF(W485,X486,"")</f>
        <v/>
      </c>
      <c r="G486" s="238" t="str">
        <f>IF(W485,X479,"")</f>
        <v/>
      </c>
      <c r="H486" s="241" t="str">
        <f>IF(X487=0,"",IF(X487&gt;0,CONCATENATE("még ",X487," büntető"),CONCATENATE("túl sok (",X487," büntető)")))</f>
        <v/>
      </c>
      <c r="J486" s="241" t="str">
        <f>IF(Y487=0,"",IF(Y487&gt;0,CONCATENATE("még ",Y487," büntető"),CONCATENATE("túl sok (",Y487," büntető)")))</f>
        <v/>
      </c>
      <c r="K486" s="237" t="str">
        <f>IF(Y485,Y479,"")</f>
        <v/>
      </c>
      <c r="L486" s="239" t="str">
        <f>IF(Y485,Y486,"")</f>
        <v/>
      </c>
      <c r="M486" s="240" t="str">
        <f>IF(Y485,Z486,"")</f>
        <v/>
      </c>
      <c r="N486" s="238" t="str">
        <f>IF(Y485,Z479,"")</f>
        <v/>
      </c>
      <c r="O486" s="241" t="str">
        <f>IF(Z487=0,"",IF(Z487&gt;0,CONCATENATE("még ",Z487," büntető"),CONCATENATE("túl sok (",Z487," büntető)")))</f>
        <v/>
      </c>
      <c r="V486" s="487" t="s">
        <v>709</v>
      </c>
      <c r="W486" s="492" t="str">
        <f>IF(NOT(W485),"",INDEX(n.er,W473,17))</f>
        <v/>
      </c>
      <c r="X486" s="493" t="str">
        <f>IF(NOT(W485),"",INDEX(n.er,W473,18))</f>
        <v/>
      </c>
      <c r="Y486" s="492" t="str">
        <f>IF(NOT(Y485),"",INDEX(n.er,Y473,17))</f>
        <v/>
      </c>
      <c r="Z486" s="493" t="str">
        <f>IF(NOT(Y485),"",INDEX(n.er,Y473,18))</f>
        <v/>
      </c>
      <c r="AF486" s="325"/>
      <c r="AH486" s="494"/>
      <c r="AQ486" s="323"/>
      <c r="AR486" s="323"/>
      <c r="AS486" s="323"/>
      <c r="AT486" s="323"/>
      <c r="AW486" s="485"/>
      <c r="AY486" s="323"/>
      <c r="BA486" s="323"/>
      <c r="BC486" s="323"/>
      <c r="BE486" s="323"/>
      <c r="BG486" s="323"/>
      <c r="BI486" s="323"/>
      <c r="BK486" s="323"/>
      <c r="BM486" s="323"/>
      <c r="BO486" s="323"/>
      <c r="BQ486" s="323"/>
      <c r="BS486" s="323"/>
      <c r="BU486" s="323"/>
      <c r="BW486" s="323"/>
      <c r="BY486" s="323"/>
      <c r="CA486" s="323"/>
      <c r="CC486" s="323"/>
      <c r="CE486" s="323"/>
      <c r="CG486" s="323"/>
      <c r="CI486" s="323"/>
      <c r="CK486" s="323"/>
      <c r="CM486" s="323"/>
      <c r="CO486" s="323"/>
      <c r="CQ486" s="323"/>
      <c r="CS486" s="323"/>
      <c r="CU486" s="323"/>
      <c r="CW486" s="323"/>
      <c r="CY486" s="323"/>
      <c r="DA486" s="323"/>
      <c r="DC486" s="323"/>
      <c r="DE486" s="323"/>
      <c r="DG486" s="323"/>
      <c r="DI486" s="323"/>
    </row>
    <row r="487" spans="1:114" ht="11.25" customHeight="1" x14ac:dyDescent="0.3">
      <c r="A487" s="765"/>
      <c r="C487" s="236"/>
      <c r="D487" s="220"/>
      <c r="E487" s="515"/>
      <c r="F487" s="516"/>
      <c r="G487" s="223"/>
      <c r="H487" s="236"/>
      <c r="J487" s="236"/>
      <c r="K487" s="220"/>
      <c r="L487" s="515"/>
      <c r="M487" s="516"/>
      <c r="N487" s="223"/>
      <c r="O487" s="236"/>
      <c r="V487" s="485" t="s">
        <v>707</v>
      </c>
      <c r="W487" s="327">
        <f>IF(W486="",0,E486-COUNTIF(E487:E500,"O"))</f>
        <v>0</v>
      </c>
      <c r="X487" s="327">
        <f>IF(X486="",0,F486-COUNTIF(F487:F500,"O"))</f>
        <v>0</v>
      </c>
      <c r="Y487" s="327">
        <f>IF(Y486="",0,L486-COUNTIF(L487:L502,"O"))</f>
        <v>0</v>
      </c>
      <c r="Z487" s="327">
        <f>IF(Z486="",0,M486-COUNTIF(M487:M502,"O"))</f>
        <v>0</v>
      </c>
      <c r="AB487" s="52" t="str">
        <f>IF(NOT(W485),"",HLOOKUP(D486,nevek.li,2,FALSE))</f>
        <v/>
      </c>
      <c r="AC487" s="52" t="str">
        <f>IF(NOT(W485),"",HLOOKUP(G486,nevek.li,2,FALSE))</f>
        <v/>
      </c>
      <c r="AD487" s="52" t="str">
        <f>IF(NOT(Y485),"",HLOOKUP(K486,nevek.li,2,FALSE))</f>
        <v/>
      </c>
      <c r="AE487" s="52" t="str">
        <f>IF(NOT(Y485),"",HLOOKUP(N486,nevek.li,2,FALSE))</f>
        <v/>
      </c>
      <c r="AF487" s="325"/>
      <c r="AG487" s="485">
        <v>1</v>
      </c>
      <c r="AH487" s="488" t="b">
        <f ca="1">IF(OR(NOT(W485),NOT(X475)),FALSE,D487="")</f>
        <v>0</v>
      </c>
      <c r="AI487" s="488" t="b">
        <f ca="1">IF(OR(NOT(W485),NOT(X475)),FALSE,E487="")</f>
        <v>0</v>
      </c>
      <c r="AJ487" s="488" t="b">
        <f ca="1">IF(OR(NOT(W485),NOT(X475)),FALSE,F487="")</f>
        <v>0</v>
      </c>
      <c r="AK487" s="488" t="b">
        <f ca="1">IF(OR(NOT(W485),NOT(X475)),FALSE,G487="")</f>
        <v>0</v>
      </c>
      <c r="AL487" s="488" t="b">
        <f ca="1">IF(OR(NOT(Y485),NOT(Z475)),FALSE,K487="")</f>
        <v>0</v>
      </c>
      <c r="AM487" s="488" t="b">
        <f ca="1">IF(OR(NOT(Y485),NOT(Z475)),FALSE,L487="")</f>
        <v>0</v>
      </c>
      <c r="AN487" s="488" t="b">
        <f ca="1">IF(OR(NOT(Y485),NOT(Z475)),FALSE,M487="")</f>
        <v>0</v>
      </c>
      <c r="AO487" s="488" t="b">
        <f ca="1">IF(OR(NOT(Y485),NOT(Z475)),FALSE,N487="")</f>
        <v>0</v>
      </c>
      <c r="AS487" s="323"/>
      <c r="AT487" s="323"/>
      <c r="AY487" s="323"/>
      <c r="BA487" s="323"/>
      <c r="BC487" s="323"/>
      <c r="BE487" s="323"/>
      <c r="BG487" s="323"/>
      <c r="BI487" s="323"/>
      <c r="BK487" s="323"/>
      <c r="BM487" s="323"/>
      <c r="BO487" s="323"/>
      <c r="BQ487" s="323"/>
      <c r="BS487" s="323"/>
      <c r="BU487" s="323"/>
      <c r="BW487" s="323"/>
      <c r="BY487" s="323"/>
      <c r="CA487" s="323"/>
      <c r="CC487" s="323"/>
      <c r="CE487" s="323"/>
      <c r="CG487" s="323"/>
      <c r="CI487" s="323"/>
      <c r="CK487" s="323"/>
      <c r="CM487" s="323"/>
      <c r="CO487" s="323"/>
      <c r="CQ487" s="323"/>
      <c r="CS487" s="323"/>
      <c r="CU487" s="323"/>
      <c r="CW487" s="323"/>
      <c r="CY487" s="323"/>
      <c r="DA487" s="323"/>
      <c r="DC487" s="323"/>
      <c r="DE487" s="323"/>
      <c r="DG487" s="323"/>
      <c r="DI487" s="323"/>
      <c r="DJ487" s="485"/>
    </row>
    <row r="488" spans="1:114" ht="11.25" customHeight="1" x14ac:dyDescent="0.3">
      <c r="A488" s="765"/>
      <c r="C488" s="219"/>
      <c r="D488" s="220"/>
      <c r="E488" s="517"/>
      <c r="F488" s="516"/>
      <c r="G488" s="223"/>
      <c r="H488" s="219"/>
      <c r="J488" s="219"/>
      <c r="K488" s="220"/>
      <c r="L488" s="517"/>
      <c r="M488" s="516"/>
      <c r="N488" s="223"/>
      <c r="O488" s="219"/>
      <c r="AB488" s="327" t="str">
        <f>AB487</f>
        <v/>
      </c>
      <c r="AC488" s="327" t="str">
        <f>AC487</f>
        <v/>
      </c>
      <c r="AD488" s="327" t="str">
        <f>AD487</f>
        <v/>
      </c>
      <c r="AE488" s="327" t="str">
        <f>AE487</f>
        <v/>
      </c>
      <c r="AF488" s="325"/>
      <c r="AG488" s="485">
        <v>2</v>
      </c>
      <c r="AH488" s="488" t="b">
        <f ca="1">IF(OR(NOT(W485),NOT(X475)),FALSE,D488="")</f>
        <v>0</v>
      </c>
      <c r="AI488" s="488" t="b">
        <f ca="1">IF(OR(NOT(W485),NOT(X475)),FALSE,E488="")</f>
        <v>0</v>
      </c>
      <c r="AJ488" s="488" t="b">
        <f ca="1">IF(OR(NOT(W485),NOT(X475)),FALSE,F488="")</f>
        <v>0</v>
      </c>
      <c r="AK488" s="488" t="b">
        <f ca="1">IF(OR(NOT(W485),NOT(X475)),FALSE,G488="")</f>
        <v>0</v>
      </c>
      <c r="AL488" s="488" t="b">
        <f ca="1">IF(OR(NOT(Y485),NOT(Z475)),FALSE,K488="")</f>
        <v>0</v>
      </c>
      <c r="AM488" s="488" t="b">
        <f ca="1">IF(OR(NOT(Y485),NOT(Z475)),FALSE,L488="")</f>
        <v>0</v>
      </c>
      <c r="AN488" s="488" t="b">
        <f ca="1">IF(OR(NOT(Y485),NOT(Z475)),FALSE,M488="")</f>
        <v>0</v>
      </c>
      <c r="AO488" s="488" t="b">
        <f ca="1">IF(OR(NOT(Y485),NOT(Z475)),FALSE,N488="")</f>
        <v>0</v>
      </c>
      <c r="AS488" s="323"/>
      <c r="AT488" s="323"/>
      <c r="AW488" s="485"/>
      <c r="AY488" s="323"/>
      <c r="BA488" s="323"/>
      <c r="BC488" s="323"/>
      <c r="BE488" s="323"/>
      <c r="BG488" s="323"/>
      <c r="BI488" s="323"/>
      <c r="BK488" s="323"/>
      <c r="BM488" s="323"/>
      <c r="BO488" s="323"/>
      <c r="BQ488" s="323"/>
      <c r="BS488" s="323"/>
      <c r="BU488" s="323"/>
      <c r="BW488" s="323"/>
      <c r="BY488" s="323"/>
      <c r="CA488" s="323"/>
      <c r="CC488" s="323"/>
      <c r="CE488" s="323"/>
      <c r="CG488" s="323"/>
      <c r="CI488" s="323"/>
      <c r="CK488" s="323"/>
      <c r="CM488" s="323"/>
      <c r="CO488" s="323"/>
      <c r="CQ488" s="323"/>
      <c r="CS488" s="323"/>
      <c r="CU488" s="323"/>
      <c r="CW488" s="323"/>
      <c r="CY488" s="323"/>
      <c r="DA488" s="323"/>
      <c r="DC488" s="323"/>
      <c r="DE488" s="323"/>
      <c r="DG488" s="323"/>
      <c r="DI488" s="323"/>
      <c r="DJ488" s="485"/>
    </row>
    <row r="489" spans="1:114" ht="11.25" customHeight="1" x14ac:dyDescent="0.3">
      <c r="A489" s="765"/>
      <c r="C489" s="219"/>
      <c r="D489" s="220"/>
      <c r="E489" s="517"/>
      <c r="F489" s="516"/>
      <c r="G489" s="223"/>
      <c r="H489" s="219"/>
      <c r="J489" s="219"/>
      <c r="K489" s="220"/>
      <c r="L489" s="517"/>
      <c r="M489" s="516"/>
      <c r="N489" s="223"/>
      <c r="O489" s="219"/>
      <c r="AB489" s="327" t="str">
        <f t="shared" ref="AB489:AB500" si="112">AB488</f>
        <v/>
      </c>
      <c r="AC489" s="327" t="str">
        <f t="shared" ref="AC489:AC500" si="113">AC488</f>
        <v/>
      </c>
      <c r="AD489" s="327" t="str">
        <f t="shared" ref="AD489:AD500" si="114">AD488</f>
        <v/>
      </c>
      <c r="AE489" s="327" t="str">
        <f t="shared" ref="AE489:AE500" si="115">AE488</f>
        <v/>
      </c>
      <c r="AF489" s="325"/>
      <c r="AG489" s="485">
        <v>3</v>
      </c>
      <c r="AH489" s="488" t="b">
        <f ca="1">IF(OR(NOT(W485),NOT(X475)),FALSE,D489="")</f>
        <v>0</v>
      </c>
      <c r="AI489" s="488" t="b">
        <f ca="1">IF(OR(NOT(W485),NOT(X475)),FALSE,E489="")</f>
        <v>0</v>
      </c>
      <c r="AJ489" s="488" t="b">
        <f ca="1">IF(OR(NOT(W485),NOT(X475)),FALSE,F489="")</f>
        <v>0</v>
      </c>
      <c r="AK489" s="488" t="b">
        <f ca="1">IF(OR(NOT(W485),NOT(X475)),FALSE,G489="")</f>
        <v>0</v>
      </c>
      <c r="AL489" s="488" t="b">
        <f ca="1">IF(OR(NOT(Y485),NOT(Z475)),FALSE,K489="")</f>
        <v>0</v>
      </c>
      <c r="AM489" s="488" t="b">
        <f ca="1">IF(OR(NOT(Y485),NOT(Z475)),FALSE,L489="")</f>
        <v>0</v>
      </c>
      <c r="AN489" s="488" t="b">
        <f ca="1">IF(OR(NOT(Y485),NOT(Z475)),FALSE,M489="")</f>
        <v>0</v>
      </c>
      <c r="AO489" s="488" t="b">
        <f ca="1">IF(OR(NOT(Y485),NOT(Z475)),FALSE,N489="")</f>
        <v>0</v>
      </c>
      <c r="AS489" s="323"/>
      <c r="AT489" s="323"/>
      <c r="AW489" s="485"/>
      <c r="AY489" s="323"/>
      <c r="BA489" s="323"/>
      <c r="BC489" s="323"/>
      <c r="BE489" s="323"/>
      <c r="BG489" s="323"/>
      <c r="BI489" s="323"/>
      <c r="BK489" s="323"/>
      <c r="BM489" s="323"/>
      <c r="BO489" s="323"/>
      <c r="BQ489" s="323"/>
      <c r="BS489" s="323"/>
      <c r="BU489" s="323"/>
      <c r="BW489" s="323"/>
      <c r="BY489" s="323"/>
      <c r="CA489" s="323"/>
      <c r="CC489" s="323"/>
      <c r="CE489" s="323"/>
      <c r="CG489" s="323"/>
      <c r="CI489" s="323"/>
      <c r="CK489" s="323"/>
      <c r="CM489" s="323"/>
      <c r="CO489" s="323"/>
      <c r="CQ489" s="323"/>
      <c r="CS489" s="323"/>
      <c r="CU489" s="323"/>
      <c r="CW489" s="323"/>
      <c r="CY489" s="323"/>
      <c r="DA489" s="323"/>
      <c r="DC489" s="323"/>
      <c r="DE489" s="323"/>
      <c r="DG489" s="323"/>
      <c r="DI489" s="323"/>
      <c r="DJ489" s="485"/>
    </row>
    <row r="490" spans="1:114" ht="11.25" customHeight="1" x14ac:dyDescent="0.3">
      <c r="A490" s="765"/>
      <c r="C490" s="219"/>
      <c r="D490" s="220"/>
      <c r="E490" s="517"/>
      <c r="F490" s="516"/>
      <c r="G490" s="223"/>
      <c r="H490" s="219"/>
      <c r="J490" s="219"/>
      <c r="K490" s="220"/>
      <c r="L490" s="517"/>
      <c r="M490" s="516"/>
      <c r="N490" s="223"/>
      <c r="O490" s="219"/>
      <c r="AB490" s="327" t="str">
        <f t="shared" si="112"/>
        <v/>
      </c>
      <c r="AC490" s="327" t="str">
        <f t="shared" si="113"/>
        <v/>
      </c>
      <c r="AD490" s="327" t="str">
        <f t="shared" si="114"/>
        <v/>
      </c>
      <c r="AE490" s="327" t="str">
        <f t="shared" si="115"/>
        <v/>
      </c>
      <c r="AF490" s="325"/>
      <c r="AG490" s="485">
        <v>4</v>
      </c>
      <c r="AH490" s="488" t="b">
        <f ca="1">IF(OR(NOT(W485),NOT(X475)),FALSE,D490="")</f>
        <v>0</v>
      </c>
      <c r="AI490" s="488" t="b">
        <f ca="1">IF(OR(NOT(W485),NOT(X475)),FALSE,E490="")</f>
        <v>0</v>
      </c>
      <c r="AJ490" s="488" t="b">
        <f ca="1">IF(OR(NOT(W485),NOT(X475)),FALSE,F490="")</f>
        <v>0</v>
      </c>
      <c r="AK490" s="488" t="b">
        <f ca="1">IF(OR(NOT(W485),NOT(X475)),FALSE,G490="")</f>
        <v>0</v>
      </c>
      <c r="AL490" s="488" t="b">
        <f ca="1">IF(OR(NOT(Y485),NOT(Z475)),FALSE,K490="")</f>
        <v>0</v>
      </c>
      <c r="AM490" s="488" t="b">
        <f ca="1">IF(OR(NOT(Y485),NOT(Z475)),FALSE,L490="")</f>
        <v>0</v>
      </c>
      <c r="AN490" s="488" t="b">
        <f ca="1">IF(OR(NOT(Y485),NOT(Z475)),FALSE,M490="")</f>
        <v>0</v>
      </c>
      <c r="AO490" s="488" t="b">
        <f ca="1">IF(OR(NOT(Y485),NOT(Z475)),FALSE,N490="")</f>
        <v>0</v>
      </c>
      <c r="AS490" s="323"/>
      <c r="AT490" s="323"/>
      <c r="AW490" s="485"/>
      <c r="AY490" s="323"/>
      <c r="BA490" s="323"/>
      <c r="BC490" s="323"/>
      <c r="BE490" s="323"/>
      <c r="BG490" s="323"/>
      <c r="BI490" s="323"/>
      <c r="BK490" s="323"/>
      <c r="BM490" s="323"/>
      <c r="BO490" s="323"/>
      <c r="BQ490" s="323"/>
      <c r="BS490" s="323"/>
      <c r="BU490" s="323"/>
      <c r="BW490" s="323"/>
      <c r="BY490" s="323"/>
      <c r="CA490" s="323"/>
      <c r="CC490" s="323"/>
      <c r="CE490" s="323"/>
      <c r="CG490" s="323"/>
      <c r="CI490" s="323"/>
      <c r="CK490" s="323"/>
      <c r="CM490" s="323"/>
      <c r="CO490" s="323"/>
      <c r="CQ490" s="323"/>
      <c r="CS490" s="323"/>
      <c r="CU490" s="323"/>
      <c r="CW490" s="323"/>
      <c r="CY490" s="323"/>
      <c r="DA490" s="323"/>
      <c r="DC490" s="323"/>
      <c r="DE490" s="323"/>
      <c r="DG490" s="323"/>
      <c r="DI490" s="323"/>
      <c r="DJ490" s="485"/>
    </row>
    <row r="491" spans="1:114" ht="11.25" customHeight="1" x14ac:dyDescent="0.3">
      <c r="A491" s="765"/>
      <c r="C491" s="219"/>
      <c r="D491" s="220"/>
      <c r="E491" s="517"/>
      <c r="F491" s="516"/>
      <c r="G491" s="223"/>
      <c r="H491" s="219"/>
      <c r="J491" s="219"/>
      <c r="K491" s="220"/>
      <c r="L491" s="517"/>
      <c r="M491" s="516"/>
      <c r="N491" s="223"/>
      <c r="O491" s="219"/>
      <c r="AB491" s="327" t="str">
        <f t="shared" si="112"/>
        <v/>
      </c>
      <c r="AC491" s="327" t="str">
        <f t="shared" si="113"/>
        <v/>
      </c>
      <c r="AD491" s="327" t="str">
        <f t="shared" si="114"/>
        <v/>
      </c>
      <c r="AE491" s="327" t="str">
        <f t="shared" si="115"/>
        <v/>
      </c>
      <c r="AF491" s="325"/>
      <c r="AG491" s="495">
        <v>5</v>
      </c>
      <c r="AH491" s="488" t="b">
        <f ca="1">IF(OR(NOT(W485),NOT(X475)),FALSE,D491="")</f>
        <v>0</v>
      </c>
      <c r="AI491" s="488" t="b">
        <f ca="1">IF(OR(NOT(W485),NOT(X475)),FALSE,E491="")</f>
        <v>0</v>
      </c>
      <c r="AJ491" s="488" t="b">
        <f ca="1">IF(OR(NOT(W485),NOT(X475)),FALSE,F491="")</f>
        <v>0</v>
      </c>
      <c r="AK491" s="488" t="b">
        <f ca="1">IF(OR(NOT(W485),NOT(X475)),FALSE,G491="")</f>
        <v>0</v>
      </c>
      <c r="AL491" s="488" t="b">
        <f ca="1">IF(OR(NOT(Y485),NOT(Z475)),FALSE,K491="")</f>
        <v>0</v>
      </c>
      <c r="AM491" s="488" t="b">
        <f ca="1">IF(OR(NOT(Y485),NOT(Z475)),FALSE,L491="")</f>
        <v>0</v>
      </c>
      <c r="AN491" s="488" t="b">
        <f ca="1">IF(OR(NOT(Y485),NOT(Z475)),FALSE,M491="")</f>
        <v>0</v>
      </c>
      <c r="AO491" s="488" t="b">
        <f ca="1">IF(OR(NOT(Y485),NOT(Z475)),FALSE,N491="")</f>
        <v>0</v>
      </c>
      <c r="AP491" s="495"/>
      <c r="AS491" s="323"/>
      <c r="AT491" s="323"/>
      <c r="AW491" s="485"/>
      <c r="AY491" s="323"/>
      <c r="BA491" s="323"/>
      <c r="BC491" s="323"/>
      <c r="BE491" s="323"/>
      <c r="BG491" s="323"/>
      <c r="BI491" s="323"/>
      <c r="BK491" s="323"/>
      <c r="BM491" s="323"/>
      <c r="BO491" s="323"/>
      <c r="BQ491" s="323"/>
      <c r="BS491" s="323"/>
      <c r="BU491" s="323"/>
      <c r="BW491" s="323"/>
      <c r="BY491" s="323"/>
      <c r="CA491" s="323"/>
      <c r="CC491" s="323"/>
      <c r="CE491" s="323"/>
      <c r="CG491" s="323"/>
      <c r="CI491" s="323"/>
      <c r="CK491" s="323"/>
      <c r="CM491" s="323"/>
      <c r="CO491" s="323"/>
      <c r="CQ491" s="323"/>
      <c r="CS491" s="323"/>
      <c r="CU491" s="323"/>
      <c r="CW491" s="323"/>
      <c r="CY491" s="323"/>
      <c r="DA491" s="323"/>
      <c r="DC491" s="323"/>
      <c r="DE491" s="323"/>
      <c r="DG491" s="323"/>
      <c r="DI491" s="323"/>
      <c r="DJ491" s="485"/>
    </row>
    <row r="492" spans="1:114" ht="11.25" customHeight="1" x14ac:dyDescent="0.3">
      <c r="A492" s="765"/>
      <c r="C492" s="219"/>
      <c r="D492" s="220"/>
      <c r="E492" s="517"/>
      <c r="F492" s="516"/>
      <c r="G492" s="223"/>
      <c r="H492" s="219"/>
      <c r="J492" s="219"/>
      <c r="K492" s="220"/>
      <c r="L492" s="517"/>
      <c r="M492" s="516"/>
      <c r="N492" s="223"/>
      <c r="O492" s="219"/>
      <c r="AB492" s="327" t="str">
        <f t="shared" si="112"/>
        <v/>
      </c>
      <c r="AC492" s="327" t="str">
        <f t="shared" si="113"/>
        <v/>
      </c>
      <c r="AD492" s="327" t="str">
        <f t="shared" si="114"/>
        <v/>
      </c>
      <c r="AE492" s="327" t="str">
        <f t="shared" si="115"/>
        <v/>
      </c>
      <c r="AF492" s="325"/>
      <c r="AG492" s="485">
        <v>6</v>
      </c>
      <c r="AH492" s="496" t="b">
        <f ca="1">IF(OR(NOT(W485),NOT(X475)),FALSE,AND(D492="",OR(AG492&lt;=W486+COUNTIF(E487:E492,$W$218),AG492&lt;=X486+COUNTIF(F487:F492,$W$218))))</f>
        <v>0</v>
      </c>
      <c r="AI492" s="496" t="b">
        <f ca="1">IF(OR(NOT(W485),NOT(X475)),FALSE,AND(E492="",OR(AG492&lt;=W486+COUNTIF(E487:E492,$W$218),AG492&lt;=X486+COUNTIF(F487:F492,$W$218))))</f>
        <v>0</v>
      </c>
      <c r="AJ492" s="496" t="b">
        <f ca="1">IF(OR(NOT(W485),NOT(X475)),FALSE,AND(F492="",OR(AG492&lt;=W486+COUNTIF(E487:E492,$W$218),AG492&lt;=X486+COUNTIF(F487:F492,$W$218))))</f>
        <v>0</v>
      </c>
      <c r="AK492" s="496" t="b">
        <f ca="1">IF(OR(NOT(W485),NOT(X475)),FALSE,AND(G492="",OR(AG492&lt;=W486+COUNTIF(E487:E492,$W$218),AG492&lt;=X486+COUNTIF(F487:F492,$W$218))))</f>
        <v>0</v>
      </c>
      <c r="AL492" s="496" t="b">
        <f ca="1">IF(OR(NOT(Y485),NOT(Z475)),FALSE,AND(K492="",OR(AG492&lt;=Y486+COUNTIF(L487:L492,$W$218),AG492&lt;=Z486+COUNTIF(M487:M492,$W$218))))</f>
        <v>0</v>
      </c>
      <c r="AM492" s="496" t="b">
        <f ca="1">IF(OR(NOT(Y485),NOT(Z475)),FALSE,AND(L492="",OR(AG492&lt;=Y486+COUNTIF(L487:L492,$W$218),AG492&lt;=Z486+COUNTIF(M487:M492,$W$218))))</f>
        <v>0</v>
      </c>
      <c r="AN492" s="496" t="b">
        <f ca="1">IF(OR(NOT(Y485),NOT(Z475)),FALSE,AND(M492="",OR(AG492&lt;=Y486+COUNTIF(L487:L492,$W$218),AG492&lt;=Z486+COUNTIF(M487:M492,$W$218))))</f>
        <v>0</v>
      </c>
      <c r="AO492" s="496" t="b">
        <f ca="1">IF(OR(NOT(Y485),NOT(Z475)),FALSE,AND(N492="",OR(AG492&lt;=Y486+COUNTIF(L487:L492,$W$218),AG492&lt;=Z486+COUNTIF(M487:M492,$W$218))))</f>
        <v>0</v>
      </c>
      <c r="AS492" s="323"/>
      <c r="AT492" s="323"/>
      <c r="AW492" s="485"/>
      <c r="AY492" s="323"/>
      <c r="BA492" s="323"/>
      <c r="BC492" s="323"/>
      <c r="BE492" s="323"/>
      <c r="BG492" s="323"/>
      <c r="BI492" s="323"/>
      <c r="BK492" s="323"/>
      <c r="BM492" s="323"/>
      <c r="BO492" s="323"/>
      <c r="BQ492" s="323"/>
      <c r="BS492" s="323"/>
      <c r="BU492" s="323"/>
      <c r="BW492" s="323"/>
      <c r="BY492" s="323"/>
      <c r="CA492" s="323"/>
      <c r="CC492" s="323"/>
      <c r="CE492" s="323"/>
      <c r="CG492" s="323"/>
      <c r="CI492" s="323"/>
      <c r="CK492" s="323"/>
      <c r="CM492" s="323"/>
      <c r="CO492" s="323"/>
      <c r="CQ492" s="323"/>
      <c r="CS492" s="323"/>
      <c r="CU492" s="323"/>
      <c r="CW492" s="323"/>
      <c r="CY492" s="323"/>
      <c r="DA492" s="323"/>
      <c r="DC492" s="323"/>
      <c r="DE492" s="323"/>
      <c r="DG492" s="323"/>
      <c r="DI492" s="323"/>
      <c r="DJ492" s="485"/>
    </row>
    <row r="493" spans="1:114" ht="11.25" customHeight="1" x14ac:dyDescent="0.3">
      <c r="A493" s="765"/>
      <c r="C493" s="219"/>
      <c r="D493" s="220"/>
      <c r="E493" s="517"/>
      <c r="F493" s="516"/>
      <c r="G493" s="223"/>
      <c r="H493" s="219"/>
      <c r="J493" s="219"/>
      <c r="K493" s="220"/>
      <c r="L493" s="517"/>
      <c r="M493" s="516"/>
      <c r="N493" s="223"/>
      <c r="O493" s="219"/>
      <c r="AB493" s="327" t="str">
        <f t="shared" si="112"/>
        <v/>
      </c>
      <c r="AC493" s="327" t="str">
        <f t="shared" si="113"/>
        <v/>
      </c>
      <c r="AD493" s="327" t="str">
        <f t="shared" si="114"/>
        <v/>
      </c>
      <c r="AE493" s="327" t="str">
        <f t="shared" si="115"/>
        <v/>
      </c>
      <c r="AF493" s="325"/>
      <c r="AG493" s="485">
        <v>7</v>
      </c>
      <c r="AH493" s="496" t="b">
        <f ca="1">IF(OR(NOT(W485),NOT(X475)),FALSE,AND(D493="",OR(AG493&lt;=W486+COUNTIF(E487:E493,$W$218),AG493&lt;=X486+COUNTIF(F487:F493,$W$218))))</f>
        <v>0</v>
      </c>
      <c r="AI493" s="496" t="b">
        <f ca="1">IF(OR(NOT(W485),NOT(X475)),FALSE,AND(E493="",OR(AG493&lt;=W486+COUNTIF(E487:E493,$W$218),AG493&lt;=X486+COUNTIF(F487:F493,$W$218))))</f>
        <v>0</v>
      </c>
      <c r="AJ493" s="496" t="b">
        <f ca="1">IF(OR(NOT(W485),NOT(X475)),FALSE,AND(F493="",OR(AG493&lt;=W486+COUNTIF(E487:E493,$W$218),AG493&lt;=X486+COUNTIF(F487:F493,$W$218))))</f>
        <v>0</v>
      </c>
      <c r="AK493" s="496" t="b">
        <f ca="1">IF(OR(NOT(W485),NOT(X475)),FALSE,AND(G493="",OR(AG493&lt;=W486+COUNTIF(E487:E493,$W$218),AG493&lt;=X486+COUNTIF(F487:F493,$W$218))))</f>
        <v>0</v>
      </c>
      <c r="AL493" s="496" t="b">
        <f ca="1">IF(OR(NOT(Y485),NOT(Z475)),FALSE,AND(K493="",OR(AG493&lt;=Y486+COUNTIF(L487:L493,$W$218),AG493&lt;=Z486+COUNTIF(M487:M493,$W$218))))</f>
        <v>0</v>
      </c>
      <c r="AM493" s="496" t="b">
        <f ca="1">IF(OR(NOT(Y485),NOT(Z475)),FALSE,AND(L493="",OR(AG493&lt;=Y486+COUNTIF(L487:L493,$W$218),AG493&lt;=Z486+COUNTIF(M487:M493,$W$218))))</f>
        <v>0</v>
      </c>
      <c r="AN493" s="496" t="b">
        <f ca="1">IF(OR(NOT(Y485),NOT(Z475)),FALSE,AND(M493="",OR(AG493&lt;=Y486+COUNTIF(L487:L493,$W$218),AG493&lt;=Z486+COUNTIF(M487:M493,$W$218))))</f>
        <v>0</v>
      </c>
      <c r="AO493" s="496" t="b">
        <f ca="1">IF(OR(NOT(Y485),NOT(Z475)),FALSE,AND(N493="",OR(AG493&lt;=Y486+COUNTIF(L487:L493,$W$218),AG493&lt;=Z486+COUNTIF(M487:M493,$W$218))))</f>
        <v>0</v>
      </c>
      <c r="AS493" s="323"/>
      <c r="AT493" s="323"/>
      <c r="AW493" s="485"/>
      <c r="AY493" s="323"/>
      <c r="BA493" s="323"/>
      <c r="BC493" s="323"/>
      <c r="BE493" s="323"/>
      <c r="BG493" s="323"/>
      <c r="BI493" s="323"/>
      <c r="BK493" s="323"/>
      <c r="BM493" s="323"/>
      <c r="BO493" s="323"/>
      <c r="BQ493" s="323"/>
      <c r="BS493" s="323"/>
      <c r="BU493" s="323"/>
      <c r="BW493" s="323"/>
      <c r="BY493" s="323"/>
      <c r="CA493" s="323"/>
      <c r="CC493" s="323"/>
      <c r="CE493" s="323"/>
      <c r="CG493" s="323"/>
      <c r="CI493" s="323"/>
      <c r="CK493" s="323"/>
      <c r="CM493" s="323"/>
      <c r="CO493" s="323"/>
      <c r="CQ493" s="323"/>
      <c r="CS493" s="323"/>
      <c r="CU493" s="323"/>
      <c r="CW493" s="323"/>
      <c r="CY493" s="323"/>
      <c r="DA493" s="323"/>
      <c r="DC493" s="323"/>
      <c r="DE493" s="323"/>
      <c r="DG493" s="323"/>
      <c r="DI493" s="323"/>
      <c r="DJ493" s="485"/>
    </row>
    <row r="494" spans="1:114" ht="11.25" customHeight="1" x14ac:dyDescent="0.3">
      <c r="A494" s="765"/>
      <c r="C494" s="219"/>
      <c r="D494" s="220"/>
      <c r="E494" s="517"/>
      <c r="F494" s="516"/>
      <c r="G494" s="223"/>
      <c r="H494" s="219"/>
      <c r="J494" s="219"/>
      <c r="K494" s="220"/>
      <c r="L494" s="517"/>
      <c r="M494" s="516"/>
      <c r="N494" s="223"/>
      <c r="O494" s="219"/>
      <c r="AB494" s="327" t="str">
        <f t="shared" si="112"/>
        <v/>
      </c>
      <c r="AC494" s="327" t="str">
        <f t="shared" si="113"/>
        <v/>
      </c>
      <c r="AD494" s="327" t="str">
        <f t="shared" si="114"/>
        <v/>
      </c>
      <c r="AE494" s="327" t="str">
        <f t="shared" si="115"/>
        <v/>
      </c>
      <c r="AF494" s="325"/>
      <c r="AG494" s="485">
        <v>8</v>
      </c>
      <c r="AH494" s="496" t="b">
        <f ca="1">IF(OR(NOT(W485),NOT(X475)),FALSE,AND(D494="",OR(AG494&lt;=W486+COUNTIF(E487:E494,$W$218),AG494&lt;=X486+COUNTIF(F487:F494,$W$218))))</f>
        <v>0</v>
      </c>
      <c r="AI494" s="496" t="b">
        <f ca="1">IF(OR(NOT(W485),NOT(X475)),FALSE,AND(E494="",OR(AG494&lt;=W486+COUNTIF(E487:E494,$W$218),AG494&lt;=X486+COUNTIF(F487:F494,$W$218))))</f>
        <v>0</v>
      </c>
      <c r="AJ494" s="496" t="b">
        <f ca="1">IF(OR(NOT(W485),NOT(X475)),FALSE,AND(F494="",OR(AG494&lt;=W486+COUNTIF(E487:E494,$W$218),AG494&lt;=X486+COUNTIF(F487:F494,$W$218))))</f>
        <v>0</v>
      </c>
      <c r="AK494" s="496" t="b">
        <f ca="1">IF(OR(NOT(W485),NOT(X475)),FALSE,AND(G494="",OR(AG494&lt;=W486+COUNTIF(E487:E494,$W$218),AG494&lt;=X486+COUNTIF(F487:F494,$W$218))))</f>
        <v>0</v>
      </c>
      <c r="AL494" s="496" t="b">
        <f ca="1">IF(OR(NOT(Y485),NOT(Z475)),FALSE,AND(K494="",OR(AG494&lt;=Y486+COUNTIF(L487:L494,$W$218),AG494&lt;=Z486+COUNTIF(M487:M494,$W$218))))</f>
        <v>0</v>
      </c>
      <c r="AM494" s="496" t="b">
        <f ca="1">IF(OR(NOT(Y485),NOT(Z475)),FALSE,AND(L494="",OR(AG494&lt;=Y486+COUNTIF(L487:L494,$W$218),AG494&lt;=Z486+COUNTIF(M487:M494,$W$218))))</f>
        <v>0</v>
      </c>
      <c r="AN494" s="496" t="b">
        <f ca="1">IF(OR(NOT(Y485),NOT(Z475)),FALSE,AND(M494="",OR(AG494&lt;=Y486+COUNTIF(L487:L494,$W$218),AG494&lt;=Z486+COUNTIF(M487:M494,$W$218))))</f>
        <v>0</v>
      </c>
      <c r="AO494" s="496" t="b">
        <f ca="1">IF(OR(NOT(Y485),NOT(Z475)),FALSE,AND(N494="",OR(AG494&lt;=Y486+COUNTIF(L487:L494,$W$218),AG494&lt;=Z486+COUNTIF(M487:M494,$W$218))))</f>
        <v>0</v>
      </c>
      <c r="AS494" s="323"/>
      <c r="AT494" s="323"/>
      <c r="AW494" s="485"/>
      <c r="AY494" s="323"/>
      <c r="BA494" s="323"/>
      <c r="BC494" s="323"/>
      <c r="BE494" s="323"/>
      <c r="BG494" s="323"/>
      <c r="BI494" s="323"/>
      <c r="BK494" s="323"/>
      <c r="BM494" s="323"/>
      <c r="BO494" s="323"/>
      <c r="BQ494" s="323"/>
      <c r="BS494" s="323"/>
      <c r="BU494" s="323"/>
      <c r="BW494" s="323"/>
      <c r="BY494" s="323"/>
      <c r="CA494" s="323"/>
      <c r="CC494" s="323"/>
      <c r="CE494" s="323"/>
      <c r="CG494" s="323"/>
      <c r="CI494" s="323"/>
      <c r="CK494" s="323"/>
      <c r="CM494" s="323"/>
      <c r="CO494" s="323"/>
      <c r="CQ494" s="323"/>
      <c r="CS494" s="323"/>
      <c r="CU494" s="323"/>
      <c r="CW494" s="323"/>
      <c r="CY494" s="323"/>
      <c r="DA494" s="323"/>
      <c r="DC494" s="323"/>
      <c r="DE494" s="323"/>
      <c r="DG494" s="323"/>
      <c r="DI494" s="323"/>
      <c r="DJ494" s="485"/>
    </row>
    <row r="495" spans="1:114" ht="11.25" customHeight="1" x14ac:dyDescent="0.3">
      <c r="A495" s="765"/>
      <c r="C495" s="219"/>
      <c r="D495" s="220"/>
      <c r="E495" s="517"/>
      <c r="F495" s="516"/>
      <c r="G495" s="223"/>
      <c r="H495" s="219"/>
      <c r="J495" s="219"/>
      <c r="K495" s="220"/>
      <c r="L495" s="517"/>
      <c r="M495" s="516"/>
      <c r="N495" s="223"/>
      <c r="O495" s="219"/>
      <c r="AB495" s="327" t="str">
        <f t="shared" si="112"/>
        <v/>
      </c>
      <c r="AC495" s="327" t="str">
        <f t="shared" si="113"/>
        <v/>
      </c>
      <c r="AD495" s="327" t="str">
        <f t="shared" si="114"/>
        <v/>
      </c>
      <c r="AE495" s="327" t="str">
        <f t="shared" si="115"/>
        <v/>
      </c>
      <c r="AF495" s="325"/>
      <c r="AG495" s="485">
        <v>9</v>
      </c>
      <c r="AH495" s="496" t="b">
        <f ca="1">IF(OR(NOT(W485),NOT(X475)),FALSE,AND(D495="",OR(AG495&lt;=W486+COUNTIF(E487:E495,$W$218),AG495&lt;=X486+COUNTIF(F487:F495,$W$218))))</f>
        <v>0</v>
      </c>
      <c r="AI495" s="496" t="b">
        <f ca="1">IF(OR(NOT(W485),NOT(X475)),FALSE,AND(E495="",OR(AG495&lt;=W486+COUNTIF(E487:E495,$W$218),AG495&lt;=X486+COUNTIF(F487:F495,$W$218))))</f>
        <v>0</v>
      </c>
      <c r="AJ495" s="496" t="b">
        <f ca="1">IF(OR(NOT(W485),NOT(X475)),FALSE,AND(F495="",OR(AG495&lt;=W486+COUNTIF(E487:E495,$W$218),AG495&lt;=X486+COUNTIF(F487:F495,$W$218))))</f>
        <v>0</v>
      </c>
      <c r="AK495" s="496" t="b">
        <f ca="1">IF(OR(NOT(W485),NOT(X475)),FALSE,AND(G495="",OR(AG495&lt;=W486+COUNTIF(E487:E495,$W$218),AG495&lt;=X486+COUNTIF(F487:F495,$W$218))))</f>
        <v>0</v>
      </c>
      <c r="AL495" s="496" t="b">
        <f ca="1">IF(OR(NOT(Y485),NOT(Z475)),FALSE,AND(K495="",OR(AG495&lt;=Y486+COUNTIF(L487:L495,$W$218),AG495&lt;=Z486+COUNTIF(M487:M495,$W$218))))</f>
        <v>0</v>
      </c>
      <c r="AM495" s="496" t="b">
        <f ca="1">IF(OR(NOT(Y485),NOT(Z475)),FALSE,AND(L495="",OR(AG495&lt;=Y486+COUNTIF(L487:L495,$W$218),AG495&lt;=Z486+COUNTIF(M487:M495,$W$218))))</f>
        <v>0</v>
      </c>
      <c r="AN495" s="496" t="b">
        <f ca="1">IF(OR(NOT(Y485),NOT(Z475)),FALSE,AND(M495="",OR(AG495&lt;=Y486+COUNTIF(L487:L495,$W$218),AG495&lt;=Z486+COUNTIF(M487:M495,$W$218))))</f>
        <v>0</v>
      </c>
      <c r="AO495" s="496" t="b">
        <f ca="1">IF(OR(NOT(Y485),NOT(Z475)),FALSE,AND(N495="",OR(AG495&lt;=Y486+COUNTIF(L487:L495,$W$218),AG495&lt;=Z486+COUNTIF(M487:M495,$W$218))))</f>
        <v>0</v>
      </c>
      <c r="AS495" s="323"/>
      <c r="AT495" s="323"/>
      <c r="AW495" s="485"/>
      <c r="AY495" s="323"/>
      <c r="BA495" s="323"/>
      <c r="BC495" s="323"/>
      <c r="BE495" s="323"/>
      <c r="BG495" s="323"/>
      <c r="BI495" s="323"/>
      <c r="BK495" s="323"/>
      <c r="BM495" s="323"/>
      <c r="BO495" s="323"/>
      <c r="BQ495" s="323"/>
      <c r="BS495" s="323"/>
      <c r="BU495" s="323"/>
      <c r="BW495" s="323"/>
      <c r="BY495" s="323"/>
      <c r="CA495" s="323"/>
      <c r="CC495" s="323"/>
      <c r="CE495" s="323"/>
      <c r="CG495" s="323"/>
      <c r="CI495" s="323"/>
      <c r="CK495" s="323"/>
      <c r="CM495" s="323"/>
      <c r="CO495" s="323"/>
      <c r="CQ495" s="323"/>
      <c r="CS495" s="323"/>
      <c r="CU495" s="323"/>
      <c r="CW495" s="323"/>
      <c r="CY495" s="323"/>
      <c r="DA495" s="323"/>
      <c r="DC495" s="323"/>
      <c r="DE495" s="323"/>
      <c r="DG495" s="323"/>
      <c r="DI495" s="323"/>
      <c r="DJ495" s="485"/>
    </row>
    <row r="496" spans="1:114" ht="11.25" customHeight="1" x14ac:dyDescent="0.3">
      <c r="A496" s="765"/>
      <c r="C496" s="219"/>
      <c r="D496" s="220"/>
      <c r="E496" s="517"/>
      <c r="F496" s="516"/>
      <c r="G496" s="223"/>
      <c r="H496" s="219"/>
      <c r="J496" s="219"/>
      <c r="K496" s="220"/>
      <c r="L496" s="517"/>
      <c r="M496" s="516"/>
      <c r="N496" s="223"/>
      <c r="O496" s="219"/>
      <c r="AB496" s="327" t="str">
        <f t="shared" si="112"/>
        <v/>
      </c>
      <c r="AC496" s="327" t="str">
        <f t="shared" si="113"/>
        <v/>
      </c>
      <c r="AD496" s="327" t="str">
        <f t="shared" si="114"/>
        <v/>
      </c>
      <c r="AE496" s="327" t="str">
        <f t="shared" si="115"/>
        <v/>
      </c>
      <c r="AF496" s="325"/>
      <c r="AG496" s="485">
        <v>10</v>
      </c>
      <c r="AH496" s="496" t="b">
        <f ca="1">IF(OR(NOT(W485),NOT(X475)),FALSE,AND(D496="",OR(AG496&lt;=W486+COUNTIF(E487:E496,$W$218),AG496&lt;=X486+COUNTIF(F487:F496,$W$218))))</f>
        <v>0</v>
      </c>
      <c r="AI496" s="496" t="b">
        <f ca="1">IF(OR(NOT(W485),NOT(X475)),FALSE,AND(E496="",OR(AG496&lt;=W486+COUNTIF(E487:E496,$W$218),AG496&lt;=X486+COUNTIF(F487:F496,$W$218))))</f>
        <v>0</v>
      </c>
      <c r="AJ496" s="496" t="b">
        <f ca="1">IF(OR(NOT(W485),NOT(X475)),FALSE,AND(F496="",OR(AG496&lt;=W486+COUNTIF(E487:E496,$W$218),AG496&lt;=X486+COUNTIF(F487:F496,$W$218))))</f>
        <v>0</v>
      </c>
      <c r="AK496" s="496" t="b">
        <f ca="1">IF(OR(NOT(W485),NOT(X475)),FALSE,AND(G496="",OR(AG496&lt;=W486+COUNTIF(E487:E496,$W$218),AG496&lt;=X486+COUNTIF(F487:F496,$W$218))))</f>
        <v>0</v>
      </c>
      <c r="AL496" s="496" t="b">
        <f ca="1">IF(OR(NOT(Y485),NOT(Z475)),FALSE,AND(K496="",OR(AG496&lt;=Y486+COUNTIF(L487:L496,$W$218),AG496&lt;=Z486+COUNTIF(M487:M496,$W$218))))</f>
        <v>0</v>
      </c>
      <c r="AM496" s="496" t="b">
        <f ca="1">IF(OR(NOT(Y485),NOT(Z475)),FALSE,AND(L496="",OR(AG496&lt;=Y486+COUNTIF(L487:L496,$W$218),AG496&lt;=Z486+COUNTIF(M487:M496,$W$218))))</f>
        <v>0</v>
      </c>
      <c r="AN496" s="496" t="b">
        <f ca="1">IF(OR(NOT(Y485),NOT(Z475)),FALSE,AND(M496="",OR(AG496&lt;=Y486+COUNTIF(L487:L496,$W$218),AG496&lt;=Z486+COUNTIF(M487:M496,$W$218))))</f>
        <v>0</v>
      </c>
      <c r="AO496" s="496" t="b">
        <f ca="1">IF(OR(NOT(Y485),NOT(Z475)),FALSE,AND(N496="",OR(AG496&lt;=Y486+COUNTIF(L487:L496,$W$218),AG496&lt;=Z486+COUNTIF(M487:M496,$W$218))))</f>
        <v>0</v>
      </c>
      <c r="AW496" s="485"/>
      <c r="AY496" s="323"/>
      <c r="BA496" s="323"/>
      <c r="BC496" s="323"/>
      <c r="BE496" s="323"/>
      <c r="BG496" s="323"/>
      <c r="BI496" s="323"/>
      <c r="BK496" s="323"/>
      <c r="BM496" s="323"/>
      <c r="BO496" s="323"/>
      <c r="BQ496" s="323"/>
      <c r="BS496" s="323"/>
      <c r="BU496" s="323"/>
      <c r="BW496" s="323"/>
      <c r="BY496" s="323"/>
      <c r="CA496" s="323"/>
      <c r="CC496" s="323"/>
      <c r="CE496" s="323"/>
      <c r="CG496" s="323"/>
      <c r="CI496" s="323"/>
      <c r="CK496" s="323"/>
      <c r="CM496" s="323"/>
      <c r="CO496" s="323"/>
      <c r="CQ496" s="323"/>
      <c r="CS496" s="323"/>
      <c r="CU496" s="323"/>
      <c r="CW496" s="323"/>
      <c r="CY496" s="323"/>
      <c r="DA496" s="323"/>
      <c r="DC496" s="323"/>
      <c r="DE496" s="323"/>
      <c r="DG496" s="323"/>
      <c r="DI496" s="323"/>
      <c r="DJ496" s="485"/>
    </row>
    <row r="497" spans="1:115" ht="11.25" customHeight="1" x14ac:dyDescent="0.3">
      <c r="A497" s="765"/>
      <c r="C497" s="219"/>
      <c r="D497" s="220"/>
      <c r="E497" s="517"/>
      <c r="F497" s="516"/>
      <c r="G497" s="223"/>
      <c r="H497" s="219"/>
      <c r="J497" s="219"/>
      <c r="K497" s="220"/>
      <c r="L497" s="517"/>
      <c r="M497" s="516"/>
      <c r="N497" s="223"/>
      <c r="O497" s="219"/>
      <c r="AB497" s="327" t="str">
        <f t="shared" si="112"/>
        <v/>
      </c>
      <c r="AC497" s="327" t="str">
        <f t="shared" si="113"/>
        <v/>
      </c>
      <c r="AD497" s="327" t="str">
        <f t="shared" si="114"/>
        <v/>
      </c>
      <c r="AE497" s="327" t="str">
        <f t="shared" si="115"/>
        <v/>
      </c>
      <c r="AF497" s="325"/>
      <c r="AG497" s="485">
        <v>11</v>
      </c>
      <c r="AH497" s="496" t="b">
        <f ca="1">IF(OR(NOT(W485),NOT(X475)),FALSE,AND(D497="",OR(AG497&lt;=W486+COUNTIF(E487:E497,$W$218),AG497&lt;=X486+COUNTIF(F487:F497,$W$218))))</f>
        <v>0</v>
      </c>
      <c r="AI497" s="496" t="b">
        <f ca="1">IF(OR(NOT(W485),NOT(X475)),FALSE,AND(E497="",OR(AG497&lt;=W486+COUNTIF(E487:E497,$W$218),AG497&lt;=X486+COUNTIF(F487:F497,$W$218))))</f>
        <v>0</v>
      </c>
      <c r="AJ497" s="496" t="b">
        <f ca="1">IF(OR(NOT(W485),NOT(X475)),FALSE,AND(F497="",OR(AG497&lt;=W486+COUNTIF(E487:E497,$W$218),AG497&lt;=X486+COUNTIF(F487:F497,$W$218))))</f>
        <v>0</v>
      </c>
      <c r="AK497" s="496" t="b">
        <f ca="1">IF(OR(NOT(W485),NOT(X475)),FALSE,AND(G497="",OR(AG497&lt;=W486+COUNTIF(E487:E497,$W$218),AG497&lt;=X486+COUNTIF(F487:F497,$W$218))))</f>
        <v>0</v>
      </c>
      <c r="AL497" s="496" t="b">
        <f ca="1">IF(OR(NOT(Y485),NOT(Z475)),FALSE,AND(K497="",OR(AG497&lt;=Y486+COUNTIF(L487:L497,$W$218),AG497&lt;=Z486+COUNTIF(M487:M497,$W$218))))</f>
        <v>0</v>
      </c>
      <c r="AM497" s="496" t="b">
        <f ca="1">IF(OR(NOT(Y485),NOT(Z475)),FALSE,AND(L497="",OR(AG497&lt;=Y486+COUNTIF(L487:L497,$W$218),AG497&lt;=Z486+COUNTIF(M487:M497,$W$218))))</f>
        <v>0</v>
      </c>
      <c r="AN497" s="496" t="b">
        <f ca="1">IF(OR(NOT(Y485),NOT(Z475)),FALSE,AND(M497="",OR(AG497&lt;=Y486+COUNTIF(L487:L497,$W$218),AG497&lt;=Z486+COUNTIF(M487:M497,$W$218))))</f>
        <v>0</v>
      </c>
      <c r="AO497" s="496" t="b">
        <f ca="1">IF(OR(NOT(Y485),NOT(Z475)),FALSE,AND(N497="",OR(AG497&lt;=Y486+COUNTIF(L487:L497,$W$218),AG497&lt;=Z486+COUNTIF(M487:M497,$W$218))))</f>
        <v>0</v>
      </c>
      <c r="AW497" s="485"/>
      <c r="AY497" s="323"/>
      <c r="BA497" s="323"/>
      <c r="BC497" s="323"/>
      <c r="BE497" s="323"/>
      <c r="BG497" s="323"/>
      <c r="BI497" s="323"/>
      <c r="BK497" s="323"/>
      <c r="BM497" s="323"/>
      <c r="BO497" s="323"/>
      <c r="BQ497" s="323"/>
      <c r="BS497" s="323"/>
      <c r="BU497" s="323"/>
      <c r="BW497" s="323"/>
      <c r="BY497" s="323"/>
      <c r="CA497" s="323"/>
      <c r="CC497" s="323"/>
      <c r="CE497" s="323"/>
      <c r="CG497" s="323"/>
      <c r="CI497" s="323"/>
      <c r="CK497" s="323"/>
      <c r="CM497" s="323"/>
      <c r="CO497" s="323"/>
      <c r="CQ497" s="323"/>
      <c r="CS497" s="323"/>
      <c r="CU497" s="323"/>
      <c r="CW497" s="323"/>
      <c r="CY497" s="323"/>
      <c r="DA497" s="323"/>
      <c r="DC497" s="323"/>
      <c r="DE497" s="323"/>
      <c r="DG497" s="323"/>
      <c r="DI497" s="323"/>
      <c r="DJ497" s="485"/>
    </row>
    <row r="498" spans="1:115" ht="11.25" customHeight="1" x14ac:dyDescent="0.3">
      <c r="A498" s="765"/>
      <c r="C498" s="219"/>
      <c r="D498" s="220"/>
      <c r="E498" s="517"/>
      <c r="F498" s="516"/>
      <c r="G498" s="223"/>
      <c r="H498" s="219"/>
      <c r="J498" s="219"/>
      <c r="K498" s="220"/>
      <c r="L498" s="517"/>
      <c r="M498" s="516"/>
      <c r="N498" s="223"/>
      <c r="O498" s="219"/>
      <c r="AB498" s="327" t="str">
        <f t="shared" si="112"/>
        <v/>
      </c>
      <c r="AC498" s="327" t="str">
        <f t="shared" si="113"/>
        <v/>
      </c>
      <c r="AD498" s="327" t="str">
        <f t="shared" si="114"/>
        <v/>
      </c>
      <c r="AE498" s="327" t="str">
        <f t="shared" si="115"/>
        <v/>
      </c>
      <c r="AF498" s="325"/>
      <c r="AG498" s="485">
        <v>12</v>
      </c>
      <c r="AH498" s="496" t="b">
        <f ca="1">IF(OR(NOT(W485),NOT(X475)),FALSE,AND(D498="",OR(AG498&lt;=W486+COUNTIF(E487:E498,$W$218),AG498&lt;=X486+COUNTIF(F487:F498,$W$218))))</f>
        <v>0</v>
      </c>
      <c r="AI498" s="496" t="b">
        <f ca="1">IF(OR(NOT(W485),NOT(X475)),FALSE,AND(E498="",OR(AG498&lt;=W486+COUNTIF(E487:E498,$W$218),AG498&lt;=X486+COUNTIF(F487:F498,$W$218))))</f>
        <v>0</v>
      </c>
      <c r="AJ498" s="496" t="b">
        <f ca="1">IF(OR(NOT(W485),NOT(X475)),FALSE,AND(F498="",OR(AG498&lt;=W486+COUNTIF(E487:E498,$W$218),AG498&lt;=X486+COUNTIF(F487:F498,$W$218))))</f>
        <v>0</v>
      </c>
      <c r="AK498" s="496" t="b">
        <f ca="1">IF(OR(NOT(W485),NOT(X475)),FALSE,AND(G498="",OR(AG498&lt;=W486+COUNTIF(E487:E498,$W$218),AG498&lt;=X486+COUNTIF(F487:F498,$W$218))))</f>
        <v>0</v>
      </c>
      <c r="AL498" s="496" t="b">
        <f ca="1">IF(OR(NOT(Y485),NOT(Z475)),FALSE,AND(K498="",OR(AG498&lt;=Y486+COUNTIF(L487:L498,$W$218),AG498&lt;=Z486+COUNTIF(M487:M498,$W$218))))</f>
        <v>0</v>
      </c>
      <c r="AM498" s="496" t="b">
        <f ca="1">IF(OR(NOT(Y485),NOT(Z475)),FALSE,AND(L498="",OR(AG498&lt;=Y486+COUNTIF(L487:L498,$W$218),AG498&lt;=Z486+COUNTIF(M487:M498,$W$218))))</f>
        <v>0</v>
      </c>
      <c r="AN498" s="496" t="b">
        <f ca="1">IF(OR(NOT(Y485),NOT(Z475)),FALSE,AND(M498="",OR(AG498&lt;=Y486+COUNTIF(L487:L498,$W$218),AG498&lt;=Z486+COUNTIF(M487:M498,$W$218))))</f>
        <v>0</v>
      </c>
      <c r="AO498" s="496" t="b">
        <f ca="1">IF(OR(NOT(Y485),NOT(Z475)),FALSE,AND(N498="",OR(AG498&lt;=Y486+COUNTIF(L487:L498,$W$218),AG498&lt;=Z486+COUNTIF(M487:M498,$W$218))))</f>
        <v>0</v>
      </c>
      <c r="AW498" s="485"/>
      <c r="AY498" s="323"/>
      <c r="BA498" s="323"/>
      <c r="BC498" s="323"/>
      <c r="BE498" s="323"/>
      <c r="BG498" s="323"/>
      <c r="BI498" s="323"/>
      <c r="BK498" s="323"/>
      <c r="BM498" s="323"/>
      <c r="BO498" s="323"/>
      <c r="BQ498" s="323"/>
      <c r="BS498" s="323"/>
      <c r="BU498" s="323"/>
      <c r="BW498" s="323"/>
      <c r="BY498" s="323"/>
      <c r="CA498" s="323"/>
      <c r="CC498" s="323"/>
      <c r="CE498" s="323"/>
      <c r="CG498" s="323"/>
      <c r="CI498" s="323"/>
      <c r="CK498" s="323"/>
      <c r="CM498" s="323"/>
      <c r="CO498" s="323"/>
      <c r="CQ498" s="323"/>
      <c r="CS498" s="323"/>
      <c r="CU498" s="323"/>
      <c r="CW498" s="323"/>
      <c r="CY498" s="323"/>
      <c r="DA498" s="323"/>
      <c r="DC498" s="323"/>
      <c r="DE498" s="323"/>
      <c r="DG498" s="323"/>
      <c r="DI498" s="323"/>
      <c r="DJ498" s="485"/>
    </row>
    <row r="499" spans="1:115" ht="11.25" customHeight="1" x14ac:dyDescent="0.3">
      <c r="A499" s="765"/>
      <c r="C499" s="219"/>
      <c r="D499" s="220"/>
      <c r="E499" s="516"/>
      <c r="F499" s="516"/>
      <c r="G499" s="223"/>
      <c r="H499" s="219"/>
      <c r="J499" s="219"/>
      <c r="K499" s="220"/>
      <c r="L499" s="516"/>
      <c r="M499" s="516"/>
      <c r="N499" s="223"/>
      <c r="O499" s="219"/>
      <c r="AB499" s="327" t="str">
        <f t="shared" si="112"/>
        <v/>
      </c>
      <c r="AC499" s="327" t="str">
        <f t="shared" si="113"/>
        <v/>
      </c>
      <c r="AD499" s="327" t="str">
        <f t="shared" si="114"/>
        <v/>
      </c>
      <c r="AE499" s="327" t="str">
        <f t="shared" si="115"/>
        <v/>
      </c>
      <c r="AG499" s="485">
        <v>13</v>
      </c>
      <c r="AH499" s="496" t="b">
        <f ca="1">IF(OR(NOT(W485),NOT(X475)),FALSE,AND(D499="",OR(AG499&lt;=W486+COUNTIF(E487:E499,$W$218),AG499&lt;=X486+COUNTIF(F487:F499,$W$218))))</f>
        <v>0</v>
      </c>
      <c r="AI499" s="496" t="b">
        <f ca="1">IF(OR(NOT(W485),NOT(X475)),FALSE,AND(E499="",OR(AG499&lt;=W486+COUNTIF(E487:E499,$W$218),AG499&lt;=X486+COUNTIF(F487:F499,$W$218))))</f>
        <v>0</v>
      </c>
      <c r="AJ499" s="496" t="b">
        <f ca="1">IF(OR(NOT(W485),NOT(X475)),FALSE,AND(F499="",OR(AG499&lt;=W486+COUNTIF(E487:E499,$W$218),AG499&lt;=X486+COUNTIF(F487:F499,$W$218))))</f>
        <v>0</v>
      </c>
      <c r="AK499" s="496" t="b">
        <f ca="1">IF(OR(NOT(W485),NOT(X475)),FALSE,AND(G499="",OR(AG499&lt;=W486+COUNTIF(E487:E499,$W$218),AG499&lt;=X486+COUNTIF(F487:F499,$W$218))))</f>
        <v>0</v>
      </c>
      <c r="AL499" s="496" t="b">
        <f ca="1">IF(OR(NOT(Y485),NOT(Z475)),FALSE,AND(K499="",OR(AG499&lt;=Y486+COUNTIF(L487:L499,$W$218),AG499&lt;=Z486+COUNTIF(M487:M499,$W$218))))</f>
        <v>0</v>
      </c>
      <c r="AM499" s="496" t="b">
        <f ca="1">IF(OR(NOT(Y485),NOT(Z475)),FALSE,AND(L499="",OR(AG499&lt;=Y486+COUNTIF(L487:L499,$W$218),AG499&lt;=Z486+COUNTIF(M487:M499,$W$218))))</f>
        <v>0</v>
      </c>
      <c r="AN499" s="496" t="b">
        <f ca="1">IF(OR(NOT(Y485),NOT(Z475)),FALSE,AND(M499="",OR(AG499&lt;=Y486+COUNTIF(L487:L499,$W$218),AG499&lt;=Z486+COUNTIF(M487:M499,$W$218))))</f>
        <v>0</v>
      </c>
      <c r="AO499" s="496" t="b">
        <f ca="1">IF(OR(NOT(Y485),NOT(Z475)),FALSE,AND(N499="",OR(AG499&lt;=Y486+COUNTIF(L487:L499,$W$218),AG499&lt;=Z486+COUNTIF(M487:M499,$W$218))))</f>
        <v>0</v>
      </c>
      <c r="AW499" s="485"/>
      <c r="AY499" s="323"/>
      <c r="BA499" s="323"/>
      <c r="BC499" s="323"/>
      <c r="BE499" s="323"/>
      <c r="BG499" s="323"/>
      <c r="BI499" s="323"/>
      <c r="BK499" s="323"/>
      <c r="BM499" s="323"/>
      <c r="BO499" s="323"/>
      <c r="BQ499" s="323"/>
      <c r="BS499" s="323"/>
      <c r="BU499" s="323"/>
      <c r="BW499" s="323"/>
      <c r="BY499" s="323"/>
      <c r="CA499" s="323"/>
      <c r="CC499" s="323"/>
      <c r="CE499" s="323"/>
      <c r="CG499" s="323"/>
      <c r="CI499" s="323"/>
      <c r="CK499" s="323"/>
      <c r="CM499" s="323"/>
      <c r="CO499" s="323"/>
      <c r="CQ499" s="323"/>
      <c r="CS499" s="323"/>
      <c r="CU499" s="323"/>
      <c r="CW499" s="323"/>
      <c r="CY499" s="323"/>
      <c r="DA499" s="323"/>
      <c r="DC499" s="323"/>
      <c r="DE499" s="323"/>
      <c r="DG499" s="323"/>
      <c r="DI499" s="323"/>
      <c r="DJ499" s="485"/>
    </row>
    <row r="500" spans="1:115" ht="11.25" hidden="1" customHeight="1" x14ac:dyDescent="0.3">
      <c r="A500" s="765"/>
      <c r="C500" s="219"/>
      <c r="D500" s="220"/>
      <c r="E500" s="517"/>
      <c r="F500" s="516"/>
      <c r="G500" s="223"/>
      <c r="H500" s="219"/>
      <c r="J500" s="219"/>
      <c r="K500" s="220"/>
      <c r="L500" s="517"/>
      <c r="M500" s="516"/>
      <c r="N500" s="223"/>
      <c r="O500" s="219"/>
      <c r="AB500" s="327" t="str">
        <f t="shared" si="112"/>
        <v/>
      </c>
      <c r="AC500" s="327" t="str">
        <f t="shared" si="113"/>
        <v/>
      </c>
      <c r="AD500" s="327" t="str">
        <f t="shared" si="114"/>
        <v/>
      </c>
      <c r="AE500" s="327" t="str">
        <f t="shared" si="115"/>
        <v/>
      </c>
      <c r="AG500" s="485">
        <v>14</v>
      </c>
      <c r="AH500" s="496" t="b">
        <f ca="1">IF(OR(NOT(W485),NOT(X475)),FALSE,AND(D500="",OR(AG500&lt;=W486+COUNTIF(E487:E500,$W$218),AG500&lt;=X486+COUNTIF(F487:F500,$W$218))))</f>
        <v>0</v>
      </c>
      <c r="AI500" s="496" t="b">
        <f ca="1">IF(OR(NOT(W485),NOT(X475)),FALSE,AND(E500="",OR(AG500&lt;=W486+COUNTIF(E487:E500,$W$218),AG500&lt;=X486+COUNTIF(F487:F500,$W$218))))</f>
        <v>0</v>
      </c>
      <c r="AJ500" s="496" t="b">
        <f ca="1">IF(OR(NOT(W485),NOT(X475)),FALSE,AND(F500="",OR(AG500&lt;=W486+COUNTIF(E487:E500,$W$218),AG500&lt;=X486+COUNTIF(F487:F500,$W$218))))</f>
        <v>0</v>
      </c>
      <c r="AK500" s="496" t="b">
        <f ca="1">IF(OR(NOT(W485),NOT(X475)),FALSE,AND(G500="",OR(AG500&lt;=W486+COUNTIF(E487:E500,$W$218),AG500&lt;=X486+COUNTIF(F487:F500,$W$218))))</f>
        <v>0</v>
      </c>
      <c r="AL500" s="496" t="b">
        <f ca="1">IF(OR(NOT(Y485),NOT(Z475)),FALSE,AND(K500="",OR(AG500&lt;=Y486+COUNTIF(L487:L500,$W$218),AG500&lt;=Z486+COUNTIF(M487:M500,$W$218))))</f>
        <v>0</v>
      </c>
      <c r="AM500" s="496" t="b">
        <f ca="1">IF(OR(NOT(Y485),NOT(Z475)),FALSE,AND(L500="",OR(AG500&lt;=Y486+COUNTIF(L487:L500,$W$218),AG500&lt;=Z486+COUNTIF(M487:M500,$W$218))))</f>
        <v>0</v>
      </c>
      <c r="AN500" s="496" t="b">
        <f ca="1">IF(OR(NOT(Y485),NOT(Z475)),FALSE,AND(M500="",OR(AG500&lt;=Y486+COUNTIF(L487:L500,$W$218),AG500&lt;=Z486+COUNTIF(M487:M500,$W$218))))</f>
        <v>0</v>
      </c>
      <c r="AO500" s="496" t="b">
        <f ca="1">IF(OR(NOT(Y485),NOT(Z475)),FALSE,AND(N500="",OR(AG500&lt;=Y486+COUNTIF(L487:L500,$W$218),AG500&lt;=Z486+COUNTIF(M487:M500,$W$218))))</f>
        <v>0</v>
      </c>
      <c r="AS500" s="323"/>
      <c r="AT500" s="323"/>
      <c r="AW500" s="485"/>
      <c r="AY500" s="323"/>
      <c r="BA500" s="323"/>
      <c r="BC500" s="323"/>
      <c r="BE500" s="323"/>
      <c r="BG500" s="323"/>
      <c r="BI500" s="323"/>
      <c r="BK500" s="323"/>
      <c r="BM500" s="323"/>
      <c r="BO500" s="323"/>
      <c r="BQ500" s="323"/>
      <c r="BS500" s="323"/>
      <c r="BU500" s="323"/>
      <c r="BW500" s="323"/>
      <c r="BY500" s="323"/>
      <c r="CA500" s="323"/>
      <c r="CC500" s="323"/>
      <c r="CE500" s="323"/>
      <c r="CG500" s="323"/>
      <c r="CI500" s="323"/>
      <c r="CK500" s="323"/>
      <c r="CM500" s="323"/>
      <c r="CO500" s="323"/>
      <c r="CQ500" s="323"/>
      <c r="CS500" s="323"/>
      <c r="CU500" s="323"/>
      <c r="CW500" s="323"/>
      <c r="CY500" s="323"/>
      <c r="DA500" s="323"/>
      <c r="DC500" s="323"/>
      <c r="DE500" s="323"/>
      <c r="DG500" s="323"/>
      <c r="DI500" s="323"/>
      <c r="DJ500" s="485"/>
    </row>
    <row r="501" spans="1:115" ht="10.5" hidden="1" customHeight="1" x14ac:dyDescent="0.3">
      <c r="A501" s="76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AQ501" s="323"/>
      <c r="AR501" s="323"/>
      <c r="AS501" s="323"/>
      <c r="AT501" s="323"/>
      <c r="AW501" s="485"/>
      <c r="AY501" s="323"/>
      <c r="BA501" s="323"/>
      <c r="BC501" s="323"/>
      <c r="BE501" s="323"/>
      <c r="BG501" s="323"/>
      <c r="BI501" s="323"/>
      <c r="BK501" s="323"/>
      <c r="BM501" s="323"/>
      <c r="BO501" s="323"/>
      <c r="BQ501" s="323"/>
      <c r="BS501" s="323"/>
      <c r="BU501" s="323"/>
      <c r="BW501" s="323"/>
      <c r="BY501" s="323"/>
      <c r="CA501" s="323"/>
      <c r="CC501" s="323"/>
      <c r="CE501" s="323"/>
      <c r="CG501" s="323"/>
      <c r="CI501" s="323"/>
      <c r="CK501" s="323"/>
      <c r="CM501" s="323"/>
      <c r="CO501" s="323"/>
      <c r="CQ501" s="323"/>
      <c r="CS501" s="323"/>
      <c r="CU501" s="323"/>
      <c r="CW501" s="323"/>
      <c r="CY501" s="323"/>
      <c r="DA501" s="323"/>
      <c r="DC501" s="323"/>
      <c r="DE501" s="323"/>
      <c r="DG501" s="323"/>
      <c r="DI501" s="323"/>
    </row>
    <row r="502" spans="1:115" ht="10.5" customHeight="1" x14ac:dyDescent="0.3">
      <c r="A502" s="76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AQ502" s="323"/>
      <c r="AR502" s="323"/>
      <c r="AS502" s="323"/>
      <c r="AT502" s="323"/>
      <c r="AW502" s="485"/>
      <c r="AY502" s="323"/>
      <c r="BA502" s="323"/>
      <c r="BC502" s="323"/>
      <c r="BE502" s="323"/>
      <c r="BG502" s="323"/>
      <c r="BI502" s="323"/>
      <c r="BK502" s="323"/>
      <c r="BM502" s="323"/>
      <c r="BO502" s="323"/>
      <c r="BQ502" s="323"/>
      <c r="BS502" s="323"/>
      <c r="BU502" s="323"/>
      <c r="BW502" s="323"/>
      <c r="BY502" s="323"/>
      <c r="CA502" s="323"/>
      <c r="CC502" s="323"/>
      <c r="CE502" s="323"/>
      <c r="CG502" s="323"/>
      <c r="CI502" s="323"/>
      <c r="CK502" s="323"/>
      <c r="CM502" s="323"/>
      <c r="CO502" s="323"/>
      <c r="CQ502" s="323"/>
      <c r="CS502" s="323"/>
      <c r="CU502" s="323"/>
      <c r="CW502" s="323"/>
      <c r="CY502" s="323"/>
      <c r="DA502" s="323"/>
      <c r="DC502" s="323"/>
      <c r="DE502" s="323"/>
      <c r="DG502" s="323"/>
      <c r="DI502" s="323"/>
    </row>
    <row r="503" spans="1:115" ht="3.75" customHeight="1" x14ac:dyDescent="0.3">
      <c r="A503" s="765"/>
      <c r="AQ503" s="323"/>
      <c r="AR503" s="323"/>
      <c r="AS503" s="323"/>
      <c r="AT503" s="323"/>
      <c r="AY503" s="323"/>
      <c r="BA503" s="323"/>
      <c r="BC503" s="323"/>
      <c r="BE503" s="323"/>
      <c r="BG503" s="323"/>
      <c r="BI503" s="323"/>
      <c r="BK503" s="323"/>
      <c r="BM503" s="323"/>
      <c r="BO503" s="323"/>
      <c r="BQ503" s="323"/>
      <c r="BS503" s="323"/>
      <c r="BU503" s="323"/>
      <c r="BW503" s="323"/>
      <c r="BY503" s="323"/>
      <c r="CA503" s="323"/>
      <c r="CC503" s="323"/>
      <c r="CE503" s="323"/>
      <c r="CG503" s="323"/>
      <c r="CI503" s="323"/>
      <c r="CK503" s="323"/>
      <c r="CM503" s="323"/>
      <c r="CO503" s="323"/>
      <c r="CQ503" s="323"/>
      <c r="CS503" s="323"/>
      <c r="CU503" s="323"/>
      <c r="CW503" s="323"/>
      <c r="CY503" s="323"/>
      <c r="DA503" s="323"/>
      <c r="DC503" s="323"/>
      <c r="DE503" s="323"/>
      <c r="DG503" s="323"/>
      <c r="DI503" s="323"/>
    </row>
    <row r="504" spans="1:115" ht="12" customHeight="1" x14ac:dyDescent="0.3">
      <c r="A504" s="765"/>
      <c r="B504" s="15"/>
      <c r="C504" s="247" t="str">
        <f>W509</f>
        <v>JÚNIUS 29. – KEDD 18:00</v>
      </c>
      <c r="D504" s="227"/>
      <c r="E504" s="228"/>
      <c r="F504" s="229"/>
      <c r="G504" s="230"/>
      <c r="H504" s="231" t="str">
        <f>W510</f>
        <v>NYOLCADDÖNTŐ</v>
      </c>
      <c r="I504" s="138"/>
      <c r="J504" s="246" t="str">
        <f>Y509</f>
        <v>JÚNIUS 29. – KEDD 21:00</v>
      </c>
      <c r="K504" s="227"/>
      <c r="L504" s="228"/>
      <c r="M504" s="229"/>
      <c r="N504" s="230"/>
      <c r="O504" s="226" t="str">
        <f>Y510</f>
        <v>NYOLCADDÖNTŐ</v>
      </c>
      <c r="AQ504" s="323"/>
      <c r="AR504" s="323"/>
      <c r="AS504" s="323"/>
      <c r="AT504" s="323"/>
      <c r="AY504" s="323"/>
      <c r="BA504" s="323"/>
      <c r="BC504" s="323"/>
      <c r="BE504" s="323"/>
      <c r="BG504" s="323"/>
      <c r="BI504" s="323"/>
      <c r="BK504" s="323"/>
      <c r="BM504" s="323"/>
      <c r="BO504" s="323"/>
      <c r="BQ504" s="323"/>
      <c r="BS504" s="323"/>
      <c r="BU504" s="323"/>
      <c r="BW504" s="323"/>
      <c r="BY504" s="323"/>
      <c r="CA504" s="323"/>
      <c r="CC504" s="323"/>
      <c r="CE504" s="323"/>
      <c r="CG504" s="323"/>
      <c r="CI504" s="323"/>
      <c r="CK504" s="323"/>
      <c r="CM504" s="323"/>
      <c r="CO504" s="323"/>
      <c r="CQ504" s="323"/>
      <c r="CS504" s="323"/>
      <c r="CU504" s="323"/>
      <c r="CW504" s="323"/>
      <c r="CY504" s="323"/>
      <c r="DA504" s="323"/>
      <c r="DC504" s="323"/>
      <c r="DE504" s="323"/>
      <c r="DG504" s="323"/>
      <c r="DI504" s="323"/>
    </row>
    <row r="505" spans="1:115" s="138" customFormat="1" ht="14.25" customHeight="1" x14ac:dyDescent="0.3">
      <c r="A505" s="765"/>
      <c r="B505" s="137"/>
      <c r="C505" s="233" t="str">
        <f>IF(W512=0,"",IF(W512&gt;0,CONCATENATE("még ",W512," gól"),CONCATENATE("túl sok (",W512," gól)")))</f>
        <v/>
      </c>
      <c r="D505" s="714" t="str">
        <f>W513</f>
        <v>D csoport 1. hely</v>
      </c>
      <c r="E505" s="716" t="str">
        <f>W514</f>
        <v/>
      </c>
      <c r="F505" s="717" t="str">
        <f>X514</f>
        <v/>
      </c>
      <c r="G505" s="715" t="str">
        <f>X513</f>
        <v>F csoport 2. hely</v>
      </c>
      <c r="H505" s="232" t="str">
        <f>IF(X512=0,"",IF(X512&gt;0,CONCATENATE("még ",X512," gól"),CONCATENATE("túl sok (",X512," gól)")))</f>
        <v/>
      </c>
      <c r="I505" s="127"/>
      <c r="J505" s="233" t="str">
        <f>IF(Y512=0,"",IF(Y512&gt;0,CONCATENATE("még ",Y512," gól"),CONCATENATE("túl sok (",Y512," gól)")))</f>
        <v/>
      </c>
      <c r="K505" s="714" t="str">
        <f>Y513</f>
        <v>E csoport 1. hely</v>
      </c>
      <c r="L505" s="716" t="str">
        <f>Y514</f>
        <v/>
      </c>
      <c r="M505" s="717" t="str">
        <f>Z514</f>
        <v/>
      </c>
      <c r="N505" s="715" t="str">
        <f>Z513</f>
        <v>A/B/C/D csoport 3. hely</v>
      </c>
      <c r="O505" s="232" t="str">
        <f>IF(Z512=0,"",IF(Z512&gt;0,CONCATENATE("még ",Z512," gól"),CONCATENATE("túl sok (",Z512," gól)")))</f>
        <v/>
      </c>
      <c r="P505" s="139"/>
      <c r="Q505" s="140"/>
      <c r="R505" s="141"/>
      <c r="S505" s="141"/>
      <c r="T505" s="484"/>
      <c r="U505" s="485"/>
      <c r="V505" s="485"/>
      <c r="W505" s="485"/>
      <c r="X505" s="485"/>
      <c r="Y505" s="485"/>
      <c r="Z505" s="485"/>
      <c r="AA505" s="485"/>
      <c r="AB505" s="242" t="e">
        <f>HLOOKUP(D505,nevek.li,2,FALSE)</f>
        <v>#N/A</v>
      </c>
      <c r="AC505" s="242" t="e">
        <f>HLOOKUP(G505,nevek.li,2,FALSE)</f>
        <v>#N/A</v>
      </c>
      <c r="AD505" s="242" t="e">
        <f>HLOOKUP(K505,nevek.li,2,FALSE)</f>
        <v>#N/A</v>
      </c>
      <c r="AE505" s="242" t="e">
        <f>HLOOKUP(N505,nevek.li,2,FALSE)</f>
        <v>#N/A</v>
      </c>
      <c r="AF505" s="485"/>
      <c r="AG505" s="485"/>
      <c r="AH505" s="485"/>
      <c r="AI505" s="485"/>
      <c r="AJ505" s="485"/>
      <c r="AK505" s="485"/>
      <c r="AL505" s="485"/>
      <c r="AM505" s="485"/>
      <c r="AN505" s="485"/>
      <c r="AO505" s="485"/>
      <c r="AP505" s="485"/>
      <c r="AQ505" s="485"/>
      <c r="AR505" s="485"/>
      <c r="AS505" s="485"/>
      <c r="AT505" s="485"/>
      <c r="AU505" s="485"/>
      <c r="AV505" s="500"/>
      <c r="AW505" s="323"/>
      <c r="AX505" s="323"/>
      <c r="AY505" s="323"/>
      <c r="AZ505" s="323"/>
      <c r="BA505" s="323"/>
      <c r="BB505" s="323"/>
      <c r="BC505" s="323"/>
      <c r="BD505" s="323"/>
      <c r="BE505" s="323"/>
      <c r="BF505" s="323"/>
      <c r="BG505" s="323"/>
      <c r="BH505" s="323"/>
      <c r="BI505" s="323"/>
      <c r="BJ505" s="323"/>
      <c r="BK505" s="323"/>
      <c r="BL505" s="323"/>
      <c r="BM505" s="323"/>
      <c r="BN505" s="323"/>
      <c r="BO505" s="323"/>
      <c r="BP505" s="323"/>
      <c r="BQ505" s="323"/>
      <c r="BR505" s="323"/>
      <c r="BS505" s="323"/>
      <c r="BT505" s="323"/>
      <c r="BU505" s="323"/>
      <c r="BV505" s="323"/>
      <c r="BW505" s="323"/>
      <c r="BX505" s="323"/>
      <c r="BY505" s="323"/>
      <c r="BZ505" s="323"/>
      <c r="CA505" s="323"/>
      <c r="CB505" s="323"/>
      <c r="CC505" s="323"/>
      <c r="CD505" s="323"/>
      <c r="CE505" s="323"/>
      <c r="CF505" s="323"/>
      <c r="CG505" s="323"/>
      <c r="CH505" s="323"/>
      <c r="CI505" s="323"/>
      <c r="CJ505" s="323"/>
      <c r="CK505" s="323"/>
      <c r="CL505" s="323"/>
      <c r="CM505" s="323"/>
      <c r="CN505" s="323"/>
      <c r="CO505" s="323"/>
      <c r="CP505" s="323"/>
      <c r="CQ505" s="323"/>
      <c r="CR505" s="323"/>
      <c r="CS505" s="323"/>
      <c r="CT505" s="323"/>
      <c r="CU505" s="323"/>
      <c r="CV505" s="323"/>
      <c r="CW505" s="323"/>
      <c r="CX505" s="323"/>
      <c r="CY505" s="323"/>
      <c r="CZ505" s="323"/>
      <c r="DA505" s="323"/>
      <c r="DB505" s="323"/>
      <c r="DC505" s="323"/>
      <c r="DD505" s="323"/>
      <c r="DE505" s="323"/>
      <c r="DF505" s="323"/>
      <c r="DG505" s="323"/>
      <c r="DH505" s="323"/>
      <c r="DI505" s="323"/>
      <c r="DJ505" s="323"/>
      <c r="DK505" s="500"/>
    </row>
    <row r="506" spans="1:115" ht="12" customHeight="1" x14ac:dyDescent="0.3">
      <c r="A506" s="765"/>
      <c r="C506" s="218"/>
      <c r="D506" s="220"/>
      <c r="E506" s="221"/>
      <c r="F506" s="222"/>
      <c r="G506" s="223"/>
      <c r="H506" s="218"/>
      <c r="J506" s="218"/>
      <c r="K506" s="220"/>
      <c r="L506" s="221"/>
      <c r="M506" s="222"/>
      <c r="N506" s="223"/>
      <c r="O506" s="218"/>
      <c r="V506" s="487" t="s">
        <v>706</v>
      </c>
      <c r="W506" s="242">
        <v>44</v>
      </c>
      <c r="X506" s="485" t="str">
        <f>""</f>
        <v/>
      </c>
      <c r="Y506" s="242">
        <v>43</v>
      </c>
      <c r="AB506" s="327" t="e">
        <f>IF(C506="öngól",AC505,AB505)</f>
        <v>#N/A</v>
      </c>
      <c r="AC506" s="327" t="e">
        <f>IF(H506="öngól",AB505,AC505)</f>
        <v>#N/A</v>
      </c>
      <c r="AD506" s="327" t="e">
        <f>IF(J506="öngól",AE505,AD505)</f>
        <v>#N/A</v>
      </c>
      <c r="AE506" s="327" t="e">
        <f>IF(O506="öngól",AD505,AE505)</f>
        <v>#N/A</v>
      </c>
      <c r="AF506" s="325"/>
      <c r="AG506" s="485">
        <v>1</v>
      </c>
      <c r="AH506" s="488" t="b">
        <f ca="1">AND(W508,X509,D506="",AG506&lt;=W514)</f>
        <v>0</v>
      </c>
      <c r="AI506" s="488" t="b">
        <f ca="1">AND(W508,X509,E506="",AG506&lt;=W514)</f>
        <v>0</v>
      </c>
      <c r="AJ506" s="488" t="b">
        <f ca="1">AND(W508,X509,F506="",AG506&lt;=X514)</f>
        <v>0</v>
      </c>
      <c r="AK506" s="488" t="b">
        <f ca="1">AND(W508,X509,G506="",AG506&lt;=X514)</f>
        <v>0</v>
      </c>
      <c r="AL506" s="488" t="b">
        <f ca="1">AND(Y508,Z509,K506="",AG506&lt;=Y514)</f>
        <v>0</v>
      </c>
      <c r="AM506" s="488" t="b">
        <f ca="1">AND(Y508,Z509,L506="",AG506&lt;=Y514)</f>
        <v>0</v>
      </c>
      <c r="AN506" s="488" t="b">
        <f ca="1">AND(Y508,Z509,M506="",AG506&lt;=Z514)</f>
        <v>0</v>
      </c>
      <c r="AO506" s="488" t="b">
        <f ca="1">AND(Y508,Z509,N506="",AG506&lt;=Z514)</f>
        <v>0</v>
      </c>
      <c r="AQ506" s="326" t="str">
        <f>IF(OR(NOT(Góllista!$E$6),D506=""),"",IF(C506="öngól","ö"&amp;G505&amp;D506,D505&amp;D506))</f>
        <v/>
      </c>
      <c r="AR506" s="326" t="str">
        <f>IF(OR(NOT(Góllista!$E$6),G506=""),"",IF(H506="öngól","ö"&amp;D505&amp;G506,G505&amp;G506))</f>
        <v/>
      </c>
      <c r="AS506" s="326" t="str">
        <f>IF(OR(NOT(Góllista!$E$6),K506=""),"",IF(J506="öngól","ö"&amp;N505&amp;K506,K505&amp;K506))</f>
        <v/>
      </c>
      <c r="AT506" s="326" t="str">
        <f>IF(OR(NOT(Góllista!$E$6),N506=""),"",IF(O506="öngól","ö"&amp;K505&amp;N506,N505&amp;N506))</f>
        <v/>
      </c>
      <c r="AY506" s="323"/>
      <c r="BA506" s="323"/>
      <c r="BC506" s="323"/>
      <c r="BE506" s="323"/>
      <c r="BG506" s="323"/>
      <c r="BI506" s="323"/>
      <c r="BK506" s="323"/>
      <c r="BM506" s="323"/>
      <c r="BO506" s="323"/>
      <c r="BQ506" s="323"/>
      <c r="BS506" s="323"/>
      <c r="BU506" s="323"/>
      <c r="BW506" s="323"/>
      <c r="BY506" s="323"/>
      <c r="CA506" s="323"/>
      <c r="CC506" s="323"/>
      <c r="CE506" s="323"/>
      <c r="CG506" s="323"/>
      <c r="CI506" s="323"/>
      <c r="CK506" s="323"/>
      <c r="CM506" s="323"/>
      <c r="CO506" s="323"/>
      <c r="CQ506" s="323"/>
      <c r="CS506" s="323"/>
      <c r="CU506" s="323"/>
      <c r="CW506" s="323"/>
      <c r="CY506" s="323"/>
      <c r="DA506" s="323"/>
      <c r="DC506" s="323"/>
      <c r="DE506" s="323"/>
      <c r="DG506" s="323"/>
      <c r="DI506" s="323"/>
    </row>
    <row r="507" spans="1:115" ht="12" customHeight="1" x14ac:dyDescent="0.3">
      <c r="A507" s="765"/>
      <c r="C507" s="219"/>
      <c r="D507" s="220"/>
      <c r="E507" s="224"/>
      <c r="F507" s="222"/>
      <c r="G507" s="223"/>
      <c r="H507" s="219"/>
      <c r="J507" s="219"/>
      <c r="K507" s="220"/>
      <c r="L507" s="224"/>
      <c r="M507" s="222"/>
      <c r="N507" s="223"/>
      <c r="O507" s="219"/>
      <c r="V507" s="487" t="s">
        <v>711</v>
      </c>
      <c r="W507" s="327">
        <f>MATCH(W506,n.er.index,0)</f>
        <v>109</v>
      </c>
      <c r="X507" s="485" t="str">
        <f>""</f>
        <v/>
      </c>
      <c r="Y507" s="327">
        <f>MATCH(Y506,n.er.index,0)</f>
        <v>110</v>
      </c>
      <c r="AB507" s="327" t="e">
        <f>IF(C507="öngól",AC505,AB505)</f>
        <v>#N/A</v>
      </c>
      <c r="AC507" s="327" t="e">
        <f>IF(H507="öngól",AB505,AC505)</f>
        <v>#N/A</v>
      </c>
      <c r="AD507" s="327" t="e">
        <f>IF(J507="öngól",AE505,AD505)</f>
        <v>#N/A</v>
      </c>
      <c r="AE507" s="327" t="e">
        <f>IF(O507="öngól",AD505,AE505)</f>
        <v>#N/A</v>
      </c>
      <c r="AF507" s="325"/>
      <c r="AG507" s="485">
        <v>2</v>
      </c>
      <c r="AH507" s="488" t="b">
        <f ca="1">AND(W508,X509,D507="",AG507&lt;=W514)</f>
        <v>0</v>
      </c>
      <c r="AI507" s="488" t="b">
        <f ca="1">AND(W508,X509,E507="",AG507&lt;=W514)</f>
        <v>0</v>
      </c>
      <c r="AJ507" s="488" t="b">
        <f ca="1">AND(W508,X509,F507="",AG507&lt;=X514)</f>
        <v>0</v>
      </c>
      <c r="AK507" s="488" t="b">
        <f ca="1">AND(W508,X509,G507="",AG507&lt;=X514)</f>
        <v>0</v>
      </c>
      <c r="AL507" s="488" t="b">
        <f ca="1">AND(Y508,Z509,K507="",AG507&lt;=Y514)</f>
        <v>0</v>
      </c>
      <c r="AM507" s="488" t="b">
        <f ca="1">AND(Y508,Z509,L507="",AG507&lt;=Y514)</f>
        <v>0</v>
      </c>
      <c r="AN507" s="488" t="b">
        <f ca="1">AND(Y508,Z509,M507="",AG507&lt;=Z514)</f>
        <v>0</v>
      </c>
      <c r="AO507" s="488" t="b">
        <f ca="1">AND(Y508,Z509,N507="",AG507&lt;=Z514)</f>
        <v>0</v>
      </c>
      <c r="AQ507" s="326" t="str">
        <f>IF(OR(NOT(Góllista!$E$6),D507=""),"",IF(C507="öngól","ö"&amp;G505&amp;D507,D505&amp;D507))</f>
        <v/>
      </c>
      <c r="AR507" s="326" t="str">
        <f>IF(OR(NOT(Góllista!$E$6),G507=""),"",IF(H507="öngól","ö"&amp;D505&amp;G507,G505&amp;G507))</f>
        <v/>
      </c>
      <c r="AS507" s="326" t="str">
        <f>IF(OR(NOT(Góllista!$E$6),K507=""),"",IF(J507="öngól","ö"&amp;N505&amp;K507,K505&amp;K507))</f>
        <v/>
      </c>
      <c r="AT507" s="326" t="str">
        <f>IF(OR(NOT(Góllista!$E$6),N507=""),"",IF(O507="öngól","ö"&amp;K505&amp;N507,N505&amp;N507))</f>
        <v/>
      </c>
      <c r="AY507" s="323"/>
      <c r="BA507" s="323"/>
      <c r="BC507" s="323"/>
      <c r="BE507" s="323"/>
      <c r="BG507" s="323"/>
      <c r="BI507" s="323"/>
      <c r="BK507" s="323"/>
      <c r="BM507" s="323"/>
      <c r="BO507" s="323"/>
      <c r="BQ507" s="323"/>
      <c r="BS507" s="323"/>
      <c r="BU507" s="323"/>
      <c r="BW507" s="323"/>
      <c r="BY507" s="323"/>
      <c r="CA507" s="323"/>
      <c r="CC507" s="323"/>
      <c r="CE507" s="323"/>
      <c r="CG507" s="323"/>
      <c r="CI507" s="323"/>
      <c r="CK507" s="323"/>
      <c r="CM507" s="323"/>
      <c r="CO507" s="323"/>
      <c r="CQ507" s="323"/>
      <c r="CS507" s="323"/>
      <c r="CU507" s="323"/>
      <c r="CW507" s="323"/>
      <c r="CY507" s="323"/>
      <c r="DA507" s="323"/>
      <c r="DC507" s="323"/>
      <c r="DE507" s="323"/>
      <c r="DG507" s="323"/>
      <c r="DI507" s="323"/>
    </row>
    <row r="508" spans="1:115" ht="12" customHeight="1" x14ac:dyDescent="0.3">
      <c r="A508" s="765"/>
      <c r="C508" s="219"/>
      <c r="D508" s="220"/>
      <c r="E508" s="224"/>
      <c r="F508" s="222"/>
      <c r="G508" s="223"/>
      <c r="H508" s="219"/>
      <c r="J508" s="219"/>
      <c r="K508" s="220"/>
      <c r="L508" s="224"/>
      <c r="M508" s="222"/>
      <c r="N508" s="223"/>
      <c r="O508" s="219"/>
      <c r="V508" s="487" t="s">
        <v>710</v>
      </c>
      <c r="W508" s="489" t="b">
        <f>INDEX(n.er,W507,3)</f>
        <v>0</v>
      </c>
      <c r="X508" s="485" t="str">
        <f>""</f>
        <v/>
      </c>
      <c r="Y508" s="489" t="b">
        <f>INDEX(n.er,Y507,3)</f>
        <v>0</v>
      </c>
      <c r="AB508" s="327" t="e">
        <f>IF(C508="öngól",AC505,AB505)</f>
        <v>#N/A</v>
      </c>
      <c r="AC508" s="327" t="e">
        <f>IF(H508="öngól",AB505,AC505)</f>
        <v>#N/A</v>
      </c>
      <c r="AD508" s="327" t="e">
        <f>IF(J508="öngól",AE505,AD505)</f>
        <v>#N/A</v>
      </c>
      <c r="AE508" s="327" t="e">
        <f>IF(O508="öngól",AD505,AE505)</f>
        <v>#N/A</v>
      </c>
      <c r="AF508" s="325"/>
      <c r="AG508" s="485">
        <v>3</v>
      </c>
      <c r="AH508" s="488" t="b">
        <f ca="1">AND(W508,X509,D508="",AG508&lt;=W514)</f>
        <v>0</v>
      </c>
      <c r="AI508" s="488" t="b">
        <f ca="1">AND(W508,X509,E508="",AG508&lt;=W514)</f>
        <v>0</v>
      </c>
      <c r="AJ508" s="488" t="b">
        <f ca="1">AND(W508,X509,F508="",AG508&lt;=X514)</f>
        <v>0</v>
      </c>
      <c r="AK508" s="488" t="b">
        <f ca="1">AND(W508,X509,G508="",AG508&lt;=X514)</f>
        <v>0</v>
      </c>
      <c r="AL508" s="488" t="b">
        <f ca="1">AND(Y508,Z509,K508="",AG508&lt;=Y514)</f>
        <v>0</v>
      </c>
      <c r="AM508" s="488" t="b">
        <f ca="1">AND(Y508,Z509,L508="",AG508&lt;=Y514)</f>
        <v>0</v>
      </c>
      <c r="AN508" s="488" t="b">
        <f ca="1">AND(Y508,Z509,M508="",AG508&lt;=Z514)</f>
        <v>0</v>
      </c>
      <c r="AO508" s="488" t="b">
        <f ca="1">AND(Y508,Z509,N508="",AG508&lt;=Z514)</f>
        <v>0</v>
      </c>
      <c r="AQ508" s="326" t="str">
        <f>IF(OR(NOT(Góllista!$E$6),D508=""),"",IF(C508="öngól","ö"&amp;G505&amp;D508,D505&amp;D508))</f>
        <v/>
      </c>
      <c r="AR508" s="326" t="str">
        <f>IF(OR(NOT(Góllista!$E$6),G508=""),"",IF(H508="öngól","ö"&amp;D505&amp;G508,G505&amp;G508))</f>
        <v/>
      </c>
      <c r="AS508" s="326" t="str">
        <f>IF(OR(NOT(Góllista!$E$6),K508=""),"",IF(J508="öngól","ö"&amp;N505&amp;K508,K505&amp;K508))</f>
        <v/>
      </c>
      <c r="AT508" s="326" t="str">
        <f>IF(OR(NOT(Góllista!$E$6),N508=""),"",IF(O508="öngól","ö"&amp;K505&amp;N508,N505&amp;N508))</f>
        <v/>
      </c>
      <c r="AY508" s="323"/>
      <c r="BA508" s="323"/>
      <c r="BC508" s="323"/>
      <c r="BE508" s="323"/>
      <c r="BG508" s="323"/>
      <c r="BI508" s="323"/>
      <c r="BK508" s="323"/>
      <c r="BM508" s="323"/>
      <c r="BO508" s="323"/>
      <c r="BQ508" s="323"/>
      <c r="BS508" s="323"/>
      <c r="BU508" s="323"/>
      <c r="BW508" s="323"/>
      <c r="BY508" s="323"/>
      <c r="CA508" s="323"/>
      <c r="CC508" s="323"/>
      <c r="CE508" s="323"/>
      <c r="CG508" s="323"/>
      <c r="CI508" s="323"/>
      <c r="CK508" s="323"/>
      <c r="CM508" s="323"/>
      <c r="CO508" s="323"/>
      <c r="CQ508" s="323"/>
      <c r="CS508" s="323"/>
      <c r="CU508" s="323"/>
      <c r="CW508" s="323"/>
      <c r="CY508" s="323"/>
      <c r="DA508" s="323"/>
      <c r="DC508" s="323"/>
      <c r="DE508" s="323"/>
      <c r="DG508" s="323"/>
      <c r="DI508" s="323"/>
    </row>
    <row r="509" spans="1:115" ht="12" customHeight="1" x14ac:dyDescent="0.3">
      <c r="A509" s="765"/>
      <c r="C509" s="219"/>
      <c r="D509" s="220"/>
      <c r="E509" s="224"/>
      <c r="F509" s="222"/>
      <c r="G509" s="223"/>
      <c r="H509" s="219"/>
      <c r="J509" s="219"/>
      <c r="K509" s="220"/>
      <c r="L509" s="224"/>
      <c r="M509" s="222"/>
      <c r="N509" s="223"/>
      <c r="O509" s="219"/>
      <c r="V509" s="487" t="s">
        <v>705</v>
      </c>
      <c r="W509" s="490" t="str">
        <f>VLOOKUP(W506,schedule,18,FALSE)</f>
        <v>JÚNIUS 29. – KEDD 18:00</v>
      </c>
      <c r="X509" s="489" t="b">
        <f ca="1">VLOOKUP(W506,schedule,14,FALSE)&lt;=NOW()</f>
        <v>0</v>
      </c>
      <c r="Y509" s="490" t="str">
        <f>VLOOKUP(Y506,schedule,18,FALSE)</f>
        <v>JÚNIUS 29. – KEDD 21:00</v>
      </c>
      <c r="Z509" s="489" t="b">
        <f ca="1">VLOOKUP(Y506,schedule,14,FALSE)&lt;=NOW()</f>
        <v>0</v>
      </c>
      <c r="AB509" s="327" t="e">
        <f>IF(C509="öngól",AC505,AB505)</f>
        <v>#N/A</v>
      </c>
      <c r="AC509" s="327" t="e">
        <f>IF(H509="öngól",AB505,AC505)</f>
        <v>#N/A</v>
      </c>
      <c r="AD509" s="327" t="e">
        <f>IF(J509="öngól",AE505,AD505)</f>
        <v>#N/A</v>
      </c>
      <c r="AE509" s="327" t="e">
        <f>IF(O509="öngól",AD505,AE505)</f>
        <v>#N/A</v>
      </c>
      <c r="AF509" s="325"/>
      <c r="AG509" s="485">
        <v>4</v>
      </c>
      <c r="AH509" s="488" t="b">
        <f ca="1">AND(W508,X509,D509="",AG509&lt;=W514)</f>
        <v>0</v>
      </c>
      <c r="AI509" s="488" t="b">
        <f ca="1">AND(W508,X509,E509="",AG509&lt;=W514)</f>
        <v>0</v>
      </c>
      <c r="AJ509" s="488" t="b">
        <f ca="1">AND(W508,X509,F509="",AG509&lt;=X514)</f>
        <v>0</v>
      </c>
      <c r="AK509" s="488" t="b">
        <f ca="1">AND(W508,X509,G509="",AG509&lt;=X514)</f>
        <v>0</v>
      </c>
      <c r="AL509" s="488" t="b">
        <f ca="1">AND(Y508,Z509,K509="",AG509&lt;=Y514)</f>
        <v>0</v>
      </c>
      <c r="AM509" s="488" t="b">
        <f ca="1">AND(Y508,Z509,L509="",AG509&lt;=Y514)</f>
        <v>0</v>
      </c>
      <c r="AN509" s="488" t="b">
        <f ca="1">AND(Y508,Z509,M509="",AG509&lt;=Z514)</f>
        <v>0</v>
      </c>
      <c r="AO509" s="488" t="b">
        <f ca="1">AND(Y508,Z509,N509="",AG509&lt;=Z514)</f>
        <v>0</v>
      </c>
      <c r="AQ509" s="326" t="str">
        <f>IF(OR(NOT(Góllista!$E$6),D509=""),"",IF(C509="öngól","ö"&amp;G505&amp;D509,D505&amp;D509))</f>
        <v/>
      </c>
      <c r="AR509" s="326" t="str">
        <f>IF(OR(NOT(Góllista!$E$6),G509=""),"",IF(H509="öngól","ö"&amp;D505&amp;G509,G505&amp;G509))</f>
        <v/>
      </c>
      <c r="AS509" s="326" t="str">
        <f>IF(OR(NOT(Góllista!$E$6),K509=""),"",IF(J509="öngól","ö"&amp;N505&amp;K509,K505&amp;K509))</f>
        <v/>
      </c>
      <c r="AT509" s="326" t="str">
        <f>IF(OR(NOT(Góllista!$E$6),N509=""),"",IF(O509="öngól","ö"&amp;K505&amp;N509,N505&amp;N509))</f>
        <v/>
      </c>
      <c r="AY509" s="323"/>
      <c r="BA509" s="323"/>
      <c r="BC509" s="323"/>
      <c r="BE509" s="323"/>
      <c r="BG509" s="323"/>
      <c r="BI509" s="323"/>
      <c r="BK509" s="323"/>
      <c r="BM509" s="323"/>
      <c r="BO509" s="323"/>
      <c r="BQ509" s="323"/>
      <c r="BS509" s="323"/>
      <c r="BU509" s="323"/>
      <c r="BW509" s="323"/>
      <c r="BY509" s="323"/>
      <c r="CA509" s="323"/>
      <c r="CC509" s="323"/>
      <c r="CE509" s="323"/>
      <c r="CG509" s="323"/>
      <c r="CI509" s="323"/>
      <c r="CK509" s="323"/>
      <c r="CM509" s="323"/>
      <c r="CO509" s="323"/>
      <c r="CQ509" s="323"/>
      <c r="CS509" s="323"/>
      <c r="CU509" s="323"/>
      <c r="CW509" s="323"/>
      <c r="CY509" s="323"/>
      <c r="DA509" s="323"/>
      <c r="DC509" s="323"/>
      <c r="DE509" s="323"/>
      <c r="DG509" s="323"/>
      <c r="DI509" s="323"/>
    </row>
    <row r="510" spans="1:115" ht="12" customHeight="1" x14ac:dyDescent="0.3">
      <c r="A510" s="765"/>
      <c r="C510" s="219"/>
      <c r="D510" s="220"/>
      <c r="E510" s="224"/>
      <c r="F510" s="222"/>
      <c r="G510" s="223"/>
      <c r="H510" s="219"/>
      <c r="J510" s="219"/>
      <c r="K510" s="220"/>
      <c r="L510" s="224"/>
      <c r="M510" s="222"/>
      <c r="N510" s="223"/>
      <c r="O510" s="219"/>
      <c r="V510" s="487" t="s">
        <v>1265</v>
      </c>
      <c r="W510" s="491" t="str">
        <f>VLOOKUP(W506,schedule,12,FALSE)</f>
        <v>NYOLCADDÖNTŐ</v>
      </c>
      <c r="X510" s="485" t="str">
        <f>""</f>
        <v/>
      </c>
      <c r="Y510" s="491" t="str">
        <f>VLOOKUP(Y506,schedule,12,FALSE)</f>
        <v>NYOLCADDÖNTŐ</v>
      </c>
      <c r="AB510" s="327" t="e">
        <f>IF(C510="öngól",AC505,AB505)</f>
        <v>#N/A</v>
      </c>
      <c r="AC510" s="327" t="e">
        <f>IF(H510="öngól",AB505,AC505)</f>
        <v>#N/A</v>
      </c>
      <c r="AD510" s="327" t="e">
        <f>IF(J510="öngól",AE505,AD505)</f>
        <v>#N/A</v>
      </c>
      <c r="AE510" s="327" t="e">
        <f>IF(O510="öngól",AD505,AE505)</f>
        <v>#N/A</v>
      </c>
      <c r="AF510" s="325"/>
      <c r="AG510" s="485">
        <v>5</v>
      </c>
      <c r="AH510" s="488" t="b">
        <f ca="1">AND(W508,X509,D510="",AG510&lt;=W514)</f>
        <v>0</v>
      </c>
      <c r="AI510" s="488" t="b">
        <f ca="1">AND(W508,X509,E510="",AG510&lt;=W514)</f>
        <v>0</v>
      </c>
      <c r="AJ510" s="488" t="b">
        <f ca="1">AND(W508,X509,F510="",AG510&lt;=X514)</f>
        <v>0</v>
      </c>
      <c r="AK510" s="488" t="b">
        <f ca="1">AND(W508,X509,G510="",AG510&lt;=X514)</f>
        <v>0</v>
      </c>
      <c r="AL510" s="488" t="b">
        <f ca="1">AND(Y508,Z509,K510="",AG510&lt;=Y514)</f>
        <v>0</v>
      </c>
      <c r="AM510" s="488" t="b">
        <f ca="1">AND(Y508,Z509,L510="",AG510&lt;=Y514)</f>
        <v>0</v>
      </c>
      <c r="AN510" s="488" t="b">
        <f ca="1">AND(Y508,Z509,M510="",AG510&lt;=Z514)</f>
        <v>0</v>
      </c>
      <c r="AO510" s="488" t="b">
        <f ca="1">AND(Y508,Z509,N510="",AG510&lt;=Z514)</f>
        <v>0</v>
      </c>
      <c r="AQ510" s="326" t="str">
        <f>IF(OR(NOT(Góllista!$E$6),D510=""),"",IF(C510="öngól","ö"&amp;G505&amp;D510,D505&amp;D510))</f>
        <v/>
      </c>
      <c r="AR510" s="326" t="str">
        <f>IF(OR(NOT(Góllista!$E$6),G510=""),"",IF(H510="öngól","ö"&amp;D505&amp;G510,G505&amp;G510))</f>
        <v/>
      </c>
      <c r="AS510" s="326" t="str">
        <f>IF(OR(NOT(Góllista!$E$6),K510=""),"",IF(J510="öngól","ö"&amp;N505&amp;K510,K505&amp;K510))</f>
        <v/>
      </c>
      <c r="AT510" s="326" t="str">
        <f>IF(OR(NOT(Góllista!$E$6),N510=""),"",IF(O510="öngól","ö"&amp;K505&amp;N510,N505&amp;N510))</f>
        <v/>
      </c>
      <c r="AY510" s="323"/>
      <c r="BA510" s="323"/>
      <c r="BC510" s="323"/>
      <c r="BE510" s="323"/>
      <c r="BG510" s="323"/>
      <c r="BI510" s="323"/>
      <c r="BK510" s="323"/>
      <c r="BM510" s="323"/>
      <c r="BO510" s="323"/>
      <c r="BQ510" s="323"/>
      <c r="BS510" s="323"/>
      <c r="BU510" s="323"/>
      <c r="BW510" s="323"/>
      <c r="BY510" s="323"/>
      <c r="CA510" s="323"/>
      <c r="CC510" s="323"/>
      <c r="CE510" s="323"/>
      <c r="CG510" s="323"/>
      <c r="CI510" s="323"/>
      <c r="CK510" s="323"/>
      <c r="CM510" s="323"/>
      <c r="CO510" s="323"/>
      <c r="CQ510" s="323"/>
      <c r="CS510" s="323"/>
      <c r="CU510" s="323"/>
      <c r="CW510" s="323"/>
      <c r="CY510" s="323"/>
      <c r="DA510" s="323"/>
      <c r="DC510" s="323"/>
      <c r="DE510" s="323"/>
      <c r="DG510" s="323"/>
      <c r="DI510" s="323"/>
    </row>
    <row r="511" spans="1:115" ht="12" customHeight="1" x14ac:dyDescent="0.3">
      <c r="A511" s="765"/>
      <c r="C511" s="219"/>
      <c r="D511" s="220"/>
      <c r="E511" s="224"/>
      <c r="F511" s="222"/>
      <c r="G511" s="223"/>
      <c r="H511" s="219"/>
      <c r="J511" s="219"/>
      <c r="K511" s="220"/>
      <c r="L511" s="224"/>
      <c r="M511" s="222"/>
      <c r="N511" s="223"/>
      <c r="O511" s="219"/>
      <c r="V511" s="487" t="s">
        <v>1264</v>
      </c>
      <c r="W511" s="327" t="str">
        <f>VLOOKUP(W506,schedule,3,FALSE)</f>
        <v>6/8</v>
      </c>
      <c r="X511" s="485" t="str">
        <f>""</f>
        <v/>
      </c>
      <c r="Y511" s="327" t="str">
        <f>VLOOKUP(Y506,schedule,3,FALSE)</f>
        <v>5/8</v>
      </c>
      <c r="AB511" s="327" t="e">
        <f>IF(C511="öngól",AC505,AB505)</f>
        <v>#N/A</v>
      </c>
      <c r="AC511" s="327" t="e">
        <f>IF(H511="öngól",AB505,AC505)</f>
        <v>#N/A</v>
      </c>
      <c r="AD511" s="327" t="e">
        <f>IF(J511="öngól",AE505,AD505)</f>
        <v>#N/A</v>
      </c>
      <c r="AE511" s="327" t="e">
        <f>IF(O511="öngól",AD505,AE505)</f>
        <v>#N/A</v>
      </c>
      <c r="AF511" s="325"/>
      <c r="AG511" s="485">
        <v>6</v>
      </c>
      <c r="AH511" s="488" t="b">
        <f ca="1">AND(W508,X509,D511="",AG511&lt;=W514)</f>
        <v>0</v>
      </c>
      <c r="AI511" s="488" t="b">
        <f ca="1">AND(W508,X509,E511="",AG511&lt;=W514)</f>
        <v>0</v>
      </c>
      <c r="AJ511" s="488" t="b">
        <f ca="1">AND(W508,X509,F511="",AG511&lt;=X514)</f>
        <v>0</v>
      </c>
      <c r="AK511" s="488" t="b">
        <f ca="1">AND(W508,X509,G511="",AG511&lt;=X514)</f>
        <v>0</v>
      </c>
      <c r="AL511" s="488" t="b">
        <f ca="1">AND(Y508,Z509,K511="",AG511&lt;=Y514)</f>
        <v>0</v>
      </c>
      <c r="AM511" s="488" t="b">
        <f ca="1">AND(Y508,Z509,L511="",AG511&lt;=Y514)</f>
        <v>0</v>
      </c>
      <c r="AN511" s="488" t="b">
        <f ca="1">AND(Y508,Z509,M511="",AG511&lt;=Z514)</f>
        <v>0</v>
      </c>
      <c r="AO511" s="488" t="b">
        <f ca="1">AND(Y508,Z509,N511="",AG511&lt;=Z514)</f>
        <v>0</v>
      </c>
      <c r="AQ511" s="326" t="str">
        <f>IF(OR(NOT(Góllista!$E$6),D511=""),"",IF(C511="öngól","ö"&amp;G505&amp;D511,D505&amp;D511))</f>
        <v/>
      </c>
      <c r="AR511" s="326" t="str">
        <f>IF(OR(NOT(Góllista!$E$6),G511=""),"",IF(H511="öngól","ö"&amp;D505&amp;G511,G505&amp;G511))</f>
        <v/>
      </c>
      <c r="AS511" s="326" t="str">
        <f>IF(OR(NOT(Góllista!$E$6),K511=""),"",IF(J511="öngól","ö"&amp;N505&amp;K511,K505&amp;K511))</f>
        <v/>
      </c>
      <c r="AT511" s="326" t="str">
        <f>IF(OR(NOT(Góllista!$E$6),N511=""),"",IF(O511="öngól","ö"&amp;K505&amp;N511,N505&amp;N511))</f>
        <v/>
      </c>
      <c r="AY511" s="323"/>
      <c r="BA511" s="323"/>
      <c r="BC511" s="323"/>
      <c r="BE511" s="323"/>
      <c r="BG511" s="323"/>
      <c r="BI511" s="323"/>
      <c r="BK511" s="323"/>
      <c r="BM511" s="323"/>
      <c r="BO511" s="323"/>
      <c r="BQ511" s="323"/>
      <c r="BS511" s="323"/>
      <c r="BU511" s="323"/>
      <c r="BW511" s="323"/>
      <c r="BY511" s="323"/>
      <c r="CA511" s="323"/>
      <c r="CC511" s="323"/>
      <c r="CE511" s="323"/>
      <c r="CG511" s="323"/>
      <c r="CI511" s="323"/>
      <c r="CK511" s="323"/>
      <c r="CM511" s="323"/>
      <c r="CO511" s="323"/>
      <c r="CQ511" s="323"/>
      <c r="CS511" s="323"/>
      <c r="CU511" s="323"/>
      <c r="CW511" s="323"/>
      <c r="CY511" s="323"/>
      <c r="DA511" s="323"/>
      <c r="DC511" s="323"/>
      <c r="DE511" s="323"/>
      <c r="DG511" s="323"/>
      <c r="DI511" s="323"/>
    </row>
    <row r="512" spans="1:115" ht="12" customHeight="1" x14ac:dyDescent="0.3">
      <c r="A512" s="765"/>
      <c r="C512" s="219"/>
      <c r="D512" s="220"/>
      <c r="E512" s="224"/>
      <c r="F512" s="222"/>
      <c r="G512" s="223"/>
      <c r="H512" s="219"/>
      <c r="J512" s="219"/>
      <c r="K512" s="220"/>
      <c r="L512" s="224"/>
      <c r="M512" s="222"/>
      <c r="N512" s="223"/>
      <c r="O512" s="219"/>
      <c r="V512" s="485" t="s">
        <v>707</v>
      </c>
      <c r="W512" s="327">
        <f>IF(NOT(W508),0,E505-9+COUNTBLANK(D506:D514))</f>
        <v>0</v>
      </c>
      <c r="X512" s="327">
        <f>IF(NOT(W508),0,F505-9+COUNTBLANK(G506:G514))</f>
        <v>0</v>
      </c>
      <c r="Y512" s="327">
        <f>IF(NOT(Y508),0,L505-9+COUNTBLANK(K506:K514))</f>
        <v>0</v>
      </c>
      <c r="Z512" s="327">
        <f>IF(NOT(Y508),0,M505-9+COUNTBLANK(N506:N514))</f>
        <v>0</v>
      </c>
      <c r="AB512" s="327" t="e">
        <f>IF(C512="öngól",AC505,AB505)</f>
        <v>#N/A</v>
      </c>
      <c r="AC512" s="327" t="e">
        <f>IF(H512="öngól",AB505,AC505)</f>
        <v>#N/A</v>
      </c>
      <c r="AD512" s="327" t="e">
        <f>IF(J512="öngól",AE505,AD505)</f>
        <v>#N/A</v>
      </c>
      <c r="AE512" s="327" t="e">
        <f>IF(O512="öngól",AD505,AE505)</f>
        <v>#N/A</v>
      </c>
      <c r="AF512" s="325"/>
      <c r="AG512" s="485">
        <v>7</v>
      </c>
      <c r="AH512" s="488" t="b">
        <f ca="1">AND(W508,X509,D512="",AG512&lt;=W514)</f>
        <v>0</v>
      </c>
      <c r="AI512" s="488" t="b">
        <f ca="1">AND(W508,X509,E512="",AG512&lt;=W514)</f>
        <v>0</v>
      </c>
      <c r="AJ512" s="488" t="b">
        <f ca="1">AND(W508,X509,F512="",AG512&lt;=X514)</f>
        <v>0</v>
      </c>
      <c r="AK512" s="488" t="b">
        <f ca="1">AND(W508,X509,G512="",AG512&lt;=X514)</f>
        <v>0</v>
      </c>
      <c r="AL512" s="488" t="b">
        <f ca="1">AND(Y508,Z509,K512="",AG512&lt;=Y514)</f>
        <v>0</v>
      </c>
      <c r="AM512" s="488" t="b">
        <f ca="1">AND(Y508,Z509,L512="",AG512&lt;=Y514)</f>
        <v>0</v>
      </c>
      <c r="AN512" s="488" t="b">
        <f ca="1">AND(Y508,Z509,M512="",AG512&lt;=Z514)</f>
        <v>0</v>
      </c>
      <c r="AO512" s="488" t="b">
        <f ca="1">AND(Y508,Z509,N512="",AG512&lt;=Z514)</f>
        <v>0</v>
      </c>
      <c r="AQ512" s="326" t="str">
        <f>IF(OR(NOT(Góllista!$E$6),D512=""),"",IF(C512="öngól","ö"&amp;G505&amp;D512,D505&amp;D512))</f>
        <v/>
      </c>
      <c r="AR512" s="326" t="str">
        <f>IF(OR(NOT(Góllista!$E$6),G512=""),"",IF(H512="öngól","ö"&amp;D505&amp;G512,G505&amp;G512))</f>
        <v/>
      </c>
      <c r="AS512" s="326" t="str">
        <f>IF(OR(NOT(Góllista!$E$6),K512=""),"",IF(J512="öngól","ö"&amp;N505&amp;K512,K505&amp;K512))</f>
        <v/>
      </c>
      <c r="AT512" s="326" t="str">
        <f>IF(OR(NOT(Góllista!$E$6),N512=""),"",IF(O512="öngól","ö"&amp;K505&amp;N512,N505&amp;N512))</f>
        <v/>
      </c>
      <c r="AY512" s="323"/>
      <c r="BA512" s="323"/>
      <c r="BC512" s="323"/>
      <c r="BE512" s="323"/>
      <c r="BG512" s="323"/>
      <c r="BI512" s="323"/>
      <c r="BK512" s="323"/>
      <c r="BM512" s="323"/>
      <c r="BO512" s="323"/>
      <c r="BQ512" s="323"/>
      <c r="BS512" s="323"/>
      <c r="BU512" s="323"/>
      <c r="BW512" s="323"/>
      <c r="BY512" s="323"/>
      <c r="CA512" s="323"/>
      <c r="CC512" s="323"/>
      <c r="CE512" s="323"/>
      <c r="CG512" s="323"/>
      <c r="CI512" s="323"/>
      <c r="CK512" s="323"/>
      <c r="CM512" s="323"/>
      <c r="CO512" s="323"/>
      <c r="CQ512" s="323"/>
      <c r="CS512" s="323"/>
      <c r="CU512" s="323"/>
      <c r="CW512" s="323"/>
      <c r="CY512" s="323"/>
      <c r="DA512" s="323"/>
      <c r="DC512" s="323"/>
      <c r="DE512" s="323"/>
      <c r="DG512" s="323"/>
      <c r="DI512" s="323"/>
    </row>
    <row r="513" spans="1:114" ht="12" customHeight="1" x14ac:dyDescent="0.3">
      <c r="A513" s="765"/>
      <c r="C513" s="219"/>
      <c r="D513" s="220"/>
      <c r="E513" s="224"/>
      <c r="F513" s="222"/>
      <c r="G513" s="223"/>
      <c r="H513" s="219"/>
      <c r="J513" s="219"/>
      <c r="K513" s="220"/>
      <c r="L513" s="224"/>
      <c r="M513" s="222"/>
      <c r="N513" s="223"/>
      <c r="O513" s="219"/>
      <c r="V513" s="485" t="s">
        <v>708</v>
      </c>
      <c r="W513" s="411" t="str">
        <f>VLOOKUP(W506,schedule,8,FALSE)</f>
        <v>D csoport 1. hely</v>
      </c>
      <c r="X513" s="411" t="str">
        <f>VLOOKUP(W506,schedule,9,FALSE)</f>
        <v>F csoport 2. hely</v>
      </c>
      <c r="Y513" s="411" t="str">
        <f>VLOOKUP(Y506,schedule,8,FALSE)</f>
        <v>E csoport 1. hely</v>
      </c>
      <c r="Z513" s="491" t="str">
        <f>VLOOKUP(Y506,schedule,9,FALSE)</f>
        <v>A/B/C/D csoport 3. hely</v>
      </c>
      <c r="AB513" s="327" t="e">
        <f>IF(C513="öngól",AC505,AB505)</f>
        <v>#N/A</v>
      </c>
      <c r="AC513" s="327" t="e">
        <f>IF(H513="öngól",AB505,AC505)</f>
        <v>#N/A</v>
      </c>
      <c r="AD513" s="327" t="e">
        <f>IF(J513="öngól",AE505,AD505)</f>
        <v>#N/A</v>
      </c>
      <c r="AE513" s="327" t="e">
        <f>IF(O513="öngól",AD505,AE505)</f>
        <v>#N/A</v>
      </c>
      <c r="AF513" s="325"/>
      <c r="AG513" s="485">
        <v>8</v>
      </c>
      <c r="AH513" s="488" t="b">
        <f ca="1">AND(W508,X509,D513="",AG513&lt;=W514)</f>
        <v>0</v>
      </c>
      <c r="AI513" s="488" t="b">
        <f ca="1">AND(W508,X509,E513="",AG513&lt;=W514)</f>
        <v>0</v>
      </c>
      <c r="AJ513" s="488" t="b">
        <f ca="1">AND(W508,X509,F513="",AG513&lt;=X514)</f>
        <v>0</v>
      </c>
      <c r="AK513" s="488" t="b">
        <f ca="1">AND(W508,X509,G513="",AG513&lt;=X514)</f>
        <v>0</v>
      </c>
      <c r="AL513" s="488" t="b">
        <f ca="1">AND(Y508,Z509,K513="",AG513&lt;=Y514)</f>
        <v>0</v>
      </c>
      <c r="AM513" s="488" t="b">
        <f ca="1">AND(Y508,Z509,L513="",AG513&lt;=Y514)</f>
        <v>0</v>
      </c>
      <c r="AN513" s="488" t="b">
        <f ca="1">AND(Y508,Z509,M513="",AG513&lt;=Z514)</f>
        <v>0</v>
      </c>
      <c r="AO513" s="488" t="b">
        <f ca="1">AND(Y508,Z509,N513="",AG513&lt;=Z514)</f>
        <v>0</v>
      </c>
      <c r="AQ513" s="326" t="str">
        <f>IF(OR(NOT(Góllista!$E$6),D513=""),"",IF(C513="öngól","ö"&amp;G505&amp;D513,D505&amp;D513))</f>
        <v/>
      </c>
      <c r="AR513" s="326" t="str">
        <f>IF(OR(NOT(Góllista!$E$6),G513=""),"",IF(H513="öngól","ö"&amp;D505&amp;G513,G505&amp;G513))</f>
        <v/>
      </c>
      <c r="AS513" s="326" t="str">
        <f>IF(OR(NOT(Góllista!$E$6),K513=""),"",IF(J513="öngól","ö"&amp;N505&amp;K513,K505&amp;K513))</f>
        <v/>
      </c>
      <c r="AT513" s="326" t="str">
        <f>IF(OR(NOT(Góllista!$E$6),N513=""),"",IF(O513="öngól","ö"&amp;K505&amp;N513,N505&amp;N513))</f>
        <v/>
      </c>
      <c r="AY513" s="323"/>
      <c r="BA513" s="323"/>
      <c r="BC513" s="323"/>
      <c r="BE513" s="323"/>
      <c r="BG513" s="323"/>
      <c r="BI513" s="323"/>
      <c r="BK513" s="323"/>
      <c r="BM513" s="323"/>
      <c r="BO513" s="323"/>
      <c r="BQ513" s="323"/>
      <c r="BS513" s="323"/>
      <c r="BU513" s="323"/>
      <c r="BW513" s="323"/>
      <c r="BY513" s="323"/>
      <c r="CA513" s="323"/>
      <c r="CC513" s="323"/>
      <c r="CE513" s="323"/>
      <c r="CG513" s="323"/>
      <c r="CI513" s="323"/>
      <c r="CK513" s="323"/>
      <c r="CM513" s="323"/>
      <c r="CO513" s="323"/>
      <c r="CQ513" s="323"/>
      <c r="CS513" s="323"/>
      <c r="CU513" s="323"/>
      <c r="CW513" s="323"/>
      <c r="CY513" s="323"/>
      <c r="DA513" s="323"/>
      <c r="DC513" s="323"/>
      <c r="DE513" s="323"/>
      <c r="DG513" s="323"/>
      <c r="DI513" s="323"/>
    </row>
    <row r="514" spans="1:114" ht="12" customHeight="1" x14ac:dyDescent="0.3">
      <c r="A514" s="765"/>
      <c r="C514" s="219"/>
      <c r="D514" s="220"/>
      <c r="E514" s="225"/>
      <c r="F514" s="222"/>
      <c r="G514" s="223"/>
      <c r="H514" s="219"/>
      <c r="J514" s="219"/>
      <c r="K514" s="220"/>
      <c r="L514" s="225"/>
      <c r="M514" s="222"/>
      <c r="N514" s="223"/>
      <c r="O514" s="219"/>
      <c r="V514" s="485" t="s">
        <v>709</v>
      </c>
      <c r="W514" s="492" t="str">
        <f>INDEX(n.er,W507,9)</f>
        <v/>
      </c>
      <c r="X514" s="493" t="str">
        <f>INDEX(n.er,W507,10)</f>
        <v/>
      </c>
      <c r="Y514" s="492" t="str">
        <f>INDEX(n.er,Y507,9)</f>
        <v/>
      </c>
      <c r="Z514" s="493" t="str">
        <f>INDEX(n.er,Y507,10)</f>
        <v/>
      </c>
      <c r="AB514" s="327" t="e">
        <f>IF(C514="öngól",AC505,AB505)</f>
        <v>#N/A</v>
      </c>
      <c r="AC514" s="327" t="e">
        <f>IF(H514="öngól",AB505,AC505)</f>
        <v>#N/A</v>
      </c>
      <c r="AD514" s="327" t="e">
        <f>IF(J514="öngól",AE505,AD505)</f>
        <v>#N/A</v>
      </c>
      <c r="AE514" s="327" t="e">
        <f>IF(O514="öngól",AD505,AE505)</f>
        <v>#N/A</v>
      </c>
      <c r="AF514" s="325"/>
      <c r="AG514" s="485">
        <v>9</v>
      </c>
      <c r="AH514" s="488" t="b">
        <f ca="1">AND(W508,X509,D514="",AG514&lt;=W514)</f>
        <v>0</v>
      </c>
      <c r="AI514" s="488" t="b">
        <f ca="1">AND(W508,X509,E514="",AG514&lt;=W514)</f>
        <v>0</v>
      </c>
      <c r="AJ514" s="488" t="b">
        <f ca="1">AND(W508,X509,F514="",AG514&lt;=X514)</f>
        <v>0</v>
      </c>
      <c r="AK514" s="488" t="b">
        <f ca="1">AND(W508,X509,G514="",AG514&lt;=X514)</f>
        <v>0</v>
      </c>
      <c r="AL514" s="488" t="b">
        <f ca="1">AND(Y508,Z509,K514="",AG514&lt;=Y514)</f>
        <v>0</v>
      </c>
      <c r="AM514" s="488" t="b">
        <f ca="1">AND(Y508,Z509,L514="",AG514&lt;=Y514)</f>
        <v>0</v>
      </c>
      <c r="AN514" s="488" t="b">
        <f ca="1">AND(Y508,Z509,M514="",AG514&lt;=Z514)</f>
        <v>0</v>
      </c>
      <c r="AO514" s="488" t="b">
        <f ca="1">AND(Y508,Z509,N514="",AG514&lt;=Z514)</f>
        <v>0</v>
      </c>
      <c r="AQ514" s="326" t="str">
        <f>IF(OR(NOT(Góllista!$E$6),D514=""),"",IF(C514="öngól","ö"&amp;G505&amp;D514,D505&amp;D514))</f>
        <v/>
      </c>
      <c r="AR514" s="326" t="str">
        <f>IF(OR(NOT(Góllista!$E$6),G514=""),"",IF(H514="öngól","ö"&amp;D505&amp;G514,G505&amp;G514))</f>
        <v/>
      </c>
      <c r="AS514" s="326" t="str">
        <f>IF(OR(NOT(Góllista!$E$6),K514=""),"",IF(J514="öngól","ö"&amp;N505&amp;K514,K505&amp;K514))</f>
        <v/>
      </c>
      <c r="AT514" s="326" t="str">
        <f>IF(OR(NOT(Góllista!$E$6),N514=""),"",IF(O514="öngól","ö"&amp;K505&amp;N514,N505&amp;N514))</f>
        <v/>
      </c>
      <c r="AY514" s="323"/>
      <c r="BA514" s="323"/>
      <c r="BC514" s="323"/>
      <c r="BE514" s="323"/>
      <c r="BG514" s="323"/>
      <c r="BI514" s="323"/>
      <c r="BK514" s="323"/>
      <c r="BM514" s="323"/>
      <c r="BO514" s="323"/>
      <c r="BQ514" s="323"/>
      <c r="BS514" s="323"/>
      <c r="BU514" s="323"/>
      <c r="BW514" s="323"/>
      <c r="BY514" s="323"/>
      <c r="CA514" s="323"/>
      <c r="CC514" s="323"/>
      <c r="CE514" s="323"/>
      <c r="CG514" s="323"/>
      <c r="CI514" s="323"/>
      <c r="CK514" s="323"/>
      <c r="CM514" s="323"/>
      <c r="CO514" s="323"/>
      <c r="CQ514" s="323"/>
      <c r="CS514" s="323"/>
      <c r="CU514" s="323"/>
      <c r="CW514" s="323"/>
      <c r="CY514" s="323"/>
      <c r="DA514" s="323"/>
      <c r="DC514" s="323"/>
      <c r="DE514" s="323"/>
      <c r="DG514" s="323"/>
      <c r="DI514" s="323"/>
    </row>
    <row r="515" spans="1:114" ht="12" customHeight="1" x14ac:dyDescent="0.3">
      <c r="A515" s="765"/>
      <c r="C515" s="768"/>
      <c r="D515" s="768"/>
      <c r="E515" s="768"/>
      <c r="F515" s="768"/>
      <c r="G515" s="768"/>
      <c r="H515" s="768"/>
      <c r="J515" s="768"/>
      <c r="K515" s="768"/>
      <c r="L515" s="768"/>
      <c r="M515" s="768"/>
      <c r="N515" s="768"/>
      <c r="O515" s="768"/>
      <c r="AY515" s="323"/>
      <c r="BA515" s="323"/>
      <c r="BC515" s="323"/>
      <c r="BE515" s="323"/>
      <c r="BG515" s="323"/>
      <c r="BI515" s="323"/>
      <c r="BK515" s="323"/>
      <c r="BM515" s="323"/>
      <c r="BO515" s="323"/>
      <c r="BQ515" s="323"/>
      <c r="BS515" s="323"/>
      <c r="BU515" s="323"/>
      <c r="BW515" s="323"/>
      <c r="BY515" s="323"/>
      <c r="CA515" s="323"/>
      <c r="CC515" s="323"/>
      <c r="CE515" s="323"/>
      <c r="CG515" s="323"/>
      <c r="CI515" s="323"/>
      <c r="CK515" s="323"/>
      <c r="CM515" s="323"/>
      <c r="CO515" s="323"/>
      <c r="CQ515" s="323"/>
      <c r="CS515" s="323"/>
      <c r="CU515" s="323"/>
      <c r="CW515" s="323"/>
      <c r="CY515" s="323"/>
      <c r="DA515" s="323"/>
      <c r="DC515" s="323"/>
      <c r="DE515" s="323"/>
      <c r="DG515" s="323"/>
      <c r="DI515" s="323"/>
    </row>
    <row r="516" spans="1:114" ht="12" hidden="1" customHeight="1" x14ac:dyDescent="0.3">
      <c r="A516" s="765"/>
      <c r="C516" s="767"/>
      <c r="D516" s="767"/>
      <c r="E516" s="767"/>
      <c r="F516" s="767"/>
      <c r="G516" s="767"/>
      <c r="H516" s="767"/>
      <c r="J516" s="767"/>
      <c r="K516" s="767"/>
      <c r="L516" s="767"/>
      <c r="M516" s="767"/>
      <c r="N516" s="767"/>
      <c r="O516" s="767"/>
      <c r="AY516" s="323"/>
      <c r="BA516" s="323"/>
      <c r="BC516" s="323"/>
      <c r="BE516" s="323"/>
      <c r="BG516" s="323"/>
      <c r="BI516" s="323"/>
      <c r="BK516" s="323"/>
      <c r="BM516" s="323"/>
      <c r="BO516" s="323"/>
      <c r="BQ516" s="323"/>
      <c r="BS516" s="323"/>
      <c r="BU516" s="323"/>
      <c r="BW516" s="323"/>
      <c r="BY516" s="323"/>
      <c r="CA516" s="323"/>
      <c r="CC516" s="323"/>
      <c r="CE516" s="323"/>
      <c r="CG516" s="323"/>
      <c r="CI516" s="323"/>
      <c r="CK516" s="323"/>
      <c r="CM516" s="323"/>
      <c r="CO516" s="323"/>
      <c r="CQ516" s="323"/>
      <c r="CS516" s="323"/>
      <c r="CU516" s="323"/>
      <c r="CW516" s="323"/>
      <c r="CY516" s="323"/>
      <c r="DA516" s="323"/>
      <c r="DC516" s="323"/>
      <c r="DE516" s="323"/>
      <c r="DG516" s="323"/>
      <c r="DI516" s="323"/>
    </row>
    <row r="517" spans="1:114" ht="12" hidden="1" customHeight="1" x14ac:dyDescent="0.3">
      <c r="A517" s="765"/>
      <c r="C517" s="767"/>
      <c r="D517" s="767"/>
      <c r="E517" s="767"/>
      <c r="F517" s="767"/>
      <c r="G517" s="767"/>
      <c r="H517" s="767"/>
      <c r="J517" s="767"/>
      <c r="K517" s="767"/>
      <c r="L517" s="767"/>
      <c r="M517" s="767"/>
      <c r="N517" s="767"/>
      <c r="O517" s="767"/>
      <c r="AY517" s="323"/>
      <c r="BA517" s="323"/>
      <c r="BC517" s="323"/>
      <c r="BE517" s="323"/>
      <c r="BG517" s="323"/>
      <c r="BI517" s="323"/>
      <c r="BK517" s="323"/>
      <c r="BM517" s="323"/>
      <c r="BO517" s="323"/>
      <c r="BQ517" s="323"/>
      <c r="BS517" s="323"/>
      <c r="BU517" s="323"/>
      <c r="BW517" s="323"/>
      <c r="BY517" s="323"/>
      <c r="CA517" s="323"/>
      <c r="CC517" s="323"/>
      <c r="CE517" s="323"/>
      <c r="CG517" s="323"/>
      <c r="CI517" s="323"/>
      <c r="CK517" s="323"/>
      <c r="CM517" s="323"/>
      <c r="CO517" s="323"/>
      <c r="CQ517" s="323"/>
      <c r="CS517" s="323"/>
      <c r="CU517" s="323"/>
      <c r="CW517" s="323"/>
      <c r="CY517" s="323"/>
      <c r="DA517" s="323"/>
      <c r="DC517" s="323"/>
      <c r="DE517" s="323"/>
      <c r="DG517" s="323"/>
      <c r="DI517" s="323"/>
    </row>
    <row r="518" spans="1:114" ht="3.75" customHeight="1" x14ac:dyDescent="0.3">
      <c r="A518" s="765"/>
      <c r="AH518" s="494"/>
      <c r="AY518" s="323"/>
      <c r="BA518" s="323"/>
      <c r="BC518" s="323"/>
      <c r="BE518" s="323"/>
      <c r="BG518" s="323"/>
      <c r="BI518" s="323"/>
      <c r="BK518" s="323"/>
      <c r="BM518" s="323"/>
      <c r="BO518" s="323"/>
      <c r="BQ518" s="323"/>
      <c r="BS518" s="323"/>
      <c r="BU518" s="323"/>
      <c r="BW518" s="323"/>
      <c r="BY518" s="323"/>
      <c r="CA518" s="323"/>
      <c r="CC518" s="323"/>
      <c r="CE518" s="323"/>
      <c r="CG518" s="323"/>
      <c r="CI518" s="323"/>
      <c r="CK518" s="323"/>
      <c r="CM518" s="323"/>
      <c r="CO518" s="323"/>
      <c r="CQ518" s="323"/>
      <c r="CS518" s="323"/>
      <c r="CU518" s="323"/>
      <c r="CW518" s="323"/>
      <c r="CY518" s="323"/>
      <c r="DA518" s="323"/>
      <c r="DC518" s="323"/>
      <c r="DE518" s="323"/>
      <c r="DG518" s="323"/>
      <c r="DI518" s="323"/>
    </row>
    <row r="519" spans="1:114" ht="11.25" customHeight="1" x14ac:dyDescent="0.3">
      <c r="A519" s="765"/>
      <c r="B519" s="15"/>
      <c r="D519" s="235"/>
      <c r="E519" s="722" t="str">
        <f>IF(W519,"  BÜNTETŐK:","  BÜNTETŐK:  –")</f>
        <v xml:space="preserve">  BÜNTETŐK:  –</v>
      </c>
      <c r="F519" s="235"/>
      <c r="G519" s="235"/>
      <c r="H519" s="235"/>
      <c r="I519" s="37"/>
      <c r="J519" s="234"/>
      <c r="K519" s="235"/>
      <c r="L519" s="722" t="str">
        <f>IF(AD519,"  BÜNTETŐK:","  BÜNTETŐK:  –")</f>
        <v xml:space="preserve">  BÜNTETŐK:  –</v>
      </c>
      <c r="M519" s="235"/>
      <c r="N519" s="235"/>
      <c r="O519" s="235"/>
      <c r="V519" s="487" t="s">
        <v>712</v>
      </c>
      <c r="W519" s="489" t="b">
        <f>INDEX(n.er,W507,14)</f>
        <v>0</v>
      </c>
      <c r="Y519" s="489" t="b">
        <f>INDEX(n.er,Y507,14)</f>
        <v>0</v>
      </c>
      <c r="AF519" s="325"/>
      <c r="AQ519" s="323"/>
      <c r="AR519" s="323"/>
      <c r="AS519" s="323"/>
      <c r="AT519" s="323"/>
      <c r="AW519" s="485"/>
      <c r="AY519" s="323"/>
      <c r="BA519" s="323"/>
      <c r="BC519" s="323"/>
      <c r="BE519" s="323"/>
      <c r="BG519" s="323"/>
      <c r="BI519" s="323"/>
      <c r="BK519" s="323"/>
      <c r="BM519" s="323"/>
      <c r="BO519" s="323"/>
      <c r="BQ519" s="323"/>
      <c r="BS519" s="323"/>
      <c r="BU519" s="323"/>
      <c r="BW519" s="323"/>
      <c r="BY519" s="323"/>
      <c r="CA519" s="323"/>
      <c r="CC519" s="323"/>
      <c r="CE519" s="323"/>
      <c r="CG519" s="323"/>
      <c r="CI519" s="323"/>
      <c r="CK519" s="323"/>
      <c r="CM519" s="323"/>
      <c r="CO519" s="323"/>
      <c r="CQ519" s="323"/>
      <c r="CS519" s="323"/>
      <c r="CU519" s="323"/>
      <c r="CW519" s="323"/>
      <c r="CY519" s="323"/>
      <c r="DA519" s="323"/>
      <c r="DC519" s="323"/>
      <c r="DE519" s="323"/>
      <c r="DG519" s="323"/>
      <c r="DI519" s="323"/>
      <c r="DJ519" s="485"/>
    </row>
    <row r="520" spans="1:114" ht="11.25" customHeight="1" x14ac:dyDescent="0.3">
      <c r="A520" s="765"/>
      <c r="C520" s="241" t="str">
        <f>IF(W521=0,"",IF(W521&gt;0,CONCATENATE("még ",W521," büntető"),CONCATENATE("túl sok (",W521," büntető)")))</f>
        <v/>
      </c>
      <c r="D520" s="237" t="str">
        <f>IF(W519,W513,"")</f>
        <v/>
      </c>
      <c r="E520" s="239" t="str">
        <f>IF(W519,W520,"")</f>
        <v/>
      </c>
      <c r="F520" s="240" t="str">
        <f>IF(W519,X520,"")</f>
        <v/>
      </c>
      <c r="G520" s="238" t="str">
        <f>IF(W519,X513,"")</f>
        <v/>
      </c>
      <c r="H520" s="241" t="str">
        <f>IF(X521=0,"",IF(X521&gt;0,CONCATENATE("még ",X521," büntető"),CONCATENATE("túl sok (",X521," büntető)")))</f>
        <v/>
      </c>
      <c r="J520" s="241" t="str">
        <f>IF(Y521=0,"",IF(Y521&gt;0,CONCATENATE("még ",Y521," büntető"),CONCATENATE("túl sok (",Y521," büntető)")))</f>
        <v/>
      </c>
      <c r="K520" s="237" t="str">
        <f>IF(Y519,Y513,"")</f>
        <v/>
      </c>
      <c r="L520" s="239" t="str">
        <f>IF(Y519,Y520,"")</f>
        <v/>
      </c>
      <c r="M520" s="240" t="str">
        <f>IF(Y519,Z520,"")</f>
        <v/>
      </c>
      <c r="N520" s="238" t="str">
        <f>IF(Y519,Z513,"")</f>
        <v/>
      </c>
      <c r="O520" s="241" t="str">
        <f>IF(Z521=0,"",IF(Z521&gt;0,CONCATENATE("még ",Z521," büntető"),CONCATENATE("túl sok (",Z521," büntető)")))</f>
        <v/>
      </c>
      <c r="V520" s="487" t="s">
        <v>709</v>
      </c>
      <c r="W520" s="492" t="str">
        <f>IF(NOT(W519),"",INDEX(n.er,W507,17))</f>
        <v/>
      </c>
      <c r="X520" s="493" t="str">
        <f>IF(NOT(W519),"",INDEX(n.er,W507,18))</f>
        <v/>
      </c>
      <c r="Y520" s="492" t="str">
        <f>IF(NOT(Y519),"",INDEX(n.er,Y507,17))</f>
        <v/>
      </c>
      <c r="Z520" s="493" t="str">
        <f>IF(NOT(Y519),"",INDEX(n.er,Y507,18))</f>
        <v/>
      </c>
      <c r="AF520" s="325"/>
      <c r="AH520" s="494"/>
      <c r="AQ520" s="323"/>
      <c r="AR520" s="323"/>
      <c r="AS520" s="323"/>
      <c r="AT520" s="323"/>
      <c r="AW520" s="485"/>
      <c r="AY520" s="323"/>
      <c r="BA520" s="323"/>
      <c r="BC520" s="323"/>
      <c r="BE520" s="323"/>
      <c r="BG520" s="323"/>
      <c r="BI520" s="323"/>
      <c r="BK520" s="323"/>
      <c r="BM520" s="323"/>
      <c r="BO520" s="323"/>
      <c r="BQ520" s="323"/>
      <c r="BS520" s="323"/>
      <c r="BU520" s="323"/>
      <c r="BW520" s="323"/>
      <c r="BY520" s="323"/>
      <c r="CA520" s="323"/>
      <c r="CC520" s="323"/>
      <c r="CE520" s="323"/>
      <c r="CG520" s="323"/>
      <c r="CI520" s="323"/>
      <c r="CK520" s="323"/>
      <c r="CM520" s="323"/>
      <c r="CO520" s="323"/>
      <c r="CQ520" s="323"/>
      <c r="CS520" s="323"/>
      <c r="CU520" s="323"/>
      <c r="CW520" s="323"/>
      <c r="CY520" s="323"/>
      <c r="DA520" s="323"/>
      <c r="DC520" s="323"/>
      <c r="DE520" s="323"/>
      <c r="DG520" s="323"/>
      <c r="DI520" s="323"/>
    </row>
    <row r="521" spans="1:114" ht="11.25" customHeight="1" x14ac:dyDescent="0.3">
      <c r="A521" s="765"/>
      <c r="C521" s="236"/>
      <c r="D521" s="220"/>
      <c r="E521" s="515"/>
      <c r="F521" s="516"/>
      <c r="G521" s="223"/>
      <c r="H521" s="236"/>
      <c r="J521" s="236"/>
      <c r="K521" s="220"/>
      <c r="L521" s="515"/>
      <c r="M521" s="516"/>
      <c r="N521" s="223"/>
      <c r="O521" s="236"/>
      <c r="V521" s="485" t="s">
        <v>707</v>
      </c>
      <c r="W521" s="327">
        <f>IF(W520="",0,E520-COUNTIF(E521:E534,"O"))</f>
        <v>0</v>
      </c>
      <c r="X521" s="327">
        <f>IF(X520="",0,F520-COUNTIF(F521:F534,"O"))</f>
        <v>0</v>
      </c>
      <c r="Y521" s="327">
        <f>IF(Y520="",0,L520-COUNTIF(L521:L536,"O"))</f>
        <v>0</v>
      </c>
      <c r="Z521" s="327">
        <f>IF(Z520="",0,M520-COUNTIF(M521:M536,"O"))</f>
        <v>0</v>
      </c>
      <c r="AB521" s="52" t="str">
        <f>IF(NOT(W519),"",HLOOKUP(D520,nevek.li,2,FALSE))</f>
        <v/>
      </c>
      <c r="AC521" s="52" t="str">
        <f>IF(NOT(W519),"",HLOOKUP(G520,nevek.li,2,FALSE))</f>
        <v/>
      </c>
      <c r="AD521" s="52" t="str">
        <f>IF(NOT(Y519),"",HLOOKUP(K520,nevek.li,2,FALSE))</f>
        <v/>
      </c>
      <c r="AE521" s="52" t="str">
        <f>IF(NOT(Y519),"",HLOOKUP(N520,nevek.li,2,FALSE))</f>
        <v/>
      </c>
      <c r="AF521" s="325"/>
      <c r="AG521" s="485">
        <v>1</v>
      </c>
      <c r="AH521" s="488" t="b">
        <f ca="1">IF(OR(NOT(W519),NOT(X509)),FALSE,D521="")</f>
        <v>0</v>
      </c>
      <c r="AI521" s="488" t="b">
        <f ca="1">IF(OR(NOT(W519),NOT(X509)),FALSE,E521="")</f>
        <v>0</v>
      </c>
      <c r="AJ521" s="488" t="b">
        <f ca="1">IF(OR(NOT(W519),NOT(X509)),FALSE,F521="")</f>
        <v>0</v>
      </c>
      <c r="AK521" s="488" t="b">
        <f ca="1">IF(OR(NOT(W519),NOT(X509)),FALSE,G521="")</f>
        <v>0</v>
      </c>
      <c r="AL521" s="488" t="b">
        <f ca="1">IF(OR(NOT(Y519),NOT(Z509)),FALSE,K521="")</f>
        <v>0</v>
      </c>
      <c r="AM521" s="488" t="b">
        <f ca="1">IF(OR(NOT(Y519),NOT(Z509)),FALSE,L521="")</f>
        <v>0</v>
      </c>
      <c r="AN521" s="488" t="b">
        <f ca="1">IF(OR(NOT(Y519),NOT(Z509)),FALSE,M521="")</f>
        <v>0</v>
      </c>
      <c r="AO521" s="488" t="b">
        <f ca="1">IF(OR(NOT(Y519),NOT(Z509)),FALSE,N521="")</f>
        <v>0</v>
      </c>
      <c r="AS521" s="323"/>
      <c r="AT521" s="323"/>
      <c r="AY521" s="323"/>
      <c r="BA521" s="323"/>
      <c r="BC521" s="323"/>
      <c r="BE521" s="323"/>
      <c r="BG521" s="323"/>
      <c r="BI521" s="323"/>
      <c r="BK521" s="323"/>
      <c r="BM521" s="323"/>
      <c r="BO521" s="323"/>
      <c r="BQ521" s="323"/>
      <c r="BS521" s="323"/>
      <c r="BU521" s="323"/>
      <c r="BW521" s="323"/>
      <c r="BY521" s="323"/>
      <c r="CA521" s="323"/>
      <c r="CC521" s="323"/>
      <c r="CE521" s="323"/>
      <c r="CG521" s="323"/>
      <c r="CI521" s="323"/>
      <c r="CK521" s="323"/>
      <c r="CM521" s="323"/>
      <c r="CO521" s="323"/>
      <c r="CQ521" s="323"/>
      <c r="CS521" s="323"/>
      <c r="CU521" s="323"/>
      <c r="CW521" s="323"/>
      <c r="CY521" s="323"/>
      <c r="DA521" s="323"/>
      <c r="DC521" s="323"/>
      <c r="DE521" s="323"/>
      <c r="DG521" s="323"/>
      <c r="DI521" s="323"/>
      <c r="DJ521" s="485"/>
    </row>
    <row r="522" spans="1:114" ht="11.25" customHeight="1" x14ac:dyDescent="0.3">
      <c r="A522" s="765"/>
      <c r="C522" s="219"/>
      <c r="D522" s="220"/>
      <c r="E522" s="517"/>
      <c r="F522" s="516"/>
      <c r="G522" s="223"/>
      <c r="H522" s="219"/>
      <c r="J522" s="219"/>
      <c r="K522" s="220"/>
      <c r="L522" s="517"/>
      <c r="M522" s="516"/>
      <c r="N522" s="223"/>
      <c r="O522" s="219"/>
      <c r="AB522" s="327" t="str">
        <f>AB521</f>
        <v/>
      </c>
      <c r="AC522" s="327" t="str">
        <f>AC521</f>
        <v/>
      </c>
      <c r="AD522" s="327" t="str">
        <f>AD521</f>
        <v/>
      </c>
      <c r="AE522" s="327" t="str">
        <f>AE521</f>
        <v/>
      </c>
      <c r="AF522" s="325"/>
      <c r="AG522" s="485">
        <v>2</v>
      </c>
      <c r="AH522" s="488" t="b">
        <f ca="1">IF(OR(NOT(W519),NOT(X509)),FALSE,D522="")</f>
        <v>0</v>
      </c>
      <c r="AI522" s="488" t="b">
        <f ca="1">IF(OR(NOT(W519),NOT(X509)),FALSE,E522="")</f>
        <v>0</v>
      </c>
      <c r="AJ522" s="488" t="b">
        <f ca="1">IF(OR(NOT(W519),NOT(X509)),FALSE,F522="")</f>
        <v>0</v>
      </c>
      <c r="AK522" s="488" t="b">
        <f ca="1">IF(OR(NOT(W519),NOT(X509)),FALSE,G522="")</f>
        <v>0</v>
      </c>
      <c r="AL522" s="488" t="b">
        <f ca="1">IF(OR(NOT(Y519),NOT(Z509)),FALSE,K522="")</f>
        <v>0</v>
      </c>
      <c r="AM522" s="488" t="b">
        <f ca="1">IF(OR(NOT(Y519),NOT(Z509)),FALSE,L522="")</f>
        <v>0</v>
      </c>
      <c r="AN522" s="488" t="b">
        <f ca="1">IF(OR(NOT(Y519),NOT(Z509)),FALSE,M522="")</f>
        <v>0</v>
      </c>
      <c r="AO522" s="488" t="b">
        <f ca="1">IF(OR(NOT(Y519),NOT(Z509)),FALSE,N522="")</f>
        <v>0</v>
      </c>
      <c r="AS522" s="323"/>
      <c r="AT522" s="323"/>
      <c r="AW522" s="485"/>
      <c r="AY522" s="323"/>
      <c r="BA522" s="323"/>
      <c r="BC522" s="323"/>
      <c r="BE522" s="323"/>
      <c r="BG522" s="323"/>
      <c r="BI522" s="323"/>
      <c r="BK522" s="323"/>
      <c r="BM522" s="323"/>
      <c r="BO522" s="323"/>
      <c r="BQ522" s="323"/>
      <c r="BS522" s="323"/>
      <c r="BU522" s="323"/>
      <c r="BW522" s="323"/>
      <c r="BY522" s="323"/>
      <c r="CA522" s="323"/>
      <c r="CC522" s="323"/>
      <c r="CE522" s="323"/>
      <c r="CG522" s="323"/>
      <c r="CI522" s="323"/>
      <c r="CK522" s="323"/>
      <c r="CM522" s="323"/>
      <c r="CO522" s="323"/>
      <c r="CQ522" s="323"/>
      <c r="CS522" s="323"/>
      <c r="CU522" s="323"/>
      <c r="CW522" s="323"/>
      <c r="CY522" s="323"/>
      <c r="DA522" s="323"/>
      <c r="DC522" s="323"/>
      <c r="DE522" s="323"/>
      <c r="DG522" s="323"/>
      <c r="DI522" s="323"/>
      <c r="DJ522" s="485"/>
    </row>
    <row r="523" spans="1:114" ht="11.25" customHeight="1" x14ac:dyDescent="0.3">
      <c r="A523" s="765"/>
      <c r="C523" s="219"/>
      <c r="D523" s="220"/>
      <c r="E523" s="517"/>
      <c r="F523" s="516"/>
      <c r="G523" s="223"/>
      <c r="H523" s="219"/>
      <c r="J523" s="219"/>
      <c r="K523" s="220"/>
      <c r="L523" s="517"/>
      <c r="M523" s="516"/>
      <c r="N523" s="223"/>
      <c r="O523" s="219"/>
      <c r="AB523" s="327" t="str">
        <f t="shared" ref="AB523:AB534" si="116">AB522</f>
        <v/>
      </c>
      <c r="AC523" s="327" t="str">
        <f t="shared" ref="AC523:AC534" si="117">AC522</f>
        <v/>
      </c>
      <c r="AD523" s="327" t="str">
        <f t="shared" ref="AD523:AD534" si="118">AD522</f>
        <v/>
      </c>
      <c r="AE523" s="327" t="str">
        <f t="shared" ref="AE523:AE534" si="119">AE522</f>
        <v/>
      </c>
      <c r="AF523" s="325"/>
      <c r="AG523" s="485">
        <v>3</v>
      </c>
      <c r="AH523" s="488" t="b">
        <f ca="1">IF(OR(NOT(W519),NOT(X509)),FALSE,D523="")</f>
        <v>0</v>
      </c>
      <c r="AI523" s="488" t="b">
        <f ca="1">IF(OR(NOT(W519),NOT(X509)),FALSE,E523="")</f>
        <v>0</v>
      </c>
      <c r="AJ523" s="488" t="b">
        <f ca="1">IF(OR(NOT(W519),NOT(X509)),FALSE,F523="")</f>
        <v>0</v>
      </c>
      <c r="AK523" s="488" t="b">
        <f ca="1">IF(OR(NOT(W519),NOT(X509)),FALSE,G523="")</f>
        <v>0</v>
      </c>
      <c r="AL523" s="488" t="b">
        <f ca="1">IF(OR(NOT(Y519),NOT(Z509)),FALSE,K523="")</f>
        <v>0</v>
      </c>
      <c r="AM523" s="488" t="b">
        <f ca="1">IF(OR(NOT(Y519),NOT(Z509)),FALSE,L523="")</f>
        <v>0</v>
      </c>
      <c r="AN523" s="488" t="b">
        <f ca="1">IF(OR(NOT(Y519),NOT(Z509)),FALSE,M523="")</f>
        <v>0</v>
      </c>
      <c r="AO523" s="488" t="b">
        <f ca="1">IF(OR(NOT(Y519),NOT(Z509)),FALSE,N523="")</f>
        <v>0</v>
      </c>
      <c r="AS523" s="323"/>
      <c r="AT523" s="323"/>
      <c r="AW523" s="485"/>
      <c r="AY523" s="323"/>
      <c r="BA523" s="323"/>
      <c r="BC523" s="323"/>
      <c r="BE523" s="323"/>
      <c r="BG523" s="323"/>
      <c r="BI523" s="323"/>
      <c r="BK523" s="323"/>
      <c r="BM523" s="323"/>
      <c r="BO523" s="323"/>
      <c r="BQ523" s="323"/>
      <c r="BS523" s="323"/>
      <c r="BU523" s="323"/>
      <c r="BW523" s="323"/>
      <c r="BY523" s="323"/>
      <c r="CA523" s="323"/>
      <c r="CC523" s="323"/>
      <c r="CE523" s="323"/>
      <c r="CG523" s="323"/>
      <c r="CI523" s="323"/>
      <c r="CK523" s="323"/>
      <c r="CM523" s="323"/>
      <c r="CO523" s="323"/>
      <c r="CQ523" s="323"/>
      <c r="CS523" s="323"/>
      <c r="CU523" s="323"/>
      <c r="CW523" s="323"/>
      <c r="CY523" s="323"/>
      <c r="DA523" s="323"/>
      <c r="DC523" s="323"/>
      <c r="DE523" s="323"/>
      <c r="DG523" s="323"/>
      <c r="DI523" s="323"/>
      <c r="DJ523" s="485"/>
    </row>
    <row r="524" spans="1:114" ht="11.25" customHeight="1" x14ac:dyDescent="0.3">
      <c r="A524" s="765"/>
      <c r="C524" s="219"/>
      <c r="D524" s="220"/>
      <c r="E524" s="517"/>
      <c r="F524" s="516"/>
      <c r="G524" s="223"/>
      <c r="H524" s="219"/>
      <c r="J524" s="219"/>
      <c r="K524" s="220"/>
      <c r="L524" s="517"/>
      <c r="M524" s="516"/>
      <c r="N524" s="223"/>
      <c r="O524" s="219"/>
      <c r="AB524" s="327" t="str">
        <f t="shared" si="116"/>
        <v/>
      </c>
      <c r="AC524" s="327" t="str">
        <f t="shared" si="117"/>
        <v/>
      </c>
      <c r="AD524" s="327" t="str">
        <f t="shared" si="118"/>
        <v/>
      </c>
      <c r="AE524" s="327" t="str">
        <f t="shared" si="119"/>
        <v/>
      </c>
      <c r="AF524" s="325"/>
      <c r="AG524" s="485">
        <v>4</v>
      </c>
      <c r="AH524" s="488" t="b">
        <f ca="1">IF(OR(NOT(W519),NOT(X509)),FALSE,D524="")</f>
        <v>0</v>
      </c>
      <c r="AI524" s="488" t="b">
        <f ca="1">IF(OR(NOT(W519),NOT(X509)),FALSE,E524="")</f>
        <v>0</v>
      </c>
      <c r="AJ524" s="488" t="b">
        <f ca="1">IF(OR(NOT(W519),NOT(X509)),FALSE,F524="")</f>
        <v>0</v>
      </c>
      <c r="AK524" s="488" t="b">
        <f ca="1">IF(OR(NOT(W519),NOT(X509)),FALSE,G524="")</f>
        <v>0</v>
      </c>
      <c r="AL524" s="488" t="b">
        <f ca="1">IF(OR(NOT(Y519),NOT(Z509)),FALSE,K524="")</f>
        <v>0</v>
      </c>
      <c r="AM524" s="488" t="b">
        <f ca="1">IF(OR(NOT(Y519),NOT(Z509)),FALSE,L524="")</f>
        <v>0</v>
      </c>
      <c r="AN524" s="488" t="b">
        <f ca="1">IF(OR(NOT(Y519),NOT(Z509)),FALSE,M524="")</f>
        <v>0</v>
      </c>
      <c r="AO524" s="488" t="b">
        <f ca="1">IF(OR(NOT(Y519),NOT(Z509)),FALSE,N524="")</f>
        <v>0</v>
      </c>
      <c r="AS524" s="323"/>
      <c r="AT524" s="323"/>
      <c r="AW524" s="485"/>
      <c r="AY524" s="323"/>
      <c r="BA524" s="323"/>
      <c r="BC524" s="323"/>
      <c r="BE524" s="323"/>
      <c r="BG524" s="323"/>
      <c r="BI524" s="323"/>
      <c r="BK524" s="323"/>
      <c r="BM524" s="323"/>
      <c r="BO524" s="323"/>
      <c r="BQ524" s="323"/>
      <c r="BS524" s="323"/>
      <c r="BU524" s="323"/>
      <c r="BW524" s="323"/>
      <c r="BY524" s="323"/>
      <c r="CA524" s="323"/>
      <c r="CC524" s="323"/>
      <c r="CE524" s="323"/>
      <c r="CG524" s="323"/>
      <c r="CI524" s="323"/>
      <c r="CK524" s="323"/>
      <c r="CM524" s="323"/>
      <c r="CO524" s="323"/>
      <c r="CQ524" s="323"/>
      <c r="CS524" s="323"/>
      <c r="CU524" s="323"/>
      <c r="CW524" s="323"/>
      <c r="CY524" s="323"/>
      <c r="DA524" s="323"/>
      <c r="DC524" s="323"/>
      <c r="DE524" s="323"/>
      <c r="DG524" s="323"/>
      <c r="DI524" s="323"/>
      <c r="DJ524" s="485"/>
    </row>
    <row r="525" spans="1:114" ht="11.25" customHeight="1" x14ac:dyDescent="0.3">
      <c r="A525" s="765"/>
      <c r="C525" s="219"/>
      <c r="D525" s="220"/>
      <c r="E525" s="517"/>
      <c r="F525" s="516"/>
      <c r="G525" s="223"/>
      <c r="H525" s="219"/>
      <c r="J525" s="219"/>
      <c r="K525" s="220"/>
      <c r="L525" s="517"/>
      <c r="M525" s="516"/>
      <c r="N525" s="223"/>
      <c r="O525" s="219"/>
      <c r="AB525" s="327" t="str">
        <f t="shared" si="116"/>
        <v/>
      </c>
      <c r="AC525" s="327" t="str">
        <f t="shared" si="117"/>
        <v/>
      </c>
      <c r="AD525" s="327" t="str">
        <f t="shared" si="118"/>
        <v/>
      </c>
      <c r="AE525" s="327" t="str">
        <f t="shared" si="119"/>
        <v/>
      </c>
      <c r="AF525" s="325"/>
      <c r="AG525" s="495">
        <v>5</v>
      </c>
      <c r="AH525" s="488" t="b">
        <f ca="1">IF(OR(NOT(W519),NOT(X509)),FALSE,D525="")</f>
        <v>0</v>
      </c>
      <c r="AI525" s="488" t="b">
        <f ca="1">IF(OR(NOT(W519),NOT(X509)),FALSE,E525="")</f>
        <v>0</v>
      </c>
      <c r="AJ525" s="488" t="b">
        <f ca="1">IF(OR(NOT(W519),NOT(X509)),FALSE,F525="")</f>
        <v>0</v>
      </c>
      <c r="AK525" s="488" t="b">
        <f ca="1">IF(OR(NOT(W519),NOT(X509)),FALSE,G525="")</f>
        <v>0</v>
      </c>
      <c r="AL525" s="488" t="b">
        <f ca="1">IF(OR(NOT(Y519),NOT(Z509)),FALSE,K525="")</f>
        <v>0</v>
      </c>
      <c r="AM525" s="488" t="b">
        <f ca="1">IF(OR(NOT(Y519),NOT(Z509)),FALSE,L525="")</f>
        <v>0</v>
      </c>
      <c r="AN525" s="488" t="b">
        <f ca="1">IF(OR(NOT(Y519),NOT(Z509)),FALSE,M525="")</f>
        <v>0</v>
      </c>
      <c r="AO525" s="488" t="b">
        <f ca="1">IF(OR(NOT(Y519),NOT(Z509)),FALSE,N525="")</f>
        <v>0</v>
      </c>
      <c r="AP525" s="495"/>
      <c r="AS525" s="323"/>
      <c r="AT525" s="323"/>
      <c r="AW525" s="485"/>
      <c r="AY525" s="323"/>
      <c r="BA525" s="323"/>
      <c r="BC525" s="323"/>
      <c r="BE525" s="323"/>
      <c r="BG525" s="323"/>
      <c r="BI525" s="323"/>
      <c r="BK525" s="323"/>
      <c r="BM525" s="323"/>
      <c r="BO525" s="323"/>
      <c r="BQ525" s="323"/>
      <c r="BS525" s="323"/>
      <c r="BU525" s="323"/>
      <c r="BW525" s="323"/>
      <c r="BY525" s="323"/>
      <c r="CA525" s="323"/>
      <c r="CC525" s="323"/>
      <c r="CE525" s="323"/>
      <c r="CG525" s="323"/>
      <c r="CI525" s="323"/>
      <c r="CK525" s="323"/>
      <c r="CM525" s="323"/>
      <c r="CO525" s="323"/>
      <c r="CQ525" s="323"/>
      <c r="CS525" s="323"/>
      <c r="CU525" s="323"/>
      <c r="CW525" s="323"/>
      <c r="CY525" s="323"/>
      <c r="DA525" s="323"/>
      <c r="DC525" s="323"/>
      <c r="DE525" s="323"/>
      <c r="DG525" s="323"/>
      <c r="DI525" s="323"/>
      <c r="DJ525" s="485"/>
    </row>
    <row r="526" spans="1:114" ht="11.25" customHeight="1" x14ac:dyDescent="0.3">
      <c r="A526" s="765"/>
      <c r="C526" s="219"/>
      <c r="D526" s="220"/>
      <c r="E526" s="517"/>
      <c r="F526" s="516"/>
      <c r="G526" s="223"/>
      <c r="H526" s="219"/>
      <c r="J526" s="219"/>
      <c r="K526" s="220"/>
      <c r="L526" s="517"/>
      <c r="M526" s="516"/>
      <c r="N526" s="223"/>
      <c r="O526" s="219"/>
      <c r="AB526" s="327" t="str">
        <f t="shared" si="116"/>
        <v/>
      </c>
      <c r="AC526" s="327" t="str">
        <f t="shared" si="117"/>
        <v/>
      </c>
      <c r="AD526" s="327" t="str">
        <f t="shared" si="118"/>
        <v/>
      </c>
      <c r="AE526" s="327" t="str">
        <f t="shared" si="119"/>
        <v/>
      </c>
      <c r="AF526" s="325"/>
      <c r="AG526" s="485">
        <v>6</v>
      </c>
      <c r="AH526" s="496" t="b">
        <f ca="1">IF(OR(NOT(W519),NOT(X509)),FALSE,AND(D526="",OR(AG526&lt;=W520+COUNTIF(E521:E526,$W$218),AG526&lt;=X520+COUNTIF(F521:F526,$W$218))))</f>
        <v>0</v>
      </c>
      <c r="AI526" s="496" t="b">
        <f ca="1">IF(OR(NOT(W519),NOT(X509)),FALSE,AND(E526="",OR(AG526&lt;=W520+COUNTIF(E521:E526,$W$218),AG526&lt;=X520+COUNTIF(F521:F526,$W$218))))</f>
        <v>0</v>
      </c>
      <c r="AJ526" s="496" t="b">
        <f ca="1">IF(OR(NOT(W519),NOT(X509)),FALSE,AND(F526="",OR(AG526&lt;=W520+COUNTIF(E521:E526,$W$218),AG526&lt;=X520+COUNTIF(F521:F526,$W$218))))</f>
        <v>0</v>
      </c>
      <c r="AK526" s="496" t="b">
        <f ca="1">IF(OR(NOT(W519),NOT(X509)),FALSE,AND(G526="",OR(AG526&lt;=W520+COUNTIF(E521:E526,$W$218),AG526&lt;=X520+COUNTIF(F521:F526,$W$218))))</f>
        <v>0</v>
      </c>
      <c r="AL526" s="496" t="b">
        <f ca="1">IF(OR(NOT(Y519),NOT(Z509)),FALSE,AND(K526="",OR(AG526&lt;=Y520+COUNTIF(L521:L526,$W$218),AG526&lt;=Z520+COUNTIF(M521:M526,$W$218))))</f>
        <v>0</v>
      </c>
      <c r="AM526" s="496" t="b">
        <f ca="1">IF(OR(NOT(Y519),NOT(Z509)),FALSE,AND(L526="",OR(AG526&lt;=Y520+COUNTIF(L521:L526,$W$218),AG526&lt;=Z520+COUNTIF(M521:M526,$W$218))))</f>
        <v>0</v>
      </c>
      <c r="AN526" s="496" t="b">
        <f ca="1">IF(OR(NOT(Y519),NOT(Z509)),FALSE,AND(M526="",OR(AG526&lt;=Y520+COUNTIF(L521:L526,$W$218),AG526&lt;=Z520+COUNTIF(M521:M526,$W$218))))</f>
        <v>0</v>
      </c>
      <c r="AO526" s="496" t="b">
        <f ca="1">IF(OR(NOT(Y519),NOT(Z509)),FALSE,AND(N526="",OR(AG526&lt;=Y520+COUNTIF(L521:L526,$W$218),AG526&lt;=Z520+COUNTIF(M521:M526,$W$218))))</f>
        <v>0</v>
      </c>
      <c r="AS526" s="323"/>
      <c r="AT526" s="323"/>
      <c r="AW526" s="485"/>
      <c r="AY526" s="323"/>
      <c r="BA526" s="323"/>
      <c r="BC526" s="323"/>
      <c r="BE526" s="323"/>
      <c r="BG526" s="323"/>
      <c r="BI526" s="323"/>
      <c r="BK526" s="323"/>
      <c r="BM526" s="323"/>
      <c r="BO526" s="323"/>
      <c r="BQ526" s="323"/>
      <c r="BS526" s="323"/>
      <c r="BU526" s="323"/>
      <c r="BW526" s="323"/>
      <c r="BY526" s="323"/>
      <c r="CA526" s="323"/>
      <c r="CC526" s="323"/>
      <c r="CE526" s="323"/>
      <c r="CG526" s="323"/>
      <c r="CI526" s="323"/>
      <c r="CK526" s="323"/>
      <c r="CM526" s="323"/>
      <c r="CO526" s="323"/>
      <c r="CQ526" s="323"/>
      <c r="CS526" s="323"/>
      <c r="CU526" s="323"/>
      <c r="CW526" s="323"/>
      <c r="CY526" s="323"/>
      <c r="DA526" s="323"/>
      <c r="DC526" s="323"/>
      <c r="DE526" s="323"/>
      <c r="DG526" s="323"/>
      <c r="DI526" s="323"/>
      <c r="DJ526" s="485"/>
    </row>
    <row r="527" spans="1:114" ht="11.25" customHeight="1" x14ac:dyDescent="0.3">
      <c r="A527" s="765"/>
      <c r="C527" s="219"/>
      <c r="D527" s="220"/>
      <c r="E527" s="517"/>
      <c r="F527" s="516"/>
      <c r="G527" s="223"/>
      <c r="H527" s="219"/>
      <c r="J527" s="219"/>
      <c r="K527" s="220"/>
      <c r="L527" s="517"/>
      <c r="M527" s="516"/>
      <c r="N527" s="223"/>
      <c r="O527" s="219"/>
      <c r="AB527" s="327" t="str">
        <f t="shared" si="116"/>
        <v/>
      </c>
      <c r="AC527" s="327" t="str">
        <f t="shared" si="117"/>
        <v/>
      </c>
      <c r="AD527" s="327" t="str">
        <f t="shared" si="118"/>
        <v/>
      </c>
      <c r="AE527" s="327" t="str">
        <f t="shared" si="119"/>
        <v/>
      </c>
      <c r="AF527" s="325"/>
      <c r="AG527" s="485">
        <v>7</v>
      </c>
      <c r="AH527" s="496" t="b">
        <f ca="1">IF(OR(NOT(W519),NOT(X509)),FALSE,AND(D527="",OR(AG527&lt;=W520+COUNTIF(E521:E527,$W$218),AG527&lt;=X520+COUNTIF(F521:F527,$W$218))))</f>
        <v>0</v>
      </c>
      <c r="AI527" s="496" t="b">
        <f ca="1">IF(OR(NOT(W519),NOT(X509)),FALSE,AND(E527="",OR(AG527&lt;=W520+COUNTIF(E521:E527,$W$218),AG527&lt;=X520+COUNTIF(F521:F527,$W$218))))</f>
        <v>0</v>
      </c>
      <c r="AJ527" s="496" t="b">
        <f ca="1">IF(OR(NOT(W519),NOT(X509)),FALSE,AND(F527="",OR(AG527&lt;=W520+COUNTIF(E521:E527,$W$218),AG527&lt;=X520+COUNTIF(F521:F527,$W$218))))</f>
        <v>0</v>
      </c>
      <c r="AK527" s="496" t="b">
        <f ca="1">IF(OR(NOT(W519),NOT(X509)),FALSE,AND(G527="",OR(AG527&lt;=W520+COUNTIF(E521:E527,$W$218),AG527&lt;=X520+COUNTIF(F521:F527,$W$218))))</f>
        <v>0</v>
      </c>
      <c r="AL527" s="496" t="b">
        <f ca="1">IF(OR(NOT(Y519),NOT(Z509)),FALSE,AND(K527="",OR(AG527&lt;=Y520+COUNTIF(L521:L527,$W$218),AG527&lt;=Z520+COUNTIF(M521:M527,$W$218))))</f>
        <v>0</v>
      </c>
      <c r="AM527" s="496" t="b">
        <f ca="1">IF(OR(NOT(Y519),NOT(Z509)),FALSE,AND(L527="",OR(AG527&lt;=Y520+COUNTIF(L521:L527,$W$218),AG527&lt;=Z520+COUNTIF(M521:M527,$W$218))))</f>
        <v>0</v>
      </c>
      <c r="AN527" s="496" t="b">
        <f ca="1">IF(OR(NOT(Y519),NOT(Z509)),FALSE,AND(M527="",OR(AG527&lt;=Y520+COUNTIF(L521:L527,$W$218),AG527&lt;=Z520+COUNTIF(M521:M527,$W$218))))</f>
        <v>0</v>
      </c>
      <c r="AO527" s="496" t="b">
        <f ca="1">IF(OR(NOT(Y519),NOT(Z509)),FALSE,AND(N527="",OR(AG527&lt;=Y520+COUNTIF(L521:L527,$W$218),AG527&lt;=Z520+COUNTIF(M521:M527,$W$218))))</f>
        <v>0</v>
      </c>
      <c r="AS527" s="323"/>
      <c r="AT527" s="323"/>
      <c r="AW527" s="485"/>
      <c r="AY527" s="323"/>
      <c r="BA527" s="323"/>
      <c r="BC527" s="323"/>
      <c r="BE527" s="323"/>
      <c r="BG527" s="323"/>
      <c r="BI527" s="323"/>
      <c r="BK527" s="323"/>
      <c r="BM527" s="323"/>
      <c r="BO527" s="323"/>
      <c r="BQ527" s="323"/>
      <c r="BS527" s="323"/>
      <c r="BU527" s="323"/>
      <c r="BW527" s="323"/>
      <c r="BY527" s="323"/>
      <c r="CA527" s="323"/>
      <c r="CC527" s="323"/>
      <c r="CE527" s="323"/>
      <c r="CG527" s="323"/>
      <c r="CI527" s="323"/>
      <c r="CK527" s="323"/>
      <c r="CM527" s="323"/>
      <c r="CO527" s="323"/>
      <c r="CQ527" s="323"/>
      <c r="CS527" s="323"/>
      <c r="CU527" s="323"/>
      <c r="CW527" s="323"/>
      <c r="CY527" s="323"/>
      <c r="DA527" s="323"/>
      <c r="DC527" s="323"/>
      <c r="DE527" s="323"/>
      <c r="DG527" s="323"/>
      <c r="DI527" s="323"/>
      <c r="DJ527" s="485"/>
    </row>
    <row r="528" spans="1:114" ht="11.25" customHeight="1" x14ac:dyDescent="0.3">
      <c r="A528" s="765"/>
      <c r="C528" s="219"/>
      <c r="D528" s="220"/>
      <c r="E528" s="517"/>
      <c r="F528" s="516"/>
      <c r="G528" s="223"/>
      <c r="H528" s="219"/>
      <c r="J528" s="219"/>
      <c r="K528" s="220"/>
      <c r="L528" s="517"/>
      <c r="M528" s="516"/>
      <c r="N528" s="223"/>
      <c r="O528" s="219"/>
      <c r="AB528" s="327" t="str">
        <f t="shared" si="116"/>
        <v/>
      </c>
      <c r="AC528" s="327" t="str">
        <f t="shared" si="117"/>
        <v/>
      </c>
      <c r="AD528" s="327" t="str">
        <f t="shared" si="118"/>
        <v/>
      </c>
      <c r="AE528" s="327" t="str">
        <f t="shared" si="119"/>
        <v/>
      </c>
      <c r="AF528" s="325"/>
      <c r="AG528" s="485">
        <v>8</v>
      </c>
      <c r="AH528" s="496" t="b">
        <f ca="1">IF(OR(NOT(W519),NOT(X509)),FALSE,AND(D528="",OR(AG528&lt;=W520+COUNTIF(E521:E528,$W$218),AG528&lt;=X520+COUNTIF(F521:F528,$W$218))))</f>
        <v>0</v>
      </c>
      <c r="AI528" s="496" t="b">
        <f ca="1">IF(OR(NOT(W519),NOT(X509)),FALSE,AND(E528="",OR(AG528&lt;=W520+COUNTIF(E521:E528,$W$218),AG528&lt;=X520+COUNTIF(F521:F528,$W$218))))</f>
        <v>0</v>
      </c>
      <c r="AJ528" s="496" t="b">
        <f ca="1">IF(OR(NOT(W519),NOT(X509)),FALSE,AND(F528="",OR(AG528&lt;=W520+COUNTIF(E521:E528,$W$218),AG528&lt;=X520+COUNTIF(F521:F528,$W$218))))</f>
        <v>0</v>
      </c>
      <c r="AK528" s="496" t="b">
        <f ca="1">IF(OR(NOT(W519),NOT(X509)),FALSE,AND(G528="",OR(AG528&lt;=W520+COUNTIF(E521:E528,$W$218),AG528&lt;=X520+COUNTIF(F521:F528,$W$218))))</f>
        <v>0</v>
      </c>
      <c r="AL528" s="496" t="b">
        <f ca="1">IF(OR(NOT(Y519),NOT(Z509)),FALSE,AND(K528="",OR(AG528&lt;=Y520+COUNTIF(L521:L528,$W$218),AG528&lt;=Z520+COUNTIF(M521:M528,$W$218))))</f>
        <v>0</v>
      </c>
      <c r="AM528" s="496" t="b">
        <f ca="1">IF(OR(NOT(Y519),NOT(Z509)),FALSE,AND(L528="",OR(AG528&lt;=Y520+COUNTIF(L521:L528,$W$218),AG528&lt;=Z520+COUNTIF(M521:M528,$W$218))))</f>
        <v>0</v>
      </c>
      <c r="AN528" s="496" t="b">
        <f ca="1">IF(OR(NOT(Y519),NOT(Z509)),FALSE,AND(M528="",OR(AG528&lt;=Y520+COUNTIF(L521:L528,$W$218),AG528&lt;=Z520+COUNTIF(M521:M528,$W$218))))</f>
        <v>0</v>
      </c>
      <c r="AO528" s="496" t="b">
        <f ca="1">IF(OR(NOT(Y519),NOT(Z509)),FALSE,AND(N528="",OR(AG528&lt;=Y520+COUNTIF(L521:L528,$W$218),AG528&lt;=Z520+COUNTIF(M521:M528,$W$218))))</f>
        <v>0</v>
      </c>
      <c r="AS528" s="323"/>
      <c r="AT528" s="323"/>
      <c r="AW528" s="485"/>
      <c r="AY528" s="323"/>
      <c r="BA528" s="323"/>
      <c r="BC528" s="323"/>
      <c r="BE528" s="323"/>
      <c r="BG528" s="323"/>
      <c r="BI528" s="323"/>
      <c r="BK528" s="323"/>
      <c r="BM528" s="323"/>
      <c r="BO528" s="323"/>
      <c r="BQ528" s="323"/>
      <c r="BS528" s="323"/>
      <c r="BU528" s="323"/>
      <c r="BW528" s="323"/>
      <c r="BY528" s="323"/>
      <c r="CA528" s="323"/>
      <c r="CC528" s="323"/>
      <c r="CE528" s="323"/>
      <c r="CG528" s="323"/>
      <c r="CI528" s="323"/>
      <c r="CK528" s="323"/>
      <c r="CM528" s="323"/>
      <c r="CO528" s="323"/>
      <c r="CQ528" s="323"/>
      <c r="CS528" s="323"/>
      <c r="CU528" s="323"/>
      <c r="CW528" s="323"/>
      <c r="CY528" s="323"/>
      <c r="DA528" s="323"/>
      <c r="DC528" s="323"/>
      <c r="DE528" s="323"/>
      <c r="DG528" s="323"/>
      <c r="DI528" s="323"/>
      <c r="DJ528" s="485"/>
    </row>
    <row r="529" spans="1:115" ht="11.25" customHeight="1" x14ac:dyDescent="0.3">
      <c r="A529" s="765"/>
      <c r="C529" s="219"/>
      <c r="D529" s="220"/>
      <c r="E529" s="517"/>
      <c r="F529" s="516"/>
      <c r="G529" s="223"/>
      <c r="H529" s="219"/>
      <c r="J529" s="219"/>
      <c r="K529" s="220"/>
      <c r="L529" s="517"/>
      <c r="M529" s="516"/>
      <c r="N529" s="223"/>
      <c r="O529" s="219"/>
      <c r="AB529" s="327" t="str">
        <f t="shared" si="116"/>
        <v/>
      </c>
      <c r="AC529" s="327" t="str">
        <f t="shared" si="117"/>
        <v/>
      </c>
      <c r="AD529" s="327" t="str">
        <f t="shared" si="118"/>
        <v/>
      </c>
      <c r="AE529" s="327" t="str">
        <f t="shared" si="119"/>
        <v/>
      </c>
      <c r="AF529" s="325"/>
      <c r="AG529" s="485">
        <v>9</v>
      </c>
      <c r="AH529" s="496" t="b">
        <f ca="1">IF(OR(NOT(W519),NOT(X509)),FALSE,AND(D529="",OR(AG529&lt;=W520+COUNTIF(E521:E529,$W$218),AG529&lt;=X520+COUNTIF(F521:F529,$W$218))))</f>
        <v>0</v>
      </c>
      <c r="AI529" s="496" t="b">
        <f ca="1">IF(OR(NOT(W519),NOT(X509)),FALSE,AND(E529="",OR(AG529&lt;=W520+COUNTIF(E521:E529,$W$218),AG529&lt;=X520+COUNTIF(F521:F529,$W$218))))</f>
        <v>0</v>
      </c>
      <c r="AJ529" s="496" t="b">
        <f ca="1">IF(OR(NOT(W519),NOT(X509)),FALSE,AND(F529="",OR(AG529&lt;=W520+COUNTIF(E521:E529,$W$218),AG529&lt;=X520+COUNTIF(F521:F529,$W$218))))</f>
        <v>0</v>
      </c>
      <c r="AK529" s="496" t="b">
        <f ca="1">IF(OR(NOT(W519),NOT(X509)),FALSE,AND(G529="",OR(AG529&lt;=W520+COUNTIF(E521:E529,$W$218),AG529&lt;=X520+COUNTIF(F521:F529,$W$218))))</f>
        <v>0</v>
      </c>
      <c r="AL529" s="496" t="b">
        <f ca="1">IF(OR(NOT(Y519),NOT(Z509)),FALSE,AND(K529="",OR(AG529&lt;=Y520+COUNTIF(L521:L529,$W$218),AG529&lt;=Z520+COUNTIF(M521:M529,$W$218))))</f>
        <v>0</v>
      </c>
      <c r="AM529" s="496" t="b">
        <f ca="1">IF(OR(NOT(Y519),NOT(Z509)),FALSE,AND(L529="",OR(AG529&lt;=Y520+COUNTIF(L521:L529,$W$218),AG529&lt;=Z520+COUNTIF(M521:M529,$W$218))))</f>
        <v>0</v>
      </c>
      <c r="AN529" s="496" t="b">
        <f ca="1">IF(OR(NOT(Y519),NOT(Z509)),FALSE,AND(M529="",OR(AG529&lt;=Y520+COUNTIF(L521:L529,$W$218),AG529&lt;=Z520+COUNTIF(M521:M529,$W$218))))</f>
        <v>0</v>
      </c>
      <c r="AO529" s="496" t="b">
        <f ca="1">IF(OR(NOT(Y519),NOT(Z509)),FALSE,AND(N529="",OR(AG529&lt;=Y520+COUNTIF(L521:L529,$W$218),AG529&lt;=Z520+COUNTIF(M521:M529,$W$218))))</f>
        <v>0</v>
      </c>
      <c r="AS529" s="323"/>
      <c r="AT529" s="323"/>
      <c r="AW529" s="485"/>
      <c r="AY529" s="323"/>
      <c r="BA529" s="323"/>
      <c r="BC529" s="323"/>
      <c r="BE529" s="323"/>
      <c r="BG529" s="323"/>
      <c r="BI529" s="323"/>
      <c r="BK529" s="323"/>
      <c r="BM529" s="323"/>
      <c r="BO529" s="323"/>
      <c r="BQ529" s="323"/>
      <c r="BS529" s="323"/>
      <c r="BU529" s="323"/>
      <c r="BW529" s="323"/>
      <c r="BY529" s="323"/>
      <c r="CA529" s="323"/>
      <c r="CC529" s="323"/>
      <c r="CE529" s="323"/>
      <c r="CG529" s="323"/>
      <c r="CI529" s="323"/>
      <c r="CK529" s="323"/>
      <c r="CM529" s="323"/>
      <c r="CO529" s="323"/>
      <c r="CQ529" s="323"/>
      <c r="CS529" s="323"/>
      <c r="CU529" s="323"/>
      <c r="CW529" s="323"/>
      <c r="CY529" s="323"/>
      <c r="DA529" s="323"/>
      <c r="DC529" s="323"/>
      <c r="DE529" s="323"/>
      <c r="DG529" s="323"/>
      <c r="DI529" s="323"/>
      <c r="DJ529" s="485"/>
    </row>
    <row r="530" spans="1:115" ht="11.25" customHeight="1" x14ac:dyDescent="0.3">
      <c r="A530" s="765"/>
      <c r="C530" s="219"/>
      <c r="D530" s="220"/>
      <c r="E530" s="517"/>
      <c r="F530" s="516"/>
      <c r="G530" s="223"/>
      <c r="H530" s="219"/>
      <c r="J530" s="219"/>
      <c r="K530" s="220"/>
      <c r="L530" s="517"/>
      <c r="M530" s="516"/>
      <c r="N530" s="223"/>
      <c r="O530" s="219"/>
      <c r="AB530" s="327" t="str">
        <f t="shared" si="116"/>
        <v/>
      </c>
      <c r="AC530" s="327" t="str">
        <f t="shared" si="117"/>
        <v/>
      </c>
      <c r="AD530" s="327" t="str">
        <f t="shared" si="118"/>
        <v/>
      </c>
      <c r="AE530" s="327" t="str">
        <f t="shared" si="119"/>
        <v/>
      </c>
      <c r="AF530" s="325"/>
      <c r="AG530" s="485">
        <v>10</v>
      </c>
      <c r="AH530" s="496" t="b">
        <f ca="1">IF(OR(NOT(W519),NOT(X509)),FALSE,AND(D530="",OR(AG530&lt;=W520+COUNTIF(E521:E530,$W$218),AG530&lt;=X520+COUNTIF(F521:F530,$W$218))))</f>
        <v>0</v>
      </c>
      <c r="AI530" s="496" t="b">
        <f ca="1">IF(OR(NOT(W519),NOT(X509)),FALSE,AND(E530="",OR(AG530&lt;=W520+COUNTIF(E521:E530,$W$218),AG530&lt;=X520+COUNTIF(F521:F530,$W$218))))</f>
        <v>0</v>
      </c>
      <c r="AJ530" s="496" t="b">
        <f ca="1">IF(OR(NOT(W519),NOT(X509)),FALSE,AND(F530="",OR(AG530&lt;=W520+COUNTIF(E521:E530,$W$218),AG530&lt;=X520+COUNTIF(F521:F530,$W$218))))</f>
        <v>0</v>
      </c>
      <c r="AK530" s="496" t="b">
        <f ca="1">IF(OR(NOT(W519),NOT(X509)),FALSE,AND(G530="",OR(AG530&lt;=W520+COUNTIF(E521:E530,$W$218),AG530&lt;=X520+COUNTIF(F521:F530,$W$218))))</f>
        <v>0</v>
      </c>
      <c r="AL530" s="496" t="b">
        <f ca="1">IF(OR(NOT(Y519),NOT(Z509)),FALSE,AND(K530="",OR(AG530&lt;=Y520+COUNTIF(L521:L530,$W$218),AG530&lt;=Z520+COUNTIF(M521:M530,$W$218))))</f>
        <v>0</v>
      </c>
      <c r="AM530" s="496" t="b">
        <f ca="1">IF(OR(NOT(Y519),NOT(Z509)),FALSE,AND(L530="",OR(AG530&lt;=Y520+COUNTIF(L521:L530,$W$218),AG530&lt;=Z520+COUNTIF(M521:M530,$W$218))))</f>
        <v>0</v>
      </c>
      <c r="AN530" s="496" t="b">
        <f ca="1">IF(OR(NOT(Y519),NOT(Z509)),FALSE,AND(M530="",OR(AG530&lt;=Y520+COUNTIF(L521:L530,$W$218),AG530&lt;=Z520+COUNTIF(M521:M530,$W$218))))</f>
        <v>0</v>
      </c>
      <c r="AO530" s="496" t="b">
        <f ca="1">IF(OR(NOT(Y519),NOT(Z509)),FALSE,AND(N530="",OR(AG530&lt;=Y520+COUNTIF(L521:L530,$W$218),AG530&lt;=Z520+COUNTIF(M521:M530,$W$218))))</f>
        <v>0</v>
      </c>
      <c r="AW530" s="485"/>
      <c r="AY530" s="323"/>
      <c r="BA530" s="323"/>
      <c r="BC530" s="323"/>
      <c r="BE530" s="323"/>
      <c r="BG530" s="323"/>
      <c r="BI530" s="323"/>
      <c r="BK530" s="323"/>
      <c r="BM530" s="323"/>
      <c r="BO530" s="323"/>
      <c r="BQ530" s="323"/>
      <c r="BS530" s="323"/>
      <c r="BU530" s="323"/>
      <c r="BW530" s="323"/>
      <c r="BY530" s="323"/>
      <c r="CA530" s="323"/>
      <c r="CC530" s="323"/>
      <c r="CE530" s="323"/>
      <c r="CG530" s="323"/>
      <c r="CI530" s="323"/>
      <c r="CK530" s="323"/>
      <c r="CM530" s="323"/>
      <c r="CO530" s="323"/>
      <c r="CQ530" s="323"/>
      <c r="CS530" s="323"/>
      <c r="CU530" s="323"/>
      <c r="CW530" s="323"/>
      <c r="CY530" s="323"/>
      <c r="DA530" s="323"/>
      <c r="DC530" s="323"/>
      <c r="DE530" s="323"/>
      <c r="DG530" s="323"/>
      <c r="DI530" s="323"/>
      <c r="DJ530" s="485"/>
    </row>
    <row r="531" spans="1:115" ht="11.25" customHeight="1" x14ac:dyDescent="0.3">
      <c r="A531" s="765"/>
      <c r="C531" s="219"/>
      <c r="D531" s="220"/>
      <c r="E531" s="517"/>
      <c r="F531" s="516"/>
      <c r="G531" s="223"/>
      <c r="H531" s="219"/>
      <c r="J531" s="219"/>
      <c r="K531" s="220"/>
      <c r="L531" s="517"/>
      <c r="M531" s="516"/>
      <c r="N531" s="223"/>
      <c r="O531" s="219"/>
      <c r="AB531" s="327" t="str">
        <f t="shared" si="116"/>
        <v/>
      </c>
      <c r="AC531" s="327" t="str">
        <f t="shared" si="117"/>
        <v/>
      </c>
      <c r="AD531" s="327" t="str">
        <f t="shared" si="118"/>
        <v/>
      </c>
      <c r="AE531" s="327" t="str">
        <f t="shared" si="119"/>
        <v/>
      </c>
      <c r="AF531" s="325"/>
      <c r="AG531" s="485">
        <v>11</v>
      </c>
      <c r="AH531" s="496" t="b">
        <f ca="1">IF(OR(NOT(W519),NOT(X509)),FALSE,AND(D531="",OR(AG531&lt;=W520+COUNTIF(E521:E531,$W$218),AG531&lt;=X520+COUNTIF(F521:F531,$W$218))))</f>
        <v>0</v>
      </c>
      <c r="AI531" s="496" t="b">
        <f ca="1">IF(OR(NOT(W519),NOT(X509)),FALSE,AND(E531="",OR(AG531&lt;=W520+COUNTIF(E521:E531,$W$218),AG531&lt;=X520+COUNTIF(F521:F531,$W$218))))</f>
        <v>0</v>
      </c>
      <c r="AJ531" s="496" t="b">
        <f ca="1">IF(OR(NOT(W519),NOT(X509)),FALSE,AND(F531="",OR(AG531&lt;=W520+COUNTIF(E521:E531,$W$218),AG531&lt;=X520+COUNTIF(F521:F531,$W$218))))</f>
        <v>0</v>
      </c>
      <c r="AK531" s="496" t="b">
        <f ca="1">IF(OR(NOT(W519),NOT(X509)),FALSE,AND(G531="",OR(AG531&lt;=W520+COUNTIF(E521:E531,$W$218),AG531&lt;=X520+COUNTIF(F521:F531,$W$218))))</f>
        <v>0</v>
      </c>
      <c r="AL531" s="496" t="b">
        <f ca="1">IF(OR(NOT(Y519),NOT(Z509)),FALSE,AND(K531="",OR(AG531&lt;=Y520+COUNTIF(L521:L531,$W$218),AG531&lt;=Z520+COUNTIF(M521:M531,$W$218))))</f>
        <v>0</v>
      </c>
      <c r="AM531" s="496" t="b">
        <f ca="1">IF(OR(NOT(Y519),NOT(Z509)),FALSE,AND(L531="",OR(AG531&lt;=Y520+COUNTIF(L521:L531,$W$218),AG531&lt;=Z520+COUNTIF(M521:M531,$W$218))))</f>
        <v>0</v>
      </c>
      <c r="AN531" s="496" t="b">
        <f ca="1">IF(OR(NOT(Y519),NOT(Z509)),FALSE,AND(M531="",OR(AG531&lt;=Y520+COUNTIF(L521:L531,$W$218),AG531&lt;=Z520+COUNTIF(M521:M531,$W$218))))</f>
        <v>0</v>
      </c>
      <c r="AO531" s="496" t="b">
        <f ca="1">IF(OR(NOT(Y519),NOT(Z509)),FALSE,AND(N531="",OR(AG531&lt;=Y520+COUNTIF(L521:L531,$W$218),AG531&lt;=Z520+COUNTIF(M521:M531,$W$218))))</f>
        <v>0</v>
      </c>
      <c r="AW531" s="485"/>
      <c r="AY531" s="323"/>
      <c r="BA531" s="323"/>
      <c r="BC531" s="323"/>
      <c r="BE531" s="323"/>
      <c r="BG531" s="323"/>
      <c r="BI531" s="323"/>
      <c r="BK531" s="323"/>
      <c r="BM531" s="323"/>
      <c r="BO531" s="323"/>
      <c r="BQ531" s="323"/>
      <c r="BS531" s="323"/>
      <c r="BU531" s="323"/>
      <c r="BW531" s="323"/>
      <c r="BY531" s="323"/>
      <c r="CA531" s="323"/>
      <c r="CC531" s="323"/>
      <c r="CE531" s="323"/>
      <c r="CG531" s="323"/>
      <c r="CI531" s="323"/>
      <c r="CK531" s="323"/>
      <c r="CM531" s="323"/>
      <c r="CO531" s="323"/>
      <c r="CQ531" s="323"/>
      <c r="CS531" s="323"/>
      <c r="CU531" s="323"/>
      <c r="CW531" s="323"/>
      <c r="CY531" s="323"/>
      <c r="DA531" s="323"/>
      <c r="DC531" s="323"/>
      <c r="DE531" s="323"/>
      <c r="DG531" s="323"/>
      <c r="DI531" s="323"/>
      <c r="DJ531" s="485"/>
    </row>
    <row r="532" spans="1:115" ht="11.25" customHeight="1" x14ac:dyDescent="0.3">
      <c r="A532" s="765"/>
      <c r="C532" s="219"/>
      <c r="D532" s="220"/>
      <c r="E532" s="517"/>
      <c r="F532" s="516"/>
      <c r="G532" s="223"/>
      <c r="H532" s="219"/>
      <c r="J532" s="219"/>
      <c r="K532" s="220"/>
      <c r="L532" s="517"/>
      <c r="M532" s="516"/>
      <c r="N532" s="223"/>
      <c r="O532" s="219"/>
      <c r="AB532" s="327" t="str">
        <f t="shared" si="116"/>
        <v/>
      </c>
      <c r="AC532" s="327" t="str">
        <f t="shared" si="117"/>
        <v/>
      </c>
      <c r="AD532" s="327" t="str">
        <f t="shared" si="118"/>
        <v/>
      </c>
      <c r="AE532" s="327" t="str">
        <f t="shared" si="119"/>
        <v/>
      </c>
      <c r="AF532" s="325"/>
      <c r="AG532" s="485">
        <v>12</v>
      </c>
      <c r="AH532" s="496" t="b">
        <f ca="1">IF(OR(NOT(W519),NOT(X509)),FALSE,AND(D532="",OR(AG532&lt;=W520+COUNTIF(E521:E532,$W$218),AG532&lt;=X520+COUNTIF(F521:F532,$W$218))))</f>
        <v>0</v>
      </c>
      <c r="AI532" s="496" t="b">
        <f ca="1">IF(OR(NOT(W519),NOT(X509)),FALSE,AND(E532="",OR(AG532&lt;=W520+COUNTIF(E521:E532,$W$218),AG532&lt;=X520+COUNTIF(F521:F532,$W$218))))</f>
        <v>0</v>
      </c>
      <c r="AJ532" s="496" t="b">
        <f ca="1">IF(OR(NOT(W519),NOT(X509)),FALSE,AND(F532="",OR(AG532&lt;=W520+COUNTIF(E521:E532,$W$218),AG532&lt;=X520+COUNTIF(F521:F532,$W$218))))</f>
        <v>0</v>
      </c>
      <c r="AK532" s="496" t="b">
        <f ca="1">IF(OR(NOT(W519),NOT(X509)),FALSE,AND(G532="",OR(AG532&lt;=W520+COUNTIF(E521:E532,$W$218),AG532&lt;=X520+COUNTIF(F521:F532,$W$218))))</f>
        <v>0</v>
      </c>
      <c r="AL532" s="496" t="b">
        <f ca="1">IF(OR(NOT(Y519),NOT(Z509)),FALSE,AND(K532="",OR(AG532&lt;=Y520+COUNTIF(L521:L532,$W$218),AG532&lt;=Z520+COUNTIF(M521:M532,$W$218))))</f>
        <v>0</v>
      </c>
      <c r="AM532" s="496" t="b">
        <f ca="1">IF(OR(NOT(Y519),NOT(Z509)),FALSE,AND(L532="",OR(AG532&lt;=Y520+COUNTIF(L521:L532,$W$218),AG532&lt;=Z520+COUNTIF(M521:M532,$W$218))))</f>
        <v>0</v>
      </c>
      <c r="AN532" s="496" t="b">
        <f ca="1">IF(OR(NOT(Y519),NOT(Z509)),FALSE,AND(M532="",OR(AG532&lt;=Y520+COUNTIF(L521:L532,$W$218),AG532&lt;=Z520+COUNTIF(M521:M532,$W$218))))</f>
        <v>0</v>
      </c>
      <c r="AO532" s="496" t="b">
        <f ca="1">IF(OR(NOT(Y519),NOT(Z509)),FALSE,AND(N532="",OR(AG532&lt;=Y520+COUNTIF(L521:L532,$W$218),AG532&lt;=Z520+COUNTIF(M521:M532,$W$218))))</f>
        <v>0</v>
      </c>
      <c r="AW532" s="485"/>
      <c r="AY532" s="323"/>
      <c r="BA532" s="323"/>
      <c r="BC532" s="323"/>
      <c r="BE532" s="323"/>
      <c r="BG532" s="323"/>
      <c r="BI532" s="323"/>
      <c r="BK532" s="323"/>
      <c r="BM532" s="323"/>
      <c r="BO532" s="323"/>
      <c r="BQ532" s="323"/>
      <c r="BS532" s="323"/>
      <c r="BU532" s="323"/>
      <c r="BW532" s="323"/>
      <c r="BY532" s="323"/>
      <c r="CA532" s="323"/>
      <c r="CC532" s="323"/>
      <c r="CE532" s="323"/>
      <c r="CG532" s="323"/>
      <c r="CI532" s="323"/>
      <c r="CK532" s="323"/>
      <c r="CM532" s="323"/>
      <c r="CO532" s="323"/>
      <c r="CQ532" s="323"/>
      <c r="CS532" s="323"/>
      <c r="CU532" s="323"/>
      <c r="CW532" s="323"/>
      <c r="CY532" s="323"/>
      <c r="DA532" s="323"/>
      <c r="DC532" s="323"/>
      <c r="DE532" s="323"/>
      <c r="DG532" s="323"/>
      <c r="DI532" s="323"/>
      <c r="DJ532" s="485"/>
    </row>
    <row r="533" spans="1:115" ht="11.25" customHeight="1" x14ac:dyDescent="0.3">
      <c r="A533" s="765"/>
      <c r="C533" s="219"/>
      <c r="D533" s="220"/>
      <c r="E533" s="516"/>
      <c r="F533" s="516"/>
      <c r="G533" s="223"/>
      <c r="H533" s="219"/>
      <c r="J533" s="219"/>
      <c r="K533" s="220"/>
      <c r="L533" s="516"/>
      <c r="M533" s="516"/>
      <c r="N533" s="223"/>
      <c r="O533" s="219"/>
      <c r="AB533" s="327" t="str">
        <f t="shared" si="116"/>
        <v/>
      </c>
      <c r="AC533" s="327" t="str">
        <f t="shared" si="117"/>
        <v/>
      </c>
      <c r="AD533" s="327" t="str">
        <f t="shared" si="118"/>
        <v/>
      </c>
      <c r="AE533" s="327" t="str">
        <f t="shared" si="119"/>
        <v/>
      </c>
      <c r="AG533" s="485">
        <v>13</v>
      </c>
      <c r="AH533" s="496" t="b">
        <f ca="1">IF(OR(NOT(W519),NOT(X509)),FALSE,AND(D533="",OR(AG533&lt;=W520+COUNTIF(E521:E533,$W$218),AG533&lt;=X520+COUNTIF(F521:F533,$W$218))))</f>
        <v>0</v>
      </c>
      <c r="AI533" s="496" t="b">
        <f ca="1">IF(OR(NOT(W519),NOT(X509)),FALSE,AND(E533="",OR(AG533&lt;=W520+COUNTIF(E521:E533,$W$218),AG533&lt;=X520+COUNTIF(F521:F533,$W$218))))</f>
        <v>0</v>
      </c>
      <c r="AJ533" s="496" t="b">
        <f ca="1">IF(OR(NOT(W519),NOT(X509)),FALSE,AND(F533="",OR(AG533&lt;=W520+COUNTIF(E521:E533,$W$218),AG533&lt;=X520+COUNTIF(F521:F533,$W$218))))</f>
        <v>0</v>
      </c>
      <c r="AK533" s="496" t="b">
        <f ca="1">IF(OR(NOT(W519),NOT(X509)),FALSE,AND(G533="",OR(AG533&lt;=W520+COUNTIF(E521:E533,$W$218),AG533&lt;=X520+COUNTIF(F521:F533,$W$218))))</f>
        <v>0</v>
      </c>
      <c r="AL533" s="496" t="b">
        <f ca="1">IF(OR(NOT(Y519),NOT(Z509)),FALSE,AND(K533="",OR(AG533&lt;=Y520+COUNTIF(L521:L533,$W$218),AG533&lt;=Z520+COUNTIF(M521:M533,$W$218))))</f>
        <v>0</v>
      </c>
      <c r="AM533" s="496" t="b">
        <f ca="1">IF(OR(NOT(Y519),NOT(Z509)),FALSE,AND(L533="",OR(AG533&lt;=Y520+COUNTIF(L521:L533,$W$218),AG533&lt;=Z520+COUNTIF(M521:M533,$W$218))))</f>
        <v>0</v>
      </c>
      <c r="AN533" s="496" t="b">
        <f ca="1">IF(OR(NOT(Y519),NOT(Z509)),FALSE,AND(M533="",OR(AG533&lt;=Y520+COUNTIF(L521:L533,$W$218),AG533&lt;=Z520+COUNTIF(M521:M533,$W$218))))</f>
        <v>0</v>
      </c>
      <c r="AO533" s="496" t="b">
        <f ca="1">IF(OR(NOT(Y519),NOT(Z509)),FALSE,AND(N533="",OR(AG533&lt;=Y520+COUNTIF(L521:L533,$W$218),AG533&lt;=Z520+COUNTIF(M521:M533,$W$218))))</f>
        <v>0</v>
      </c>
      <c r="AW533" s="485"/>
      <c r="AY533" s="323"/>
      <c r="BA533" s="323"/>
      <c r="BC533" s="323"/>
      <c r="BE533" s="323"/>
      <c r="BG533" s="323"/>
      <c r="BI533" s="323"/>
      <c r="BK533" s="323"/>
      <c r="BM533" s="323"/>
      <c r="BO533" s="323"/>
      <c r="BQ533" s="323"/>
      <c r="BS533" s="323"/>
      <c r="BU533" s="323"/>
      <c r="BW533" s="323"/>
      <c r="BY533" s="323"/>
      <c r="CA533" s="323"/>
      <c r="CC533" s="323"/>
      <c r="CE533" s="323"/>
      <c r="CG533" s="323"/>
      <c r="CI533" s="323"/>
      <c r="CK533" s="323"/>
      <c r="CM533" s="323"/>
      <c r="CO533" s="323"/>
      <c r="CQ533" s="323"/>
      <c r="CS533" s="323"/>
      <c r="CU533" s="323"/>
      <c r="CW533" s="323"/>
      <c r="CY533" s="323"/>
      <c r="DA533" s="323"/>
      <c r="DC533" s="323"/>
      <c r="DE533" s="323"/>
      <c r="DG533" s="323"/>
      <c r="DI533" s="323"/>
      <c r="DJ533" s="485"/>
    </row>
    <row r="534" spans="1:115" ht="11.25" hidden="1" customHeight="1" x14ac:dyDescent="0.3">
      <c r="A534" s="765"/>
      <c r="C534" s="219"/>
      <c r="D534" s="220"/>
      <c r="E534" s="517"/>
      <c r="F534" s="516"/>
      <c r="G534" s="223"/>
      <c r="H534" s="219"/>
      <c r="J534" s="219"/>
      <c r="K534" s="220"/>
      <c r="L534" s="517"/>
      <c r="M534" s="516"/>
      <c r="N534" s="223"/>
      <c r="O534" s="219"/>
      <c r="AB534" s="327" t="str">
        <f t="shared" si="116"/>
        <v/>
      </c>
      <c r="AC534" s="327" t="str">
        <f t="shared" si="117"/>
        <v/>
      </c>
      <c r="AD534" s="327" t="str">
        <f t="shared" si="118"/>
        <v/>
      </c>
      <c r="AE534" s="327" t="str">
        <f t="shared" si="119"/>
        <v/>
      </c>
      <c r="AG534" s="485">
        <v>14</v>
      </c>
      <c r="AH534" s="496" t="b">
        <f ca="1">IF(OR(NOT(W519),NOT(X509)),FALSE,AND(D534="",OR(AG534&lt;=W520+COUNTIF(E521:E534,$W$218),AG534&lt;=X520+COUNTIF(F521:F534,$W$218))))</f>
        <v>0</v>
      </c>
      <c r="AI534" s="496" t="b">
        <f ca="1">IF(OR(NOT(W519),NOT(X509)),FALSE,AND(E534="",OR(AG534&lt;=W520+COUNTIF(E521:E534,$W$218),AG534&lt;=X520+COUNTIF(F521:F534,$W$218))))</f>
        <v>0</v>
      </c>
      <c r="AJ534" s="496" t="b">
        <f ca="1">IF(OR(NOT(W519),NOT(X509)),FALSE,AND(F534="",OR(AG534&lt;=W520+COUNTIF(E521:E534,$W$218),AG534&lt;=X520+COUNTIF(F521:F534,$W$218))))</f>
        <v>0</v>
      </c>
      <c r="AK534" s="496" t="b">
        <f ca="1">IF(OR(NOT(W519),NOT(X509)),FALSE,AND(G534="",OR(AG534&lt;=W520+COUNTIF(E521:E534,$W$218),AG534&lt;=X520+COUNTIF(F521:F534,$W$218))))</f>
        <v>0</v>
      </c>
      <c r="AL534" s="496" t="b">
        <f ca="1">IF(OR(NOT(Y519),NOT(Z509)),FALSE,AND(K534="",OR(AG534&lt;=Y520+COUNTIF(L521:L534,$W$218),AG534&lt;=Z520+COUNTIF(M521:M534,$W$218))))</f>
        <v>0</v>
      </c>
      <c r="AM534" s="496" t="b">
        <f ca="1">IF(OR(NOT(Y519),NOT(Z509)),FALSE,AND(L534="",OR(AG534&lt;=Y520+COUNTIF(L521:L534,$W$218),AG534&lt;=Z520+COUNTIF(M521:M534,$W$218))))</f>
        <v>0</v>
      </c>
      <c r="AN534" s="496" t="b">
        <f ca="1">IF(OR(NOT(Y519),NOT(Z509)),FALSE,AND(M534="",OR(AG534&lt;=Y520+COUNTIF(L521:L534,$W$218),AG534&lt;=Z520+COUNTIF(M521:M534,$W$218))))</f>
        <v>0</v>
      </c>
      <c r="AO534" s="496" t="b">
        <f ca="1">IF(OR(NOT(Y519),NOT(Z509)),FALSE,AND(N534="",OR(AG534&lt;=Y520+COUNTIF(L521:L534,$W$218),AG534&lt;=Z520+COUNTIF(M521:M534,$W$218))))</f>
        <v>0</v>
      </c>
      <c r="AS534" s="323"/>
      <c r="AT534" s="323"/>
      <c r="AW534" s="485"/>
      <c r="AY534" s="323"/>
      <c r="BA534" s="323"/>
      <c r="BC534" s="323"/>
      <c r="BE534" s="323"/>
      <c r="BG534" s="323"/>
      <c r="BI534" s="323"/>
      <c r="BK534" s="323"/>
      <c r="BM534" s="323"/>
      <c r="BO534" s="323"/>
      <c r="BQ534" s="323"/>
      <c r="BS534" s="323"/>
      <c r="BU534" s="323"/>
      <c r="BW534" s="323"/>
      <c r="BY534" s="323"/>
      <c r="CA534" s="323"/>
      <c r="CC534" s="323"/>
      <c r="CE534" s="323"/>
      <c r="CG534" s="323"/>
      <c r="CI534" s="323"/>
      <c r="CK534" s="323"/>
      <c r="CM534" s="323"/>
      <c r="CO534" s="323"/>
      <c r="CQ534" s="323"/>
      <c r="CS534" s="323"/>
      <c r="CU534" s="323"/>
      <c r="CW534" s="323"/>
      <c r="CY534" s="323"/>
      <c r="DA534" s="323"/>
      <c r="DC534" s="323"/>
      <c r="DE534" s="323"/>
      <c r="DG534" s="323"/>
      <c r="DI534" s="323"/>
      <c r="DJ534" s="485"/>
    </row>
    <row r="535" spans="1:115" ht="10.5" hidden="1" customHeight="1" x14ac:dyDescent="0.3">
      <c r="A535" s="76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AQ535" s="323"/>
      <c r="AR535" s="323"/>
      <c r="AS535" s="323"/>
      <c r="AT535" s="323"/>
      <c r="AW535" s="485"/>
      <c r="AY535" s="323"/>
      <c r="BA535" s="323"/>
      <c r="BC535" s="323"/>
      <c r="BE535" s="323"/>
      <c r="BG535" s="323"/>
      <c r="BI535" s="323"/>
      <c r="BK535" s="323"/>
      <c r="BM535" s="323"/>
      <c r="BO535" s="323"/>
      <c r="BQ535" s="323"/>
      <c r="BS535" s="323"/>
      <c r="BU535" s="323"/>
      <c r="BW535" s="323"/>
      <c r="BY535" s="323"/>
      <c r="CA535" s="323"/>
      <c r="CC535" s="323"/>
      <c r="CE535" s="323"/>
      <c r="CG535" s="323"/>
      <c r="CI535" s="323"/>
      <c r="CK535" s="323"/>
      <c r="CM535" s="323"/>
      <c r="CO535" s="323"/>
      <c r="CQ535" s="323"/>
      <c r="CS535" s="323"/>
      <c r="CU535" s="323"/>
      <c r="CW535" s="323"/>
      <c r="CY535" s="323"/>
      <c r="DA535" s="323"/>
      <c r="DC535" s="323"/>
      <c r="DE535" s="323"/>
      <c r="DG535" s="323"/>
      <c r="DI535" s="323"/>
    </row>
    <row r="536" spans="1:115" ht="10.5" customHeight="1" x14ac:dyDescent="0.3">
      <c r="A536" s="76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AQ536" s="323"/>
      <c r="AR536" s="323"/>
      <c r="AS536" s="323"/>
      <c r="AT536" s="323"/>
      <c r="AW536" s="485"/>
      <c r="AY536" s="323"/>
      <c r="BA536" s="323"/>
      <c r="BC536" s="323"/>
      <c r="BE536" s="323"/>
      <c r="BG536" s="323"/>
      <c r="BI536" s="323"/>
      <c r="BK536" s="323"/>
      <c r="BM536" s="323"/>
      <c r="BO536" s="323"/>
      <c r="BQ536" s="323"/>
      <c r="BS536" s="323"/>
      <c r="BU536" s="323"/>
      <c r="BW536" s="323"/>
      <c r="BY536" s="323"/>
      <c r="CA536" s="323"/>
      <c r="CC536" s="323"/>
      <c r="CE536" s="323"/>
      <c r="CG536" s="323"/>
      <c r="CI536" s="323"/>
      <c r="CK536" s="323"/>
      <c r="CM536" s="323"/>
      <c r="CO536" s="323"/>
      <c r="CQ536" s="323"/>
      <c r="CS536" s="323"/>
      <c r="CU536" s="323"/>
      <c r="CW536" s="323"/>
      <c r="CY536" s="323"/>
      <c r="DA536" s="323"/>
      <c r="DC536" s="323"/>
      <c r="DE536" s="323"/>
      <c r="DG536" s="323"/>
      <c r="DI536" s="323"/>
    </row>
    <row r="537" spans="1:115" ht="3.75" customHeight="1" x14ac:dyDescent="0.3">
      <c r="A537" s="765"/>
      <c r="AQ537" s="323"/>
      <c r="AR537" s="323"/>
      <c r="AS537" s="323"/>
      <c r="AT537" s="323"/>
      <c r="AY537" s="323"/>
      <c r="BA537" s="323"/>
      <c r="BC537" s="323"/>
      <c r="BE537" s="323"/>
      <c r="BG537" s="323"/>
      <c r="BI537" s="323"/>
      <c r="BK537" s="323"/>
      <c r="BM537" s="323"/>
      <c r="BO537" s="323"/>
      <c r="BQ537" s="323"/>
      <c r="BS537" s="323"/>
      <c r="BU537" s="323"/>
      <c r="BW537" s="323"/>
      <c r="BY537" s="323"/>
      <c r="CA537" s="323"/>
      <c r="CC537" s="323"/>
      <c r="CE537" s="323"/>
      <c r="CG537" s="323"/>
      <c r="CI537" s="323"/>
      <c r="CK537" s="323"/>
      <c r="CM537" s="323"/>
      <c r="CO537" s="323"/>
      <c r="CQ537" s="323"/>
      <c r="CS537" s="323"/>
      <c r="CU537" s="323"/>
      <c r="CW537" s="323"/>
      <c r="CY537" s="323"/>
      <c r="DA537" s="323"/>
      <c r="DC537" s="323"/>
      <c r="DE537" s="323"/>
      <c r="DG537" s="323"/>
      <c r="DI537" s="323"/>
    </row>
    <row r="538" spans="1:115" ht="12" customHeight="1" x14ac:dyDescent="0.3">
      <c r="A538" s="765"/>
      <c r="B538" s="15"/>
      <c r="C538" s="247" t="str">
        <f>W543</f>
        <v>JÚLIUS 2. – PÉNTEK 18:00</v>
      </c>
      <c r="D538" s="227"/>
      <c r="E538" s="228"/>
      <c r="F538" s="229"/>
      <c r="G538" s="230"/>
      <c r="H538" s="231" t="str">
        <f>W544</f>
        <v>NEGYEDDÖNTŐ</v>
      </c>
      <c r="I538" s="138"/>
      <c r="J538" s="246" t="str">
        <f>Y543</f>
        <v>JÚLIUS 2. – PÉNTEK 21:00</v>
      </c>
      <c r="K538" s="227"/>
      <c r="L538" s="228"/>
      <c r="M538" s="229"/>
      <c r="N538" s="230"/>
      <c r="O538" s="226" t="str">
        <f>Y544</f>
        <v>NEGYEDDÖNTŐ</v>
      </c>
      <c r="AQ538" s="323"/>
      <c r="AR538" s="323"/>
      <c r="AS538" s="323"/>
      <c r="AT538" s="323"/>
      <c r="AY538" s="323"/>
      <c r="BA538" s="323"/>
      <c r="BC538" s="323"/>
      <c r="BE538" s="323"/>
      <c r="BG538" s="323"/>
      <c r="BI538" s="323"/>
      <c r="BK538" s="323"/>
      <c r="BM538" s="323"/>
      <c r="BO538" s="323"/>
      <c r="BQ538" s="323"/>
      <c r="BS538" s="323"/>
      <c r="BU538" s="323"/>
      <c r="BW538" s="323"/>
      <c r="BY538" s="323"/>
      <c r="CA538" s="323"/>
      <c r="CC538" s="323"/>
      <c r="CE538" s="323"/>
      <c r="CG538" s="323"/>
      <c r="CI538" s="323"/>
      <c r="CK538" s="323"/>
      <c r="CM538" s="323"/>
      <c r="CO538" s="323"/>
      <c r="CQ538" s="323"/>
      <c r="CS538" s="323"/>
      <c r="CU538" s="323"/>
      <c r="CW538" s="323"/>
      <c r="CY538" s="323"/>
      <c r="DA538" s="323"/>
      <c r="DC538" s="323"/>
      <c r="DE538" s="323"/>
      <c r="DG538" s="323"/>
      <c r="DI538" s="323"/>
    </row>
    <row r="539" spans="1:115" s="138" customFormat="1" ht="14.25" customHeight="1" x14ac:dyDescent="0.3">
      <c r="A539" s="765"/>
      <c r="B539" s="137"/>
      <c r="C539" s="233" t="str">
        <f>IF(W546=0,"",IF(W546&gt;0,CONCATENATE("még ",W546," gól"),CONCATENATE("túl sok (",W546," gól)")))</f>
        <v/>
      </c>
      <c r="D539" s="714" t="str">
        <f>W547</f>
        <v>3/8 győztese</v>
      </c>
      <c r="E539" s="716" t="str">
        <f>W548</f>
        <v/>
      </c>
      <c r="F539" s="717" t="str">
        <f>X548</f>
        <v/>
      </c>
      <c r="G539" s="715" t="str">
        <f>X547</f>
        <v>4/8 győztese</v>
      </c>
      <c r="H539" s="232" t="str">
        <f>IF(X546=0,"",IF(X546&gt;0,CONCATENATE("még ",X546," gól"),CONCATENATE("túl sok (",X546," gól)")))</f>
        <v/>
      </c>
      <c r="I539" s="127"/>
      <c r="J539" s="233" t="str">
        <f>IF(Y546=0,"",IF(Y546&gt;0,CONCATENATE("még ",Y546," gól"),CONCATENATE("túl sok (",Y546," gól)")))</f>
        <v/>
      </c>
      <c r="K539" s="714" t="str">
        <f>Y547</f>
        <v>1/8 győztese</v>
      </c>
      <c r="L539" s="716" t="str">
        <f>Y548</f>
        <v/>
      </c>
      <c r="M539" s="717" t="str">
        <f>Z548</f>
        <v/>
      </c>
      <c r="N539" s="715" t="str">
        <f>Z547</f>
        <v>2/8 győztese</v>
      </c>
      <c r="O539" s="232" t="str">
        <f>IF(Z546=0,"",IF(Z546&gt;0,CONCATENATE("még ",Z546," gól"),CONCATENATE("túl sok (",Z546," gól)")))</f>
        <v/>
      </c>
      <c r="P539" s="139"/>
      <c r="Q539" s="140"/>
      <c r="R539" s="141"/>
      <c r="S539" s="141"/>
      <c r="T539" s="484"/>
      <c r="U539" s="485"/>
      <c r="V539" s="485"/>
      <c r="W539" s="485"/>
      <c r="X539" s="485"/>
      <c r="Y539" s="485"/>
      <c r="Z539" s="485"/>
      <c r="AA539" s="485"/>
      <c r="AB539" s="242" t="e">
        <f>HLOOKUP(D539,nevek.li,2,FALSE)</f>
        <v>#N/A</v>
      </c>
      <c r="AC539" s="242" t="e">
        <f>HLOOKUP(G539,nevek.li,2,FALSE)</f>
        <v>#N/A</v>
      </c>
      <c r="AD539" s="242" t="e">
        <f>HLOOKUP(K539,nevek.li,2,FALSE)</f>
        <v>#N/A</v>
      </c>
      <c r="AE539" s="242" t="e">
        <f>HLOOKUP(N539,nevek.li,2,FALSE)</f>
        <v>#N/A</v>
      </c>
      <c r="AF539" s="485"/>
      <c r="AG539" s="485"/>
      <c r="AH539" s="485"/>
      <c r="AI539" s="485"/>
      <c r="AJ539" s="485"/>
      <c r="AK539" s="485"/>
      <c r="AL539" s="485"/>
      <c r="AM539" s="485"/>
      <c r="AN539" s="485"/>
      <c r="AO539" s="485"/>
      <c r="AP539" s="485"/>
      <c r="AQ539" s="485"/>
      <c r="AR539" s="485"/>
      <c r="AS539" s="485"/>
      <c r="AT539" s="485"/>
      <c r="AU539" s="485"/>
      <c r="AV539" s="500"/>
      <c r="AW539" s="323"/>
      <c r="AX539" s="323"/>
      <c r="AY539" s="323"/>
      <c r="AZ539" s="323"/>
      <c r="BA539" s="323"/>
      <c r="BB539" s="323"/>
      <c r="BC539" s="323"/>
      <c r="BD539" s="323"/>
      <c r="BE539" s="323"/>
      <c r="BF539" s="323"/>
      <c r="BG539" s="323"/>
      <c r="BH539" s="323"/>
      <c r="BI539" s="323"/>
      <c r="BJ539" s="323"/>
      <c r="BK539" s="323"/>
      <c r="BL539" s="323"/>
      <c r="BM539" s="323"/>
      <c r="BN539" s="323"/>
      <c r="BO539" s="323"/>
      <c r="BP539" s="323"/>
      <c r="BQ539" s="323"/>
      <c r="BR539" s="323"/>
      <c r="BS539" s="323"/>
      <c r="BT539" s="323"/>
      <c r="BU539" s="323"/>
      <c r="BV539" s="323"/>
      <c r="BW539" s="323"/>
      <c r="BX539" s="323"/>
      <c r="BY539" s="323"/>
      <c r="BZ539" s="323"/>
      <c r="CA539" s="323"/>
      <c r="CB539" s="323"/>
      <c r="CC539" s="323"/>
      <c r="CD539" s="323"/>
      <c r="CE539" s="323"/>
      <c r="CF539" s="323"/>
      <c r="CG539" s="323"/>
      <c r="CH539" s="323"/>
      <c r="CI539" s="323"/>
      <c r="CJ539" s="323"/>
      <c r="CK539" s="323"/>
      <c r="CL539" s="323"/>
      <c r="CM539" s="323"/>
      <c r="CN539" s="323"/>
      <c r="CO539" s="323"/>
      <c r="CP539" s="323"/>
      <c r="CQ539" s="323"/>
      <c r="CR539" s="323"/>
      <c r="CS539" s="323"/>
      <c r="CT539" s="323"/>
      <c r="CU539" s="323"/>
      <c r="CV539" s="323"/>
      <c r="CW539" s="323"/>
      <c r="CX539" s="323"/>
      <c r="CY539" s="323"/>
      <c r="CZ539" s="323"/>
      <c r="DA539" s="323"/>
      <c r="DB539" s="323"/>
      <c r="DC539" s="323"/>
      <c r="DD539" s="323"/>
      <c r="DE539" s="323"/>
      <c r="DF539" s="323"/>
      <c r="DG539" s="323"/>
      <c r="DH539" s="323"/>
      <c r="DI539" s="323"/>
      <c r="DJ539" s="323"/>
      <c r="DK539" s="500"/>
    </row>
    <row r="540" spans="1:115" ht="12" customHeight="1" x14ac:dyDescent="0.3">
      <c r="A540" s="765"/>
      <c r="C540" s="218"/>
      <c r="D540" s="220"/>
      <c r="E540" s="221"/>
      <c r="F540" s="222"/>
      <c r="G540" s="223"/>
      <c r="H540" s="218"/>
      <c r="J540" s="218"/>
      <c r="K540" s="220"/>
      <c r="L540" s="221"/>
      <c r="M540" s="222"/>
      <c r="N540" s="223"/>
      <c r="O540" s="218"/>
      <c r="V540" s="487" t="s">
        <v>706</v>
      </c>
      <c r="W540" s="242">
        <v>45</v>
      </c>
      <c r="X540" s="485" t="str">
        <f>""</f>
        <v/>
      </c>
      <c r="Y540" s="242">
        <v>46</v>
      </c>
      <c r="AB540" s="327" t="e">
        <f>IF(C540="öngól",AC539,AB539)</f>
        <v>#N/A</v>
      </c>
      <c r="AC540" s="327" t="e">
        <f>IF(H540="öngól",AB539,AC539)</f>
        <v>#N/A</v>
      </c>
      <c r="AD540" s="327" t="e">
        <f>IF(J540="öngól",AE539,AD539)</f>
        <v>#N/A</v>
      </c>
      <c r="AE540" s="327" t="e">
        <f>IF(O540="öngól",AD539,AE539)</f>
        <v>#N/A</v>
      </c>
      <c r="AF540" s="325"/>
      <c r="AG540" s="485">
        <v>1</v>
      </c>
      <c r="AH540" s="488" t="b">
        <f ca="1">AND(W542,X543,D540="",AG540&lt;=W548)</f>
        <v>0</v>
      </c>
      <c r="AI540" s="488" t="b">
        <f ca="1">AND(W542,X543,E540="",AG540&lt;=W548)</f>
        <v>0</v>
      </c>
      <c r="AJ540" s="488" t="b">
        <f ca="1">AND(W542,X543,F540="",AG540&lt;=X548)</f>
        <v>0</v>
      </c>
      <c r="AK540" s="488" t="b">
        <f ca="1">AND(W542,X543,G540="",AG540&lt;=X548)</f>
        <v>0</v>
      </c>
      <c r="AL540" s="488" t="b">
        <f ca="1">AND(Y542,Z543,K540="",AG540&lt;=Y548)</f>
        <v>0</v>
      </c>
      <c r="AM540" s="488" t="b">
        <f ca="1">AND(Y542,Z543,L540="",AG540&lt;=Y548)</f>
        <v>0</v>
      </c>
      <c r="AN540" s="488" t="b">
        <f ca="1">AND(Y542,Z543,M540="",AG540&lt;=Z548)</f>
        <v>0</v>
      </c>
      <c r="AO540" s="488" t="b">
        <f ca="1">AND(Y542,Z543,N540="",AG540&lt;=Z548)</f>
        <v>0</v>
      </c>
      <c r="AQ540" s="326" t="str">
        <f>IF(OR(NOT(Góllista!$E$6),D540=""),"",IF(C540="öngól","ö"&amp;G539&amp;D540,D539&amp;D540))</f>
        <v/>
      </c>
      <c r="AR540" s="326" t="str">
        <f>IF(OR(NOT(Góllista!$E$6),G540=""),"",IF(H540="öngól","ö"&amp;D539&amp;G540,G539&amp;G540))</f>
        <v/>
      </c>
      <c r="AS540" s="326" t="str">
        <f>IF(OR(NOT(Góllista!$E$6),K540=""),"",IF(J540="öngól","ö"&amp;N539&amp;K540,K539&amp;K540))</f>
        <v/>
      </c>
      <c r="AT540" s="326" t="str">
        <f>IF(OR(NOT(Góllista!$E$6),N540=""),"",IF(O540="öngól","ö"&amp;K539&amp;N540,N539&amp;N540))</f>
        <v/>
      </c>
      <c r="AY540" s="323"/>
      <c r="BA540" s="323"/>
      <c r="BC540" s="323"/>
      <c r="BE540" s="323"/>
      <c r="BG540" s="323"/>
      <c r="BI540" s="323"/>
      <c r="BK540" s="323"/>
      <c r="BM540" s="323"/>
      <c r="BO540" s="323"/>
      <c r="BQ540" s="323"/>
      <c r="BS540" s="323"/>
      <c r="BU540" s="323"/>
      <c r="BW540" s="323"/>
      <c r="BY540" s="323"/>
      <c r="CA540" s="323"/>
      <c r="CC540" s="323"/>
      <c r="CE540" s="323"/>
      <c r="CG540" s="323"/>
      <c r="CI540" s="323"/>
      <c r="CK540" s="323"/>
      <c r="CM540" s="323"/>
      <c r="CO540" s="323"/>
      <c r="CQ540" s="323"/>
      <c r="CS540" s="323"/>
      <c r="CU540" s="323"/>
      <c r="CW540" s="323"/>
      <c r="CY540" s="323"/>
      <c r="DA540" s="323"/>
      <c r="DC540" s="323"/>
      <c r="DE540" s="323"/>
      <c r="DG540" s="323"/>
      <c r="DI540" s="323"/>
    </row>
    <row r="541" spans="1:115" ht="12" customHeight="1" x14ac:dyDescent="0.3">
      <c r="A541" s="765"/>
      <c r="C541" s="219"/>
      <c r="D541" s="220"/>
      <c r="E541" s="224"/>
      <c r="F541" s="222"/>
      <c r="G541" s="223"/>
      <c r="H541" s="219"/>
      <c r="J541" s="219"/>
      <c r="K541" s="220"/>
      <c r="L541" s="224"/>
      <c r="M541" s="222"/>
      <c r="N541" s="223"/>
      <c r="O541" s="219"/>
      <c r="V541" s="487" t="s">
        <v>711</v>
      </c>
      <c r="W541" s="327">
        <f>MATCH(W540,n.er.index,0)</f>
        <v>117</v>
      </c>
      <c r="X541" s="485" t="str">
        <f>""</f>
        <v/>
      </c>
      <c r="Y541" s="327">
        <f>MATCH(Y540,n.er.index,0)</f>
        <v>118</v>
      </c>
      <c r="AB541" s="327" t="e">
        <f>IF(C541="öngól",AC539,AB539)</f>
        <v>#N/A</v>
      </c>
      <c r="AC541" s="327" t="e">
        <f>IF(H541="öngól",AB539,AC539)</f>
        <v>#N/A</v>
      </c>
      <c r="AD541" s="327" t="e">
        <f>IF(J541="öngól",AE539,AD539)</f>
        <v>#N/A</v>
      </c>
      <c r="AE541" s="327" t="e">
        <f>IF(O541="öngól",AD539,AE539)</f>
        <v>#N/A</v>
      </c>
      <c r="AF541" s="325"/>
      <c r="AG541" s="485">
        <v>2</v>
      </c>
      <c r="AH541" s="488" t="b">
        <f ca="1">AND(W542,X543,D541="",AG541&lt;=W548)</f>
        <v>0</v>
      </c>
      <c r="AI541" s="488" t="b">
        <f ca="1">AND(W542,X543,E541="",AG541&lt;=W548)</f>
        <v>0</v>
      </c>
      <c r="AJ541" s="488" t="b">
        <f ca="1">AND(W542,X543,F541="",AG541&lt;=X548)</f>
        <v>0</v>
      </c>
      <c r="AK541" s="488" t="b">
        <f ca="1">AND(W542,X543,G541="",AG541&lt;=X548)</f>
        <v>0</v>
      </c>
      <c r="AL541" s="488" t="b">
        <f ca="1">AND(Y542,Z543,K541="",AG541&lt;=Y548)</f>
        <v>0</v>
      </c>
      <c r="AM541" s="488" t="b">
        <f ca="1">AND(Y542,Z543,L541="",AG541&lt;=Y548)</f>
        <v>0</v>
      </c>
      <c r="AN541" s="488" t="b">
        <f ca="1">AND(Y542,Z543,M541="",AG541&lt;=Z548)</f>
        <v>0</v>
      </c>
      <c r="AO541" s="488" t="b">
        <f ca="1">AND(Y542,Z543,N541="",AG541&lt;=Z548)</f>
        <v>0</v>
      </c>
      <c r="AQ541" s="326" t="str">
        <f>IF(OR(NOT(Góllista!$E$6),D541=""),"",IF(C541="öngól","ö"&amp;G539&amp;D541,D539&amp;D541))</f>
        <v/>
      </c>
      <c r="AR541" s="326" t="str">
        <f>IF(OR(NOT(Góllista!$E$6),G541=""),"",IF(H541="öngól","ö"&amp;D539&amp;G541,G539&amp;G541))</f>
        <v/>
      </c>
      <c r="AS541" s="326" t="str">
        <f>IF(OR(NOT(Góllista!$E$6),K541=""),"",IF(J541="öngól","ö"&amp;N539&amp;K541,K539&amp;K541))</f>
        <v/>
      </c>
      <c r="AT541" s="326" t="str">
        <f>IF(OR(NOT(Góllista!$E$6),N541=""),"",IF(O541="öngól","ö"&amp;K539&amp;N541,N539&amp;N541))</f>
        <v/>
      </c>
      <c r="AY541" s="323"/>
      <c r="BA541" s="323"/>
      <c r="BC541" s="323"/>
      <c r="BE541" s="323"/>
      <c r="BG541" s="323"/>
      <c r="BI541" s="323"/>
      <c r="BK541" s="323"/>
      <c r="BM541" s="323"/>
      <c r="BO541" s="323"/>
      <c r="BQ541" s="323"/>
      <c r="BS541" s="323"/>
      <c r="BU541" s="323"/>
      <c r="BW541" s="323"/>
      <c r="BY541" s="323"/>
      <c r="CA541" s="323"/>
      <c r="CC541" s="323"/>
      <c r="CE541" s="323"/>
      <c r="CG541" s="323"/>
      <c r="CI541" s="323"/>
      <c r="CK541" s="323"/>
      <c r="CM541" s="323"/>
      <c r="CO541" s="323"/>
      <c r="CQ541" s="323"/>
      <c r="CS541" s="323"/>
      <c r="CU541" s="323"/>
      <c r="CW541" s="323"/>
      <c r="CY541" s="323"/>
      <c r="DA541" s="323"/>
      <c r="DC541" s="323"/>
      <c r="DE541" s="323"/>
      <c r="DG541" s="323"/>
      <c r="DI541" s="323"/>
    </row>
    <row r="542" spans="1:115" ht="12" customHeight="1" x14ac:dyDescent="0.3">
      <c r="A542" s="765"/>
      <c r="C542" s="219"/>
      <c r="D542" s="220"/>
      <c r="E542" s="224"/>
      <c r="F542" s="222"/>
      <c r="G542" s="223"/>
      <c r="H542" s="219"/>
      <c r="J542" s="219"/>
      <c r="K542" s="220"/>
      <c r="L542" s="224"/>
      <c r="M542" s="222"/>
      <c r="N542" s="223"/>
      <c r="O542" s="219"/>
      <c r="V542" s="487" t="s">
        <v>710</v>
      </c>
      <c r="W542" s="489" t="b">
        <f>INDEX(n.er,W541,3)</f>
        <v>0</v>
      </c>
      <c r="X542" s="485" t="str">
        <f>""</f>
        <v/>
      </c>
      <c r="Y542" s="489" t="b">
        <f>INDEX(n.er,Y541,3)</f>
        <v>0</v>
      </c>
      <c r="AB542" s="327" t="e">
        <f>IF(C542="öngól",AC539,AB539)</f>
        <v>#N/A</v>
      </c>
      <c r="AC542" s="327" t="e">
        <f>IF(H542="öngól",AB539,AC539)</f>
        <v>#N/A</v>
      </c>
      <c r="AD542" s="327" t="e">
        <f>IF(J542="öngól",AE539,AD539)</f>
        <v>#N/A</v>
      </c>
      <c r="AE542" s="327" t="e">
        <f>IF(O542="öngól",AD539,AE539)</f>
        <v>#N/A</v>
      </c>
      <c r="AF542" s="325"/>
      <c r="AG542" s="485">
        <v>3</v>
      </c>
      <c r="AH542" s="488" t="b">
        <f ca="1">AND(W542,X543,D542="",AG542&lt;=W548)</f>
        <v>0</v>
      </c>
      <c r="AI542" s="488" t="b">
        <f ca="1">AND(W542,X543,E542="",AG542&lt;=W548)</f>
        <v>0</v>
      </c>
      <c r="AJ542" s="488" t="b">
        <f ca="1">AND(W542,X543,F542="",AG542&lt;=X548)</f>
        <v>0</v>
      </c>
      <c r="AK542" s="488" t="b">
        <f ca="1">AND(W542,X543,G542="",AG542&lt;=X548)</f>
        <v>0</v>
      </c>
      <c r="AL542" s="488" t="b">
        <f ca="1">AND(Y542,Z543,K542="",AG542&lt;=Y548)</f>
        <v>0</v>
      </c>
      <c r="AM542" s="488" t="b">
        <f ca="1">AND(Y542,Z543,L542="",AG542&lt;=Y548)</f>
        <v>0</v>
      </c>
      <c r="AN542" s="488" t="b">
        <f ca="1">AND(Y542,Z543,M542="",AG542&lt;=Z548)</f>
        <v>0</v>
      </c>
      <c r="AO542" s="488" t="b">
        <f ca="1">AND(Y542,Z543,N542="",AG542&lt;=Z548)</f>
        <v>0</v>
      </c>
      <c r="AQ542" s="326" t="str">
        <f>IF(OR(NOT(Góllista!$E$6),D542=""),"",IF(C542="öngól","ö"&amp;G539&amp;D542,D539&amp;D542))</f>
        <v/>
      </c>
      <c r="AR542" s="326" t="str">
        <f>IF(OR(NOT(Góllista!$E$6),G542=""),"",IF(H542="öngól","ö"&amp;D539&amp;G542,G539&amp;G542))</f>
        <v/>
      </c>
      <c r="AS542" s="326" t="str">
        <f>IF(OR(NOT(Góllista!$E$6),K542=""),"",IF(J542="öngól","ö"&amp;N539&amp;K542,K539&amp;K542))</f>
        <v/>
      </c>
      <c r="AT542" s="326" t="str">
        <f>IF(OR(NOT(Góllista!$E$6),N542=""),"",IF(O542="öngól","ö"&amp;K539&amp;N542,N539&amp;N542))</f>
        <v/>
      </c>
      <c r="AY542" s="323"/>
      <c r="BA542" s="323"/>
      <c r="BC542" s="323"/>
      <c r="BE542" s="323"/>
      <c r="BG542" s="323"/>
      <c r="BI542" s="323"/>
      <c r="BK542" s="323"/>
      <c r="BM542" s="323"/>
      <c r="BO542" s="323"/>
      <c r="BQ542" s="323"/>
      <c r="BS542" s="323"/>
      <c r="BU542" s="323"/>
      <c r="BW542" s="323"/>
      <c r="BY542" s="323"/>
      <c r="CA542" s="323"/>
      <c r="CC542" s="323"/>
      <c r="CE542" s="323"/>
      <c r="CG542" s="323"/>
      <c r="CI542" s="323"/>
      <c r="CK542" s="323"/>
      <c r="CM542" s="323"/>
      <c r="CO542" s="323"/>
      <c r="CQ542" s="323"/>
      <c r="CS542" s="323"/>
      <c r="CU542" s="323"/>
      <c r="CW542" s="323"/>
      <c r="CY542" s="323"/>
      <c r="DA542" s="323"/>
      <c r="DC542" s="323"/>
      <c r="DE542" s="323"/>
      <c r="DG542" s="323"/>
      <c r="DI542" s="323"/>
    </row>
    <row r="543" spans="1:115" ht="12" customHeight="1" x14ac:dyDescent="0.3">
      <c r="A543" s="765"/>
      <c r="C543" s="219"/>
      <c r="D543" s="220"/>
      <c r="E543" s="224"/>
      <c r="F543" s="222"/>
      <c r="G543" s="223"/>
      <c r="H543" s="219"/>
      <c r="J543" s="219"/>
      <c r="K543" s="220"/>
      <c r="L543" s="224"/>
      <c r="M543" s="222"/>
      <c r="N543" s="223"/>
      <c r="O543" s="219"/>
      <c r="V543" s="487" t="s">
        <v>705</v>
      </c>
      <c r="W543" s="490" t="str">
        <f>VLOOKUP(W540,schedule,18,FALSE)</f>
        <v>JÚLIUS 2. – PÉNTEK 18:00</v>
      </c>
      <c r="X543" s="489" t="b">
        <f ca="1">VLOOKUP(W540,schedule,14,FALSE)&lt;=NOW()</f>
        <v>0</v>
      </c>
      <c r="Y543" s="490" t="str">
        <f>VLOOKUP(Y540,schedule,18,FALSE)</f>
        <v>JÚLIUS 2. – PÉNTEK 21:00</v>
      </c>
      <c r="Z543" s="489" t="b">
        <f ca="1">VLOOKUP(Y540,schedule,14,FALSE)&lt;=NOW()</f>
        <v>0</v>
      </c>
      <c r="AB543" s="327" t="e">
        <f>IF(C543="öngól",AC539,AB539)</f>
        <v>#N/A</v>
      </c>
      <c r="AC543" s="327" t="e">
        <f>IF(H543="öngól",AB539,AC539)</f>
        <v>#N/A</v>
      </c>
      <c r="AD543" s="327" t="e">
        <f>IF(J543="öngól",AE539,AD539)</f>
        <v>#N/A</v>
      </c>
      <c r="AE543" s="327" t="e">
        <f>IF(O543="öngól",AD539,AE539)</f>
        <v>#N/A</v>
      </c>
      <c r="AF543" s="325"/>
      <c r="AG543" s="485">
        <v>4</v>
      </c>
      <c r="AH543" s="488" t="b">
        <f ca="1">AND(W542,X543,D543="",AG543&lt;=W548)</f>
        <v>0</v>
      </c>
      <c r="AI543" s="488" t="b">
        <f ca="1">AND(W542,X543,E543="",AG543&lt;=W548)</f>
        <v>0</v>
      </c>
      <c r="AJ543" s="488" t="b">
        <f ca="1">AND(W542,X543,F543="",AG543&lt;=X548)</f>
        <v>0</v>
      </c>
      <c r="AK543" s="488" t="b">
        <f ca="1">AND(W542,X543,G543="",AG543&lt;=X548)</f>
        <v>0</v>
      </c>
      <c r="AL543" s="488" t="b">
        <f ca="1">AND(Y542,Z543,K543="",AG543&lt;=Y548)</f>
        <v>0</v>
      </c>
      <c r="AM543" s="488" t="b">
        <f ca="1">AND(Y542,Z543,L543="",AG543&lt;=Y548)</f>
        <v>0</v>
      </c>
      <c r="AN543" s="488" t="b">
        <f ca="1">AND(Y542,Z543,M543="",AG543&lt;=Z548)</f>
        <v>0</v>
      </c>
      <c r="AO543" s="488" t="b">
        <f ca="1">AND(Y542,Z543,N543="",AG543&lt;=Z548)</f>
        <v>0</v>
      </c>
      <c r="AQ543" s="326" t="str">
        <f>IF(OR(NOT(Góllista!$E$6),D543=""),"",IF(C543="öngól","ö"&amp;G539&amp;D543,D539&amp;D543))</f>
        <v/>
      </c>
      <c r="AR543" s="326" t="str">
        <f>IF(OR(NOT(Góllista!$E$6),G543=""),"",IF(H543="öngól","ö"&amp;D539&amp;G543,G539&amp;G543))</f>
        <v/>
      </c>
      <c r="AS543" s="326" t="str">
        <f>IF(OR(NOT(Góllista!$E$6),K543=""),"",IF(J543="öngól","ö"&amp;N539&amp;K543,K539&amp;K543))</f>
        <v/>
      </c>
      <c r="AT543" s="326" t="str">
        <f>IF(OR(NOT(Góllista!$E$6),N543=""),"",IF(O543="öngól","ö"&amp;K539&amp;N543,N539&amp;N543))</f>
        <v/>
      </c>
      <c r="AY543" s="323"/>
      <c r="BA543" s="323"/>
      <c r="BC543" s="323"/>
      <c r="BE543" s="323"/>
      <c r="BG543" s="323"/>
      <c r="BI543" s="323"/>
      <c r="BK543" s="323"/>
      <c r="BM543" s="323"/>
      <c r="BO543" s="323"/>
      <c r="BQ543" s="323"/>
      <c r="BS543" s="323"/>
      <c r="BU543" s="323"/>
      <c r="BW543" s="323"/>
      <c r="BY543" s="323"/>
      <c r="CA543" s="323"/>
      <c r="CC543" s="323"/>
      <c r="CE543" s="323"/>
      <c r="CG543" s="323"/>
      <c r="CI543" s="323"/>
      <c r="CK543" s="323"/>
      <c r="CM543" s="323"/>
      <c r="CO543" s="323"/>
      <c r="CQ543" s="323"/>
      <c r="CS543" s="323"/>
      <c r="CU543" s="323"/>
      <c r="CW543" s="323"/>
      <c r="CY543" s="323"/>
      <c r="DA543" s="323"/>
      <c r="DC543" s="323"/>
      <c r="DE543" s="323"/>
      <c r="DG543" s="323"/>
      <c r="DI543" s="323"/>
    </row>
    <row r="544" spans="1:115" ht="12" customHeight="1" x14ac:dyDescent="0.3">
      <c r="A544" s="765"/>
      <c r="C544" s="219"/>
      <c r="D544" s="220"/>
      <c r="E544" s="224"/>
      <c r="F544" s="222"/>
      <c r="G544" s="223"/>
      <c r="H544" s="219"/>
      <c r="J544" s="219"/>
      <c r="K544" s="220"/>
      <c r="L544" s="224"/>
      <c r="M544" s="222"/>
      <c r="N544" s="223"/>
      <c r="O544" s="219"/>
      <c r="V544" s="487" t="s">
        <v>1265</v>
      </c>
      <c r="W544" s="491" t="str">
        <f>VLOOKUP(W540,schedule,12,FALSE)</f>
        <v>NEGYEDDÖNTŐ</v>
      </c>
      <c r="X544" s="485" t="str">
        <f>""</f>
        <v/>
      </c>
      <c r="Y544" s="491" t="str">
        <f>VLOOKUP(Y540,schedule,12,FALSE)</f>
        <v>NEGYEDDÖNTŐ</v>
      </c>
      <c r="AB544" s="327" t="e">
        <f>IF(C544="öngól",AC539,AB539)</f>
        <v>#N/A</v>
      </c>
      <c r="AC544" s="327" t="e">
        <f>IF(H544="öngól",AB539,AC539)</f>
        <v>#N/A</v>
      </c>
      <c r="AD544" s="327" t="e">
        <f>IF(J544="öngól",AE539,AD539)</f>
        <v>#N/A</v>
      </c>
      <c r="AE544" s="327" t="e">
        <f>IF(O544="öngól",AD539,AE539)</f>
        <v>#N/A</v>
      </c>
      <c r="AF544" s="325"/>
      <c r="AG544" s="485">
        <v>5</v>
      </c>
      <c r="AH544" s="488" t="b">
        <f ca="1">AND(W542,X543,D544="",AG544&lt;=W548)</f>
        <v>0</v>
      </c>
      <c r="AI544" s="488" t="b">
        <f ca="1">AND(W542,X543,E544="",AG544&lt;=W548)</f>
        <v>0</v>
      </c>
      <c r="AJ544" s="488" t="b">
        <f ca="1">AND(W542,X543,F544="",AG544&lt;=X548)</f>
        <v>0</v>
      </c>
      <c r="AK544" s="488" t="b">
        <f ca="1">AND(W542,X543,G544="",AG544&lt;=X548)</f>
        <v>0</v>
      </c>
      <c r="AL544" s="488" t="b">
        <f ca="1">AND(Y542,Z543,K544="",AG544&lt;=Y548)</f>
        <v>0</v>
      </c>
      <c r="AM544" s="488" t="b">
        <f ca="1">AND(Y542,Z543,L544="",AG544&lt;=Y548)</f>
        <v>0</v>
      </c>
      <c r="AN544" s="488" t="b">
        <f ca="1">AND(Y542,Z543,M544="",AG544&lt;=Z548)</f>
        <v>0</v>
      </c>
      <c r="AO544" s="488" t="b">
        <f ca="1">AND(Y542,Z543,N544="",AG544&lt;=Z548)</f>
        <v>0</v>
      </c>
      <c r="AQ544" s="326" t="str">
        <f>IF(OR(NOT(Góllista!$E$6),D544=""),"",IF(C544="öngól","ö"&amp;G539&amp;D544,D539&amp;D544))</f>
        <v/>
      </c>
      <c r="AR544" s="326" t="str">
        <f>IF(OR(NOT(Góllista!$E$6),G544=""),"",IF(H544="öngól","ö"&amp;D539&amp;G544,G539&amp;G544))</f>
        <v/>
      </c>
      <c r="AS544" s="326" t="str">
        <f>IF(OR(NOT(Góllista!$E$6),K544=""),"",IF(J544="öngól","ö"&amp;N539&amp;K544,K539&amp;K544))</f>
        <v/>
      </c>
      <c r="AT544" s="326" t="str">
        <f>IF(OR(NOT(Góllista!$E$6),N544=""),"",IF(O544="öngól","ö"&amp;K539&amp;N544,N539&amp;N544))</f>
        <v/>
      </c>
      <c r="AY544" s="323"/>
      <c r="BA544" s="323"/>
      <c r="BC544" s="323"/>
      <c r="BE544" s="323"/>
      <c r="BG544" s="323"/>
      <c r="BI544" s="323"/>
      <c r="BK544" s="323"/>
      <c r="BM544" s="323"/>
      <c r="BO544" s="323"/>
      <c r="BQ544" s="323"/>
      <c r="BS544" s="323"/>
      <c r="BU544" s="323"/>
      <c r="BW544" s="323"/>
      <c r="BY544" s="323"/>
      <c r="CA544" s="323"/>
      <c r="CC544" s="323"/>
      <c r="CE544" s="323"/>
      <c r="CG544" s="323"/>
      <c r="CI544" s="323"/>
      <c r="CK544" s="323"/>
      <c r="CM544" s="323"/>
      <c r="CO544" s="323"/>
      <c r="CQ544" s="323"/>
      <c r="CS544" s="323"/>
      <c r="CU544" s="323"/>
      <c r="CW544" s="323"/>
      <c r="CY544" s="323"/>
      <c r="DA544" s="323"/>
      <c r="DC544" s="323"/>
      <c r="DE544" s="323"/>
      <c r="DG544" s="323"/>
      <c r="DI544" s="323"/>
    </row>
    <row r="545" spans="1:114" ht="12" customHeight="1" x14ac:dyDescent="0.3">
      <c r="A545" s="765"/>
      <c r="C545" s="219"/>
      <c r="D545" s="220"/>
      <c r="E545" s="224"/>
      <c r="F545" s="222"/>
      <c r="G545" s="223"/>
      <c r="H545" s="219"/>
      <c r="J545" s="219"/>
      <c r="K545" s="220"/>
      <c r="L545" s="224"/>
      <c r="M545" s="222"/>
      <c r="N545" s="223"/>
      <c r="O545" s="219"/>
      <c r="V545" s="487" t="s">
        <v>1264</v>
      </c>
      <c r="W545" s="327" t="str">
        <f>VLOOKUP(W540,schedule,3,FALSE)</f>
        <v>2/4</v>
      </c>
      <c r="X545" s="485" t="str">
        <f>""</f>
        <v/>
      </c>
      <c r="Y545" s="327" t="str">
        <f>VLOOKUP(Y540,schedule,3,FALSE)</f>
        <v>1/4</v>
      </c>
      <c r="AB545" s="327" t="e">
        <f>IF(C545="öngól",AC539,AB539)</f>
        <v>#N/A</v>
      </c>
      <c r="AC545" s="327" t="e">
        <f>IF(H545="öngól",AB539,AC539)</f>
        <v>#N/A</v>
      </c>
      <c r="AD545" s="327" t="e">
        <f>IF(J545="öngól",AE539,AD539)</f>
        <v>#N/A</v>
      </c>
      <c r="AE545" s="327" t="e">
        <f>IF(O545="öngól",AD539,AE539)</f>
        <v>#N/A</v>
      </c>
      <c r="AF545" s="325"/>
      <c r="AG545" s="485">
        <v>6</v>
      </c>
      <c r="AH545" s="488" t="b">
        <f ca="1">AND(W542,X543,D545="",AG545&lt;=W548)</f>
        <v>0</v>
      </c>
      <c r="AI545" s="488" t="b">
        <f ca="1">AND(W542,X543,E545="",AG545&lt;=W548)</f>
        <v>0</v>
      </c>
      <c r="AJ545" s="488" t="b">
        <f ca="1">AND(W542,X543,F545="",AG545&lt;=X548)</f>
        <v>0</v>
      </c>
      <c r="AK545" s="488" t="b">
        <f ca="1">AND(W542,X543,G545="",AG545&lt;=X548)</f>
        <v>0</v>
      </c>
      <c r="AL545" s="488" t="b">
        <f ca="1">AND(Y542,Z543,K545="",AG545&lt;=Y548)</f>
        <v>0</v>
      </c>
      <c r="AM545" s="488" t="b">
        <f ca="1">AND(Y542,Z543,L545="",AG545&lt;=Y548)</f>
        <v>0</v>
      </c>
      <c r="AN545" s="488" t="b">
        <f ca="1">AND(Y542,Z543,M545="",AG545&lt;=Z548)</f>
        <v>0</v>
      </c>
      <c r="AO545" s="488" t="b">
        <f ca="1">AND(Y542,Z543,N545="",AG545&lt;=Z548)</f>
        <v>0</v>
      </c>
      <c r="AQ545" s="326" t="str">
        <f>IF(OR(NOT(Góllista!$E$6),D545=""),"",IF(C545="öngól","ö"&amp;G539&amp;D545,D539&amp;D545))</f>
        <v/>
      </c>
      <c r="AR545" s="326" t="str">
        <f>IF(OR(NOT(Góllista!$E$6),G545=""),"",IF(H545="öngól","ö"&amp;D539&amp;G545,G539&amp;G545))</f>
        <v/>
      </c>
      <c r="AS545" s="326" t="str">
        <f>IF(OR(NOT(Góllista!$E$6),K545=""),"",IF(J545="öngól","ö"&amp;N539&amp;K545,K539&amp;K545))</f>
        <v/>
      </c>
      <c r="AT545" s="326" t="str">
        <f>IF(OR(NOT(Góllista!$E$6),N545=""),"",IF(O545="öngól","ö"&amp;K539&amp;N545,N539&amp;N545))</f>
        <v/>
      </c>
      <c r="AY545" s="323"/>
      <c r="BA545" s="323"/>
      <c r="BC545" s="323"/>
      <c r="BE545" s="323"/>
      <c r="BG545" s="323"/>
      <c r="BI545" s="323"/>
      <c r="BK545" s="323"/>
      <c r="BM545" s="323"/>
      <c r="BO545" s="323"/>
      <c r="BQ545" s="323"/>
      <c r="BS545" s="323"/>
      <c r="BU545" s="323"/>
      <c r="BW545" s="323"/>
      <c r="BY545" s="323"/>
      <c r="CA545" s="323"/>
      <c r="CC545" s="323"/>
      <c r="CE545" s="323"/>
      <c r="CG545" s="323"/>
      <c r="CI545" s="323"/>
      <c r="CK545" s="323"/>
      <c r="CM545" s="323"/>
      <c r="CO545" s="323"/>
      <c r="CQ545" s="323"/>
      <c r="CS545" s="323"/>
      <c r="CU545" s="323"/>
      <c r="CW545" s="323"/>
      <c r="CY545" s="323"/>
      <c r="DA545" s="323"/>
      <c r="DC545" s="323"/>
      <c r="DE545" s="323"/>
      <c r="DG545" s="323"/>
      <c r="DI545" s="323"/>
    </row>
    <row r="546" spans="1:114" ht="12" customHeight="1" x14ac:dyDescent="0.3">
      <c r="A546" s="765"/>
      <c r="C546" s="219"/>
      <c r="D546" s="220"/>
      <c r="E546" s="224"/>
      <c r="F546" s="222"/>
      <c r="G546" s="223"/>
      <c r="H546" s="219"/>
      <c r="J546" s="219"/>
      <c r="K546" s="220"/>
      <c r="L546" s="224"/>
      <c r="M546" s="222"/>
      <c r="N546" s="223"/>
      <c r="O546" s="219"/>
      <c r="V546" s="485" t="s">
        <v>707</v>
      </c>
      <c r="W546" s="327">
        <f>IF(NOT(W542),0,E539-9+COUNTBLANK(D540:D548))</f>
        <v>0</v>
      </c>
      <c r="X546" s="327">
        <f>IF(NOT(W542),0,F539-9+COUNTBLANK(G540:G548))</f>
        <v>0</v>
      </c>
      <c r="Y546" s="327">
        <f>IF(NOT(Y542),0,L539-9+COUNTBLANK(K540:K548))</f>
        <v>0</v>
      </c>
      <c r="Z546" s="327">
        <f>IF(NOT(Y542),0,M539-9+COUNTBLANK(N540:N548))</f>
        <v>0</v>
      </c>
      <c r="AB546" s="327" t="e">
        <f>IF(C546="öngól",AC539,AB539)</f>
        <v>#N/A</v>
      </c>
      <c r="AC546" s="327" t="e">
        <f>IF(H546="öngól",AB539,AC539)</f>
        <v>#N/A</v>
      </c>
      <c r="AD546" s="327" t="e">
        <f>IF(J546="öngól",AE539,AD539)</f>
        <v>#N/A</v>
      </c>
      <c r="AE546" s="327" t="e">
        <f>IF(O546="öngól",AD539,AE539)</f>
        <v>#N/A</v>
      </c>
      <c r="AF546" s="325"/>
      <c r="AG546" s="485">
        <v>7</v>
      </c>
      <c r="AH546" s="488" t="b">
        <f ca="1">AND(W542,X543,D546="",AG546&lt;=W548)</f>
        <v>0</v>
      </c>
      <c r="AI546" s="488" t="b">
        <f ca="1">AND(W542,X543,E546="",AG546&lt;=W548)</f>
        <v>0</v>
      </c>
      <c r="AJ546" s="488" t="b">
        <f ca="1">AND(W542,X543,F546="",AG546&lt;=X548)</f>
        <v>0</v>
      </c>
      <c r="AK546" s="488" t="b">
        <f ca="1">AND(W542,X543,G546="",AG546&lt;=X548)</f>
        <v>0</v>
      </c>
      <c r="AL546" s="488" t="b">
        <f ca="1">AND(Y542,Z543,K546="",AG546&lt;=Y548)</f>
        <v>0</v>
      </c>
      <c r="AM546" s="488" t="b">
        <f ca="1">AND(Y542,Z543,L546="",AG546&lt;=Y548)</f>
        <v>0</v>
      </c>
      <c r="AN546" s="488" t="b">
        <f ca="1">AND(Y542,Z543,M546="",AG546&lt;=Z548)</f>
        <v>0</v>
      </c>
      <c r="AO546" s="488" t="b">
        <f ca="1">AND(Y542,Z543,N546="",AG546&lt;=Z548)</f>
        <v>0</v>
      </c>
      <c r="AQ546" s="326" t="str">
        <f>IF(OR(NOT(Góllista!$E$6),D546=""),"",IF(C546="öngól","ö"&amp;G539&amp;D546,D539&amp;D546))</f>
        <v/>
      </c>
      <c r="AR546" s="326" t="str">
        <f>IF(OR(NOT(Góllista!$E$6),G546=""),"",IF(H546="öngól","ö"&amp;D539&amp;G546,G539&amp;G546))</f>
        <v/>
      </c>
      <c r="AS546" s="326" t="str">
        <f>IF(OR(NOT(Góllista!$E$6),K546=""),"",IF(J546="öngól","ö"&amp;N539&amp;K546,K539&amp;K546))</f>
        <v/>
      </c>
      <c r="AT546" s="326" t="str">
        <f>IF(OR(NOT(Góllista!$E$6),N546=""),"",IF(O546="öngól","ö"&amp;K539&amp;N546,N539&amp;N546))</f>
        <v/>
      </c>
      <c r="AY546" s="323"/>
      <c r="BA546" s="323"/>
      <c r="BC546" s="323"/>
      <c r="BE546" s="323"/>
      <c r="BG546" s="323"/>
      <c r="BI546" s="323"/>
      <c r="BK546" s="323"/>
      <c r="BM546" s="323"/>
      <c r="BO546" s="323"/>
      <c r="BQ546" s="323"/>
      <c r="BS546" s="323"/>
      <c r="BU546" s="323"/>
      <c r="BW546" s="323"/>
      <c r="BY546" s="323"/>
      <c r="CA546" s="323"/>
      <c r="CC546" s="323"/>
      <c r="CE546" s="323"/>
      <c r="CG546" s="323"/>
      <c r="CI546" s="323"/>
      <c r="CK546" s="323"/>
      <c r="CM546" s="323"/>
      <c r="CO546" s="323"/>
      <c r="CQ546" s="323"/>
      <c r="CS546" s="323"/>
      <c r="CU546" s="323"/>
      <c r="CW546" s="323"/>
      <c r="CY546" s="323"/>
      <c r="DA546" s="323"/>
      <c r="DC546" s="323"/>
      <c r="DE546" s="323"/>
      <c r="DG546" s="323"/>
      <c r="DI546" s="323"/>
    </row>
    <row r="547" spans="1:114" ht="12" customHeight="1" x14ac:dyDescent="0.3">
      <c r="A547" s="765"/>
      <c r="C547" s="219"/>
      <c r="D547" s="220"/>
      <c r="E547" s="224"/>
      <c r="F547" s="222"/>
      <c r="G547" s="223"/>
      <c r="H547" s="219"/>
      <c r="J547" s="219"/>
      <c r="K547" s="220"/>
      <c r="L547" s="224"/>
      <c r="M547" s="222"/>
      <c r="N547" s="223"/>
      <c r="O547" s="219"/>
      <c r="V547" s="485" t="s">
        <v>708</v>
      </c>
      <c r="W547" s="411" t="str">
        <f>VLOOKUP(W540,schedule,8,FALSE)</f>
        <v>3/8 győztese</v>
      </c>
      <c r="X547" s="411" t="str">
        <f>VLOOKUP(W540,schedule,9,FALSE)</f>
        <v>4/8 győztese</v>
      </c>
      <c r="Y547" s="411" t="str">
        <f>VLOOKUP(Y540,schedule,8,FALSE)</f>
        <v>1/8 győztese</v>
      </c>
      <c r="Z547" s="491" t="str">
        <f>VLOOKUP(Y540,schedule,9,FALSE)</f>
        <v>2/8 győztese</v>
      </c>
      <c r="AB547" s="327" t="e">
        <f>IF(C547="öngól",AC539,AB539)</f>
        <v>#N/A</v>
      </c>
      <c r="AC547" s="327" t="e">
        <f>IF(H547="öngól",AB539,AC539)</f>
        <v>#N/A</v>
      </c>
      <c r="AD547" s="327" t="e">
        <f>IF(J547="öngól",AE539,AD539)</f>
        <v>#N/A</v>
      </c>
      <c r="AE547" s="327" t="e">
        <f>IF(O547="öngól",AD539,AE539)</f>
        <v>#N/A</v>
      </c>
      <c r="AF547" s="325"/>
      <c r="AG547" s="485">
        <v>8</v>
      </c>
      <c r="AH547" s="488" t="b">
        <f ca="1">AND(W542,X543,D547="",AG547&lt;=W548)</f>
        <v>0</v>
      </c>
      <c r="AI547" s="488" t="b">
        <f ca="1">AND(W542,X543,E547="",AG547&lt;=W548)</f>
        <v>0</v>
      </c>
      <c r="AJ547" s="488" t="b">
        <f ca="1">AND(W542,X543,F547="",AG547&lt;=X548)</f>
        <v>0</v>
      </c>
      <c r="AK547" s="488" t="b">
        <f ca="1">AND(W542,X543,G547="",AG547&lt;=X548)</f>
        <v>0</v>
      </c>
      <c r="AL547" s="488" t="b">
        <f ca="1">AND(Y542,Z543,K547="",AG547&lt;=Y548)</f>
        <v>0</v>
      </c>
      <c r="AM547" s="488" t="b">
        <f ca="1">AND(Y542,Z543,L547="",AG547&lt;=Y548)</f>
        <v>0</v>
      </c>
      <c r="AN547" s="488" t="b">
        <f ca="1">AND(Y542,Z543,M547="",AG547&lt;=Z548)</f>
        <v>0</v>
      </c>
      <c r="AO547" s="488" t="b">
        <f ca="1">AND(Y542,Z543,N547="",AG547&lt;=Z548)</f>
        <v>0</v>
      </c>
      <c r="AQ547" s="326" t="str">
        <f>IF(OR(NOT(Góllista!$E$6),D547=""),"",IF(C547="öngól","ö"&amp;G539&amp;D547,D539&amp;D547))</f>
        <v/>
      </c>
      <c r="AR547" s="326" t="str">
        <f>IF(OR(NOT(Góllista!$E$6),G547=""),"",IF(H547="öngól","ö"&amp;D539&amp;G547,G539&amp;G547))</f>
        <v/>
      </c>
      <c r="AS547" s="326" t="str">
        <f>IF(OR(NOT(Góllista!$E$6),K547=""),"",IF(J547="öngól","ö"&amp;N539&amp;K547,K539&amp;K547))</f>
        <v/>
      </c>
      <c r="AT547" s="326" t="str">
        <f>IF(OR(NOT(Góllista!$E$6),N547=""),"",IF(O547="öngól","ö"&amp;K539&amp;N547,N539&amp;N547))</f>
        <v/>
      </c>
      <c r="AY547" s="323"/>
      <c r="BA547" s="323"/>
      <c r="BC547" s="323"/>
      <c r="BE547" s="323"/>
      <c r="BG547" s="323"/>
      <c r="BI547" s="323"/>
      <c r="BK547" s="323"/>
      <c r="BM547" s="323"/>
      <c r="BO547" s="323"/>
      <c r="BQ547" s="323"/>
      <c r="BS547" s="323"/>
      <c r="BU547" s="323"/>
      <c r="BW547" s="323"/>
      <c r="BY547" s="323"/>
      <c r="CA547" s="323"/>
      <c r="CC547" s="323"/>
      <c r="CE547" s="323"/>
      <c r="CG547" s="323"/>
      <c r="CI547" s="323"/>
      <c r="CK547" s="323"/>
      <c r="CM547" s="323"/>
      <c r="CO547" s="323"/>
      <c r="CQ547" s="323"/>
      <c r="CS547" s="323"/>
      <c r="CU547" s="323"/>
      <c r="CW547" s="323"/>
      <c r="CY547" s="323"/>
      <c r="DA547" s="323"/>
      <c r="DC547" s="323"/>
      <c r="DE547" s="323"/>
      <c r="DG547" s="323"/>
      <c r="DI547" s="323"/>
    </row>
    <row r="548" spans="1:114" ht="12" customHeight="1" x14ac:dyDescent="0.3">
      <c r="A548" s="765"/>
      <c r="C548" s="219"/>
      <c r="D548" s="220"/>
      <c r="E548" s="225"/>
      <c r="F548" s="222"/>
      <c r="G548" s="223"/>
      <c r="H548" s="219"/>
      <c r="J548" s="219"/>
      <c r="K548" s="220"/>
      <c r="L548" s="225"/>
      <c r="M548" s="222"/>
      <c r="N548" s="223"/>
      <c r="O548" s="219"/>
      <c r="V548" s="485" t="s">
        <v>709</v>
      </c>
      <c r="W548" s="492" t="str">
        <f>INDEX(n.er,W541,9)</f>
        <v/>
      </c>
      <c r="X548" s="493" t="str">
        <f>INDEX(n.er,W541,10)</f>
        <v/>
      </c>
      <c r="Y548" s="492" t="str">
        <f>INDEX(n.er,Y541,9)</f>
        <v/>
      </c>
      <c r="Z548" s="493" t="str">
        <f>INDEX(n.er,Y541,10)</f>
        <v/>
      </c>
      <c r="AB548" s="327" t="e">
        <f>IF(C548="öngól",AC539,AB539)</f>
        <v>#N/A</v>
      </c>
      <c r="AC548" s="327" t="e">
        <f>IF(H548="öngól",AB539,AC539)</f>
        <v>#N/A</v>
      </c>
      <c r="AD548" s="327" t="e">
        <f>IF(J548="öngól",AE539,AD539)</f>
        <v>#N/A</v>
      </c>
      <c r="AE548" s="327" t="e">
        <f>IF(O548="öngól",AD539,AE539)</f>
        <v>#N/A</v>
      </c>
      <c r="AF548" s="325"/>
      <c r="AG548" s="485">
        <v>9</v>
      </c>
      <c r="AH548" s="488" t="b">
        <f ca="1">AND(W542,X543,D548="",AG548&lt;=W548)</f>
        <v>0</v>
      </c>
      <c r="AI548" s="488" t="b">
        <f ca="1">AND(W542,X543,E548="",AG548&lt;=W548)</f>
        <v>0</v>
      </c>
      <c r="AJ548" s="488" t="b">
        <f ca="1">AND(W542,X543,F548="",AG548&lt;=X548)</f>
        <v>0</v>
      </c>
      <c r="AK548" s="488" t="b">
        <f ca="1">AND(W542,X543,G548="",AG548&lt;=X548)</f>
        <v>0</v>
      </c>
      <c r="AL548" s="488" t="b">
        <f ca="1">AND(Y542,Z543,K548="",AG548&lt;=Y548)</f>
        <v>0</v>
      </c>
      <c r="AM548" s="488" t="b">
        <f ca="1">AND(Y542,Z543,L548="",AG548&lt;=Y548)</f>
        <v>0</v>
      </c>
      <c r="AN548" s="488" t="b">
        <f ca="1">AND(Y542,Z543,M548="",AG548&lt;=Z548)</f>
        <v>0</v>
      </c>
      <c r="AO548" s="488" t="b">
        <f ca="1">AND(Y542,Z543,N548="",AG548&lt;=Z548)</f>
        <v>0</v>
      </c>
      <c r="AQ548" s="326" t="str">
        <f>IF(OR(NOT(Góllista!$E$6),D548=""),"",IF(C548="öngól","ö"&amp;G539&amp;D548,D539&amp;D548))</f>
        <v/>
      </c>
      <c r="AR548" s="326" t="str">
        <f>IF(OR(NOT(Góllista!$E$6),G548=""),"",IF(H548="öngól","ö"&amp;D539&amp;G548,G539&amp;G548))</f>
        <v/>
      </c>
      <c r="AS548" s="326" t="str">
        <f>IF(OR(NOT(Góllista!$E$6),K548=""),"",IF(J548="öngól","ö"&amp;N539&amp;K548,K539&amp;K548))</f>
        <v/>
      </c>
      <c r="AT548" s="326" t="str">
        <f>IF(OR(NOT(Góllista!$E$6),N548=""),"",IF(O548="öngól","ö"&amp;K539&amp;N548,N539&amp;N548))</f>
        <v/>
      </c>
      <c r="AY548" s="323"/>
      <c r="BA548" s="323"/>
      <c r="BC548" s="323"/>
      <c r="BE548" s="323"/>
      <c r="BG548" s="323"/>
      <c r="BI548" s="323"/>
      <c r="BK548" s="323"/>
      <c r="BM548" s="323"/>
      <c r="BO548" s="323"/>
      <c r="BQ548" s="323"/>
      <c r="BS548" s="323"/>
      <c r="BU548" s="323"/>
      <c r="BW548" s="323"/>
      <c r="BY548" s="323"/>
      <c r="CA548" s="323"/>
      <c r="CC548" s="323"/>
      <c r="CE548" s="323"/>
      <c r="CG548" s="323"/>
      <c r="CI548" s="323"/>
      <c r="CK548" s="323"/>
      <c r="CM548" s="323"/>
      <c r="CO548" s="323"/>
      <c r="CQ548" s="323"/>
      <c r="CS548" s="323"/>
      <c r="CU548" s="323"/>
      <c r="CW548" s="323"/>
      <c r="CY548" s="323"/>
      <c r="DA548" s="323"/>
      <c r="DC548" s="323"/>
      <c r="DE548" s="323"/>
      <c r="DG548" s="323"/>
      <c r="DI548" s="323"/>
    </row>
    <row r="549" spans="1:114" ht="12" customHeight="1" x14ac:dyDescent="0.3">
      <c r="A549" s="765"/>
      <c r="C549" s="768"/>
      <c r="D549" s="768"/>
      <c r="E549" s="768"/>
      <c r="F549" s="768"/>
      <c r="G549" s="768"/>
      <c r="H549" s="768"/>
      <c r="J549" s="768"/>
      <c r="K549" s="768"/>
      <c r="L549" s="768"/>
      <c r="M549" s="768"/>
      <c r="N549" s="768"/>
      <c r="O549" s="768"/>
      <c r="AY549" s="323"/>
      <c r="BA549" s="323"/>
      <c r="BC549" s="323"/>
      <c r="BE549" s="323"/>
      <c r="BG549" s="323"/>
      <c r="BI549" s="323"/>
      <c r="BK549" s="323"/>
      <c r="BM549" s="323"/>
      <c r="BO549" s="323"/>
      <c r="BQ549" s="323"/>
      <c r="BS549" s="323"/>
      <c r="BU549" s="323"/>
      <c r="BW549" s="323"/>
      <c r="BY549" s="323"/>
      <c r="CA549" s="323"/>
      <c r="CC549" s="323"/>
      <c r="CE549" s="323"/>
      <c r="CG549" s="323"/>
      <c r="CI549" s="323"/>
      <c r="CK549" s="323"/>
      <c r="CM549" s="323"/>
      <c r="CO549" s="323"/>
      <c r="CQ549" s="323"/>
      <c r="CS549" s="323"/>
      <c r="CU549" s="323"/>
      <c r="CW549" s="323"/>
      <c r="CY549" s="323"/>
      <c r="DA549" s="323"/>
      <c r="DC549" s="323"/>
      <c r="DE549" s="323"/>
      <c r="DG549" s="323"/>
      <c r="DI549" s="323"/>
    </row>
    <row r="550" spans="1:114" ht="12" hidden="1" customHeight="1" x14ac:dyDescent="0.3">
      <c r="A550" s="765"/>
      <c r="C550" s="767"/>
      <c r="D550" s="767"/>
      <c r="E550" s="767"/>
      <c r="F550" s="767"/>
      <c r="G550" s="767"/>
      <c r="H550" s="767"/>
      <c r="J550" s="767"/>
      <c r="K550" s="767"/>
      <c r="L550" s="767"/>
      <c r="M550" s="767"/>
      <c r="N550" s="767"/>
      <c r="O550" s="767"/>
      <c r="AY550" s="323"/>
      <c r="BA550" s="323"/>
      <c r="BC550" s="323"/>
      <c r="BE550" s="323"/>
      <c r="BG550" s="323"/>
      <c r="BI550" s="323"/>
      <c r="BK550" s="323"/>
      <c r="BM550" s="323"/>
      <c r="BO550" s="323"/>
      <c r="BQ550" s="323"/>
      <c r="BS550" s="323"/>
      <c r="BU550" s="323"/>
      <c r="BW550" s="323"/>
      <c r="BY550" s="323"/>
      <c r="CA550" s="323"/>
      <c r="CC550" s="323"/>
      <c r="CE550" s="323"/>
      <c r="CG550" s="323"/>
      <c r="CI550" s="323"/>
      <c r="CK550" s="323"/>
      <c r="CM550" s="323"/>
      <c r="CO550" s="323"/>
      <c r="CQ550" s="323"/>
      <c r="CS550" s="323"/>
      <c r="CU550" s="323"/>
      <c r="CW550" s="323"/>
      <c r="CY550" s="323"/>
      <c r="DA550" s="323"/>
      <c r="DC550" s="323"/>
      <c r="DE550" s="323"/>
      <c r="DG550" s="323"/>
      <c r="DI550" s="323"/>
    </row>
    <row r="551" spans="1:114" ht="12" hidden="1" customHeight="1" x14ac:dyDescent="0.3">
      <c r="A551" s="765"/>
      <c r="C551" s="767"/>
      <c r="D551" s="767"/>
      <c r="E551" s="767"/>
      <c r="F551" s="767"/>
      <c r="G551" s="767"/>
      <c r="H551" s="767"/>
      <c r="J551" s="767"/>
      <c r="K551" s="767"/>
      <c r="L551" s="767"/>
      <c r="M551" s="767"/>
      <c r="N551" s="767"/>
      <c r="O551" s="767"/>
      <c r="AY551" s="323"/>
      <c r="BA551" s="323"/>
      <c r="BC551" s="323"/>
      <c r="BE551" s="323"/>
      <c r="BG551" s="323"/>
      <c r="BI551" s="323"/>
      <c r="BK551" s="323"/>
      <c r="BM551" s="323"/>
      <c r="BO551" s="323"/>
      <c r="BQ551" s="323"/>
      <c r="BS551" s="323"/>
      <c r="BU551" s="323"/>
      <c r="BW551" s="323"/>
      <c r="BY551" s="323"/>
      <c r="CA551" s="323"/>
      <c r="CC551" s="323"/>
      <c r="CE551" s="323"/>
      <c r="CG551" s="323"/>
      <c r="CI551" s="323"/>
      <c r="CK551" s="323"/>
      <c r="CM551" s="323"/>
      <c r="CO551" s="323"/>
      <c r="CQ551" s="323"/>
      <c r="CS551" s="323"/>
      <c r="CU551" s="323"/>
      <c r="CW551" s="323"/>
      <c r="CY551" s="323"/>
      <c r="DA551" s="323"/>
      <c r="DC551" s="323"/>
      <c r="DE551" s="323"/>
      <c r="DG551" s="323"/>
      <c r="DI551" s="323"/>
    </row>
    <row r="552" spans="1:114" ht="3.75" customHeight="1" x14ac:dyDescent="0.3">
      <c r="A552" s="765"/>
      <c r="AH552" s="494"/>
      <c r="AY552" s="323"/>
      <c r="BA552" s="323"/>
      <c r="BC552" s="323"/>
      <c r="BE552" s="323"/>
      <c r="BG552" s="323"/>
      <c r="BI552" s="323"/>
      <c r="BK552" s="323"/>
      <c r="BM552" s="323"/>
      <c r="BO552" s="323"/>
      <c r="BQ552" s="323"/>
      <c r="BS552" s="323"/>
      <c r="BU552" s="323"/>
      <c r="BW552" s="323"/>
      <c r="BY552" s="323"/>
      <c r="CA552" s="323"/>
      <c r="CC552" s="323"/>
      <c r="CE552" s="323"/>
      <c r="CG552" s="323"/>
      <c r="CI552" s="323"/>
      <c r="CK552" s="323"/>
      <c r="CM552" s="323"/>
      <c r="CO552" s="323"/>
      <c r="CQ552" s="323"/>
      <c r="CS552" s="323"/>
      <c r="CU552" s="323"/>
      <c r="CW552" s="323"/>
      <c r="CY552" s="323"/>
      <c r="DA552" s="323"/>
      <c r="DC552" s="323"/>
      <c r="DE552" s="323"/>
      <c r="DG552" s="323"/>
      <c r="DI552" s="323"/>
    </row>
    <row r="553" spans="1:114" ht="11.25" customHeight="1" x14ac:dyDescent="0.3">
      <c r="A553" s="765"/>
      <c r="B553" s="15"/>
      <c r="D553" s="235"/>
      <c r="E553" s="722" t="str">
        <f>IF(W553,"  BÜNTETŐK:","  BÜNTETŐK:  –")</f>
        <v xml:space="preserve">  BÜNTETŐK:  –</v>
      </c>
      <c r="F553" s="235"/>
      <c r="G553" s="235"/>
      <c r="H553" s="235"/>
      <c r="I553" s="37"/>
      <c r="J553" s="234"/>
      <c r="K553" s="235"/>
      <c r="L553" s="722" t="str">
        <f>IF(AD553,"  BÜNTETŐK:","  BÜNTETŐK:  –")</f>
        <v xml:space="preserve">  BÜNTETŐK:  –</v>
      </c>
      <c r="M553" s="235"/>
      <c r="N553" s="235"/>
      <c r="O553" s="235"/>
      <c r="V553" s="487" t="s">
        <v>712</v>
      </c>
      <c r="W553" s="489" t="b">
        <f>INDEX(n.er,W541,14)</f>
        <v>0</v>
      </c>
      <c r="Y553" s="489" t="b">
        <f>INDEX(n.er,Y541,14)</f>
        <v>0</v>
      </c>
      <c r="AF553" s="325"/>
      <c r="AQ553" s="323"/>
      <c r="AR553" s="323"/>
      <c r="AS553" s="323"/>
      <c r="AT553" s="323"/>
      <c r="AW553" s="485"/>
      <c r="AY553" s="323"/>
      <c r="BA553" s="323"/>
      <c r="BC553" s="323"/>
      <c r="BE553" s="323"/>
      <c r="BG553" s="323"/>
      <c r="BI553" s="323"/>
      <c r="BK553" s="323"/>
      <c r="BM553" s="323"/>
      <c r="BO553" s="323"/>
      <c r="BQ553" s="323"/>
      <c r="BS553" s="323"/>
      <c r="BU553" s="323"/>
      <c r="BW553" s="323"/>
      <c r="BY553" s="323"/>
      <c r="CA553" s="323"/>
      <c r="CC553" s="323"/>
      <c r="CE553" s="323"/>
      <c r="CG553" s="323"/>
      <c r="CI553" s="323"/>
      <c r="CK553" s="323"/>
      <c r="CM553" s="323"/>
      <c r="CO553" s="323"/>
      <c r="CQ553" s="323"/>
      <c r="CS553" s="323"/>
      <c r="CU553" s="323"/>
      <c r="CW553" s="323"/>
      <c r="CY553" s="323"/>
      <c r="DA553" s="323"/>
      <c r="DC553" s="323"/>
      <c r="DE553" s="323"/>
      <c r="DG553" s="323"/>
      <c r="DI553" s="323"/>
      <c r="DJ553" s="485"/>
    </row>
    <row r="554" spans="1:114" ht="11.25" customHeight="1" x14ac:dyDescent="0.3">
      <c r="A554" s="765"/>
      <c r="C554" s="241" t="str">
        <f>IF(W555=0,"",IF(W555&gt;0,CONCATENATE("még ",W555," büntető"),CONCATENATE("túl sok (",W555," büntető)")))</f>
        <v/>
      </c>
      <c r="D554" s="237" t="str">
        <f>IF(W553,W547,"")</f>
        <v/>
      </c>
      <c r="E554" s="239" t="str">
        <f>IF(W553,W554,"")</f>
        <v/>
      </c>
      <c r="F554" s="240" t="str">
        <f>IF(W553,X554,"")</f>
        <v/>
      </c>
      <c r="G554" s="238" t="str">
        <f>IF(W553,X547,"")</f>
        <v/>
      </c>
      <c r="H554" s="241" t="str">
        <f>IF(X555=0,"",IF(X555&gt;0,CONCATENATE("még ",X555," büntető"),CONCATENATE("túl sok (",X555," büntető)")))</f>
        <v/>
      </c>
      <c r="J554" s="241" t="str">
        <f>IF(Y555=0,"",IF(Y555&gt;0,CONCATENATE("még ",Y555," büntető"),CONCATENATE("túl sok (",Y555," büntető)")))</f>
        <v/>
      </c>
      <c r="K554" s="237" t="str">
        <f>IF(Y553,Y547,"")</f>
        <v/>
      </c>
      <c r="L554" s="239" t="str">
        <f>IF(Y553,Y554,"")</f>
        <v/>
      </c>
      <c r="M554" s="240" t="str">
        <f>IF(Y553,Z554,"")</f>
        <v/>
      </c>
      <c r="N554" s="238" t="str">
        <f>IF(Y553,Z547,"")</f>
        <v/>
      </c>
      <c r="O554" s="241" t="str">
        <f>IF(Z555=0,"",IF(Z555&gt;0,CONCATENATE("még ",Z555," büntető"),CONCATENATE("túl sok (",Z555," büntető)")))</f>
        <v/>
      </c>
      <c r="V554" s="487" t="s">
        <v>709</v>
      </c>
      <c r="W554" s="492" t="str">
        <f>IF(NOT(W553),"",INDEX(n.er,W541,17))</f>
        <v/>
      </c>
      <c r="X554" s="493" t="str">
        <f>IF(NOT(W553),"",INDEX(n.er,W541,18))</f>
        <v/>
      </c>
      <c r="Y554" s="492" t="str">
        <f>IF(NOT(Y553),"",INDEX(n.er,Y541,17))</f>
        <v/>
      </c>
      <c r="Z554" s="493" t="str">
        <f>IF(NOT(Y553),"",INDEX(n.er,Y541,18))</f>
        <v/>
      </c>
      <c r="AF554" s="325"/>
      <c r="AH554" s="494"/>
      <c r="AQ554" s="323"/>
      <c r="AR554" s="323"/>
      <c r="AS554" s="323"/>
      <c r="AT554" s="323"/>
      <c r="AW554" s="485"/>
      <c r="AY554" s="323"/>
      <c r="BA554" s="323"/>
      <c r="BC554" s="323"/>
      <c r="BE554" s="323"/>
      <c r="BG554" s="323"/>
      <c r="BI554" s="323"/>
      <c r="BK554" s="323"/>
      <c r="BM554" s="323"/>
      <c r="BO554" s="323"/>
      <c r="BQ554" s="323"/>
      <c r="BS554" s="323"/>
      <c r="BU554" s="323"/>
      <c r="BW554" s="323"/>
      <c r="BY554" s="323"/>
      <c r="CA554" s="323"/>
      <c r="CC554" s="323"/>
      <c r="CE554" s="323"/>
      <c r="CG554" s="323"/>
      <c r="CI554" s="323"/>
      <c r="CK554" s="323"/>
      <c r="CM554" s="323"/>
      <c r="CO554" s="323"/>
      <c r="CQ554" s="323"/>
      <c r="CS554" s="323"/>
      <c r="CU554" s="323"/>
      <c r="CW554" s="323"/>
      <c r="CY554" s="323"/>
      <c r="DA554" s="323"/>
      <c r="DC554" s="323"/>
      <c r="DE554" s="323"/>
      <c r="DG554" s="323"/>
      <c r="DI554" s="323"/>
    </row>
    <row r="555" spans="1:114" ht="11.25" customHeight="1" x14ac:dyDescent="0.3">
      <c r="A555" s="765"/>
      <c r="C555" s="236"/>
      <c r="D555" s="220"/>
      <c r="E555" s="515"/>
      <c r="F555" s="516"/>
      <c r="G555" s="223"/>
      <c r="H555" s="236"/>
      <c r="J555" s="236"/>
      <c r="K555" s="220"/>
      <c r="L555" s="515"/>
      <c r="M555" s="516"/>
      <c r="N555" s="223"/>
      <c r="O555" s="236"/>
      <c r="V555" s="485" t="s">
        <v>707</v>
      </c>
      <c r="W555" s="327">
        <f>IF(W554="",0,E554-COUNTIF(E555:E568,"O"))</f>
        <v>0</v>
      </c>
      <c r="X555" s="327">
        <f>IF(X554="",0,F554-COUNTIF(F555:F568,"O"))</f>
        <v>0</v>
      </c>
      <c r="Y555" s="327">
        <f>IF(Y554="",0,L554-COUNTIF(L555:L570,"O"))</f>
        <v>0</v>
      </c>
      <c r="Z555" s="327">
        <f>IF(Z554="",0,M554-COUNTIF(M555:M570,"O"))</f>
        <v>0</v>
      </c>
      <c r="AB555" s="52" t="str">
        <f>IF(NOT(W553),"",HLOOKUP(D554,nevek.li,2,FALSE))</f>
        <v/>
      </c>
      <c r="AC555" s="52" t="str">
        <f>IF(NOT(W553),"",HLOOKUP(G554,nevek.li,2,FALSE))</f>
        <v/>
      </c>
      <c r="AD555" s="52" t="str">
        <f>IF(NOT(Y553),"",HLOOKUP(K554,nevek.li,2,FALSE))</f>
        <v/>
      </c>
      <c r="AE555" s="52" t="str">
        <f>IF(NOT(Y553),"",HLOOKUP(N554,nevek.li,2,FALSE))</f>
        <v/>
      </c>
      <c r="AF555" s="325"/>
      <c r="AG555" s="485">
        <v>1</v>
      </c>
      <c r="AH555" s="488" t="b">
        <f ca="1">IF(OR(NOT(W553),NOT(X543)),FALSE,D555="")</f>
        <v>0</v>
      </c>
      <c r="AI555" s="488" t="b">
        <f ca="1">IF(OR(NOT(W553),NOT(X543)),FALSE,E555="")</f>
        <v>0</v>
      </c>
      <c r="AJ555" s="488" t="b">
        <f ca="1">IF(OR(NOT(W553),NOT(X543)),FALSE,F555="")</f>
        <v>0</v>
      </c>
      <c r="AK555" s="488" t="b">
        <f ca="1">IF(OR(NOT(W553),NOT(X543)),FALSE,G555="")</f>
        <v>0</v>
      </c>
      <c r="AL555" s="488" t="b">
        <f ca="1">IF(OR(NOT(Y553),NOT(Z543)),FALSE,K555="")</f>
        <v>0</v>
      </c>
      <c r="AM555" s="488" t="b">
        <f ca="1">IF(OR(NOT(Y553),NOT(Z543)),FALSE,L555="")</f>
        <v>0</v>
      </c>
      <c r="AN555" s="488" t="b">
        <f ca="1">IF(OR(NOT(Y553),NOT(Z543)),FALSE,M555="")</f>
        <v>0</v>
      </c>
      <c r="AO555" s="488" t="b">
        <f ca="1">IF(OR(NOT(Y553),NOT(Z543)),FALSE,N555="")</f>
        <v>0</v>
      </c>
      <c r="AS555" s="323"/>
      <c r="AT555" s="323"/>
      <c r="AY555" s="323"/>
      <c r="BA555" s="323"/>
      <c r="BC555" s="323"/>
      <c r="BE555" s="323"/>
      <c r="BG555" s="323"/>
      <c r="BI555" s="323"/>
      <c r="BK555" s="323"/>
      <c r="BM555" s="323"/>
      <c r="BO555" s="323"/>
      <c r="BQ555" s="323"/>
      <c r="BS555" s="323"/>
      <c r="BU555" s="323"/>
      <c r="BW555" s="323"/>
      <c r="BY555" s="323"/>
      <c r="CA555" s="323"/>
      <c r="CC555" s="323"/>
      <c r="CE555" s="323"/>
      <c r="CG555" s="323"/>
      <c r="CI555" s="323"/>
      <c r="CK555" s="323"/>
      <c r="CM555" s="323"/>
      <c r="CO555" s="323"/>
      <c r="CQ555" s="323"/>
      <c r="CS555" s="323"/>
      <c r="CU555" s="323"/>
      <c r="CW555" s="323"/>
      <c r="CY555" s="323"/>
      <c r="DA555" s="323"/>
      <c r="DC555" s="323"/>
      <c r="DE555" s="323"/>
      <c r="DG555" s="323"/>
      <c r="DI555" s="323"/>
      <c r="DJ555" s="485"/>
    </row>
    <row r="556" spans="1:114" ht="11.25" customHeight="1" x14ac:dyDescent="0.3">
      <c r="A556" s="765"/>
      <c r="C556" s="219"/>
      <c r="D556" s="220"/>
      <c r="E556" s="517"/>
      <c r="F556" s="516"/>
      <c r="G556" s="223"/>
      <c r="H556" s="219"/>
      <c r="J556" s="219"/>
      <c r="K556" s="220"/>
      <c r="L556" s="517"/>
      <c r="M556" s="516"/>
      <c r="N556" s="223"/>
      <c r="O556" s="219"/>
      <c r="AB556" s="327" t="str">
        <f>AB555</f>
        <v/>
      </c>
      <c r="AC556" s="327" t="str">
        <f>AC555</f>
        <v/>
      </c>
      <c r="AD556" s="327" t="str">
        <f>AD555</f>
        <v/>
      </c>
      <c r="AE556" s="327" t="str">
        <f>AE555</f>
        <v/>
      </c>
      <c r="AF556" s="325"/>
      <c r="AG556" s="485">
        <v>2</v>
      </c>
      <c r="AH556" s="488" t="b">
        <f ca="1">IF(OR(NOT(W553),NOT(X543)),FALSE,D556="")</f>
        <v>0</v>
      </c>
      <c r="AI556" s="488" t="b">
        <f ca="1">IF(OR(NOT(W553),NOT(X543)),FALSE,E556="")</f>
        <v>0</v>
      </c>
      <c r="AJ556" s="488" t="b">
        <f ca="1">IF(OR(NOT(W553),NOT(X543)),FALSE,F556="")</f>
        <v>0</v>
      </c>
      <c r="AK556" s="488" t="b">
        <f ca="1">IF(OR(NOT(W553),NOT(X543)),FALSE,G556="")</f>
        <v>0</v>
      </c>
      <c r="AL556" s="488" t="b">
        <f ca="1">IF(OR(NOT(Y553),NOT(Z543)),FALSE,K556="")</f>
        <v>0</v>
      </c>
      <c r="AM556" s="488" t="b">
        <f ca="1">IF(OR(NOT(Y553),NOT(Z543)),FALSE,L556="")</f>
        <v>0</v>
      </c>
      <c r="AN556" s="488" t="b">
        <f ca="1">IF(OR(NOT(Y553),NOT(Z543)),FALSE,M556="")</f>
        <v>0</v>
      </c>
      <c r="AO556" s="488" t="b">
        <f ca="1">IF(OR(NOT(Y553),NOT(Z543)),FALSE,N556="")</f>
        <v>0</v>
      </c>
      <c r="AS556" s="323"/>
      <c r="AT556" s="323"/>
      <c r="AW556" s="485"/>
      <c r="AY556" s="323"/>
      <c r="BA556" s="323"/>
      <c r="BC556" s="323"/>
      <c r="BE556" s="323"/>
      <c r="BG556" s="323"/>
      <c r="BI556" s="323"/>
      <c r="BK556" s="323"/>
      <c r="BM556" s="323"/>
      <c r="BO556" s="323"/>
      <c r="BQ556" s="323"/>
      <c r="BS556" s="323"/>
      <c r="BU556" s="323"/>
      <c r="BW556" s="323"/>
      <c r="BY556" s="323"/>
      <c r="CA556" s="323"/>
      <c r="CC556" s="323"/>
      <c r="CE556" s="323"/>
      <c r="CG556" s="323"/>
      <c r="CI556" s="323"/>
      <c r="CK556" s="323"/>
      <c r="CM556" s="323"/>
      <c r="CO556" s="323"/>
      <c r="CQ556" s="323"/>
      <c r="CS556" s="323"/>
      <c r="CU556" s="323"/>
      <c r="CW556" s="323"/>
      <c r="CY556" s="323"/>
      <c r="DA556" s="323"/>
      <c r="DC556" s="323"/>
      <c r="DE556" s="323"/>
      <c r="DG556" s="323"/>
      <c r="DI556" s="323"/>
      <c r="DJ556" s="485"/>
    </row>
    <row r="557" spans="1:114" ht="11.25" customHeight="1" x14ac:dyDescent="0.3">
      <c r="A557" s="765"/>
      <c r="C557" s="219"/>
      <c r="D557" s="220"/>
      <c r="E557" s="517"/>
      <c r="F557" s="516"/>
      <c r="G557" s="223"/>
      <c r="H557" s="219"/>
      <c r="J557" s="219"/>
      <c r="K557" s="220"/>
      <c r="L557" s="517"/>
      <c r="M557" s="516"/>
      <c r="N557" s="223"/>
      <c r="O557" s="219"/>
      <c r="AB557" s="327" t="str">
        <f t="shared" ref="AB557:AB568" si="120">AB556</f>
        <v/>
      </c>
      <c r="AC557" s="327" t="str">
        <f t="shared" ref="AC557:AC568" si="121">AC556</f>
        <v/>
      </c>
      <c r="AD557" s="327" t="str">
        <f t="shared" ref="AD557:AD568" si="122">AD556</f>
        <v/>
      </c>
      <c r="AE557" s="327" t="str">
        <f t="shared" ref="AE557:AE568" si="123">AE556</f>
        <v/>
      </c>
      <c r="AF557" s="325"/>
      <c r="AG557" s="485">
        <v>3</v>
      </c>
      <c r="AH557" s="488" t="b">
        <f ca="1">IF(OR(NOT(W553),NOT(X543)),FALSE,D557="")</f>
        <v>0</v>
      </c>
      <c r="AI557" s="488" t="b">
        <f ca="1">IF(OR(NOT(W553),NOT(X543)),FALSE,E557="")</f>
        <v>0</v>
      </c>
      <c r="AJ557" s="488" t="b">
        <f ca="1">IF(OR(NOT(W553),NOT(X543)),FALSE,F557="")</f>
        <v>0</v>
      </c>
      <c r="AK557" s="488" t="b">
        <f ca="1">IF(OR(NOT(W553),NOT(X543)),FALSE,G557="")</f>
        <v>0</v>
      </c>
      <c r="AL557" s="488" t="b">
        <f ca="1">IF(OR(NOT(Y553),NOT(Z543)),FALSE,K557="")</f>
        <v>0</v>
      </c>
      <c r="AM557" s="488" t="b">
        <f ca="1">IF(OR(NOT(Y553),NOT(Z543)),FALSE,L557="")</f>
        <v>0</v>
      </c>
      <c r="AN557" s="488" t="b">
        <f ca="1">IF(OR(NOT(Y553),NOT(Z543)),FALSE,M557="")</f>
        <v>0</v>
      </c>
      <c r="AO557" s="488" t="b">
        <f ca="1">IF(OR(NOT(Y553),NOT(Z543)),FALSE,N557="")</f>
        <v>0</v>
      </c>
      <c r="AS557" s="323"/>
      <c r="AT557" s="323"/>
      <c r="AW557" s="485"/>
      <c r="AY557" s="323"/>
      <c r="BA557" s="323"/>
      <c r="BC557" s="323"/>
      <c r="BE557" s="323"/>
      <c r="BG557" s="323"/>
      <c r="BI557" s="323"/>
      <c r="BK557" s="323"/>
      <c r="BM557" s="323"/>
      <c r="BO557" s="323"/>
      <c r="BQ557" s="323"/>
      <c r="BS557" s="323"/>
      <c r="BU557" s="323"/>
      <c r="BW557" s="323"/>
      <c r="BY557" s="323"/>
      <c r="CA557" s="323"/>
      <c r="CC557" s="323"/>
      <c r="CE557" s="323"/>
      <c r="CG557" s="323"/>
      <c r="CI557" s="323"/>
      <c r="CK557" s="323"/>
      <c r="CM557" s="323"/>
      <c r="CO557" s="323"/>
      <c r="CQ557" s="323"/>
      <c r="CS557" s="323"/>
      <c r="CU557" s="323"/>
      <c r="CW557" s="323"/>
      <c r="CY557" s="323"/>
      <c r="DA557" s="323"/>
      <c r="DC557" s="323"/>
      <c r="DE557" s="323"/>
      <c r="DG557" s="323"/>
      <c r="DI557" s="323"/>
      <c r="DJ557" s="485"/>
    </row>
    <row r="558" spans="1:114" ht="11.25" customHeight="1" x14ac:dyDescent="0.3">
      <c r="A558" s="765"/>
      <c r="C558" s="219"/>
      <c r="D558" s="220"/>
      <c r="E558" s="517"/>
      <c r="F558" s="516"/>
      <c r="G558" s="223"/>
      <c r="H558" s="219"/>
      <c r="J558" s="219"/>
      <c r="K558" s="220"/>
      <c r="L558" s="517"/>
      <c r="M558" s="516"/>
      <c r="N558" s="223"/>
      <c r="O558" s="219"/>
      <c r="AB558" s="327" t="str">
        <f t="shared" si="120"/>
        <v/>
      </c>
      <c r="AC558" s="327" t="str">
        <f t="shared" si="121"/>
        <v/>
      </c>
      <c r="AD558" s="327" t="str">
        <f t="shared" si="122"/>
        <v/>
      </c>
      <c r="AE558" s="327" t="str">
        <f t="shared" si="123"/>
        <v/>
      </c>
      <c r="AF558" s="325"/>
      <c r="AG558" s="485">
        <v>4</v>
      </c>
      <c r="AH558" s="488" t="b">
        <f ca="1">IF(OR(NOT(W553),NOT(X543)),FALSE,D558="")</f>
        <v>0</v>
      </c>
      <c r="AI558" s="488" t="b">
        <f ca="1">IF(OR(NOT(W553),NOT(X543)),FALSE,E558="")</f>
        <v>0</v>
      </c>
      <c r="AJ558" s="488" t="b">
        <f ca="1">IF(OR(NOT(W553),NOT(X543)),FALSE,F558="")</f>
        <v>0</v>
      </c>
      <c r="AK558" s="488" t="b">
        <f ca="1">IF(OR(NOT(W553),NOT(X543)),FALSE,G558="")</f>
        <v>0</v>
      </c>
      <c r="AL558" s="488" t="b">
        <f ca="1">IF(OR(NOT(Y553),NOT(Z543)),FALSE,K558="")</f>
        <v>0</v>
      </c>
      <c r="AM558" s="488" t="b">
        <f ca="1">IF(OR(NOT(Y553),NOT(Z543)),FALSE,L558="")</f>
        <v>0</v>
      </c>
      <c r="AN558" s="488" t="b">
        <f ca="1">IF(OR(NOT(Y553),NOT(Z543)),FALSE,M558="")</f>
        <v>0</v>
      </c>
      <c r="AO558" s="488" t="b">
        <f ca="1">IF(OR(NOT(Y553),NOT(Z543)),FALSE,N558="")</f>
        <v>0</v>
      </c>
      <c r="AS558" s="323"/>
      <c r="AT558" s="323"/>
      <c r="AW558" s="485"/>
      <c r="AY558" s="323"/>
      <c r="BA558" s="323"/>
      <c r="BC558" s="323"/>
      <c r="BE558" s="323"/>
      <c r="BG558" s="323"/>
      <c r="BI558" s="323"/>
      <c r="BK558" s="323"/>
      <c r="BM558" s="323"/>
      <c r="BO558" s="323"/>
      <c r="BQ558" s="323"/>
      <c r="BS558" s="323"/>
      <c r="BU558" s="323"/>
      <c r="BW558" s="323"/>
      <c r="BY558" s="323"/>
      <c r="CA558" s="323"/>
      <c r="CC558" s="323"/>
      <c r="CE558" s="323"/>
      <c r="CG558" s="323"/>
      <c r="CI558" s="323"/>
      <c r="CK558" s="323"/>
      <c r="CM558" s="323"/>
      <c r="CO558" s="323"/>
      <c r="CQ558" s="323"/>
      <c r="CS558" s="323"/>
      <c r="CU558" s="323"/>
      <c r="CW558" s="323"/>
      <c r="CY558" s="323"/>
      <c r="DA558" s="323"/>
      <c r="DC558" s="323"/>
      <c r="DE558" s="323"/>
      <c r="DG558" s="323"/>
      <c r="DI558" s="323"/>
      <c r="DJ558" s="485"/>
    </row>
    <row r="559" spans="1:114" ht="11.25" customHeight="1" x14ac:dyDescent="0.3">
      <c r="A559" s="765"/>
      <c r="C559" s="219"/>
      <c r="D559" s="220"/>
      <c r="E559" s="517"/>
      <c r="F559" s="516"/>
      <c r="G559" s="223"/>
      <c r="H559" s="219"/>
      <c r="J559" s="219"/>
      <c r="K559" s="220"/>
      <c r="L559" s="517"/>
      <c r="M559" s="516"/>
      <c r="N559" s="223"/>
      <c r="O559" s="219"/>
      <c r="AB559" s="327" t="str">
        <f t="shared" si="120"/>
        <v/>
      </c>
      <c r="AC559" s="327" t="str">
        <f t="shared" si="121"/>
        <v/>
      </c>
      <c r="AD559" s="327" t="str">
        <f t="shared" si="122"/>
        <v/>
      </c>
      <c r="AE559" s="327" t="str">
        <f t="shared" si="123"/>
        <v/>
      </c>
      <c r="AF559" s="325"/>
      <c r="AG559" s="495">
        <v>5</v>
      </c>
      <c r="AH559" s="488" t="b">
        <f ca="1">IF(OR(NOT(W553),NOT(X543)),FALSE,D559="")</f>
        <v>0</v>
      </c>
      <c r="AI559" s="488" t="b">
        <f ca="1">IF(OR(NOT(W553),NOT(X543)),FALSE,E559="")</f>
        <v>0</v>
      </c>
      <c r="AJ559" s="488" t="b">
        <f ca="1">IF(OR(NOT(W553),NOT(X543)),FALSE,F559="")</f>
        <v>0</v>
      </c>
      <c r="AK559" s="488" t="b">
        <f ca="1">IF(OR(NOT(W553),NOT(X543)),FALSE,G559="")</f>
        <v>0</v>
      </c>
      <c r="AL559" s="488" t="b">
        <f ca="1">IF(OR(NOT(Y553),NOT(Z543)),FALSE,K559="")</f>
        <v>0</v>
      </c>
      <c r="AM559" s="488" t="b">
        <f ca="1">IF(OR(NOT(Y553),NOT(Z543)),FALSE,L559="")</f>
        <v>0</v>
      </c>
      <c r="AN559" s="488" t="b">
        <f ca="1">IF(OR(NOT(Y553),NOT(Z543)),FALSE,M559="")</f>
        <v>0</v>
      </c>
      <c r="AO559" s="488" t="b">
        <f ca="1">IF(OR(NOT(Y553),NOT(Z543)),FALSE,N559="")</f>
        <v>0</v>
      </c>
      <c r="AP559" s="495"/>
      <c r="AS559" s="323"/>
      <c r="AT559" s="323"/>
      <c r="AW559" s="485"/>
      <c r="AY559" s="323"/>
      <c r="BA559" s="323"/>
      <c r="BC559" s="323"/>
      <c r="BE559" s="323"/>
      <c r="BG559" s="323"/>
      <c r="BI559" s="323"/>
      <c r="BK559" s="323"/>
      <c r="BM559" s="323"/>
      <c r="BO559" s="323"/>
      <c r="BQ559" s="323"/>
      <c r="BS559" s="323"/>
      <c r="BU559" s="323"/>
      <c r="BW559" s="323"/>
      <c r="BY559" s="323"/>
      <c r="CA559" s="323"/>
      <c r="CC559" s="323"/>
      <c r="CE559" s="323"/>
      <c r="CG559" s="323"/>
      <c r="CI559" s="323"/>
      <c r="CK559" s="323"/>
      <c r="CM559" s="323"/>
      <c r="CO559" s="323"/>
      <c r="CQ559" s="323"/>
      <c r="CS559" s="323"/>
      <c r="CU559" s="323"/>
      <c r="CW559" s="323"/>
      <c r="CY559" s="323"/>
      <c r="DA559" s="323"/>
      <c r="DC559" s="323"/>
      <c r="DE559" s="323"/>
      <c r="DG559" s="323"/>
      <c r="DI559" s="323"/>
      <c r="DJ559" s="485"/>
    </row>
    <row r="560" spans="1:114" ht="11.25" customHeight="1" x14ac:dyDescent="0.3">
      <c r="A560" s="765"/>
      <c r="C560" s="219"/>
      <c r="D560" s="220"/>
      <c r="E560" s="517"/>
      <c r="F560" s="516"/>
      <c r="G560" s="223"/>
      <c r="H560" s="219"/>
      <c r="J560" s="219"/>
      <c r="K560" s="220"/>
      <c r="L560" s="517"/>
      <c r="M560" s="516"/>
      <c r="N560" s="223"/>
      <c r="O560" s="219"/>
      <c r="AB560" s="327" t="str">
        <f t="shared" si="120"/>
        <v/>
      </c>
      <c r="AC560" s="327" t="str">
        <f t="shared" si="121"/>
        <v/>
      </c>
      <c r="AD560" s="327" t="str">
        <f t="shared" si="122"/>
        <v/>
      </c>
      <c r="AE560" s="327" t="str">
        <f t="shared" si="123"/>
        <v/>
      </c>
      <c r="AF560" s="325"/>
      <c r="AG560" s="485">
        <v>6</v>
      </c>
      <c r="AH560" s="496" t="b">
        <f ca="1">IF(OR(NOT(W553),NOT(X543)),FALSE,AND(D560="",OR(AG560&lt;=W554+COUNTIF(E555:E560,$W$218),AG560&lt;=X554+COUNTIF(F555:F560,$W$218))))</f>
        <v>0</v>
      </c>
      <c r="AI560" s="496" t="b">
        <f ca="1">IF(OR(NOT(W553),NOT(X543)),FALSE,AND(E560="",OR(AG560&lt;=W554+COUNTIF(E555:E560,$W$218),AG560&lt;=X554+COUNTIF(F555:F560,$W$218))))</f>
        <v>0</v>
      </c>
      <c r="AJ560" s="496" t="b">
        <f ca="1">IF(OR(NOT(W553),NOT(X543)),FALSE,AND(F560="",OR(AG560&lt;=W554+COUNTIF(E555:E560,$W$218),AG560&lt;=X554+COUNTIF(F555:F560,$W$218))))</f>
        <v>0</v>
      </c>
      <c r="AK560" s="496" t="b">
        <f ca="1">IF(OR(NOT(W553),NOT(X543)),FALSE,AND(G560="",OR(AG560&lt;=W554+COUNTIF(E555:E560,$W$218),AG560&lt;=X554+COUNTIF(F555:F560,$W$218))))</f>
        <v>0</v>
      </c>
      <c r="AL560" s="496" t="b">
        <f ca="1">IF(OR(NOT(Y553),NOT(Z543)),FALSE,AND(K560="",OR(AG560&lt;=Y554+COUNTIF(L555:L560,$W$218),AG560&lt;=Z554+COUNTIF(M555:M560,$W$218))))</f>
        <v>0</v>
      </c>
      <c r="AM560" s="496" t="b">
        <f ca="1">IF(OR(NOT(Y553),NOT(Z543)),FALSE,AND(L560="",OR(AG560&lt;=Y554+COUNTIF(L555:L560,$W$218),AG560&lt;=Z554+COUNTIF(M555:M560,$W$218))))</f>
        <v>0</v>
      </c>
      <c r="AN560" s="496" t="b">
        <f ca="1">IF(OR(NOT(Y553),NOT(Z543)),FALSE,AND(M560="",OR(AG560&lt;=Y554+COUNTIF(L555:L560,$W$218),AG560&lt;=Z554+COUNTIF(M555:M560,$W$218))))</f>
        <v>0</v>
      </c>
      <c r="AO560" s="496" t="b">
        <f ca="1">IF(OR(NOT(Y553),NOT(Z543)),FALSE,AND(N560="",OR(AG560&lt;=Y554+COUNTIF(L555:L560,$W$218),AG560&lt;=Z554+COUNTIF(M555:M560,$W$218))))</f>
        <v>0</v>
      </c>
      <c r="AS560" s="323"/>
      <c r="AT560" s="323"/>
      <c r="AW560" s="485"/>
      <c r="AY560" s="323"/>
      <c r="BA560" s="323"/>
      <c r="BC560" s="323"/>
      <c r="BE560" s="323"/>
      <c r="BG560" s="323"/>
      <c r="BI560" s="323"/>
      <c r="BK560" s="323"/>
      <c r="BM560" s="323"/>
      <c r="BO560" s="323"/>
      <c r="BQ560" s="323"/>
      <c r="BS560" s="323"/>
      <c r="BU560" s="323"/>
      <c r="BW560" s="323"/>
      <c r="BY560" s="323"/>
      <c r="CA560" s="323"/>
      <c r="CC560" s="323"/>
      <c r="CE560" s="323"/>
      <c r="CG560" s="323"/>
      <c r="CI560" s="323"/>
      <c r="CK560" s="323"/>
      <c r="CM560" s="323"/>
      <c r="CO560" s="323"/>
      <c r="CQ560" s="323"/>
      <c r="CS560" s="323"/>
      <c r="CU560" s="323"/>
      <c r="CW560" s="323"/>
      <c r="CY560" s="323"/>
      <c r="DA560" s="323"/>
      <c r="DC560" s="323"/>
      <c r="DE560" s="323"/>
      <c r="DG560" s="323"/>
      <c r="DI560" s="323"/>
      <c r="DJ560" s="485"/>
    </row>
    <row r="561" spans="1:115" ht="11.25" customHeight="1" x14ac:dyDescent="0.3">
      <c r="A561" s="765"/>
      <c r="C561" s="219"/>
      <c r="D561" s="220"/>
      <c r="E561" s="517"/>
      <c r="F561" s="516"/>
      <c r="G561" s="223"/>
      <c r="H561" s="219"/>
      <c r="J561" s="219"/>
      <c r="K561" s="220"/>
      <c r="L561" s="517"/>
      <c r="M561" s="516"/>
      <c r="N561" s="223"/>
      <c r="O561" s="219"/>
      <c r="AB561" s="327" t="str">
        <f t="shared" si="120"/>
        <v/>
      </c>
      <c r="AC561" s="327" t="str">
        <f t="shared" si="121"/>
        <v/>
      </c>
      <c r="AD561" s="327" t="str">
        <f t="shared" si="122"/>
        <v/>
      </c>
      <c r="AE561" s="327" t="str">
        <f t="shared" si="123"/>
        <v/>
      </c>
      <c r="AF561" s="325"/>
      <c r="AG561" s="485">
        <v>7</v>
      </c>
      <c r="AH561" s="496" t="b">
        <f ca="1">IF(OR(NOT(W553),NOT(X543)),FALSE,AND(D561="",OR(AG561&lt;=W554+COUNTIF(E555:E561,$W$218),AG561&lt;=X554+COUNTIF(F555:F561,$W$218))))</f>
        <v>0</v>
      </c>
      <c r="AI561" s="496" t="b">
        <f ca="1">IF(OR(NOT(W553),NOT(X543)),FALSE,AND(E561="",OR(AG561&lt;=W554+COUNTIF(E555:E561,$W$218),AG561&lt;=X554+COUNTIF(F555:F561,$W$218))))</f>
        <v>0</v>
      </c>
      <c r="AJ561" s="496" t="b">
        <f ca="1">IF(OR(NOT(W553),NOT(X543)),FALSE,AND(F561="",OR(AG561&lt;=W554+COUNTIF(E555:E561,$W$218),AG561&lt;=X554+COUNTIF(F555:F561,$W$218))))</f>
        <v>0</v>
      </c>
      <c r="AK561" s="496" t="b">
        <f ca="1">IF(OR(NOT(W553),NOT(X543)),FALSE,AND(G561="",OR(AG561&lt;=W554+COUNTIF(E555:E561,$W$218),AG561&lt;=X554+COUNTIF(F555:F561,$W$218))))</f>
        <v>0</v>
      </c>
      <c r="AL561" s="496" t="b">
        <f ca="1">IF(OR(NOT(Y553),NOT(Z543)),FALSE,AND(K561="",OR(AG561&lt;=Y554+COUNTIF(L555:L561,$W$218),AG561&lt;=Z554+COUNTIF(M555:M561,$W$218))))</f>
        <v>0</v>
      </c>
      <c r="AM561" s="496" t="b">
        <f ca="1">IF(OR(NOT(Y553),NOT(Z543)),FALSE,AND(L561="",OR(AG561&lt;=Y554+COUNTIF(L555:L561,$W$218),AG561&lt;=Z554+COUNTIF(M555:M561,$W$218))))</f>
        <v>0</v>
      </c>
      <c r="AN561" s="496" t="b">
        <f ca="1">IF(OR(NOT(Y553),NOT(Z543)),FALSE,AND(M561="",OR(AG561&lt;=Y554+COUNTIF(L555:L561,$W$218),AG561&lt;=Z554+COUNTIF(M555:M561,$W$218))))</f>
        <v>0</v>
      </c>
      <c r="AO561" s="496" t="b">
        <f ca="1">IF(OR(NOT(Y553),NOT(Z543)),FALSE,AND(N561="",OR(AG561&lt;=Y554+COUNTIF(L555:L561,$W$218),AG561&lt;=Z554+COUNTIF(M555:M561,$W$218))))</f>
        <v>0</v>
      </c>
      <c r="AS561" s="323"/>
      <c r="AT561" s="323"/>
      <c r="AW561" s="485"/>
      <c r="AY561" s="323"/>
      <c r="BA561" s="323"/>
      <c r="BC561" s="323"/>
      <c r="BE561" s="323"/>
      <c r="BG561" s="323"/>
      <c r="BI561" s="323"/>
      <c r="BK561" s="323"/>
      <c r="BM561" s="323"/>
      <c r="BO561" s="323"/>
      <c r="BQ561" s="323"/>
      <c r="BS561" s="323"/>
      <c r="BU561" s="323"/>
      <c r="BW561" s="323"/>
      <c r="BY561" s="323"/>
      <c r="CA561" s="323"/>
      <c r="CC561" s="323"/>
      <c r="CE561" s="323"/>
      <c r="CG561" s="323"/>
      <c r="CI561" s="323"/>
      <c r="CK561" s="323"/>
      <c r="CM561" s="323"/>
      <c r="CO561" s="323"/>
      <c r="CQ561" s="323"/>
      <c r="CS561" s="323"/>
      <c r="CU561" s="323"/>
      <c r="CW561" s="323"/>
      <c r="CY561" s="323"/>
      <c r="DA561" s="323"/>
      <c r="DC561" s="323"/>
      <c r="DE561" s="323"/>
      <c r="DG561" s="323"/>
      <c r="DI561" s="323"/>
      <c r="DJ561" s="485"/>
    </row>
    <row r="562" spans="1:115" ht="11.25" customHeight="1" x14ac:dyDescent="0.3">
      <c r="A562" s="765"/>
      <c r="C562" s="219"/>
      <c r="D562" s="220"/>
      <c r="E562" s="517"/>
      <c r="F562" s="516"/>
      <c r="G562" s="223"/>
      <c r="H562" s="219"/>
      <c r="J562" s="219"/>
      <c r="K562" s="220"/>
      <c r="L562" s="517"/>
      <c r="M562" s="516"/>
      <c r="N562" s="223"/>
      <c r="O562" s="219"/>
      <c r="AB562" s="327" t="str">
        <f t="shared" si="120"/>
        <v/>
      </c>
      <c r="AC562" s="327" t="str">
        <f t="shared" si="121"/>
        <v/>
      </c>
      <c r="AD562" s="327" t="str">
        <f t="shared" si="122"/>
        <v/>
      </c>
      <c r="AE562" s="327" t="str">
        <f t="shared" si="123"/>
        <v/>
      </c>
      <c r="AF562" s="325"/>
      <c r="AG562" s="485">
        <v>8</v>
      </c>
      <c r="AH562" s="496" t="b">
        <f ca="1">IF(OR(NOT(W553),NOT(X543)),FALSE,AND(D562="",OR(AG562&lt;=W554+COUNTIF(E555:E562,$W$218),AG562&lt;=X554+COUNTIF(F555:F562,$W$218))))</f>
        <v>0</v>
      </c>
      <c r="AI562" s="496" t="b">
        <f ca="1">IF(OR(NOT(W553),NOT(X543)),FALSE,AND(E562="",OR(AG562&lt;=W554+COUNTIF(E555:E562,$W$218),AG562&lt;=X554+COUNTIF(F555:F562,$W$218))))</f>
        <v>0</v>
      </c>
      <c r="AJ562" s="496" t="b">
        <f ca="1">IF(OR(NOT(W553),NOT(X543)),FALSE,AND(F562="",OR(AG562&lt;=W554+COUNTIF(E555:E562,$W$218),AG562&lt;=X554+COUNTIF(F555:F562,$W$218))))</f>
        <v>0</v>
      </c>
      <c r="AK562" s="496" t="b">
        <f ca="1">IF(OR(NOT(W553),NOT(X543)),FALSE,AND(G562="",OR(AG562&lt;=W554+COUNTIF(E555:E562,$W$218),AG562&lt;=X554+COUNTIF(F555:F562,$W$218))))</f>
        <v>0</v>
      </c>
      <c r="AL562" s="496" t="b">
        <f ca="1">IF(OR(NOT(Y553),NOT(Z543)),FALSE,AND(K562="",OR(AG562&lt;=Y554+COUNTIF(L555:L562,$W$218),AG562&lt;=Z554+COUNTIF(M555:M562,$W$218))))</f>
        <v>0</v>
      </c>
      <c r="AM562" s="496" t="b">
        <f ca="1">IF(OR(NOT(Y553),NOT(Z543)),FALSE,AND(L562="",OR(AG562&lt;=Y554+COUNTIF(L555:L562,$W$218),AG562&lt;=Z554+COUNTIF(M555:M562,$W$218))))</f>
        <v>0</v>
      </c>
      <c r="AN562" s="496" t="b">
        <f ca="1">IF(OR(NOT(Y553),NOT(Z543)),FALSE,AND(M562="",OR(AG562&lt;=Y554+COUNTIF(L555:L562,$W$218),AG562&lt;=Z554+COUNTIF(M555:M562,$W$218))))</f>
        <v>0</v>
      </c>
      <c r="AO562" s="496" t="b">
        <f ca="1">IF(OR(NOT(Y553),NOT(Z543)),FALSE,AND(N562="",OR(AG562&lt;=Y554+COUNTIF(L555:L562,$W$218),AG562&lt;=Z554+COUNTIF(M555:M562,$W$218))))</f>
        <v>0</v>
      </c>
      <c r="AS562" s="323"/>
      <c r="AT562" s="323"/>
      <c r="AW562" s="485"/>
      <c r="AY562" s="323"/>
      <c r="BA562" s="323"/>
      <c r="BC562" s="323"/>
      <c r="BE562" s="323"/>
      <c r="BG562" s="323"/>
      <c r="BI562" s="323"/>
      <c r="BK562" s="323"/>
      <c r="BM562" s="323"/>
      <c r="BO562" s="323"/>
      <c r="BQ562" s="323"/>
      <c r="BS562" s="323"/>
      <c r="BU562" s="323"/>
      <c r="BW562" s="323"/>
      <c r="BY562" s="323"/>
      <c r="CA562" s="323"/>
      <c r="CC562" s="323"/>
      <c r="CE562" s="323"/>
      <c r="CG562" s="323"/>
      <c r="CI562" s="323"/>
      <c r="CK562" s="323"/>
      <c r="CM562" s="323"/>
      <c r="CO562" s="323"/>
      <c r="CQ562" s="323"/>
      <c r="CS562" s="323"/>
      <c r="CU562" s="323"/>
      <c r="CW562" s="323"/>
      <c r="CY562" s="323"/>
      <c r="DA562" s="323"/>
      <c r="DC562" s="323"/>
      <c r="DE562" s="323"/>
      <c r="DG562" s="323"/>
      <c r="DI562" s="323"/>
      <c r="DJ562" s="485"/>
    </row>
    <row r="563" spans="1:115" ht="11.25" customHeight="1" x14ac:dyDescent="0.3">
      <c r="A563" s="765"/>
      <c r="C563" s="219"/>
      <c r="D563" s="220"/>
      <c r="E563" s="517"/>
      <c r="F563" s="516"/>
      <c r="G563" s="223"/>
      <c r="H563" s="219"/>
      <c r="J563" s="219"/>
      <c r="K563" s="220"/>
      <c r="L563" s="517"/>
      <c r="M563" s="516"/>
      <c r="N563" s="223"/>
      <c r="O563" s="219"/>
      <c r="AB563" s="327" t="str">
        <f t="shared" si="120"/>
        <v/>
      </c>
      <c r="AC563" s="327" t="str">
        <f t="shared" si="121"/>
        <v/>
      </c>
      <c r="AD563" s="327" t="str">
        <f t="shared" si="122"/>
        <v/>
      </c>
      <c r="AE563" s="327" t="str">
        <f t="shared" si="123"/>
        <v/>
      </c>
      <c r="AF563" s="325"/>
      <c r="AG563" s="485">
        <v>9</v>
      </c>
      <c r="AH563" s="496" t="b">
        <f ca="1">IF(OR(NOT(W553),NOT(X543)),FALSE,AND(D563="",OR(AG563&lt;=W554+COUNTIF(E555:E563,$W$218),AG563&lt;=X554+COUNTIF(F555:F563,$W$218))))</f>
        <v>0</v>
      </c>
      <c r="AI563" s="496" t="b">
        <f ca="1">IF(OR(NOT(W553),NOT(X543)),FALSE,AND(E563="",OR(AG563&lt;=W554+COUNTIF(E555:E563,$W$218),AG563&lt;=X554+COUNTIF(F555:F563,$W$218))))</f>
        <v>0</v>
      </c>
      <c r="AJ563" s="496" t="b">
        <f ca="1">IF(OR(NOT(W553),NOT(X543)),FALSE,AND(F563="",OR(AG563&lt;=W554+COUNTIF(E555:E563,$W$218),AG563&lt;=X554+COUNTIF(F555:F563,$W$218))))</f>
        <v>0</v>
      </c>
      <c r="AK563" s="496" t="b">
        <f ca="1">IF(OR(NOT(W553),NOT(X543)),FALSE,AND(G563="",OR(AG563&lt;=W554+COUNTIF(E555:E563,$W$218),AG563&lt;=X554+COUNTIF(F555:F563,$W$218))))</f>
        <v>0</v>
      </c>
      <c r="AL563" s="496" t="b">
        <f ca="1">IF(OR(NOT(Y553),NOT(Z543)),FALSE,AND(K563="",OR(AG563&lt;=Y554+COUNTIF(L555:L563,$W$218),AG563&lt;=Z554+COUNTIF(M555:M563,$W$218))))</f>
        <v>0</v>
      </c>
      <c r="AM563" s="496" t="b">
        <f ca="1">IF(OR(NOT(Y553),NOT(Z543)),FALSE,AND(L563="",OR(AG563&lt;=Y554+COUNTIF(L555:L563,$W$218),AG563&lt;=Z554+COUNTIF(M555:M563,$W$218))))</f>
        <v>0</v>
      </c>
      <c r="AN563" s="496" t="b">
        <f ca="1">IF(OR(NOT(Y553),NOT(Z543)),FALSE,AND(M563="",OR(AG563&lt;=Y554+COUNTIF(L555:L563,$W$218),AG563&lt;=Z554+COUNTIF(M555:M563,$W$218))))</f>
        <v>0</v>
      </c>
      <c r="AO563" s="496" t="b">
        <f ca="1">IF(OR(NOT(Y553),NOT(Z543)),FALSE,AND(N563="",OR(AG563&lt;=Y554+COUNTIF(L555:L563,$W$218),AG563&lt;=Z554+COUNTIF(M555:M563,$W$218))))</f>
        <v>0</v>
      </c>
      <c r="AS563" s="323"/>
      <c r="AT563" s="323"/>
      <c r="AW563" s="485"/>
      <c r="AY563" s="323"/>
      <c r="BA563" s="323"/>
      <c r="BC563" s="323"/>
      <c r="BE563" s="323"/>
      <c r="BG563" s="323"/>
      <c r="BI563" s="323"/>
      <c r="BK563" s="323"/>
      <c r="BM563" s="323"/>
      <c r="BO563" s="323"/>
      <c r="BQ563" s="323"/>
      <c r="BS563" s="323"/>
      <c r="BU563" s="323"/>
      <c r="BW563" s="323"/>
      <c r="BY563" s="323"/>
      <c r="CA563" s="323"/>
      <c r="CC563" s="323"/>
      <c r="CE563" s="323"/>
      <c r="CG563" s="323"/>
      <c r="CI563" s="323"/>
      <c r="CK563" s="323"/>
      <c r="CM563" s="323"/>
      <c r="CO563" s="323"/>
      <c r="CQ563" s="323"/>
      <c r="CS563" s="323"/>
      <c r="CU563" s="323"/>
      <c r="CW563" s="323"/>
      <c r="CY563" s="323"/>
      <c r="DA563" s="323"/>
      <c r="DC563" s="323"/>
      <c r="DE563" s="323"/>
      <c r="DG563" s="323"/>
      <c r="DI563" s="323"/>
      <c r="DJ563" s="485"/>
    </row>
    <row r="564" spans="1:115" ht="11.25" customHeight="1" x14ac:dyDescent="0.3">
      <c r="A564" s="765"/>
      <c r="C564" s="219"/>
      <c r="D564" s="220"/>
      <c r="E564" s="517"/>
      <c r="F564" s="516"/>
      <c r="G564" s="223"/>
      <c r="H564" s="219"/>
      <c r="J564" s="219"/>
      <c r="K564" s="220"/>
      <c r="L564" s="517"/>
      <c r="M564" s="516"/>
      <c r="N564" s="223"/>
      <c r="O564" s="219"/>
      <c r="AB564" s="327" t="str">
        <f t="shared" si="120"/>
        <v/>
      </c>
      <c r="AC564" s="327" t="str">
        <f t="shared" si="121"/>
        <v/>
      </c>
      <c r="AD564" s="327" t="str">
        <f t="shared" si="122"/>
        <v/>
      </c>
      <c r="AE564" s="327" t="str">
        <f t="shared" si="123"/>
        <v/>
      </c>
      <c r="AF564" s="325"/>
      <c r="AG564" s="485">
        <v>10</v>
      </c>
      <c r="AH564" s="496" t="b">
        <f ca="1">IF(OR(NOT(W553),NOT(X543)),FALSE,AND(D564="",OR(AG564&lt;=W554+COUNTIF(E555:E564,$W$218),AG564&lt;=X554+COUNTIF(F555:F564,$W$218))))</f>
        <v>0</v>
      </c>
      <c r="AI564" s="496" t="b">
        <f ca="1">IF(OR(NOT(W553),NOT(X543)),FALSE,AND(E564="",OR(AG564&lt;=W554+COUNTIF(E555:E564,$W$218),AG564&lt;=X554+COUNTIF(F555:F564,$W$218))))</f>
        <v>0</v>
      </c>
      <c r="AJ564" s="496" t="b">
        <f ca="1">IF(OR(NOT(W553),NOT(X543)),FALSE,AND(F564="",OR(AG564&lt;=W554+COUNTIF(E555:E564,$W$218),AG564&lt;=X554+COUNTIF(F555:F564,$W$218))))</f>
        <v>0</v>
      </c>
      <c r="AK564" s="496" t="b">
        <f ca="1">IF(OR(NOT(W553),NOT(X543)),FALSE,AND(G564="",OR(AG564&lt;=W554+COUNTIF(E555:E564,$W$218),AG564&lt;=X554+COUNTIF(F555:F564,$W$218))))</f>
        <v>0</v>
      </c>
      <c r="AL564" s="496" t="b">
        <f ca="1">IF(OR(NOT(Y553),NOT(Z543)),FALSE,AND(K564="",OR(AG564&lt;=Y554+COUNTIF(L555:L564,$W$218),AG564&lt;=Z554+COUNTIF(M555:M564,$W$218))))</f>
        <v>0</v>
      </c>
      <c r="AM564" s="496" t="b">
        <f ca="1">IF(OR(NOT(Y553),NOT(Z543)),FALSE,AND(L564="",OR(AG564&lt;=Y554+COUNTIF(L555:L564,$W$218),AG564&lt;=Z554+COUNTIF(M555:M564,$W$218))))</f>
        <v>0</v>
      </c>
      <c r="AN564" s="496" t="b">
        <f ca="1">IF(OR(NOT(Y553),NOT(Z543)),FALSE,AND(M564="",OR(AG564&lt;=Y554+COUNTIF(L555:L564,$W$218),AG564&lt;=Z554+COUNTIF(M555:M564,$W$218))))</f>
        <v>0</v>
      </c>
      <c r="AO564" s="496" t="b">
        <f ca="1">IF(OR(NOT(Y553),NOT(Z543)),FALSE,AND(N564="",OR(AG564&lt;=Y554+COUNTIF(L555:L564,$W$218),AG564&lt;=Z554+COUNTIF(M555:M564,$W$218))))</f>
        <v>0</v>
      </c>
      <c r="AW564" s="485"/>
      <c r="AY564" s="323"/>
      <c r="BA564" s="323"/>
      <c r="BC564" s="323"/>
      <c r="BE564" s="323"/>
      <c r="BG564" s="323"/>
      <c r="BI564" s="323"/>
      <c r="BK564" s="323"/>
      <c r="BM564" s="323"/>
      <c r="BO564" s="323"/>
      <c r="BQ564" s="323"/>
      <c r="BS564" s="323"/>
      <c r="BU564" s="323"/>
      <c r="BW564" s="323"/>
      <c r="BY564" s="323"/>
      <c r="CA564" s="323"/>
      <c r="CC564" s="323"/>
      <c r="CE564" s="323"/>
      <c r="CG564" s="323"/>
      <c r="CI564" s="323"/>
      <c r="CK564" s="323"/>
      <c r="CM564" s="323"/>
      <c r="CO564" s="323"/>
      <c r="CQ564" s="323"/>
      <c r="CS564" s="323"/>
      <c r="CU564" s="323"/>
      <c r="CW564" s="323"/>
      <c r="CY564" s="323"/>
      <c r="DA564" s="323"/>
      <c r="DC564" s="323"/>
      <c r="DE564" s="323"/>
      <c r="DG564" s="323"/>
      <c r="DI564" s="323"/>
      <c r="DJ564" s="485"/>
    </row>
    <row r="565" spans="1:115" ht="11.25" customHeight="1" x14ac:dyDescent="0.3">
      <c r="A565" s="765"/>
      <c r="C565" s="219"/>
      <c r="D565" s="220"/>
      <c r="E565" s="517"/>
      <c r="F565" s="516"/>
      <c r="G565" s="223"/>
      <c r="H565" s="219"/>
      <c r="J565" s="219"/>
      <c r="K565" s="220"/>
      <c r="L565" s="517"/>
      <c r="M565" s="516"/>
      <c r="N565" s="223"/>
      <c r="O565" s="219"/>
      <c r="AB565" s="327" t="str">
        <f t="shared" si="120"/>
        <v/>
      </c>
      <c r="AC565" s="327" t="str">
        <f t="shared" si="121"/>
        <v/>
      </c>
      <c r="AD565" s="327" t="str">
        <f t="shared" si="122"/>
        <v/>
      </c>
      <c r="AE565" s="327" t="str">
        <f t="shared" si="123"/>
        <v/>
      </c>
      <c r="AF565" s="325"/>
      <c r="AG565" s="485">
        <v>11</v>
      </c>
      <c r="AH565" s="496" t="b">
        <f ca="1">IF(OR(NOT(W553),NOT(X543)),FALSE,AND(D565="",OR(AG565&lt;=W554+COUNTIF(E555:E565,$W$218),AG565&lt;=X554+COUNTIF(F555:F565,$W$218))))</f>
        <v>0</v>
      </c>
      <c r="AI565" s="496" t="b">
        <f ca="1">IF(OR(NOT(W553),NOT(X543)),FALSE,AND(E565="",OR(AG565&lt;=W554+COUNTIF(E555:E565,$W$218),AG565&lt;=X554+COUNTIF(F555:F565,$W$218))))</f>
        <v>0</v>
      </c>
      <c r="AJ565" s="496" t="b">
        <f ca="1">IF(OR(NOT(W553),NOT(X543)),FALSE,AND(F565="",OR(AG565&lt;=W554+COUNTIF(E555:E565,$W$218),AG565&lt;=X554+COUNTIF(F555:F565,$W$218))))</f>
        <v>0</v>
      </c>
      <c r="AK565" s="496" t="b">
        <f ca="1">IF(OR(NOT(W553),NOT(X543)),FALSE,AND(G565="",OR(AG565&lt;=W554+COUNTIF(E555:E565,$W$218),AG565&lt;=X554+COUNTIF(F555:F565,$W$218))))</f>
        <v>0</v>
      </c>
      <c r="AL565" s="496" t="b">
        <f ca="1">IF(OR(NOT(Y553),NOT(Z543)),FALSE,AND(K565="",OR(AG565&lt;=Y554+COUNTIF(L555:L565,$W$218),AG565&lt;=Z554+COUNTIF(M555:M565,$W$218))))</f>
        <v>0</v>
      </c>
      <c r="AM565" s="496" t="b">
        <f ca="1">IF(OR(NOT(Y553),NOT(Z543)),FALSE,AND(L565="",OR(AG565&lt;=Y554+COUNTIF(L555:L565,$W$218),AG565&lt;=Z554+COUNTIF(M555:M565,$W$218))))</f>
        <v>0</v>
      </c>
      <c r="AN565" s="496" t="b">
        <f ca="1">IF(OR(NOT(Y553),NOT(Z543)),FALSE,AND(M565="",OR(AG565&lt;=Y554+COUNTIF(L555:L565,$W$218),AG565&lt;=Z554+COUNTIF(M555:M565,$W$218))))</f>
        <v>0</v>
      </c>
      <c r="AO565" s="496" t="b">
        <f ca="1">IF(OR(NOT(Y553),NOT(Z543)),FALSE,AND(N565="",OR(AG565&lt;=Y554+COUNTIF(L555:L565,$W$218),AG565&lt;=Z554+COUNTIF(M555:M565,$W$218))))</f>
        <v>0</v>
      </c>
      <c r="AW565" s="485"/>
      <c r="AY565" s="323"/>
      <c r="BA565" s="323"/>
      <c r="BC565" s="323"/>
      <c r="BE565" s="323"/>
      <c r="BG565" s="323"/>
      <c r="BI565" s="323"/>
      <c r="BK565" s="323"/>
      <c r="BM565" s="323"/>
      <c r="BO565" s="323"/>
      <c r="BQ565" s="323"/>
      <c r="BS565" s="323"/>
      <c r="BU565" s="323"/>
      <c r="BW565" s="323"/>
      <c r="BY565" s="323"/>
      <c r="CA565" s="323"/>
      <c r="CC565" s="323"/>
      <c r="CE565" s="323"/>
      <c r="CG565" s="323"/>
      <c r="CI565" s="323"/>
      <c r="CK565" s="323"/>
      <c r="CM565" s="323"/>
      <c r="CO565" s="323"/>
      <c r="CQ565" s="323"/>
      <c r="CS565" s="323"/>
      <c r="CU565" s="323"/>
      <c r="CW565" s="323"/>
      <c r="CY565" s="323"/>
      <c r="DA565" s="323"/>
      <c r="DC565" s="323"/>
      <c r="DE565" s="323"/>
      <c r="DG565" s="323"/>
      <c r="DI565" s="323"/>
      <c r="DJ565" s="485"/>
    </row>
    <row r="566" spans="1:115" ht="11.25" customHeight="1" x14ac:dyDescent="0.3">
      <c r="A566" s="765"/>
      <c r="C566" s="219"/>
      <c r="D566" s="220"/>
      <c r="E566" s="517"/>
      <c r="F566" s="516"/>
      <c r="G566" s="223"/>
      <c r="H566" s="219"/>
      <c r="J566" s="219"/>
      <c r="K566" s="220"/>
      <c r="L566" s="517"/>
      <c r="M566" s="516"/>
      <c r="N566" s="223"/>
      <c r="O566" s="219"/>
      <c r="AB566" s="327" t="str">
        <f t="shared" si="120"/>
        <v/>
      </c>
      <c r="AC566" s="327" t="str">
        <f t="shared" si="121"/>
        <v/>
      </c>
      <c r="AD566" s="327" t="str">
        <f t="shared" si="122"/>
        <v/>
      </c>
      <c r="AE566" s="327" t="str">
        <f t="shared" si="123"/>
        <v/>
      </c>
      <c r="AF566" s="325"/>
      <c r="AG566" s="485">
        <v>12</v>
      </c>
      <c r="AH566" s="496" t="b">
        <f ca="1">IF(OR(NOT(W553),NOT(X543)),FALSE,AND(D566="",OR(AG566&lt;=W554+COUNTIF(E555:E566,$W$218),AG566&lt;=X554+COUNTIF(F555:F566,$W$218))))</f>
        <v>0</v>
      </c>
      <c r="AI566" s="496" t="b">
        <f ca="1">IF(OR(NOT(W553),NOT(X543)),FALSE,AND(E566="",OR(AG566&lt;=W554+COUNTIF(E555:E566,$W$218),AG566&lt;=X554+COUNTIF(F555:F566,$W$218))))</f>
        <v>0</v>
      </c>
      <c r="AJ566" s="496" t="b">
        <f ca="1">IF(OR(NOT(W553),NOT(X543)),FALSE,AND(F566="",OR(AG566&lt;=W554+COUNTIF(E555:E566,$W$218),AG566&lt;=X554+COUNTIF(F555:F566,$W$218))))</f>
        <v>0</v>
      </c>
      <c r="AK566" s="496" t="b">
        <f ca="1">IF(OR(NOT(W553),NOT(X543)),FALSE,AND(G566="",OR(AG566&lt;=W554+COUNTIF(E555:E566,$W$218),AG566&lt;=X554+COUNTIF(F555:F566,$W$218))))</f>
        <v>0</v>
      </c>
      <c r="AL566" s="496" t="b">
        <f ca="1">IF(OR(NOT(Y553),NOT(Z543)),FALSE,AND(K566="",OR(AG566&lt;=Y554+COUNTIF(L555:L566,$W$218),AG566&lt;=Z554+COUNTIF(M555:M566,$W$218))))</f>
        <v>0</v>
      </c>
      <c r="AM566" s="496" t="b">
        <f ca="1">IF(OR(NOT(Y553),NOT(Z543)),FALSE,AND(L566="",OR(AG566&lt;=Y554+COUNTIF(L555:L566,$W$218),AG566&lt;=Z554+COUNTIF(M555:M566,$W$218))))</f>
        <v>0</v>
      </c>
      <c r="AN566" s="496" t="b">
        <f ca="1">IF(OR(NOT(Y553),NOT(Z543)),FALSE,AND(M566="",OR(AG566&lt;=Y554+COUNTIF(L555:L566,$W$218),AG566&lt;=Z554+COUNTIF(M555:M566,$W$218))))</f>
        <v>0</v>
      </c>
      <c r="AO566" s="496" t="b">
        <f ca="1">IF(OR(NOT(Y553),NOT(Z543)),FALSE,AND(N566="",OR(AG566&lt;=Y554+COUNTIF(L555:L566,$W$218),AG566&lt;=Z554+COUNTIF(M555:M566,$W$218))))</f>
        <v>0</v>
      </c>
      <c r="AW566" s="485"/>
      <c r="AY566" s="323"/>
      <c r="BA566" s="323"/>
      <c r="BC566" s="323"/>
      <c r="BE566" s="323"/>
      <c r="BG566" s="323"/>
      <c r="BI566" s="323"/>
      <c r="BK566" s="323"/>
      <c r="BM566" s="323"/>
      <c r="BO566" s="323"/>
      <c r="BQ566" s="323"/>
      <c r="BS566" s="323"/>
      <c r="BU566" s="323"/>
      <c r="BW566" s="323"/>
      <c r="BY566" s="323"/>
      <c r="CA566" s="323"/>
      <c r="CC566" s="323"/>
      <c r="CE566" s="323"/>
      <c r="CG566" s="323"/>
      <c r="CI566" s="323"/>
      <c r="CK566" s="323"/>
      <c r="CM566" s="323"/>
      <c r="CO566" s="323"/>
      <c r="CQ566" s="323"/>
      <c r="CS566" s="323"/>
      <c r="CU566" s="323"/>
      <c r="CW566" s="323"/>
      <c r="CY566" s="323"/>
      <c r="DA566" s="323"/>
      <c r="DC566" s="323"/>
      <c r="DE566" s="323"/>
      <c r="DG566" s="323"/>
      <c r="DI566" s="323"/>
      <c r="DJ566" s="485"/>
    </row>
    <row r="567" spans="1:115" ht="11.25" customHeight="1" x14ac:dyDescent="0.3">
      <c r="A567" s="765"/>
      <c r="C567" s="219"/>
      <c r="D567" s="220"/>
      <c r="E567" s="516"/>
      <c r="F567" s="516"/>
      <c r="G567" s="223"/>
      <c r="H567" s="219"/>
      <c r="J567" s="219"/>
      <c r="K567" s="220"/>
      <c r="L567" s="516"/>
      <c r="M567" s="516"/>
      <c r="N567" s="223"/>
      <c r="O567" s="219"/>
      <c r="AB567" s="327" t="str">
        <f t="shared" si="120"/>
        <v/>
      </c>
      <c r="AC567" s="327" t="str">
        <f t="shared" si="121"/>
        <v/>
      </c>
      <c r="AD567" s="327" t="str">
        <f t="shared" si="122"/>
        <v/>
      </c>
      <c r="AE567" s="327" t="str">
        <f t="shared" si="123"/>
        <v/>
      </c>
      <c r="AG567" s="485">
        <v>13</v>
      </c>
      <c r="AH567" s="496" t="b">
        <f ca="1">IF(OR(NOT(W553),NOT(X543)),FALSE,AND(D567="",OR(AG567&lt;=W554+COUNTIF(E555:E567,$W$218),AG567&lt;=X554+COUNTIF(F555:F567,$W$218))))</f>
        <v>0</v>
      </c>
      <c r="AI567" s="496" t="b">
        <f ca="1">IF(OR(NOT(W553),NOT(X543)),FALSE,AND(E567="",OR(AG567&lt;=W554+COUNTIF(E555:E567,$W$218),AG567&lt;=X554+COUNTIF(F555:F567,$W$218))))</f>
        <v>0</v>
      </c>
      <c r="AJ567" s="496" t="b">
        <f ca="1">IF(OR(NOT(W553),NOT(X543)),FALSE,AND(F567="",OR(AG567&lt;=W554+COUNTIF(E555:E567,$W$218),AG567&lt;=X554+COUNTIF(F555:F567,$W$218))))</f>
        <v>0</v>
      </c>
      <c r="AK567" s="496" t="b">
        <f ca="1">IF(OR(NOT(W553),NOT(X543)),FALSE,AND(G567="",OR(AG567&lt;=W554+COUNTIF(E555:E567,$W$218),AG567&lt;=X554+COUNTIF(F555:F567,$W$218))))</f>
        <v>0</v>
      </c>
      <c r="AL567" s="496" t="b">
        <f ca="1">IF(OR(NOT(Y553),NOT(Z543)),FALSE,AND(K567="",OR(AG567&lt;=Y554+COUNTIF(L555:L567,$W$218),AG567&lt;=Z554+COUNTIF(M555:M567,$W$218))))</f>
        <v>0</v>
      </c>
      <c r="AM567" s="496" t="b">
        <f ca="1">IF(OR(NOT(Y553),NOT(Z543)),FALSE,AND(L567="",OR(AG567&lt;=Y554+COUNTIF(L555:L567,$W$218),AG567&lt;=Z554+COUNTIF(M555:M567,$W$218))))</f>
        <v>0</v>
      </c>
      <c r="AN567" s="496" t="b">
        <f ca="1">IF(OR(NOT(Y553),NOT(Z543)),FALSE,AND(M567="",OR(AG567&lt;=Y554+COUNTIF(L555:L567,$W$218),AG567&lt;=Z554+COUNTIF(M555:M567,$W$218))))</f>
        <v>0</v>
      </c>
      <c r="AO567" s="496" t="b">
        <f ca="1">IF(OR(NOT(Y553),NOT(Z543)),FALSE,AND(N567="",OR(AG567&lt;=Y554+COUNTIF(L555:L567,$W$218),AG567&lt;=Z554+COUNTIF(M555:M567,$W$218))))</f>
        <v>0</v>
      </c>
      <c r="AW567" s="485"/>
      <c r="AY567" s="323"/>
      <c r="BA567" s="323"/>
      <c r="BC567" s="323"/>
      <c r="BE567" s="323"/>
      <c r="BG567" s="323"/>
      <c r="BI567" s="323"/>
      <c r="BK567" s="323"/>
      <c r="BM567" s="323"/>
      <c r="BO567" s="323"/>
      <c r="BQ567" s="323"/>
      <c r="BS567" s="323"/>
      <c r="BU567" s="323"/>
      <c r="BW567" s="323"/>
      <c r="BY567" s="323"/>
      <c r="CA567" s="323"/>
      <c r="CC567" s="323"/>
      <c r="CE567" s="323"/>
      <c r="CG567" s="323"/>
      <c r="CI567" s="323"/>
      <c r="CK567" s="323"/>
      <c r="CM567" s="323"/>
      <c r="CO567" s="323"/>
      <c r="CQ567" s="323"/>
      <c r="CS567" s="323"/>
      <c r="CU567" s="323"/>
      <c r="CW567" s="323"/>
      <c r="CY567" s="323"/>
      <c r="DA567" s="323"/>
      <c r="DC567" s="323"/>
      <c r="DE567" s="323"/>
      <c r="DG567" s="323"/>
      <c r="DI567" s="323"/>
      <c r="DJ567" s="485"/>
    </row>
    <row r="568" spans="1:115" ht="11.25" hidden="1" customHeight="1" x14ac:dyDescent="0.3">
      <c r="A568" s="765"/>
      <c r="C568" s="219"/>
      <c r="D568" s="220"/>
      <c r="E568" s="517"/>
      <c r="F568" s="516"/>
      <c r="G568" s="223"/>
      <c r="H568" s="219"/>
      <c r="J568" s="219"/>
      <c r="K568" s="220"/>
      <c r="L568" s="517"/>
      <c r="M568" s="516"/>
      <c r="N568" s="223"/>
      <c r="O568" s="219"/>
      <c r="AB568" s="327" t="str">
        <f t="shared" si="120"/>
        <v/>
      </c>
      <c r="AC568" s="327" t="str">
        <f t="shared" si="121"/>
        <v/>
      </c>
      <c r="AD568" s="327" t="str">
        <f t="shared" si="122"/>
        <v/>
      </c>
      <c r="AE568" s="327" t="str">
        <f t="shared" si="123"/>
        <v/>
      </c>
      <c r="AG568" s="485">
        <v>14</v>
      </c>
      <c r="AH568" s="496" t="b">
        <f ca="1">IF(OR(NOT(W553),NOT(X543)),FALSE,AND(D568="",OR(AG568&lt;=W554+COUNTIF(E555:E568,$W$218),AG568&lt;=X554+COUNTIF(F555:F568,$W$218))))</f>
        <v>0</v>
      </c>
      <c r="AI568" s="496" t="b">
        <f ca="1">IF(OR(NOT(W553),NOT(X543)),FALSE,AND(E568="",OR(AG568&lt;=W554+COUNTIF(E555:E568,$W$218),AG568&lt;=X554+COUNTIF(F555:F568,$W$218))))</f>
        <v>0</v>
      </c>
      <c r="AJ568" s="496" t="b">
        <f ca="1">IF(OR(NOT(W553),NOT(X543)),FALSE,AND(F568="",OR(AG568&lt;=W554+COUNTIF(E555:E568,$W$218),AG568&lt;=X554+COUNTIF(F555:F568,$W$218))))</f>
        <v>0</v>
      </c>
      <c r="AK568" s="496" t="b">
        <f ca="1">IF(OR(NOT(W553),NOT(X543)),FALSE,AND(G568="",OR(AG568&lt;=W554+COUNTIF(E555:E568,$W$218),AG568&lt;=X554+COUNTIF(F555:F568,$W$218))))</f>
        <v>0</v>
      </c>
      <c r="AL568" s="496" t="b">
        <f ca="1">IF(OR(NOT(Y553),NOT(Z543)),FALSE,AND(K568="",OR(AG568&lt;=Y554+COUNTIF(L555:L568,$W$218),AG568&lt;=Z554+COUNTIF(M555:M568,$W$218))))</f>
        <v>0</v>
      </c>
      <c r="AM568" s="496" t="b">
        <f ca="1">IF(OR(NOT(Y553),NOT(Z543)),FALSE,AND(L568="",OR(AG568&lt;=Y554+COUNTIF(L555:L568,$W$218),AG568&lt;=Z554+COUNTIF(M555:M568,$W$218))))</f>
        <v>0</v>
      </c>
      <c r="AN568" s="496" t="b">
        <f ca="1">IF(OR(NOT(Y553),NOT(Z543)),FALSE,AND(M568="",OR(AG568&lt;=Y554+COUNTIF(L555:L568,$W$218),AG568&lt;=Z554+COUNTIF(M555:M568,$W$218))))</f>
        <v>0</v>
      </c>
      <c r="AO568" s="496" t="b">
        <f ca="1">IF(OR(NOT(Y553),NOT(Z543)),FALSE,AND(N568="",OR(AG568&lt;=Y554+COUNTIF(L555:L568,$W$218),AG568&lt;=Z554+COUNTIF(M555:M568,$W$218))))</f>
        <v>0</v>
      </c>
      <c r="AS568" s="323"/>
      <c r="AT568" s="323"/>
      <c r="AW568" s="485"/>
      <c r="AY568" s="323"/>
      <c r="BA568" s="323"/>
      <c r="BC568" s="323"/>
      <c r="BE568" s="323"/>
      <c r="BG568" s="323"/>
      <c r="BI568" s="323"/>
      <c r="BK568" s="323"/>
      <c r="BM568" s="323"/>
      <c r="BO568" s="323"/>
      <c r="BQ568" s="323"/>
      <c r="BS568" s="323"/>
      <c r="BU568" s="323"/>
      <c r="BW568" s="323"/>
      <c r="BY568" s="323"/>
      <c r="CA568" s="323"/>
      <c r="CC568" s="323"/>
      <c r="CE568" s="323"/>
      <c r="CG568" s="323"/>
      <c r="CI568" s="323"/>
      <c r="CK568" s="323"/>
      <c r="CM568" s="323"/>
      <c r="CO568" s="323"/>
      <c r="CQ568" s="323"/>
      <c r="CS568" s="323"/>
      <c r="CU568" s="323"/>
      <c r="CW568" s="323"/>
      <c r="CY568" s="323"/>
      <c r="DA568" s="323"/>
      <c r="DC568" s="323"/>
      <c r="DE568" s="323"/>
      <c r="DG568" s="323"/>
      <c r="DI568" s="323"/>
      <c r="DJ568" s="485"/>
    </row>
    <row r="569" spans="1:115" ht="10.5" hidden="1" customHeight="1" x14ac:dyDescent="0.3">
      <c r="A569" s="76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AQ569" s="323"/>
      <c r="AR569" s="323"/>
      <c r="AS569" s="323"/>
      <c r="AT569" s="323"/>
      <c r="AW569" s="485"/>
      <c r="AY569" s="323"/>
      <c r="BA569" s="323"/>
      <c r="BC569" s="323"/>
      <c r="BE569" s="323"/>
      <c r="BG569" s="323"/>
      <c r="BI569" s="323"/>
      <c r="BK569" s="323"/>
      <c r="BM569" s="323"/>
      <c r="BO569" s="323"/>
      <c r="BQ569" s="323"/>
      <c r="BS569" s="323"/>
      <c r="BU569" s="323"/>
      <c r="BW569" s="323"/>
      <c r="BY569" s="323"/>
      <c r="CA569" s="323"/>
      <c r="CC569" s="323"/>
      <c r="CE569" s="323"/>
      <c r="CG569" s="323"/>
      <c r="CI569" s="323"/>
      <c r="CK569" s="323"/>
      <c r="CM569" s="323"/>
      <c r="CO569" s="323"/>
      <c r="CQ569" s="323"/>
      <c r="CS569" s="323"/>
      <c r="CU569" s="323"/>
      <c r="CW569" s="323"/>
      <c r="CY569" s="323"/>
      <c r="DA569" s="323"/>
      <c r="DC569" s="323"/>
      <c r="DE569" s="323"/>
      <c r="DG569" s="323"/>
      <c r="DI569" s="323"/>
    </row>
    <row r="570" spans="1:115" ht="10.5" customHeight="1" x14ac:dyDescent="0.3">
      <c r="A570" s="76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AQ570" s="323"/>
      <c r="AR570" s="323"/>
      <c r="AS570" s="323"/>
      <c r="AT570" s="323"/>
      <c r="AW570" s="485"/>
      <c r="AY570" s="323"/>
      <c r="BA570" s="323"/>
      <c r="BC570" s="323"/>
      <c r="BE570" s="323"/>
      <c r="BG570" s="323"/>
      <c r="BI570" s="323"/>
      <c r="BK570" s="323"/>
      <c r="BM570" s="323"/>
      <c r="BO570" s="323"/>
      <c r="BQ570" s="323"/>
      <c r="BS570" s="323"/>
      <c r="BU570" s="323"/>
      <c r="BW570" s="323"/>
      <c r="BY570" s="323"/>
      <c r="CA570" s="323"/>
      <c r="CC570" s="323"/>
      <c r="CE570" s="323"/>
      <c r="CG570" s="323"/>
      <c r="CI570" s="323"/>
      <c r="CK570" s="323"/>
      <c r="CM570" s="323"/>
      <c r="CO570" s="323"/>
      <c r="CQ570" s="323"/>
      <c r="CS570" s="323"/>
      <c r="CU570" s="323"/>
      <c r="CW570" s="323"/>
      <c r="CY570" s="323"/>
      <c r="DA570" s="323"/>
      <c r="DC570" s="323"/>
      <c r="DE570" s="323"/>
      <c r="DG570" s="323"/>
      <c r="DI570" s="323"/>
    </row>
    <row r="571" spans="1:115" ht="3.75" customHeight="1" x14ac:dyDescent="0.3">
      <c r="A571" s="765"/>
      <c r="AQ571" s="323"/>
      <c r="AR571" s="323"/>
      <c r="AS571" s="323"/>
      <c r="AT571" s="323"/>
      <c r="AY571" s="323"/>
      <c r="BA571" s="323"/>
      <c r="BC571" s="323"/>
      <c r="BE571" s="323"/>
      <c r="BG571" s="323"/>
      <c r="BI571" s="323"/>
      <c r="BK571" s="323"/>
      <c r="BM571" s="323"/>
      <c r="BO571" s="323"/>
      <c r="BQ571" s="323"/>
      <c r="BS571" s="323"/>
      <c r="BU571" s="323"/>
      <c r="BW571" s="323"/>
      <c r="BY571" s="323"/>
      <c r="CA571" s="323"/>
      <c r="CC571" s="323"/>
      <c r="CE571" s="323"/>
      <c r="CG571" s="323"/>
      <c r="CI571" s="323"/>
      <c r="CK571" s="323"/>
      <c r="CM571" s="323"/>
      <c r="CO571" s="323"/>
      <c r="CQ571" s="323"/>
      <c r="CS571" s="323"/>
      <c r="CU571" s="323"/>
      <c r="CW571" s="323"/>
      <c r="CY571" s="323"/>
      <c r="DA571" s="323"/>
      <c r="DC571" s="323"/>
      <c r="DE571" s="323"/>
      <c r="DG571" s="323"/>
      <c r="DI571" s="323"/>
    </row>
    <row r="572" spans="1:115" ht="12" customHeight="1" x14ac:dyDescent="0.3">
      <c r="A572" s="765"/>
      <c r="B572" s="15"/>
      <c r="C572" s="247" t="str">
        <f>W577</f>
        <v>JÚLIUS 3. – SZOMBAT 18:00</v>
      </c>
      <c r="D572" s="227"/>
      <c r="E572" s="228"/>
      <c r="F572" s="229"/>
      <c r="G572" s="230"/>
      <c r="H572" s="231" t="str">
        <f>W578</f>
        <v>NEGYEDDÖNTŐ</v>
      </c>
      <c r="I572" s="138"/>
      <c r="J572" s="246" t="str">
        <f>Y577</f>
        <v>JÚLIUS 3. – SZOMBAT 21:00</v>
      </c>
      <c r="K572" s="227"/>
      <c r="L572" s="228"/>
      <c r="M572" s="229"/>
      <c r="N572" s="230"/>
      <c r="O572" s="226" t="str">
        <f>Y578</f>
        <v>NEGYEDDÖNTŐ</v>
      </c>
      <c r="AQ572" s="323"/>
      <c r="AR572" s="323"/>
      <c r="AS572" s="323"/>
      <c r="AT572" s="323"/>
      <c r="AY572" s="323"/>
      <c r="BA572" s="323"/>
      <c r="BC572" s="323"/>
      <c r="BE572" s="323"/>
      <c r="BG572" s="323"/>
      <c r="BI572" s="323"/>
      <c r="BK572" s="323"/>
      <c r="BM572" s="323"/>
      <c r="BO572" s="323"/>
      <c r="BQ572" s="323"/>
      <c r="BS572" s="323"/>
      <c r="BU572" s="323"/>
      <c r="BW572" s="323"/>
      <c r="BY572" s="323"/>
      <c r="CA572" s="323"/>
      <c r="CC572" s="323"/>
      <c r="CE572" s="323"/>
      <c r="CG572" s="323"/>
      <c r="CI572" s="323"/>
      <c r="CK572" s="323"/>
      <c r="CM572" s="323"/>
      <c r="CO572" s="323"/>
      <c r="CQ572" s="323"/>
      <c r="CS572" s="323"/>
      <c r="CU572" s="323"/>
      <c r="CW572" s="323"/>
      <c r="CY572" s="323"/>
      <c r="DA572" s="323"/>
      <c r="DC572" s="323"/>
      <c r="DE572" s="323"/>
      <c r="DG572" s="323"/>
      <c r="DI572" s="323"/>
    </row>
    <row r="573" spans="1:115" s="138" customFormat="1" ht="14.25" customHeight="1" x14ac:dyDescent="0.3">
      <c r="A573" s="765"/>
      <c r="B573" s="137"/>
      <c r="C573" s="233" t="str">
        <f>IF(W580=0,"",IF(W580&gt;0,CONCATENATE("még ",W580," gól"),CONCATENATE("túl sok (",W580," gól)")))</f>
        <v/>
      </c>
      <c r="D573" s="714" t="str">
        <f>W581</f>
        <v>7/8 győztese</v>
      </c>
      <c r="E573" s="716" t="str">
        <f>W582</f>
        <v/>
      </c>
      <c r="F573" s="717" t="str">
        <f>X582</f>
        <v/>
      </c>
      <c r="G573" s="715" t="str">
        <f>X581</f>
        <v>8/8 győztese</v>
      </c>
      <c r="H573" s="232" t="str">
        <f>IF(X580=0,"",IF(X580&gt;0,CONCATENATE("még ",X580," gól"),CONCATENATE("túl sok (",X580," gól)")))</f>
        <v/>
      </c>
      <c r="I573" s="127"/>
      <c r="J573" s="233" t="str">
        <f>IF(Y580=0,"",IF(Y580&gt;0,CONCATENATE("még ",Y580," gól"),CONCATENATE("túl sok (",Y580," gól)")))</f>
        <v/>
      </c>
      <c r="K573" s="714" t="str">
        <f>Y581</f>
        <v>5/8 győztese</v>
      </c>
      <c r="L573" s="716" t="str">
        <f>Y582</f>
        <v/>
      </c>
      <c r="M573" s="717" t="str">
        <f>Z582</f>
        <v/>
      </c>
      <c r="N573" s="715" t="str">
        <f>Z581</f>
        <v>6/8 győztese</v>
      </c>
      <c r="O573" s="232" t="str">
        <f>IF(Z580=0,"",IF(Z580&gt;0,CONCATENATE("még ",Z580," gól"),CONCATENATE("túl sok (",Z580," gól)")))</f>
        <v/>
      </c>
      <c r="P573" s="139"/>
      <c r="Q573" s="140"/>
      <c r="R573" s="141"/>
      <c r="S573" s="141"/>
      <c r="T573" s="484"/>
      <c r="U573" s="485"/>
      <c r="V573" s="485"/>
      <c r="W573" s="485"/>
      <c r="X573" s="485"/>
      <c r="Y573" s="485"/>
      <c r="Z573" s="485"/>
      <c r="AA573" s="485"/>
      <c r="AB573" s="242" t="e">
        <f>HLOOKUP(D573,nevek.li,2,FALSE)</f>
        <v>#N/A</v>
      </c>
      <c r="AC573" s="242" t="e">
        <f>HLOOKUP(G573,nevek.li,2,FALSE)</f>
        <v>#N/A</v>
      </c>
      <c r="AD573" s="242" t="e">
        <f>HLOOKUP(K573,nevek.li,2,FALSE)</f>
        <v>#N/A</v>
      </c>
      <c r="AE573" s="242" t="e">
        <f>HLOOKUP(N573,nevek.li,2,FALSE)</f>
        <v>#N/A</v>
      </c>
      <c r="AF573" s="485"/>
      <c r="AG573" s="485"/>
      <c r="AH573" s="485"/>
      <c r="AI573" s="485"/>
      <c r="AJ573" s="485"/>
      <c r="AK573" s="485"/>
      <c r="AL573" s="485"/>
      <c r="AM573" s="485"/>
      <c r="AN573" s="485"/>
      <c r="AO573" s="485"/>
      <c r="AP573" s="485"/>
      <c r="AQ573" s="485"/>
      <c r="AR573" s="485"/>
      <c r="AS573" s="485"/>
      <c r="AT573" s="485"/>
      <c r="AU573" s="485"/>
      <c r="AV573" s="500"/>
      <c r="AW573" s="323"/>
      <c r="AX573" s="323"/>
      <c r="AY573" s="323"/>
      <c r="AZ573" s="323"/>
      <c r="BA573" s="323"/>
      <c r="BB573" s="323"/>
      <c r="BC573" s="323"/>
      <c r="BD573" s="323"/>
      <c r="BE573" s="323"/>
      <c r="BF573" s="323"/>
      <c r="BG573" s="323"/>
      <c r="BH573" s="323"/>
      <c r="BI573" s="323"/>
      <c r="BJ573" s="323"/>
      <c r="BK573" s="323"/>
      <c r="BL573" s="323"/>
      <c r="BM573" s="323"/>
      <c r="BN573" s="323"/>
      <c r="BO573" s="323"/>
      <c r="BP573" s="323"/>
      <c r="BQ573" s="323"/>
      <c r="BR573" s="323"/>
      <c r="BS573" s="323"/>
      <c r="BT573" s="323"/>
      <c r="BU573" s="323"/>
      <c r="BV573" s="323"/>
      <c r="BW573" s="323"/>
      <c r="BX573" s="323"/>
      <c r="BY573" s="323"/>
      <c r="BZ573" s="323"/>
      <c r="CA573" s="323"/>
      <c r="CB573" s="323"/>
      <c r="CC573" s="323"/>
      <c r="CD573" s="323"/>
      <c r="CE573" s="323"/>
      <c r="CF573" s="323"/>
      <c r="CG573" s="323"/>
      <c r="CH573" s="323"/>
      <c r="CI573" s="323"/>
      <c r="CJ573" s="323"/>
      <c r="CK573" s="323"/>
      <c r="CL573" s="323"/>
      <c r="CM573" s="323"/>
      <c r="CN573" s="323"/>
      <c r="CO573" s="323"/>
      <c r="CP573" s="323"/>
      <c r="CQ573" s="323"/>
      <c r="CR573" s="323"/>
      <c r="CS573" s="323"/>
      <c r="CT573" s="323"/>
      <c r="CU573" s="323"/>
      <c r="CV573" s="323"/>
      <c r="CW573" s="323"/>
      <c r="CX573" s="323"/>
      <c r="CY573" s="323"/>
      <c r="CZ573" s="323"/>
      <c r="DA573" s="323"/>
      <c r="DB573" s="323"/>
      <c r="DC573" s="323"/>
      <c r="DD573" s="323"/>
      <c r="DE573" s="323"/>
      <c r="DF573" s="323"/>
      <c r="DG573" s="323"/>
      <c r="DH573" s="323"/>
      <c r="DI573" s="323"/>
      <c r="DJ573" s="323"/>
      <c r="DK573" s="500"/>
    </row>
    <row r="574" spans="1:115" ht="12" customHeight="1" x14ac:dyDescent="0.3">
      <c r="A574" s="765"/>
      <c r="C574" s="218"/>
      <c r="D574" s="220"/>
      <c r="E574" s="221"/>
      <c r="F574" s="222"/>
      <c r="G574" s="223"/>
      <c r="H574" s="218"/>
      <c r="J574" s="218"/>
      <c r="K574" s="220"/>
      <c r="L574" s="221"/>
      <c r="M574" s="222"/>
      <c r="N574" s="223"/>
      <c r="O574" s="218"/>
      <c r="V574" s="487" t="s">
        <v>706</v>
      </c>
      <c r="W574" s="242">
        <v>47</v>
      </c>
      <c r="X574" s="485" t="str">
        <f>""</f>
        <v/>
      </c>
      <c r="Y574" s="242">
        <v>48</v>
      </c>
      <c r="AB574" s="327" t="e">
        <f>IF(C574="öngól",AC573,AB573)</f>
        <v>#N/A</v>
      </c>
      <c r="AC574" s="327" t="e">
        <f>IF(H574="öngól",AB573,AC573)</f>
        <v>#N/A</v>
      </c>
      <c r="AD574" s="327" t="e">
        <f>IF(J574="öngól",AE573,AD573)</f>
        <v>#N/A</v>
      </c>
      <c r="AE574" s="327" t="e">
        <f>IF(O574="öngól",AD573,AE573)</f>
        <v>#N/A</v>
      </c>
      <c r="AF574" s="325"/>
      <c r="AG574" s="485">
        <v>1</v>
      </c>
      <c r="AH574" s="488" t="b">
        <f ca="1">AND(W576,X577,D574="",AG574&lt;=W582)</f>
        <v>0</v>
      </c>
      <c r="AI574" s="488" t="b">
        <f ca="1">AND(W576,X577,E574="",AG574&lt;=W582)</f>
        <v>0</v>
      </c>
      <c r="AJ574" s="488" t="b">
        <f ca="1">AND(W576,X577,F574="",AG574&lt;=X582)</f>
        <v>0</v>
      </c>
      <c r="AK574" s="488" t="b">
        <f ca="1">AND(W576,X577,G574="",AG574&lt;=X582)</f>
        <v>0</v>
      </c>
      <c r="AL574" s="488" t="b">
        <f ca="1">AND(Y576,Z577,K574="",AG574&lt;=Y582)</f>
        <v>0</v>
      </c>
      <c r="AM574" s="488" t="b">
        <f ca="1">AND(Y576,Z577,L574="",AG574&lt;=Y582)</f>
        <v>0</v>
      </c>
      <c r="AN574" s="488" t="b">
        <f ca="1">AND(Y576,Z577,M574="",AG574&lt;=Z582)</f>
        <v>0</v>
      </c>
      <c r="AO574" s="488" t="b">
        <f ca="1">AND(Y576,Z577,N574="",AG574&lt;=Z582)</f>
        <v>0</v>
      </c>
      <c r="AQ574" s="326" t="str">
        <f>IF(OR(NOT(Góllista!$E$6),D574=""),"",IF(C574="öngól","ö"&amp;G573&amp;D574,D573&amp;D574))</f>
        <v/>
      </c>
      <c r="AR574" s="326" t="str">
        <f>IF(OR(NOT(Góllista!$E$6),G574=""),"",IF(H574="öngól","ö"&amp;D573&amp;G574,G573&amp;G574))</f>
        <v/>
      </c>
      <c r="AS574" s="326" t="str">
        <f>IF(OR(NOT(Góllista!$E$6),K574=""),"",IF(J574="öngól","ö"&amp;N573&amp;K574,K573&amp;K574))</f>
        <v/>
      </c>
      <c r="AT574" s="326" t="str">
        <f>IF(OR(NOT(Góllista!$E$6),N574=""),"",IF(O574="öngól","ö"&amp;K573&amp;N574,N573&amp;N574))</f>
        <v/>
      </c>
      <c r="AY574" s="323"/>
      <c r="BA574" s="323"/>
      <c r="BC574" s="323"/>
      <c r="BE574" s="323"/>
      <c r="BG574" s="323"/>
      <c r="BI574" s="323"/>
      <c r="BK574" s="323"/>
      <c r="BM574" s="323"/>
      <c r="BO574" s="323"/>
      <c r="BQ574" s="323"/>
      <c r="BS574" s="323"/>
      <c r="BU574" s="323"/>
      <c r="BW574" s="323"/>
      <c r="BY574" s="323"/>
      <c r="CA574" s="323"/>
      <c r="CC574" s="323"/>
      <c r="CE574" s="323"/>
      <c r="CG574" s="323"/>
      <c r="CI574" s="323"/>
      <c r="CK574" s="323"/>
      <c r="CM574" s="323"/>
      <c r="CO574" s="323"/>
      <c r="CQ574" s="323"/>
      <c r="CS574" s="323"/>
      <c r="CU574" s="323"/>
      <c r="CW574" s="323"/>
      <c r="CY574" s="323"/>
      <c r="DA574" s="323"/>
      <c r="DC574" s="323"/>
      <c r="DE574" s="323"/>
      <c r="DG574" s="323"/>
      <c r="DI574" s="323"/>
    </row>
    <row r="575" spans="1:115" ht="12" customHeight="1" x14ac:dyDescent="0.3">
      <c r="A575" s="765"/>
      <c r="C575" s="219"/>
      <c r="D575" s="220"/>
      <c r="E575" s="224"/>
      <c r="F575" s="222"/>
      <c r="G575" s="223"/>
      <c r="H575" s="219"/>
      <c r="J575" s="219"/>
      <c r="K575" s="220"/>
      <c r="L575" s="224"/>
      <c r="M575" s="222"/>
      <c r="N575" s="223"/>
      <c r="O575" s="219"/>
      <c r="V575" s="487" t="s">
        <v>711</v>
      </c>
      <c r="W575" s="327">
        <f>MATCH(W574,n.er.index,0)</f>
        <v>123</v>
      </c>
      <c r="X575" s="485" t="str">
        <f>""</f>
        <v/>
      </c>
      <c r="Y575" s="327">
        <f>MATCH(Y574,n.er.index,0)</f>
        <v>124</v>
      </c>
      <c r="AB575" s="327" t="e">
        <f>IF(C575="öngól",AC573,AB573)</f>
        <v>#N/A</v>
      </c>
      <c r="AC575" s="327" t="e">
        <f>IF(H575="öngól",AB573,AC573)</f>
        <v>#N/A</v>
      </c>
      <c r="AD575" s="327" t="e">
        <f>IF(J575="öngól",AE573,AD573)</f>
        <v>#N/A</v>
      </c>
      <c r="AE575" s="327" t="e">
        <f>IF(O575="öngól",AD573,AE573)</f>
        <v>#N/A</v>
      </c>
      <c r="AF575" s="325"/>
      <c r="AG575" s="485">
        <v>2</v>
      </c>
      <c r="AH575" s="488" t="b">
        <f ca="1">AND(W576,X577,D575="",AG575&lt;=W582)</f>
        <v>0</v>
      </c>
      <c r="AI575" s="488" t="b">
        <f ca="1">AND(W576,X577,E575="",AG575&lt;=W582)</f>
        <v>0</v>
      </c>
      <c r="AJ575" s="488" t="b">
        <f ca="1">AND(W576,X577,F575="",AG575&lt;=X582)</f>
        <v>0</v>
      </c>
      <c r="AK575" s="488" t="b">
        <f ca="1">AND(W576,X577,G575="",AG575&lt;=X582)</f>
        <v>0</v>
      </c>
      <c r="AL575" s="488" t="b">
        <f ca="1">AND(Y576,Z577,K575="",AG575&lt;=Y582)</f>
        <v>0</v>
      </c>
      <c r="AM575" s="488" t="b">
        <f ca="1">AND(Y576,Z577,L575="",AG575&lt;=Y582)</f>
        <v>0</v>
      </c>
      <c r="AN575" s="488" t="b">
        <f ca="1">AND(Y576,Z577,M575="",AG575&lt;=Z582)</f>
        <v>0</v>
      </c>
      <c r="AO575" s="488" t="b">
        <f ca="1">AND(Y576,Z577,N575="",AG575&lt;=Z582)</f>
        <v>0</v>
      </c>
      <c r="AQ575" s="326" t="str">
        <f>IF(OR(NOT(Góllista!$E$6),D575=""),"",IF(C575="öngól","ö"&amp;G573&amp;D575,D573&amp;D575))</f>
        <v/>
      </c>
      <c r="AR575" s="326" t="str">
        <f>IF(OR(NOT(Góllista!$E$6),G575=""),"",IF(H575="öngól","ö"&amp;D573&amp;G575,G573&amp;G575))</f>
        <v/>
      </c>
      <c r="AS575" s="326" t="str">
        <f>IF(OR(NOT(Góllista!$E$6),K575=""),"",IF(J575="öngól","ö"&amp;N573&amp;K575,K573&amp;K575))</f>
        <v/>
      </c>
      <c r="AT575" s="326" t="str">
        <f>IF(OR(NOT(Góllista!$E$6),N575=""),"",IF(O575="öngól","ö"&amp;K573&amp;N575,N573&amp;N575))</f>
        <v/>
      </c>
      <c r="AY575" s="323"/>
      <c r="BA575" s="323"/>
      <c r="BC575" s="323"/>
      <c r="BE575" s="323"/>
      <c r="BG575" s="323"/>
      <c r="BI575" s="323"/>
      <c r="BK575" s="323"/>
      <c r="BM575" s="323"/>
      <c r="BO575" s="323"/>
      <c r="BQ575" s="323"/>
      <c r="BS575" s="323"/>
      <c r="BU575" s="323"/>
      <c r="BW575" s="323"/>
      <c r="BY575" s="323"/>
      <c r="CA575" s="323"/>
      <c r="CC575" s="323"/>
      <c r="CE575" s="323"/>
      <c r="CG575" s="323"/>
      <c r="CI575" s="323"/>
      <c r="CK575" s="323"/>
      <c r="CM575" s="323"/>
      <c r="CO575" s="323"/>
      <c r="CQ575" s="323"/>
      <c r="CS575" s="323"/>
      <c r="CU575" s="323"/>
      <c r="CW575" s="323"/>
      <c r="CY575" s="323"/>
      <c r="DA575" s="323"/>
      <c r="DC575" s="323"/>
      <c r="DE575" s="323"/>
      <c r="DG575" s="323"/>
      <c r="DI575" s="323"/>
    </row>
    <row r="576" spans="1:115" ht="12" customHeight="1" x14ac:dyDescent="0.3">
      <c r="A576" s="765"/>
      <c r="C576" s="219"/>
      <c r="D576" s="220"/>
      <c r="E576" s="224"/>
      <c r="F576" s="222"/>
      <c r="G576" s="223"/>
      <c r="H576" s="219"/>
      <c r="J576" s="219"/>
      <c r="K576" s="220"/>
      <c r="L576" s="224"/>
      <c r="M576" s="222"/>
      <c r="N576" s="223"/>
      <c r="O576" s="219"/>
      <c r="V576" s="487" t="s">
        <v>710</v>
      </c>
      <c r="W576" s="489" t="b">
        <f>INDEX(n.er,W575,3)</f>
        <v>0</v>
      </c>
      <c r="X576" s="485" t="str">
        <f>""</f>
        <v/>
      </c>
      <c r="Y576" s="489" t="b">
        <f>INDEX(n.er,Y575,3)</f>
        <v>0</v>
      </c>
      <c r="AB576" s="327" t="e">
        <f>IF(C576="öngól",AC573,AB573)</f>
        <v>#N/A</v>
      </c>
      <c r="AC576" s="327" t="e">
        <f>IF(H576="öngól",AB573,AC573)</f>
        <v>#N/A</v>
      </c>
      <c r="AD576" s="327" t="e">
        <f>IF(J576="öngól",AE573,AD573)</f>
        <v>#N/A</v>
      </c>
      <c r="AE576" s="327" t="e">
        <f>IF(O576="öngól",AD573,AE573)</f>
        <v>#N/A</v>
      </c>
      <c r="AF576" s="325"/>
      <c r="AG576" s="485">
        <v>3</v>
      </c>
      <c r="AH576" s="488" t="b">
        <f ca="1">AND(W576,X577,D576="",AG576&lt;=W582)</f>
        <v>0</v>
      </c>
      <c r="AI576" s="488" t="b">
        <f ca="1">AND(W576,X577,E576="",AG576&lt;=W582)</f>
        <v>0</v>
      </c>
      <c r="AJ576" s="488" t="b">
        <f ca="1">AND(W576,X577,F576="",AG576&lt;=X582)</f>
        <v>0</v>
      </c>
      <c r="AK576" s="488" t="b">
        <f ca="1">AND(W576,X577,G576="",AG576&lt;=X582)</f>
        <v>0</v>
      </c>
      <c r="AL576" s="488" t="b">
        <f ca="1">AND(Y576,Z577,K576="",AG576&lt;=Y582)</f>
        <v>0</v>
      </c>
      <c r="AM576" s="488" t="b">
        <f ca="1">AND(Y576,Z577,L576="",AG576&lt;=Y582)</f>
        <v>0</v>
      </c>
      <c r="AN576" s="488" t="b">
        <f ca="1">AND(Y576,Z577,M576="",AG576&lt;=Z582)</f>
        <v>0</v>
      </c>
      <c r="AO576" s="488" t="b">
        <f ca="1">AND(Y576,Z577,N576="",AG576&lt;=Z582)</f>
        <v>0</v>
      </c>
      <c r="AQ576" s="326" t="str">
        <f>IF(OR(NOT(Góllista!$E$6),D576=""),"",IF(C576="öngól","ö"&amp;G573&amp;D576,D573&amp;D576))</f>
        <v/>
      </c>
      <c r="AR576" s="326" t="str">
        <f>IF(OR(NOT(Góllista!$E$6),G576=""),"",IF(H576="öngól","ö"&amp;D573&amp;G576,G573&amp;G576))</f>
        <v/>
      </c>
      <c r="AS576" s="326" t="str">
        <f>IF(OR(NOT(Góllista!$E$6),K576=""),"",IF(J576="öngól","ö"&amp;N573&amp;K576,K573&amp;K576))</f>
        <v/>
      </c>
      <c r="AT576" s="326" t="str">
        <f>IF(OR(NOT(Góllista!$E$6),N576=""),"",IF(O576="öngól","ö"&amp;K573&amp;N576,N573&amp;N576))</f>
        <v/>
      </c>
      <c r="AY576" s="323"/>
      <c r="BA576" s="323"/>
      <c r="BC576" s="323"/>
      <c r="BE576" s="323"/>
      <c r="BG576" s="323"/>
      <c r="BI576" s="323"/>
      <c r="BK576" s="323"/>
      <c r="BM576" s="323"/>
      <c r="BO576" s="323"/>
      <c r="BQ576" s="323"/>
      <c r="BS576" s="323"/>
      <c r="BU576" s="323"/>
      <c r="BW576" s="323"/>
      <c r="BY576" s="323"/>
      <c r="CA576" s="323"/>
      <c r="CC576" s="323"/>
      <c r="CE576" s="323"/>
      <c r="CG576" s="323"/>
      <c r="CI576" s="323"/>
      <c r="CK576" s="323"/>
      <c r="CM576" s="323"/>
      <c r="CO576" s="323"/>
      <c r="CQ576" s="323"/>
      <c r="CS576" s="323"/>
      <c r="CU576" s="323"/>
      <c r="CW576" s="323"/>
      <c r="CY576" s="323"/>
      <c r="DA576" s="323"/>
      <c r="DC576" s="323"/>
      <c r="DE576" s="323"/>
      <c r="DG576" s="323"/>
      <c r="DI576" s="323"/>
    </row>
    <row r="577" spans="1:114" ht="12" customHeight="1" x14ac:dyDescent="0.3">
      <c r="A577" s="765"/>
      <c r="C577" s="219"/>
      <c r="D577" s="220"/>
      <c r="E577" s="224"/>
      <c r="F577" s="222"/>
      <c r="G577" s="223"/>
      <c r="H577" s="219"/>
      <c r="J577" s="219"/>
      <c r="K577" s="220"/>
      <c r="L577" s="224"/>
      <c r="M577" s="222"/>
      <c r="N577" s="223"/>
      <c r="O577" s="219"/>
      <c r="V577" s="487" t="s">
        <v>705</v>
      </c>
      <c r="W577" s="490" t="str">
        <f>VLOOKUP(W574,schedule,18,FALSE)</f>
        <v>JÚLIUS 3. – SZOMBAT 18:00</v>
      </c>
      <c r="X577" s="489" t="b">
        <f ca="1">VLOOKUP(W574,schedule,14,FALSE)&lt;=NOW()</f>
        <v>0</v>
      </c>
      <c r="Y577" s="490" t="str">
        <f>VLOOKUP(Y574,schedule,18,FALSE)</f>
        <v>JÚLIUS 3. – SZOMBAT 21:00</v>
      </c>
      <c r="Z577" s="489" t="b">
        <f ca="1">VLOOKUP(Y574,schedule,14,FALSE)&lt;=NOW()</f>
        <v>0</v>
      </c>
      <c r="AB577" s="327" t="e">
        <f>IF(C577="öngól",AC573,AB573)</f>
        <v>#N/A</v>
      </c>
      <c r="AC577" s="327" t="e">
        <f>IF(H577="öngól",AB573,AC573)</f>
        <v>#N/A</v>
      </c>
      <c r="AD577" s="327" t="e">
        <f>IF(J577="öngól",AE573,AD573)</f>
        <v>#N/A</v>
      </c>
      <c r="AE577" s="327" t="e">
        <f>IF(O577="öngól",AD573,AE573)</f>
        <v>#N/A</v>
      </c>
      <c r="AF577" s="325"/>
      <c r="AG577" s="485">
        <v>4</v>
      </c>
      <c r="AH577" s="488" t="b">
        <f ca="1">AND(W576,X577,D577="",AG577&lt;=W582)</f>
        <v>0</v>
      </c>
      <c r="AI577" s="488" t="b">
        <f ca="1">AND(W576,X577,E577="",AG577&lt;=W582)</f>
        <v>0</v>
      </c>
      <c r="AJ577" s="488" t="b">
        <f ca="1">AND(W576,X577,F577="",AG577&lt;=X582)</f>
        <v>0</v>
      </c>
      <c r="AK577" s="488" t="b">
        <f ca="1">AND(W576,X577,G577="",AG577&lt;=X582)</f>
        <v>0</v>
      </c>
      <c r="AL577" s="488" t="b">
        <f ca="1">AND(Y576,Z577,K577="",AG577&lt;=Y582)</f>
        <v>0</v>
      </c>
      <c r="AM577" s="488" t="b">
        <f ca="1">AND(Y576,Z577,L577="",AG577&lt;=Y582)</f>
        <v>0</v>
      </c>
      <c r="AN577" s="488" t="b">
        <f ca="1">AND(Y576,Z577,M577="",AG577&lt;=Z582)</f>
        <v>0</v>
      </c>
      <c r="AO577" s="488" t="b">
        <f ca="1">AND(Y576,Z577,N577="",AG577&lt;=Z582)</f>
        <v>0</v>
      </c>
      <c r="AQ577" s="326" t="str">
        <f>IF(OR(NOT(Góllista!$E$6),D577=""),"",IF(C577="öngól","ö"&amp;G573&amp;D577,D573&amp;D577))</f>
        <v/>
      </c>
      <c r="AR577" s="326" t="str">
        <f>IF(OR(NOT(Góllista!$E$6),G577=""),"",IF(H577="öngól","ö"&amp;D573&amp;G577,G573&amp;G577))</f>
        <v/>
      </c>
      <c r="AS577" s="326" t="str">
        <f>IF(OR(NOT(Góllista!$E$6),K577=""),"",IF(J577="öngól","ö"&amp;N573&amp;K577,K573&amp;K577))</f>
        <v/>
      </c>
      <c r="AT577" s="326" t="str">
        <f>IF(OR(NOT(Góllista!$E$6),N577=""),"",IF(O577="öngól","ö"&amp;K573&amp;N577,N573&amp;N577))</f>
        <v/>
      </c>
      <c r="AY577" s="323"/>
      <c r="BA577" s="323"/>
      <c r="BC577" s="323"/>
      <c r="BE577" s="323"/>
      <c r="BG577" s="323"/>
      <c r="BI577" s="323"/>
      <c r="BK577" s="323"/>
      <c r="BM577" s="323"/>
      <c r="BO577" s="323"/>
      <c r="BQ577" s="323"/>
      <c r="BS577" s="323"/>
      <c r="BU577" s="323"/>
      <c r="BW577" s="323"/>
      <c r="BY577" s="323"/>
      <c r="CA577" s="323"/>
      <c r="CC577" s="323"/>
      <c r="CE577" s="323"/>
      <c r="CG577" s="323"/>
      <c r="CI577" s="323"/>
      <c r="CK577" s="323"/>
      <c r="CM577" s="323"/>
      <c r="CO577" s="323"/>
      <c r="CQ577" s="323"/>
      <c r="CS577" s="323"/>
      <c r="CU577" s="323"/>
      <c r="CW577" s="323"/>
      <c r="CY577" s="323"/>
      <c r="DA577" s="323"/>
      <c r="DC577" s="323"/>
      <c r="DE577" s="323"/>
      <c r="DG577" s="323"/>
      <c r="DI577" s="323"/>
    </row>
    <row r="578" spans="1:114" ht="12" customHeight="1" x14ac:dyDescent="0.3">
      <c r="A578" s="765"/>
      <c r="C578" s="219"/>
      <c r="D578" s="220"/>
      <c r="E578" s="224"/>
      <c r="F578" s="222"/>
      <c r="G578" s="223"/>
      <c r="H578" s="219"/>
      <c r="J578" s="219"/>
      <c r="K578" s="220"/>
      <c r="L578" s="224"/>
      <c r="M578" s="222"/>
      <c r="N578" s="223"/>
      <c r="O578" s="219"/>
      <c r="V578" s="487" t="s">
        <v>1265</v>
      </c>
      <c r="W578" s="491" t="str">
        <f>VLOOKUP(W574,schedule,12,FALSE)</f>
        <v>NEGYEDDÖNTŐ</v>
      </c>
      <c r="X578" s="485" t="str">
        <f>""</f>
        <v/>
      </c>
      <c r="Y578" s="491" t="str">
        <f>VLOOKUP(Y574,schedule,12,FALSE)</f>
        <v>NEGYEDDÖNTŐ</v>
      </c>
      <c r="AB578" s="327" t="e">
        <f>IF(C578="öngól",AC573,AB573)</f>
        <v>#N/A</v>
      </c>
      <c r="AC578" s="327" t="e">
        <f>IF(H578="öngól",AB573,AC573)</f>
        <v>#N/A</v>
      </c>
      <c r="AD578" s="327" t="e">
        <f>IF(J578="öngól",AE573,AD573)</f>
        <v>#N/A</v>
      </c>
      <c r="AE578" s="327" t="e">
        <f>IF(O578="öngól",AD573,AE573)</f>
        <v>#N/A</v>
      </c>
      <c r="AF578" s="325"/>
      <c r="AG578" s="485">
        <v>5</v>
      </c>
      <c r="AH578" s="488" t="b">
        <f ca="1">AND(W576,X577,D578="",AG578&lt;=W582)</f>
        <v>0</v>
      </c>
      <c r="AI578" s="488" t="b">
        <f ca="1">AND(W576,X577,E578="",AG578&lt;=W582)</f>
        <v>0</v>
      </c>
      <c r="AJ578" s="488" t="b">
        <f ca="1">AND(W576,X577,F578="",AG578&lt;=X582)</f>
        <v>0</v>
      </c>
      <c r="AK578" s="488" t="b">
        <f ca="1">AND(W576,X577,G578="",AG578&lt;=X582)</f>
        <v>0</v>
      </c>
      <c r="AL578" s="488" t="b">
        <f ca="1">AND(Y576,Z577,K578="",AG578&lt;=Y582)</f>
        <v>0</v>
      </c>
      <c r="AM578" s="488" t="b">
        <f ca="1">AND(Y576,Z577,L578="",AG578&lt;=Y582)</f>
        <v>0</v>
      </c>
      <c r="AN578" s="488" t="b">
        <f ca="1">AND(Y576,Z577,M578="",AG578&lt;=Z582)</f>
        <v>0</v>
      </c>
      <c r="AO578" s="488" t="b">
        <f ca="1">AND(Y576,Z577,N578="",AG578&lt;=Z582)</f>
        <v>0</v>
      </c>
      <c r="AQ578" s="326" t="str">
        <f>IF(OR(NOT(Góllista!$E$6),D578=""),"",IF(C578="öngól","ö"&amp;G573&amp;D578,D573&amp;D578))</f>
        <v/>
      </c>
      <c r="AR578" s="326" t="str">
        <f>IF(OR(NOT(Góllista!$E$6),G578=""),"",IF(H578="öngól","ö"&amp;D573&amp;G578,G573&amp;G578))</f>
        <v/>
      </c>
      <c r="AS578" s="326" t="str">
        <f>IF(OR(NOT(Góllista!$E$6),K578=""),"",IF(J578="öngól","ö"&amp;N573&amp;K578,K573&amp;K578))</f>
        <v/>
      </c>
      <c r="AT578" s="326" t="str">
        <f>IF(OR(NOT(Góllista!$E$6),N578=""),"",IF(O578="öngól","ö"&amp;K573&amp;N578,N573&amp;N578))</f>
        <v/>
      </c>
      <c r="AY578" s="323"/>
      <c r="BA578" s="323"/>
      <c r="BC578" s="323"/>
      <c r="BE578" s="323"/>
      <c r="BG578" s="323"/>
      <c r="BI578" s="323"/>
      <c r="BK578" s="323"/>
      <c r="BM578" s="323"/>
      <c r="BO578" s="323"/>
      <c r="BQ578" s="323"/>
      <c r="BS578" s="323"/>
      <c r="BU578" s="323"/>
      <c r="BW578" s="323"/>
      <c r="BY578" s="323"/>
      <c r="CA578" s="323"/>
      <c r="CC578" s="323"/>
      <c r="CE578" s="323"/>
      <c r="CG578" s="323"/>
      <c r="CI578" s="323"/>
      <c r="CK578" s="323"/>
      <c r="CM578" s="323"/>
      <c r="CO578" s="323"/>
      <c r="CQ578" s="323"/>
      <c r="CS578" s="323"/>
      <c r="CU578" s="323"/>
      <c r="CW578" s="323"/>
      <c r="CY578" s="323"/>
      <c r="DA578" s="323"/>
      <c r="DC578" s="323"/>
      <c r="DE578" s="323"/>
      <c r="DG578" s="323"/>
      <c r="DI578" s="323"/>
    </row>
    <row r="579" spans="1:114" ht="12" customHeight="1" x14ac:dyDescent="0.3">
      <c r="A579" s="765"/>
      <c r="C579" s="219"/>
      <c r="D579" s="220"/>
      <c r="E579" s="224"/>
      <c r="F579" s="222"/>
      <c r="G579" s="223"/>
      <c r="H579" s="219"/>
      <c r="J579" s="219"/>
      <c r="K579" s="220"/>
      <c r="L579" s="224"/>
      <c r="M579" s="222"/>
      <c r="N579" s="223"/>
      <c r="O579" s="219"/>
      <c r="V579" s="487" t="s">
        <v>1264</v>
      </c>
      <c r="W579" s="327" t="str">
        <f>VLOOKUP(W574,schedule,3,FALSE)</f>
        <v>4/4</v>
      </c>
      <c r="X579" s="485" t="str">
        <f>""</f>
        <v/>
      </c>
      <c r="Y579" s="327" t="str">
        <f>VLOOKUP(Y574,schedule,3,FALSE)</f>
        <v>3/4</v>
      </c>
      <c r="AB579" s="327" t="e">
        <f>IF(C579="öngól",AC573,AB573)</f>
        <v>#N/A</v>
      </c>
      <c r="AC579" s="327" t="e">
        <f>IF(H579="öngól",AB573,AC573)</f>
        <v>#N/A</v>
      </c>
      <c r="AD579" s="327" t="e">
        <f>IF(J579="öngól",AE573,AD573)</f>
        <v>#N/A</v>
      </c>
      <c r="AE579" s="327" t="e">
        <f>IF(O579="öngól",AD573,AE573)</f>
        <v>#N/A</v>
      </c>
      <c r="AF579" s="325"/>
      <c r="AG579" s="485">
        <v>6</v>
      </c>
      <c r="AH579" s="488" t="b">
        <f ca="1">AND(W576,X577,D579="",AG579&lt;=W582)</f>
        <v>0</v>
      </c>
      <c r="AI579" s="488" t="b">
        <f ca="1">AND(W576,X577,E579="",AG579&lt;=W582)</f>
        <v>0</v>
      </c>
      <c r="AJ579" s="488" t="b">
        <f ca="1">AND(W576,X577,F579="",AG579&lt;=X582)</f>
        <v>0</v>
      </c>
      <c r="AK579" s="488" t="b">
        <f ca="1">AND(W576,X577,G579="",AG579&lt;=X582)</f>
        <v>0</v>
      </c>
      <c r="AL579" s="488" t="b">
        <f ca="1">AND(Y576,Z577,K579="",AG579&lt;=Y582)</f>
        <v>0</v>
      </c>
      <c r="AM579" s="488" t="b">
        <f ca="1">AND(Y576,Z577,L579="",AG579&lt;=Y582)</f>
        <v>0</v>
      </c>
      <c r="AN579" s="488" t="b">
        <f ca="1">AND(Y576,Z577,M579="",AG579&lt;=Z582)</f>
        <v>0</v>
      </c>
      <c r="AO579" s="488" t="b">
        <f ca="1">AND(Y576,Z577,N579="",AG579&lt;=Z582)</f>
        <v>0</v>
      </c>
      <c r="AQ579" s="326" t="str">
        <f>IF(OR(NOT(Góllista!$E$6),D579=""),"",IF(C579="öngól","ö"&amp;G573&amp;D579,D573&amp;D579))</f>
        <v/>
      </c>
      <c r="AR579" s="326" t="str">
        <f>IF(OR(NOT(Góllista!$E$6),G579=""),"",IF(H579="öngól","ö"&amp;D573&amp;G579,G573&amp;G579))</f>
        <v/>
      </c>
      <c r="AS579" s="326" t="str">
        <f>IF(OR(NOT(Góllista!$E$6),K579=""),"",IF(J579="öngól","ö"&amp;N573&amp;K579,K573&amp;K579))</f>
        <v/>
      </c>
      <c r="AT579" s="326" t="str">
        <f>IF(OR(NOT(Góllista!$E$6),N579=""),"",IF(O579="öngól","ö"&amp;K573&amp;N579,N573&amp;N579))</f>
        <v/>
      </c>
      <c r="AY579" s="323"/>
      <c r="BA579" s="323"/>
      <c r="BC579" s="323"/>
      <c r="BE579" s="323"/>
      <c r="BG579" s="323"/>
      <c r="BI579" s="323"/>
      <c r="BK579" s="323"/>
      <c r="BM579" s="323"/>
      <c r="BO579" s="323"/>
      <c r="BQ579" s="323"/>
      <c r="BS579" s="323"/>
      <c r="BU579" s="323"/>
      <c r="BW579" s="323"/>
      <c r="BY579" s="323"/>
      <c r="CA579" s="323"/>
      <c r="CC579" s="323"/>
      <c r="CE579" s="323"/>
      <c r="CG579" s="323"/>
      <c r="CI579" s="323"/>
      <c r="CK579" s="323"/>
      <c r="CM579" s="323"/>
      <c r="CO579" s="323"/>
      <c r="CQ579" s="323"/>
      <c r="CS579" s="323"/>
      <c r="CU579" s="323"/>
      <c r="CW579" s="323"/>
      <c r="CY579" s="323"/>
      <c r="DA579" s="323"/>
      <c r="DC579" s="323"/>
      <c r="DE579" s="323"/>
      <c r="DG579" s="323"/>
      <c r="DI579" s="323"/>
    </row>
    <row r="580" spans="1:114" ht="12" customHeight="1" x14ac:dyDescent="0.3">
      <c r="A580" s="765"/>
      <c r="C580" s="219"/>
      <c r="D580" s="220"/>
      <c r="E580" s="224"/>
      <c r="F580" s="222"/>
      <c r="G580" s="223"/>
      <c r="H580" s="219"/>
      <c r="J580" s="219"/>
      <c r="K580" s="220"/>
      <c r="L580" s="224"/>
      <c r="M580" s="222"/>
      <c r="N580" s="223"/>
      <c r="O580" s="219"/>
      <c r="V580" s="485" t="s">
        <v>707</v>
      </c>
      <c r="W580" s="327">
        <f>IF(NOT(W576),0,E573-9+COUNTBLANK(D574:D582))</f>
        <v>0</v>
      </c>
      <c r="X580" s="327">
        <f>IF(NOT(W576),0,F573-9+COUNTBLANK(G574:G582))</f>
        <v>0</v>
      </c>
      <c r="Y580" s="327">
        <f>IF(NOT(Y576),0,L573-9+COUNTBLANK(K574:K582))</f>
        <v>0</v>
      </c>
      <c r="Z580" s="327">
        <f>IF(NOT(Y576),0,M573-9+COUNTBLANK(N574:N582))</f>
        <v>0</v>
      </c>
      <c r="AB580" s="327" t="e">
        <f>IF(C580="öngól",AC573,AB573)</f>
        <v>#N/A</v>
      </c>
      <c r="AC580" s="327" t="e">
        <f>IF(H580="öngól",AB573,AC573)</f>
        <v>#N/A</v>
      </c>
      <c r="AD580" s="327" t="e">
        <f>IF(J580="öngól",AE573,AD573)</f>
        <v>#N/A</v>
      </c>
      <c r="AE580" s="327" t="e">
        <f>IF(O580="öngól",AD573,AE573)</f>
        <v>#N/A</v>
      </c>
      <c r="AF580" s="325"/>
      <c r="AG580" s="485">
        <v>7</v>
      </c>
      <c r="AH580" s="488" t="b">
        <f ca="1">AND(W576,X577,D580="",AG580&lt;=W582)</f>
        <v>0</v>
      </c>
      <c r="AI580" s="488" t="b">
        <f ca="1">AND(W576,X577,E580="",AG580&lt;=W582)</f>
        <v>0</v>
      </c>
      <c r="AJ580" s="488" t="b">
        <f ca="1">AND(W576,X577,F580="",AG580&lt;=X582)</f>
        <v>0</v>
      </c>
      <c r="AK580" s="488" t="b">
        <f ca="1">AND(W576,X577,G580="",AG580&lt;=X582)</f>
        <v>0</v>
      </c>
      <c r="AL580" s="488" t="b">
        <f ca="1">AND(Y576,Z577,K580="",AG580&lt;=Y582)</f>
        <v>0</v>
      </c>
      <c r="AM580" s="488" t="b">
        <f ca="1">AND(Y576,Z577,L580="",AG580&lt;=Y582)</f>
        <v>0</v>
      </c>
      <c r="AN580" s="488" t="b">
        <f ca="1">AND(Y576,Z577,M580="",AG580&lt;=Z582)</f>
        <v>0</v>
      </c>
      <c r="AO580" s="488" t="b">
        <f ca="1">AND(Y576,Z577,N580="",AG580&lt;=Z582)</f>
        <v>0</v>
      </c>
      <c r="AQ580" s="326" t="str">
        <f>IF(OR(NOT(Góllista!$E$6),D580=""),"",IF(C580="öngól","ö"&amp;G573&amp;D580,D573&amp;D580))</f>
        <v/>
      </c>
      <c r="AR580" s="326" t="str">
        <f>IF(OR(NOT(Góllista!$E$6),G580=""),"",IF(H580="öngól","ö"&amp;D573&amp;G580,G573&amp;G580))</f>
        <v/>
      </c>
      <c r="AS580" s="326" t="str">
        <f>IF(OR(NOT(Góllista!$E$6),K580=""),"",IF(J580="öngól","ö"&amp;N573&amp;K580,K573&amp;K580))</f>
        <v/>
      </c>
      <c r="AT580" s="326" t="str">
        <f>IF(OR(NOT(Góllista!$E$6),N580=""),"",IF(O580="öngól","ö"&amp;K573&amp;N580,N573&amp;N580))</f>
        <v/>
      </c>
      <c r="AY580" s="323"/>
      <c r="BA580" s="323"/>
      <c r="BC580" s="323"/>
      <c r="BE580" s="323"/>
      <c r="BG580" s="323"/>
      <c r="BI580" s="323"/>
      <c r="BK580" s="323"/>
      <c r="BM580" s="323"/>
      <c r="BO580" s="323"/>
      <c r="BQ580" s="323"/>
      <c r="BS580" s="323"/>
      <c r="BU580" s="323"/>
      <c r="BW580" s="323"/>
      <c r="BY580" s="323"/>
      <c r="CA580" s="323"/>
      <c r="CC580" s="323"/>
      <c r="CE580" s="323"/>
      <c r="CG580" s="323"/>
      <c r="CI580" s="323"/>
      <c r="CK580" s="323"/>
      <c r="CM580" s="323"/>
      <c r="CO580" s="323"/>
      <c r="CQ580" s="323"/>
      <c r="CS580" s="323"/>
      <c r="CU580" s="323"/>
      <c r="CW580" s="323"/>
      <c r="CY580" s="323"/>
      <c r="DA580" s="323"/>
      <c r="DC580" s="323"/>
      <c r="DE580" s="323"/>
      <c r="DG580" s="323"/>
      <c r="DI580" s="323"/>
    </row>
    <row r="581" spans="1:114" ht="12" customHeight="1" x14ac:dyDescent="0.3">
      <c r="A581" s="765"/>
      <c r="C581" s="219"/>
      <c r="D581" s="220"/>
      <c r="E581" s="224"/>
      <c r="F581" s="222"/>
      <c r="G581" s="223"/>
      <c r="H581" s="219"/>
      <c r="J581" s="219"/>
      <c r="K581" s="220"/>
      <c r="L581" s="224"/>
      <c r="M581" s="222"/>
      <c r="N581" s="223"/>
      <c r="O581" s="219"/>
      <c r="V581" s="485" t="s">
        <v>708</v>
      </c>
      <c r="W581" s="411" t="str">
        <f>VLOOKUP(W574,schedule,8,FALSE)</f>
        <v>7/8 győztese</v>
      </c>
      <c r="X581" s="411" t="str">
        <f>VLOOKUP(W574,schedule,9,FALSE)</f>
        <v>8/8 győztese</v>
      </c>
      <c r="Y581" s="411" t="str">
        <f>VLOOKUP(Y574,schedule,8,FALSE)</f>
        <v>5/8 győztese</v>
      </c>
      <c r="Z581" s="491" t="str">
        <f>VLOOKUP(Y574,schedule,9,FALSE)</f>
        <v>6/8 győztese</v>
      </c>
      <c r="AB581" s="327" t="e">
        <f>IF(C581="öngól",AC573,AB573)</f>
        <v>#N/A</v>
      </c>
      <c r="AC581" s="327" t="e">
        <f>IF(H581="öngól",AB573,AC573)</f>
        <v>#N/A</v>
      </c>
      <c r="AD581" s="327" t="e">
        <f>IF(J581="öngól",AE573,AD573)</f>
        <v>#N/A</v>
      </c>
      <c r="AE581" s="327" t="e">
        <f>IF(O581="öngól",AD573,AE573)</f>
        <v>#N/A</v>
      </c>
      <c r="AF581" s="325"/>
      <c r="AG581" s="485">
        <v>8</v>
      </c>
      <c r="AH581" s="488" t="b">
        <f ca="1">AND(W576,X577,D581="",AG581&lt;=W582)</f>
        <v>0</v>
      </c>
      <c r="AI581" s="488" t="b">
        <f ca="1">AND(W576,X577,E581="",AG581&lt;=W582)</f>
        <v>0</v>
      </c>
      <c r="AJ581" s="488" t="b">
        <f ca="1">AND(W576,X577,F581="",AG581&lt;=X582)</f>
        <v>0</v>
      </c>
      <c r="AK581" s="488" t="b">
        <f ca="1">AND(W576,X577,G581="",AG581&lt;=X582)</f>
        <v>0</v>
      </c>
      <c r="AL581" s="488" t="b">
        <f ca="1">AND(Y576,Z577,K581="",AG581&lt;=Y582)</f>
        <v>0</v>
      </c>
      <c r="AM581" s="488" t="b">
        <f ca="1">AND(Y576,Z577,L581="",AG581&lt;=Y582)</f>
        <v>0</v>
      </c>
      <c r="AN581" s="488" t="b">
        <f ca="1">AND(Y576,Z577,M581="",AG581&lt;=Z582)</f>
        <v>0</v>
      </c>
      <c r="AO581" s="488" t="b">
        <f ca="1">AND(Y576,Z577,N581="",AG581&lt;=Z582)</f>
        <v>0</v>
      </c>
      <c r="AQ581" s="326" t="str">
        <f>IF(OR(NOT(Góllista!$E$6),D581=""),"",IF(C581="öngól","ö"&amp;G573&amp;D581,D573&amp;D581))</f>
        <v/>
      </c>
      <c r="AR581" s="326" t="str">
        <f>IF(OR(NOT(Góllista!$E$6),G581=""),"",IF(H581="öngól","ö"&amp;D573&amp;G581,G573&amp;G581))</f>
        <v/>
      </c>
      <c r="AS581" s="326" t="str">
        <f>IF(OR(NOT(Góllista!$E$6),K581=""),"",IF(J581="öngól","ö"&amp;N573&amp;K581,K573&amp;K581))</f>
        <v/>
      </c>
      <c r="AT581" s="326" t="str">
        <f>IF(OR(NOT(Góllista!$E$6),N581=""),"",IF(O581="öngól","ö"&amp;K573&amp;N581,N573&amp;N581))</f>
        <v/>
      </c>
      <c r="AY581" s="323"/>
      <c r="BA581" s="323"/>
      <c r="BC581" s="323"/>
      <c r="BE581" s="323"/>
      <c r="BG581" s="323"/>
      <c r="BI581" s="323"/>
      <c r="BK581" s="323"/>
      <c r="BM581" s="323"/>
      <c r="BO581" s="323"/>
      <c r="BQ581" s="323"/>
      <c r="BS581" s="323"/>
      <c r="BU581" s="323"/>
      <c r="BW581" s="323"/>
      <c r="BY581" s="323"/>
      <c r="CA581" s="323"/>
      <c r="CC581" s="323"/>
      <c r="CE581" s="323"/>
      <c r="CG581" s="323"/>
      <c r="CI581" s="323"/>
      <c r="CK581" s="323"/>
      <c r="CM581" s="323"/>
      <c r="CO581" s="323"/>
      <c r="CQ581" s="323"/>
      <c r="CS581" s="323"/>
      <c r="CU581" s="323"/>
      <c r="CW581" s="323"/>
      <c r="CY581" s="323"/>
      <c r="DA581" s="323"/>
      <c r="DC581" s="323"/>
      <c r="DE581" s="323"/>
      <c r="DG581" s="323"/>
      <c r="DI581" s="323"/>
    </row>
    <row r="582" spans="1:114" ht="12" customHeight="1" x14ac:dyDescent="0.3">
      <c r="A582" s="765"/>
      <c r="C582" s="219"/>
      <c r="D582" s="220"/>
      <c r="E582" s="225"/>
      <c r="F582" s="222"/>
      <c r="G582" s="223"/>
      <c r="H582" s="219"/>
      <c r="J582" s="219"/>
      <c r="K582" s="220"/>
      <c r="L582" s="225"/>
      <c r="M582" s="222"/>
      <c r="N582" s="223"/>
      <c r="O582" s="219"/>
      <c r="V582" s="485" t="s">
        <v>709</v>
      </c>
      <c r="W582" s="492" t="str">
        <f>INDEX(n.er,W575,9)</f>
        <v/>
      </c>
      <c r="X582" s="493" t="str">
        <f>INDEX(n.er,W575,10)</f>
        <v/>
      </c>
      <c r="Y582" s="492" t="str">
        <f>INDEX(n.er,Y575,9)</f>
        <v/>
      </c>
      <c r="Z582" s="493" t="str">
        <f>INDEX(n.er,Y575,10)</f>
        <v/>
      </c>
      <c r="AB582" s="327" t="e">
        <f>IF(C582="öngól",AC573,AB573)</f>
        <v>#N/A</v>
      </c>
      <c r="AC582" s="327" t="e">
        <f>IF(H582="öngól",AB573,AC573)</f>
        <v>#N/A</v>
      </c>
      <c r="AD582" s="327" t="e">
        <f>IF(J582="öngól",AE573,AD573)</f>
        <v>#N/A</v>
      </c>
      <c r="AE582" s="327" t="e">
        <f>IF(O582="öngól",AD573,AE573)</f>
        <v>#N/A</v>
      </c>
      <c r="AF582" s="325"/>
      <c r="AG582" s="485">
        <v>9</v>
      </c>
      <c r="AH582" s="488" t="b">
        <f ca="1">AND(W576,X577,D582="",AG582&lt;=W582)</f>
        <v>0</v>
      </c>
      <c r="AI582" s="488" t="b">
        <f ca="1">AND(W576,X577,E582="",AG582&lt;=W582)</f>
        <v>0</v>
      </c>
      <c r="AJ582" s="488" t="b">
        <f ca="1">AND(W576,X577,F582="",AG582&lt;=X582)</f>
        <v>0</v>
      </c>
      <c r="AK582" s="488" t="b">
        <f ca="1">AND(W576,X577,G582="",AG582&lt;=X582)</f>
        <v>0</v>
      </c>
      <c r="AL582" s="488" t="b">
        <f ca="1">AND(Y576,Z577,K582="",AG582&lt;=Y582)</f>
        <v>0</v>
      </c>
      <c r="AM582" s="488" t="b">
        <f ca="1">AND(Y576,Z577,L582="",AG582&lt;=Y582)</f>
        <v>0</v>
      </c>
      <c r="AN582" s="488" t="b">
        <f ca="1">AND(Y576,Z577,M582="",AG582&lt;=Z582)</f>
        <v>0</v>
      </c>
      <c r="AO582" s="488" t="b">
        <f ca="1">AND(Y576,Z577,N582="",AG582&lt;=Z582)</f>
        <v>0</v>
      </c>
      <c r="AQ582" s="326" t="str">
        <f>IF(OR(NOT(Góllista!$E$6),D582=""),"",IF(C582="öngól","ö"&amp;G573&amp;D582,D573&amp;D582))</f>
        <v/>
      </c>
      <c r="AR582" s="326" t="str">
        <f>IF(OR(NOT(Góllista!$E$6),G582=""),"",IF(H582="öngól","ö"&amp;D573&amp;G582,G573&amp;G582))</f>
        <v/>
      </c>
      <c r="AS582" s="326" t="str">
        <f>IF(OR(NOT(Góllista!$E$6),K582=""),"",IF(J582="öngól","ö"&amp;N573&amp;K582,K573&amp;K582))</f>
        <v/>
      </c>
      <c r="AT582" s="326" t="str">
        <f>IF(OR(NOT(Góllista!$E$6),N582=""),"",IF(O582="öngól","ö"&amp;K573&amp;N582,N573&amp;N582))</f>
        <v/>
      </c>
      <c r="AY582" s="323"/>
      <c r="BA582" s="323"/>
      <c r="BC582" s="323"/>
      <c r="BE582" s="323"/>
      <c r="BG582" s="323"/>
      <c r="BI582" s="323"/>
      <c r="BK582" s="323"/>
      <c r="BM582" s="323"/>
      <c r="BO582" s="323"/>
      <c r="BQ582" s="323"/>
      <c r="BS582" s="323"/>
      <c r="BU582" s="323"/>
      <c r="BW582" s="323"/>
      <c r="BY582" s="323"/>
      <c r="CA582" s="323"/>
      <c r="CC582" s="323"/>
      <c r="CE582" s="323"/>
      <c r="CG582" s="323"/>
      <c r="CI582" s="323"/>
      <c r="CK582" s="323"/>
      <c r="CM582" s="323"/>
      <c r="CO582" s="323"/>
      <c r="CQ582" s="323"/>
      <c r="CS582" s="323"/>
      <c r="CU582" s="323"/>
      <c r="CW582" s="323"/>
      <c r="CY582" s="323"/>
      <c r="DA582" s="323"/>
      <c r="DC582" s="323"/>
      <c r="DE582" s="323"/>
      <c r="DG582" s="323"/>
      <c r="DI582" s="323"/>
    </row>
    <row r="583" spans="1:114" ht="12" customHeight="1" x14ac:dyDescent="0.3">
      <c r="A583" s="765"/>
      <c r="C583" s="768"/>
      <c r="D583" s="768"/>
      <c r="E583" s="768"/>
      <c r="F583" s="768"/>
      <c r="G583" s="768"/>
      <c r="H583" s="768"/>
      <c r="J583" s="768"/>
      <c r="K583" s="768"/>
      <c r="L583" s="768"/>
      <c r="M583" s="768"/>
      <c r="N583" s="768"/>
      <c r="O583" s="768"/>
      <c r="AY583" s="323"/>
      <c r="BA583" s="323"/>
      <c r="BC583" s="323"/>
      <c r="BE583" s="323"/>
      <c r="BG583" s="323"/>
      <c r="BI583" s="323"/>
      <c r="BK583" s="323"/>
      <c r="BM583" s="323"/>
      <c r="BO583" s="323"/>
      <c r="BQ583" s="323"/>
      <c r="BS583" s="323"/>
      <c r="BU583" s="323"/>
      <c r="BW583" s="323"/>
      <c r="BY583" s="323"/>
      <c r="CA583" s="323"/>
      <c r="CC583" s="323"/>
      <c r="CE583" s="323"/>
      <c r="CG583" s="323"/>
      <c r="CI583" s="323"/>
      <c r="CK583" s="323"/>
      <c r="CM583" s="323"/>
      <c r="CO583" s="323"/>
      <c r="CQ583" s="323"/>
      <c r="CS583" s="323"/>
      <c r="CU583" s="323"/>
      <c r="CW583" s="323"/>
      <c r="CY583" s="323"/>
      <c r="DA583" s="323"/>
      <c r="DC583" s="323"/>
      <c r="DE583" s="323"/>
      <c r="DG583" s="323"/>
      <c r="DI583" s="323"/>
    </row>
    <row r="584" spans="1:114" ht="12" hidden="1" customHeight="1" x14ac:dyDescent="0.3">
      <c r="A584" s="765"/>
      <c r="C584" s="767"/>
      <c r="D584" s="767"/>
      <c r="E584" s="767"/>
      <c r="F584" s="767"/>
      <c r="G584" s="767"/>
      <c r="H584" s="767"/>
      <c r="J584" s="767"/>
      <c r="K584" s="767"/>
      <c r="L584" s="767"/>
      <c r="M584" s="767"/>
      <c r="N584" s="767"/>
      <c r="O584" s="767"/>
      <c r="AY584" s="323"/>
      <c r="BA584" s="323"/>
      <c r="BC584" s="323"/>
      <c r="BE584" s="323"/>
      <c r="BG584" s="323"/>
      <c r="BI584" s="323"/>
      <c r="BK584" s="323"/>
      <c r="BM584" s="323"/>
      <c r="BO584" s="323"/>
      <c r="BQ584" s="323"/>
      <c r="BS584" s="323"/>
      <c r="BU584" s="323"/>
      <c r="BW584" s="323"/>
      <c r="BY584" s="323"/>
      <c r="CA584" s="323"/>
      <c r="CC584" s="323"/>
      <c r="CE584" s="323"/>
      <c r="CG584" s="323"/>
      <c r="CI584" s="323"/>
      <c r="CK584" s="323"/>
      <c r="CM584" s="323"/>
      <c r="CO584" s="323"/>
      <c r="CQ584" s="323"/>
      <c r="CS584" s="323"/>
      <c r="CU584" s="323"/>
      <c r="CW584" s="323"/>
      <c r="CY584" s="323"/>
      <c r="DA584" s="323"/>
      <c r="DC584" s="323"/>
      <c r="DE584" s="323"/>
      <c r="DG584" s="323"/>
      <c r="DI584" s="323"/>
    </row>
    <row r="585" spans="1:114" ht="12" hidden="1" customHeight="1" x14ac:dyDescent="0.3">
      <c r="A585" s="765"/>
      <c r="C585" s="767"/>
      <c r="D585" s="767"/>
      <c r="E585" s="767"/>
      <c r="F585" s="767"/>
      <c r="G585" s="767"/>
      <c r="H585" s="767"/>
      <c r="J585" s="767"/>
      <c r="K585" s="767"/>
      <c r="L585" s="767"/>
      <c r="M585" s="767"/>
      <c r="N585" s="767"/>
      <c r="O585" s="767"/>
      <c r="AY585" s="323"/>
      <c r="BA585" s="323"/>
      <c r="BC585" s="323"/>
      <c r="BE585" s="323"/>
      <c r="BG585" s="323"/>
      <c r="BI585" s="323"/>
      <c r="BK585" s="323"/>
      <c r="BM585" s="323"/>
      <c r="BO585" s="323"/>
      <c r="BQ585" s="323"/>
      <c r="BS585" s="323"/>
      <c r="BU585" s="323"/>
      <c r="BW585" s="323"/>
      <c r="BY585" s="323"/>
      <c r="CA585" s="323"/>
      <c r="CC585" s="323"/>
      <c r="CE585" s="323"/>
      <c r="CG585" s="323"/>
      <c r="CI585" s="323"/>
      <c r="CK585" s="323"/>
      <c r="CM585" s="323"/>
      <c r="CO585" s="323"/>
      <c r="CQ585" s="323"/>
      <c r="CS585" s="323"/>
      <c r="CU585" s="323"/>
      <c r="CW585" s="323"/>
      <c r="CY585" s="323"/>
      <c r="DA585" s="323"/>
      <c r="DC585" s="323"/>
      <c r="DE585" s="323"/>
      <c r="DG585" s="323"/>
      <c r="DI585" s="323"/>
    </row>
    <row r="586" spans="1:114" ht="3.75" customHeight="1" x14ac:dyDescent="0.3">
      <c r="A586" s="765"/>
      <c r="AH586" s="494"/>
      <c r="AY586" s="323"/>
      <c r="BA586" s="323"/>
      <c r="BC586" s="323"/>
      <c r="BE586" s="323"/>
      <c r="BG586" s="323"/>
      <c r="BI586" s="323"/>
      <c r="BK586" s="323"/>
      <c r="BM586" s="323"/>
      <c r="BO586" s="323"/>
      <c r="BQ586" s="323"/>
      <c r="BS586" s="323"/>
      <c r="BU586" s="323"/>
      <c r="BW586" s="323"/>
      <c r="BY586" s="323"/>
      <c r="CA586" s="323"/>
      <c r="CC586" s="323"/>
      <c r="CE586" s="323"/>
      <c r="CG586" s="323"/>
      <c r="CI586" s="323"/>
      <c r="CK586" s="323"/>
      <c r="CM586" s="323"/>
      <c r="CO586" s="323"/>
      <c r="CQ586" s="323"/>
      <c r="CS586" s="323"/>
      <c r="CU586" s="323"/>
      <c r="CW586" s="323"/>
      <c r="CY586" s="323"/>
      <c r="DA586" s="323"/>
      <c r="DC586" s="323"/>
      <c r="DE586" s="323"/>
      <c r="DG586" s="323"/>
      <c r="DI586" s="323"/>
    </row>
    <row r="587" spans="1:114" ht="11.25" customHeight="1" x14ac:dyDescent="0.3">
      <c r="A587" s="765"/>
      <c r="B587" s="15"/>
      <c r="D587" s="235"/>
      <c r="E587" s="722" t="str">
        <f>IF(W587,"  BÜNTETŐK:","  BÜNTETŐK:  –")</f>
        <v xml:space="preserve">  BÜNTETŐK:  –</v>
      </c>
      <c r="F587" s="235"/>
      <c r="G587" s="235"/>
      <c r="H587" s="235"/>
      <c r="I587" s="37"/>
      <c r="J587" s="234"/>
      <c r="K587" s="235"/>
      <c r="L587" s="722" t="str">
        <f>IF(AD587,"  BÜNTETŐK:","  BÜNTETŐK:  –")</f>
        <v xml:space="preserve">  BÜNTETŐK:  –</v>
      </c>
      <c r="M587" s="235"/>
      <c r="N587" s="235"/>
      <c r="O587" s="235"/>
      <c r="V587" s="487" t="s">
        <v>712</v>
      </c>
      <c r="W587" s="489" t="b">
        <f>INDEX(n.er,W575,14)</f>
        <v>0</v>
      </c>
      <c r="Y587" s="489" t="b">
        <f>INDEX(n.er,Y575,14)</f>
        <v>0</v>
      </c>
      <c r="AF587" s="325"/>
      <c r="AQ587" s="323"/>
      <c r="AR587" s="323"/>
      <c r="AS587" s="323"/>
      <c r="AT587" s="323"/>
      <c r="AW587" s="485"/>
      <c r="AY587" s="323"/>
      <c r="BA587" s="323"/>
      <c r="BC587" s="323"/>
      <c r="BE587" s="323"/>
      <c r="BG587" s="323"/>
      <c r="BI587" s="323"/>
      <c r="BK587" s="323"/>
      <c r="BM587" s="323"/>
      <c r="BO587" s="323"/>
      <c r="BQ587" s="323"/>
      <c r="BS587" s="323"/>
      <c r="BU587" s="323"/>
      <c r="BW587" s="323"/>
      <c r="BY587" s="323"/>
      <c r="CA587" s="323"/>
      <c r="CC587" s="323"/>
      <c r="CE587" s="323"/>
      <c r="CG587" s="323"/>
      <c r="CI587" s="323"/>
      <c r="CK587" s="323"/>
      <c r="CM587" s="323"/>
      <c r="CO587" s="323"/>
      <c r="CQ587" s="323"/>
      <c r="CS587" s="323"/>
      <c r="CU587" s="323"/>
      <c r="CW587" s="323"/>
      <c r="CY587" s="323"/>
      <c r="DA587" s="323"/>
      <c r="DC587" s="323"/>
      <c r="DE587" s="323"/>
      <c r="DG587" s="323"/>
      <c r="DI587" s="323"/>
      <c r="DJ587" s="485"/>
    </row>
    <row r="588" spans="1:114" ht="11.25" customHeight="1" x14ac:dyDescent="0.3">
      <c r="A588" s="765"/>
      <c r="C588" s="241" t="str">
        <f>IF(W589=0,"",IF(W589&gt;0,CONCATENATE("még ",W589," büntető"),CONCATENATE("túl sok (",W589," büntető)")))</f>
        <v/>
      </c>
      <c r="D588" s="237" t="str">
        <f>IF(W587,W581,"")</f>
        <v/>
      </c>
      <c r="E588" s="239" t="str">
        <f>IF(W587,W588,"")</f>
        <v/>
      </c>
      <c r="F588" s="240" t="str">
        <f>IF(W587,X588,"")</f>
        <v/>
      </c>
      <c r="G588" s="238" t="str">
        <f>IF(W587,X581,"")</f>
        <v/>
      </c>
      <c r="H588" s="241" t="str">
        <f>IF(X589=0,"",IF(X589&gt;0,CONCATENATE("még ",X589," büntető"),CONCATENATE("túl sok (",X589," büntető)")))</f>
        <v/>
      </c>
      <c r="J588" s="241" t="str">
        <f>IF(Y589=0,"",IF(Y589&gt;0,CONCATENATE("még ",Y589," büntető"),CONCATENATE("túl sok (",Y589," büntető)")))</f>
        <v/>
      </c>
      <c r="K588" s="237" t="str">
        <f>IF(Y587,Y581,"")</f>
        <v/>
      </c>
      <c r="L588" s="239" t="str">
        <f>IF(Y587,Y588,"")</f>
        <v/>
      </c>
      <c r="M588" s="240" t="str">
        <f>IF(Y587,Z588,"")</f>
        <v/>
      </c>
      <c r="N588" s="238" t="str">
        <f>IF(Y587,Z581,"")</f>
        <v/>
      </c>
      <c r="O588" s="241" t="str">
        <f>IF(Z589=0,"",IF(Z589&gt;0,CONCATENATE("még ",Z589," büntető"),CONCATENATE("túl sok (",Z589," büntető)")))</f>
        <v/>
      </c>
      <c r="V588" s="487" t="s">
        <v>709</v>
      </c>
      <c r="W588" s="492" t="str">
        <f>IF(NOT(W587),"",INDEX(n.er,W575,17))</f>
        <v/>
      </c>
      <c r="X588" s="493" t="str">
        <f>IF(NOT(W587),"",INDEX(n.er,W575,18))</f>
        <v/>
      </c>
      <c r="Y588" s="492" t="str">
        <f>IF(NOT(Y587),"",INDEX(n.er,Y575,17))</f>
        <v/>
      </c>
      <c r="Z588" s="493" t="str">
        <f>IF(NOT(Y587),"",INDEX(n.er,Y575,18))</f>
        <v/>
      </c>
      <c r="AF588" s="325"/>
      <c r="AH588" s="494"/>
      <c r="AQ588" s="323"/>
      <c r="AR588" s="323"/>
      <c r="AS588" s="323"/>
      <c r="AT588" s="323"/>
      <c r="AW588" s="485"/>
      <c r="AY588" s="323"/>
      <c r="BA588" s="323"/>
      <c r="BC588" s="323"/>
      <c r="BE588" s="323"/>
      <c r="BG588" s="323"/>
      <c r="BI588" s="323"/>
      <c r="BK588" s="323"/>
      <c r="BM588" s="323"/>
      <c r="BO588" s="323"/>
      <c r="BQ588" s="323"/>
      <c r="BS588" s="323"/>
      <c r="BU588" s="323"/>
      <c r="BW588" s="323"/>
      <c r="BY588" s="323"/>
      <c r="CA588" s="323"/>
      <c r="CC588" s="323"/>
      <c r="CE588" s="323"/>
      <c r="CG588" s="323"/>
      <c r="CI588" s="323"/>
      <c r="CK588" s="323"/>
      <c r="CM588" s="323"/>
      <c r="CO588" s="323"/>
      <c r="CQ588" s="323"/>
      <c r="CS588" s="323"/>
      <c r="CU588" s="323"/>
      <c r="CW588" s="323"/>
      <c r="CY588" s="323"/>
      <c r="DA588" s="323"/>
      <c r="DC588" s="323"/>
      <c r="DE588" s="323"/>
      <c r="DG588" s="323"/>
      <c r="DI588" s="323"/>
    </row>
    <row r="589" spans="1:114" ht="11.25" customHeight="1" x14ac:dyDescent="0.3">
      <c r="A589" s="765"/>
      <c r="C589" s="236"/>
      <c r="D589" s="220"/>
      <c r="E589" s="515"/>
      <c r="F589" s="516"/>
      <c r="G589" s="223"/>
      <c r="H589" s="236"/>
      <c r="J589" s="236"/>
      <c r="K589" s="220"/>
      <c r="L589" s="515"/>
      <c r="M589" s="516"/>
      <c r="N589" s="223"/>
      <c r="O589" s="236"/>
      <c r="V589" s="485" t="s">
        <v>707</v>
      </c>
      <c r="W589" s="327">
        <f>IF(W588="",0,E588-COUNTIF(E589:E602,"O"))</f>
        <v>0</v>
      </c>
      <c r="X589" s="327">
        <f>IF(X588="",0,F588-COUNTIF(F589:F602,"O"))</f>
        <v>0</v>
      </c>
      <c r="Y589" s="327">
        <f>IF(Y588="",0,L588-COUNTIF(L589:L604,"O"))</f>
        <v>0</v>
      </c>
      <c r="Z589" s="327">
        <f>IF(Z588="",0,M588-COUNTIF(M589:M604,"O"))</f>
        <v>0</v>
      </c>
      <c r="AB589" s="52" t="str">
        <f>IF(NOT(W587),"",HLOOKUP(D588,nevek.li,2,FALSE))</f>
        <v/>
      </c>
      <c r="AC589" s="52" t="str">
        <f>IF(NOT(W587),"",HLOOKUP(G588,nevek.li,2,FALSE))</f>
        <v/>
      </c>
      <c r="AD589" s="52" t="str">
        <f>IF(NOT(Y587),"",HLOOKUP(K588,nevek.li,2,FALSE))</f>
        <v/>
      </c>
      <c r="AE589" s="52" t="str">
        <f>IF(NOT(Y587),"",HLOOKUP(N588,nevek.li,2,FALSE))</f>
        <v/>
      </c>
      <c r="AF589" s="325"/>
      <c r="AG589" s="485">
        <v>1</v>
      </c>
      <c r="AH589" s="488" t="b">
        <f ca="1">IF(OR(NOT(W587),NOT(X577)),FALSE,D589="")</f>
        <v>0</v>
      </c>
      <c r="AI589" s="488" t="b">
        <f ca="1">IF(OR(NOT(W587),NOT(X577)),FALSE,E589="")</f>
        <v>0</v>
      </c>
      <c r="AJ589" s="488" t="b">
        <f ca="1">IF(OR(NOT(W587),NOT(X577)),FALSE,F589="")</f>
        <v>0</v>
      </c>
      <c r="AK589" s="488" t="b">
        <f ca="1">IF(OR(NOT(W587),NOT(X577)),FALSE,G589="")</f>
        <v>0</v>
      </c>
      <c r="AL589" s="488" t="b">
        <f ca="1">IF(OR(NOT(Y587),NOT(Z577)),FALSE,K589="")</f>
        <v>0</v>
      </c>
      <c r="AM589" s="488" t="b">
        <f ca="1">IF(OR(NOT(Y587),NOT(Z577)),FALSE,L589="")</f>
        <v>0</v>
      </c>
      <c r="AN589" s="488" t="b">
        <f ca="1">IF(OR(NOT(Y587),NOT(Z577)),FALSE,M589="")</f>
        <v>0</v>
      </c>
      <c r="AO589" s="488" t="b">
        <f ca="1">IF(OR(NOT(Y587),NOT(Z577)),FALSE,N589="")</f>
        <v>0</v>
      </c>
      <c r="AS589" s="323"/>
      <c r="AT589" s="323"/>
      <c r="AY589" s="323"/>
      <c r="BA589" s="323"/>
      <c r="BC589" s="323"/>
      <c r="BE589" s="323"/>
      <c r="BG589" s="323"/>
      <c r="BI589" s="323"/>
      <c r="BK589" s="323"/>
      <c r="BM589" s="323"/>
      <c r="BO589" s="323"/>
      <c r="BQ589" s="323"/>
      <c r="BS589" s="323"/>
      <c r="BU589" s="323"/>
      <c r="BW589" s="323"/>
      <c r="BY589" s="323"/>
      <c r="CA589" s="323"/>
      <c r="CC589" s="323"/>
      <c r="CE589" s="323"/>
      <c r="CG589" s="323"/>
      <c r="CI589" s="323"/>
      <c r="CK589" s="323"/>
      <c r="CM589" s="323"/>
      <c r="CO589" s="323"/>
      <c r="CQ589" s="323"/>
      <c r="CS589" s="323"/>
      <c r="CU589" s="323"/>
      <c r="CW589" s="323"/>
      <c r="CY589" s="323"/>
      <c r="DA589" s="323"/>
      <c r="DC589" s="323"/>
      <c r="DE589" s="323"/>
      <c r="DG589" s="323"/>
      <c r="DI589" s="323"/>
      <c r="DJ589" s="485"/>
    </row>
    <row r="590" spans="1:114" ht="11.25" customHeight="1" x14ac:dyDescent="0.3">
      <c r="A590" s="765"/>
      <c r="C590" s="219"/>
      <c r="D590" s="220"/>
      <c r="E590" s="517"/>
      <c r="F590" s="516"/>
      <c r="G590" s="223"/>
      <c r="H590" s="219"/>
      <c r="J590" s="219"/>
      <c r="K590" s="220"/>
      <c r="L590" s="517"/>
      <c r="M590" s="516"/>
      <c r="N590" s="223"/>
      <c r="O590" s="219"/>
      <c r="AB590" s="327" t="str">
        <f>AB589</f>
        <v/>
      </c>
      <c r="AC590" s="327" t="str">
        <f>AC589</f>
        <v/>
      </c>
      <c r="AD590" s="327" t="str">
        <f>AD589</f>
        <v/>
      </c>
      <c r="AE590" s="327" t="str">
        <f>AE589</f>
        <v/>
      </c>
      <c r="AF590" s="325"/>
      <c r="AG590" s="485">
        <v>2</v>
      </c>
      <c r="AH590" s="488" t="b">
        <f ca="1">IF(OR(NOT(W587),NOT(X577)),FALSE,D590="")</f>
        <v>0</v>
      </c>
      <c r="AI590" s="488" t="b">
        <f ca="1">IF(OR(NOT(W587),NOT(X577)),FALSE,E590="")</f>
        <v>0</v>
      </c>
      <c r="AJ590" s="488" t="b">
        <f ca="1">IF(OR(NOT(W587),NOT(X577)),FALSE,F590="")</f>
        <v>0</v>
      </c>
      <c r="AK590" s="488" t="b">
        <f ca="1">IF(OR(NOT(W587),NOT(X577)),FALSE,G590="")</f>
        <v>0</v>
      </c>
      <c r="AL590" s="488" t="b">
        <f ca="1">IF(OR(NOT(Y587),NOT(Z577)),FALSE,K590="")</f>
        <v>0</v>
      </c>
      <c r="AM590" s="488" t="b">
        <f ca="1">IF(OR(NOT(Y587),NOT(Z577)),FALSE,L590="")</f>
        <v>0</v>
      </c>
      <c r="AN590" s="488" t="b">
        <f ca="1">IF(OR(NOT(Y587),NOT(Z577)),FALSE,M590="")</f>
        <v>0</v>
      </c>
      <c r="AO590" s="488" t="b">
        <f ca="1">IF(OR(NOT(Y587),NOT(Z577)),FALSE,N590="")</f>
        <v>0</v>
      </c>
      <c r="AS590" s="323"/>
      <c r="AT590" s="323"/>
      <c r="AW590" s="485"/>
      <c r="AY590" s="323"/>
      <c r="BA590" s="323"/>
      <c r="BC590" s="323"/>
      <c r="BE590" s="323"/>
      <c r="BG590" s="323"/>
      <c r="BI590" s="323"/>
      <c r="BK590" s="323"/>
      <c r="BM590" s="323"/>
      <c r="BO590" s="323"/>
      <c r="BQ590" s="323"/>
      <c r="BS590" s="323"/>
      <c r="BU590" s="323"/>
      <c r="BW590" s="323"/>
      <c r="BY590" s="323"/>
      <c r="CA590" s="323"/>
      <c r="CC590" s="323"/>
      <c r="CE590" s="323"/>
      <c r="CG590" s="323"/>
      <c r="CI590" s="323"/>
      <c r="CK590" s="323"/>
      <c r="CM590" s="323"/>
      <c r="CO590" s="323"/>
      <c r="CQ590" s="323"/>
      <c r="CS590" s="323"/>
      <c r="CU590" s="323"/>
      <c r="CW590" s="323"/>
      <c r="CY590" s="323"/>
      <c r="DA590" s="323"/>
      <c r="DC590" s="323"/>
      <c r="DE590" s="323"/>
      <c r="DG590" s="323"/>
      <c r="DI590" s="323"/>
      <c r="DJ590" s="485"/>
    </row>
    <row r="591" spans="1:114" ht="11.25" customHeight="1" x14ac:dyDescent="0.3">
      <c r="A591" s="765"/>
      <c r="C591" s="219"/>
      <c r="D591" s="220"/>
      <c r="E591" s="517"/>
      <c r="F591" s="516"/>
      <c r="G591" s="223"/>
      <c r="H591" s="219"/>
      <c r="J591" s="219"/>
      <c r="K591" s="220"/>
      <c r="L591" s="517"/>
      <c r="M591" s="516"/>
      <c r="N591" s="223"/>
      <c r="O591" s="219"/>
      <c r="AB591" s="327" t="str">
        <f t="shared" ref="AB591:AB602" si="124">AB590</f>
        <v/>
      </c>
      <c r="AC591" s="327" t="str">
        <f t="shared" ref="AC591:AC602" si="125">AC590</f>
        <v/>
      </c>
      <c r="AD591" s="327" t="str">
        <f t="shared" ref="AD591:AD602" si="126">AD590</f>
        <v/>
      </c>
      <c r="AE591" s="327" t="str">
        <f t="shared" ref="AE591:AE602" si="127">AE590</f>
        <v/>
      </c>
      <c r="AF591" s="325"/>
      <c r="AG591" s="485">
        <v>3</v>
      </c>
      <c r="AH591" s="488" t="b">
        <f ca="1">IF(OR(NOT(W587),NOT(X577)),FALSE,D591="")</f>
        <v>0</v>
      </c>
      <c r="AI591" s="488" t="b">
        <f ca="1">IF(OR(NOT(W587),NOT(X577)),FALSE,E591="")</f>
        <v>0</v>
      </c>
      <c r="AJ591" s="488" t="b">
        <f ca="1">IF(OR(NOT(W587),NOT(X577)),FALSE,F591="")</f>
        <v>0</v>
      </c>
      <c r="AK591" s="488" t="b">
        <f ca="1">IF(OR(NOT(W587),NOT(X577)),FALSE,G591="")</f>
        <v>0</v>
      </c>
      <c r="AL591" s="488" t="b">
        <f ca="1">IF(OR(NOT(Y587),NOT(Z577)),FALSE,K591="")</f>
        <v>0</v>
      </c>
      <c r="AM591" s="488" t="b">
        <f ca="1">IF(OR(NOT(Y587),NOT(Z577)),FALSE,L591="")</f>
        <v>0</v>
      </c>
      <c r="AN591" s="488" t="b">
        <f ca="1">IF(OR(NOT(Y587),NOT(Z577)),FALSE,M591="")</f>
        <v>0</v>
      </c>
      <c r="AO591" s="488" t="b">
        <f ca="1">IF(OR(NOT(Y587),NOT(Z577)),FALSE,N591="")</f>
        <v>0</v>
      </c>
      <c r="AS591" s="323"/>
      <c r="AT591" s="323"/>
      <c r="AW591" s="485"/>
      <c r="AY591" s="323"/>
      <c r="BA591" s="323"/>
      <c r="BC591" s="323"/>
      <c r="BE591" s="323"/>
      <c r="BG591" s="323"/>
      <c r="BI591" s="323"/>
      <c r="BK591" s="323"/>
      <c r="BM591" s="323"/>
      <c r="BO591" s="323"/>
      <c r="BQ591" s="323"/>
      <c r="BS591" s="323"/>
      <c r="BU591" s="323"/>
      <c r="BW591" s="323"/>
      <c r="BY591" s="323"/>
      <c r="CA591" s="323"/>
      <c r="CC591" s="323"/>
      <c r="CE591" s="323"/>
      <c r="CG591" s="323"/>
      <c r="CI591" s="323"/>
      <c r="CK591" s="323"/>
      <c r="CM591" s="323"/>
      <c r="CO591" s="323"/>
      <c r="CQ591" s="323"/>
      <c r="CS591" s="323"/>
      <c r="CU591" s="323"/>
      <c r="CW591" s="323"/>
      <c r="CY591" s="323"/>
      <c r="DA591" s="323"/>
      <c r="DC591" s="323"/>
      <c r="DE591" s="323"/>
      <c r="DG591" s="323"/>
      <c r="DI591" s="323"/>
      <c r="DJ591" s="485"/>
    </row>
    <row r="592" spans="1:114" ht="11.25" customHeight="1" x14ac:dyDescent="0.3">
      <c r="A592" s="765"/>
      <c r="C592" s="219"/>
      <c r="D592" s="220"/>
      <c r="E592" s="517"/>
      <c r="F592" s="516"/>
      <c r="G592" s="223"/>
      <c r="H592" s="219"/>
      <c r="J592" s="219"/>
      <c r="K592" s="220"/>
      <c r="L592" s="517"/>
      <c r="M592" s="516"/>
      <c r="N592" s="223"/>
      <c r="O592" s="219"/>
      <c r="AB592" s="327" t="str">
        <f t="shared" si="124"/>
        <v/>
      </c>
      <c r="AC592" s="327" t="str">
        <f t="shared" si="125"/>
        <v/>
      </c>
      <c r="AD592" s="327" t="str">
        <f t="shared" si="126"/>
        <v/>
      </c>
      <c r="AE592" s="327" t="str">
        <f t="shared" si="127"/>
        <v/>
      </c>
      <c r="AF592" s="325"/>
      <c r="AG592" s="485">
        <v>4</v>
      </c>
      <c r="AH592" s="488" t="b">
        <f ca="1">IF(OR(NOT(W587),NOT(X577)),FALSE,D592="")</f>
        <v>0</v>
      </c>
      <c r="AI592" s="488" t="b">
        <f ca="1">IF(OR(NOT(W587),NOT(X577)),FALSE,E592="")</f>
        <v>0</v>
      </c>
      <c r="AJ592" s="488" t="b">
        <f ca="1">IF(OR(NOT(W587),NOT(X577)),FALSE,F592="")</f>
        <v>0</v>
      </c>
      <c r="AK592" s="488" t="b">
        <f ca="1">IF(OR(NOT(W587),NOT(X577)),FALSE,G592="")</f>
        <v>0</v>
      </c>
      <c r="AL592" s="488" t="b">
        <f ca="1">IF(OR(NOT(Y587),NOT(Z577)),FALSE,K592="")</f>
        <v>0</v>
      </c>
      <c r="AM592" s="488" t="b">
        <f ca="1">IF(OR(NOT(Y587),NOT(Z577)),FALSE,L592="")</f>
        <v>0</v>
      </c>
      <c r="AN592" s="488" t="b">
        <f ca="1">IF(OR(NOT(Y587),NOT(Z577)),FALSE,M592="")</f>
        <v>0</v>
      </c>
      <c r="AO592" s="488" t="b">
        <f ca="1">IF(OR(NOT(Y587),NOT(Z577)),FALSE,N592="")</f>
        <v>0</v>
      </c>
      <c r="AS592" s="323"/>
      <c r="AT592" s="323"/>
      <c r="AW592" s="485"/>
      <c r="AY592" s="323"/>
      <c r="BA592" s="323"/>
      <c r="BC592" s="323"/>
      <c r="BE592" s="323"/>
      <c r="BG592" s="323"/>
      <c r="BI592" s="323"/>
      <c r="BK592" s="323"/>
      <c r="BM592" s="323"/>
      <c r="BO592" s="323"/>
      <c r="BQ592" s="323"/>
      <c r="BS592" s="323"/>
      <c r="BU592" s="323"/>
      <c r="BW592" s="323"/>
      <c r="BY592" s="323"/>
      <c r="CA592" s="323"/>
      <c r="CC592" s="323"/>
      <c r="CE592" s="323"/>
      <c r="CG592" s="323"/>
      <c r="CI592" s="323"/>
      <c r="CK592" s="323"/>
      <c r="CM592" s="323"/>
      <c r="CO592" s="323"/>
      <c r="CQ592" s="323"/>
      <c r="CS592" s="323"/>
      <c r="CU592" s="323"/>
      <c r="CW592" s="323"/>
      <c r="CY592" s="323"/>
      <c r="DA592" s="323"/>
      <c r="DC592" s="323"/>
      <c r="DE592" s="323"/>
      <c r="DG592" s="323"/>
      <c r="DI592" s="323"/>
      <c r="DJ592" s="485"/>
    </row>
    <row r="593" spans="1:115" ht="11.25" customHeight="1" x14ac:dyDescent="0.3">
      <c r="A593" s="765"/>
      <c r="C593" s="219"/>
      <c r="D593" s="220"/>
      <c r="E593" s="517"/>
      <c r="F593" s="516"/>
      <c r="G593" s="223"/>
      <c r="H593" s="219"/>
      <c r="J593" s="219"/>
      <c r="K593" s="220"/>
      <c r="L593" s="517"/>
      <c r="M593" s="516"/>
      <c r="N593" s="223"/>
      <c r="O593" s="219"/>
      <c r="AB593" s="327" t="str">
        <f t="shared" si="124"/>
        <v/>
      </c>
      <c r="AC593" s="327" t="str">
        <f t="shared" si="125"/>
        <v/>
      </c>
      <c r="AD593" s="327" t="str">
        <f t="shared" si="126"/>
        <v/>
      </c>
      <c r="AE593" s="327" t="str">
        <f t="shared" si="127"/>
        <v/>
      </c>
      <c r="AF593" s="325"/>
      <c r="AG593" s="495">
        <v>5</v>
      </c>
      <c r="AH593" s="488" t="b">
        <f ca="1">IF(OR(NOT(W587),NOT(X577)),FALSE,D593="")</f>
        <v>0</v>
      </c>
      <c r="AI593" s="488" t="b">
        <f ca="1">IF(OR(NOT(W587),NOT(X577)),FALSE,E593="")</f>
        <v>0</v>
      </c>
      <c r="AJ593" s="488" t="b">
        <f ca="1">IF(OR(NOT(W587),NOT(X577)),FALSE,F593="")</f>
        <v>0</v>
      </c>
      <c r="AK593" s="488" t="b">
        <f ca="1">IF(OR(NOT(W587),NOT(X577)),FALSE,G593="")</f>
        <v>0</v>
      </c>
      <c r="AL593" s="488" t="b">
        <f ca="1">IF(OR(NOT(Y587),NOT(Z577)),FALSE,K593="")</f>
        <v>0</v>
      </c>
      <c r="AM593" s="488" t="b">
        <f ca="1">IF(OR(NOT(Y587),NOT(Z577)),FALSE,L593="")</f>
        <v>0</v>
      </c>
      <c r="AN593" s="488" t="b">
        <f ca="1">IF(OR(NOT(Y587),NOT(Z577)),FALSE,M593="")</f>
        <v>0</v>
      </c>
      <c r="AO593" s="488" t="b">
        <f ca="1">IF(OR(NOT(Y587),NOT(Z577)),FALSE,N593="")</f>
        <v>0</v>
      </c>
      <c r="AP593" s="495"/>
      <c r="AS593" s="323"/>
      <c r="AT593" s="323"/>
      <c r="AW593" s="485"/>
      <c r="AY593" s="323"/>
      <c r="BA593" s="323"/>
      <c r="BC593" s="323"/>
      <c r="BE593" s="323"/>
      <c r="BG593" s="323"/>
      <c r="BI593" s="323"/>
      <c r="BK593" s="323"/>
      <c r="BM593" s="323"/>
      <c r="BO593" s="323"/>
      <c r="BQ593" s="323"/>
      <c r="BS593" s="323"/>
      <c r="BU593" s="323"/>
      <c r="BW593" s="323"/>
      <c r="BY593" s="323"/>
      <c r="CA593" s="323"/>
      <c r="CC593" s="323"/>
      <c r="CE593" s="323"/>
      <c r="CG593" s="323"/>
      <c r="CI593" s="323"/>
      <c r="CK593" s="323"/>
      <c r="CM593" s="323"/>
      <c r="CO593" s="323"/>
      <c r="CQ593" s="323"/>
      <c r="CS593" s="323"/>
      <c r="CU593" s="323"/>
      <c r="CW593" s="323"/>
      <c r="CY593" s="323"/>
      <c r="DA593" s="323"/>
      <c r="DC593" s="323"/>
      <c r="DE593" s="323"/>
      <c r="DG593" s="323"/>
      <c r="DI593" s="323"/>
      <c r="DJ593" s="485"/>
    </row>
    <row r="594" spans="1:115" ht="11.25" customHeight="1" x14ac:dyDescent="0.3">
      <c r="A594" s="765"/>
      <c r="C594" s="219"/>
      <c r="D594" s="220"/>
      <c r="E594" s="517"/>
      <c r="F594" s="516"/>
      <c r="G594" s="223"/>
      <c r="H594" s="219"/>
      <c r="J594" s="219"/>
      <c r="K594" s="220"/>
      <c r="L594" s="517"/>
      <c r="M594" s="516"/>
      <c r="N594" s="223"/>
      <c r="O594" s="219"/>
      <c r="AB594" s="327" t="str">
        <f t="shared" si="124"/>
        <v/>
      </c>
      <c r="AC594" s="327" t="str">
        <f t="shared" si="125"/>
        <v/>
      </c>
      <c r="AD594" s="327" t="str">
        <f t="shared" si="126"/>
        <v/>
      </c>
      <c r="AE594" s="327" t="str">
        <f t="shared" si="127"/>
        <v/>
      </c>
      <c r="AF594" s="325"/>
      <c r="AG594" s="485">
        <v>6</v>
      </c>
      <c r="AH594" s="496" t="b">
        <f ca="1">IF(OR(NOT(W587),NOT(X577)),FALSE,AND(D594="",OR(AG594&lt;=W588+COUNTIF(E589:E594,$W$218),AG594&lt;=X588+COUNTIF(F589:F594,$W$218))))</f>
        <v>0</v>
      </c>
      <c r="AI594" s="496" t="b">
        <f ca="1">IF(OR(NOT(W587),NOT(X577)),FALSE,AND(E594="",OR(AG594&lt;=W588+COUNTIF(E589:E594,$W$218),AG594&lt;=X588+COUNTIF(F589:F594,$W$218))))</f>
        <v>0</v>
      </c>
      <c r="AJ594" s="496" t="b">
        <f ca="1">IF(OR(NOT(W587),NOT(X577)),FALSE,AND(F594="",OR(AG594&lt;=W588+COUNTIF(E589:E594,$W$218),AG594&lt;=X588+COUNTIF(F589:F594,$W$218))))</f>
        <v>0</v>
      </c>
      <c r="AK594" s="496" t="b">
        <f ca="1">IF(OR(NOT(W587),NOT(X577)),FALSE,AND(G594="",OR(AG594&lt;=W588+COUNTIF(E589:E594,$W$218),AG594&lt;=X588+COUNTIF(F589:F594,$W$218))))</f>
        <v>0</v>
      </c>
      <c r="AL594" s="496" t="b">
        <f ca="1">IF(OR(NOT(Y587),NOT(Z577)),FALSE,AND(K594="",OR(AG594&lt;=Y588+COUNTIF(L589:L594,$W$218),AG594&lt;=Z588+COUNTIF(M589:M594,$W$218))))</f>
        <v>0</v>
      </c>
      <c r="AM594" s="496" t="b">
        <f ca="1">IF(OR(NOT(Y587),NOT(Z577)),FALSE,AND(L594="",OR(AG594&lt;=Y588+COUNTIF(L589:L594,$W$218),AG594&lt;=Z588+COUNTIF(M589:M594,$W$218))))</f>
        <v>0</v>
      </c>
      <c r="AN594" s="496" t="b">
        <f ca="1">IF(OR(NOT(Y587),NOT(Z577)),FALSE,AND(M594="",OR(AG594&lt;=Y588+COUNTIF(L589:L594,$W$218),AG594&lt;=Z588+COUNTIF(M589:M594,$W$218))))</f>
        <v>0</v>
      </c>
      <c r="AO594" s="496" t="b">
        <f ca="1">IF(OR(NOT(Y587),NOT(Z577)),FALSE,AND(N594="",OR(AG594&lt;=Y588+COUNTIF(L589:L594,$W$218),AG594&lt;=Z588+COUNTIF(M589:M594,$W$218))))</f>
        <v>0</v>
      </c>
      <c r="AS594" s="323"/>
      <c r="AT594" s="323"/>
      <c r="AW594" s="485"/>
      <c r="AY594" s="323"/>
      <c r="BA594" s="323"/>
      <c r="BC594" s="323"/>
      <c r="BE594" s="323"/>
      <c r="BG594" s="323"/>
      <c r="BI594" s="323"/>
      <c r="BK594" s="323"/>
      <c r="BM594" s="323"/>
      <c r="BO594" s="323"/>
      <c r="BQ594" s="323"/>
      <c r="BS594" s="323"/>
      <c r="BU594" s="323"/>
      <c r="BW594" s="323"/>
      <c r="BY594" s="323"/>
      <c r="CA594" s="323"/>
      <c r="CC594" s="323"/>
      <c r="CE594" s="323"/>
      <c r="CG594" s="323"/>
      <c r="CI594" s="323"/>
      <c r="CK594" s="323"/>
      <c r="CM594" s="323"/>
      <c r="CO594" s="323"/>
      <c r="CQ594" s="323"/>
      <c r="CS594" s="323"/>
      <c r="CU594" s="323"/>
      <c r="CW594" s="323"/>
      <c r="CY594" s="323"/>
      <c r="DA594" s="323"/>
      <c r="DC594" s="323"/>
      <c r="DE594" s="323"/>
      <c r="DG594" s="323"/>
      <c r="DI594" s="323"/>
      <c r="DJ594" s="485"/>
    </row>
    <row r="595" spans="1:115" ht="11.25" customHeight="1" x14ac:dyDescent="0.3">
      <c r="A595" s="765"/>
      <c r="C595" s="219"/>
      <c r="D595" s="220"/>
      <c r="E595" s="517"/>
      <c r="F595" s="516"/>
      <c r="G595" s="223"/>
      <c r="H595" s="219"/>
      <c r="J595" s="219"/>
      <c r="K595" s="220"/>
      <c r="L595" s="517"/>
      <c r="M595" s="516"/>
      <c r="N595" s="223"/>
      <c r="O595" s="219"/>
      <c r="AB595" s="327" t="str">
        <f t="shared" si="124"/>
        <v/>
      </c>
      <c r="AC595" s="327" t="str">
        <f t="shared" si="125"/>
        <v/>
      </c>
      <c r="AD595" s="327" t="str">
        <f t="shared" si="126"/>
        <v/>
      </c>
      <c r="AE595" s="327" t="str">
        <f t="shared" si="127"/>
        <v/>
      </c>
      <c r="AF595" s="325"/>
      <c r="AG595" s="485">
        <v>7</v>
      </c>
      <c r="AH595" s="496" t="b">
        <f ca="1">IF(OR(NOT(W587),NOT(X577)),FALSE,AND(D595="",OR(AG595&lt;=W588+COUNTIF(E589:E595,$W$218),AG595&lt;=X588+COUNTIF(F589:F595,$W$218))))</f>
        <v>0</v>
      </c>
      <c r="AI595" s="496" t="b">
        <f ca="1">IF(OR(NOT(W587),NOT(X577)),FALSE,AND(E595="",OR(AG595&lt;=W588+COUNTIF(E589:E595,$W$218),AG595&lt;=X588+COUNTIF(F589:F595,$W$218))))</f>
        <v>0</v>
      </c>
      <c r="AJ595" s="496" t="b">
        <f ca="1">IF(OR(NOT(W587),NOT(X577)),FALSE,AND(F595="",OR(AG595&lt;=W588+COUNTIF(E589:E595,$W$218),AG595&lt;=X588+COUNTIF(F589:F595,$W$218))))</f>
        <v>0</v>
      </c>
      <c r="AK595" s="496" t="b">
        <f ca="1">IF(OR(NOT(W587),NOT(X577)),FALSE,AND(G595="",OR(AG595&lt;=W588+COUNTIF(E589:E595,$W$218),AG595&lt;=X588+COUNTIF(F589:F595,$W$218))))</f>
        <v>0</v>
      </c>
      <c r="AL595" s="496" t="b">
        <f ca="1">IF(OR(NOT(Y587),NOT(Z577)),FALSE,AND(K595="",OR(AG595&lt;=Y588+COUNTIF(L589:L595,$W$218),AG595&lt;=Z588+COUNTIF(M589:M595,$W$218))))</f>
        <v>0</v>
      </c>
      <c r="AM595" s="496" t="b">
        <f ca="1">IF(OR(NOT(Y587),NOT(Z577)),FALSE,AND(L595="",OR(AG595&lt;=Y588+COUNTIF(L589:L595,$W$218),AG595&lt;=Z588+COUNTIF(M589:M595,$W$218))))</f>
        <v>0</v>
      </c>
      <c r="AN595" s="496" t="b">
        <f ca="1">IF(OR(NOT(Y587),NOT(Z577)),FALSE,AND(M595="",OR(AG595&lt;=Y588+COUNTIF(L589:L595,$W$218),AG595&lt;=Z588+COUNTIF(M589:M595,$W$218))))</f>
        <v>0</v>
      </c>
      <c r="AO595" s="496" t="b">
        <f ca="1">IF(OR(NOT(Y587),NOT(Z577)),FALSE,AND(N595="",OR(AG595&lt;=Y588+COUNTIF(L589:L595,$W$218),AG595&lt;=Z588+COUNTIF(M589:M595,$W$218))))</f>
        <v>0</v>
      </c>
      <c r="AS595" s="323"/>
      <c r="AT595" s="323"/>
      <c r="AW595" s="485"/>
      <c r="AY595" s="323"/>
      <c r="BA595" s="323"/>
      <c r="BC595" s="323"/>
      <c r="BE595" s="323"/>
      <c r="BG595" s="323"/>
      <c r="BI595" s="323"/>
      <c r="BK595" s="323"/>
      <c r="BM595" s="323"/>
      <c r="BO595" s="323"/>
      <c r="BQ595" s="323"/>
      <c r="BS595" s="323"/>
      <c r="BU595" s="323"/>
      <c r="BW595" s="323"/>
      <c r="BY595" s="323"/>
      <c r="CA595" s="323"/>
      <c r="CC595" s="323"/>
      <c r="CE595" s="323"/>
      <c r="CG595" s="323"/>
      <c r="CI595" s="323"/>
      <c r="CK595" s="323"/>
      <c r="CM595" s="323"/>
      <c r="CO595" s="323"/>
      <c r="CQ595" s="323"/>
      <c r="CS595" s="323"/>
      <c r="CU595" s="323"/>
      <c r="CW595" s="323"/>
      <c r="CY595" s="323"/>
      <c r="DA595" s="323"/>
      <c r="DC595" s="323"/>
      <c r="DE595" s="323"/>
      <c r="DG595" s="323"/>
      <c r="DI595" s="323"/>
      <c r="DJ595" s="485"/>
    </row>
    <row r="596" spans="1:115" ht="11.25" customHeight="1" x14ac:dyDescent="0.3">
      <c r="A596" s="765"/>
      <c r="C596" s="219"/>
      <c r="D596" s="220"/>
      <c r="E596" s="517"/>
      <c r="F596" s="516"/>
      <c r="G596" s="223"/>
      <c r="H596" s="219"/>
      <c r="J596" s="219"/>
      <c r="K596" s="220"/>
      <c r="L596" s="517"/>
      <c r="M596" s="516"/>
      <c r="N596" s="223"/>
      <c r="O596" s="219"/>
      <c r="AB596" s="327" t="str">
        <f t="shared" si="124"/>
        <v/>
      </c>
      <c r="AC596" s="327" t="str">
        <f t="shared" si="125"/>
        <v/>
      </c>
      <c r="AD596" s="327" t="str">
        <f t="shared" si="126"/>
        <v/>
      </c>
      <c r="AE596" s="327" t="str">
        <f t="shared" si="127"/>
        <v/>
      </c>
      <c r="AF596" s="325"/>
      <c r="AG596" s="485">
        <v>8</v>
      </c>
      <c r="AH596" s="496" t="b">
        <f ca="1">IF(OR(NOT(W587),NOT(X577)),FALSE,AND(D596="",OR(AG596&lt;=W588+COUNTIF(E589:E596,$W$218),AG596&lt;=X588+COUNTIF(F589:F596,$W$218))))</f>
        <v>0</v>
      </c>
      <c r="AI596" s="496" t="b">
        <f ca="1">IF(OR(NOT(W587),NOT(X577)),FALSE,AND(E596="",OR(AG596&lt;=W588+COUNTIF(E589:E596,$W$218),AG596&lt;=X588+COUNTIF(F589:F596,$W$218))))</f>
        <v>0</v>
      </c>
      <c r="AJ596" s="496" t="b">
        <f ca="1">IF(OR(NOT(W587),NOT(X577)),FALSE,AND(F596="",OR(AG596&lt;=W588+COUNTIF(E589:E596,$W$218),AG596&lt;=X588+COUNTIF(F589:F596,$W$218))))</f>
        <v>0</v>
      </c>
      <c r="AK596" s="496" t="b">
        <f ca="1">IF(OR(NOT(W587),NOT(X577)),FALSE,AND(G596="",OR(AG596&lt;=W588+COUNTIF(E589:E596,$W$218),AG596&lt;=X588+COUNTIF(F589:F596,$W$218))))</f>
        <v>0</v>
      </c>
      <c r="AL596" s="496" t="b">
        <f ca="1">IF(OR(NOT(Y587),NOT(Z577)),FALSE,AND(K596="",OR(AG596&lt;=Y588+COUNTIF(L589:L596,$W$218),AG596&lt;=Z588+COUNTIF(M589:M596,$W$218))))</f>
        <v>0</v>
      </c>
      <c r="AM596" s="496" t="b">
        <f ca="1">IF(OR(NOT(Y587),NOT(Z577)),FALSE,AND(L596="",OR(AG596&lt;=Y588+COUNTIF(L589:L596,$W$218),AG596&lt;=Z588+COUNTIF(M589:M596,$W$218))))</f>
        <v>0</v>
      </c>
      <c r="AN596" s="496" t="b">
        <f ca="1">IF(OR(NOT(Y587),NOT(Z577)),FALSE,AND(M596="",OR(AG596&lt;=Y588+COUNTIF(L589:L596,$W$218),AG596&lt;=Z588+COUNTIF(M589:M596,$W$218))))</f>
        <v>0</v>
      </c>
      <c r="AO596" s="496" t="b">
        <f ca="1">IF(OR(NOT(Y587),NOT(Z577)),FALSE,AND(N596="",OR(AG596&lt;=Y588+COUNTIF(L589:L596,$W$218),AG596&lt;=Z588+COUNTIF(M589:M596,$W$218))))</f>
        <v>0</v>
      </c>
      <c r="AS596" s="323"/>
      <c r="AT596" s="323"/>
      <c r="AW596" s="485"/>
      <c r="AY596" s="323"/>
      <c r="BA596" s="323"/>
      <c r="BC596" s="323"/>
      <c r="BE596" s="323"/>
      <c r="BG596" s="323"/>
      <c r="BI596" s="323"/>
      <c r="BK596" s="323"/>
      <c r="BM596" s="323"/>
      <c r="BO596" s="323"/>
      <c r="BQ596" s="323"/>
      <c r="BS596" s="323"/>
      <c r="BU596" s="323"/>
      <c r="BW596" s="323"/>
      <c r="BY596" s="323"/>
      <c r="CA596" s="323"/>
      <c r="CC596" s="323"/>
      <c r="CE596" s="323"/>
      <c r="CG596" s="323"/>
      <c r="CI596" s="323"/>
      <c r="CK596" s="323"/>
      <c r="CM596" s="323"/>
      <c r="CO596" s="323"/>
      <c r="CQ596" s="323"/>
      <c r="CS596" s="323"/>
      <c r="CU596" s="323"/>
      <c r="CW596" s="323"/>
      <c r="CY596" s="323"/>
      <c r="DA596" s="323"/>
      <c r="DC596" s="323"/>
      <c r="DE596" s="323"/>
      <c r="DG596" s="323"/>
      <c r="DI596" s="323"/>
      <c r="DJ596" s="485"/>
    </row>
    <row r="597" spans="1:115" ht="11.25" customHeight="1" x14ac:dyDescent="0.3">
      <c r="A597" s="765"/>
      <c r="C597" s="219"/>
      <c r="D597" s="220"/>
      <c r="E597" s="517"/>
      <c r="F597" s="516"/>
      <c r="G597" s="223"/>
      <c r="H597" s="219"/>
      <c r="J597" s="219"/>
      <c r="K597" s="220"/>
      <c r="L597" s="517"/>
      <c r="M597" s="516"/>
      <c r="N597" s="223"/>
      <c r="O597" s="219"/>
      <c r="AB597" s="327" t="str">
        <f t="shared" si="124"/>
        <v/>
      </c>
      <c r="AC597" s="327" t="str">
        <f t="shared" si="125"/>
        <v/>
      </c>
      <c r="AD597" s="327" t="str">
        <f t="shared" si="126"/>
        <v/>
      </c>
      <c r="AE597" s="327" t="str">
        <f t="shared" si="127"/>
        <v/>
      </c>
      <c r="AF597" s="325"/>
      <c r="AG597" s="485">
        <v>9</v>
      </c>
      <c r="AH597" s="496" t="b">
        <f ca="1">IF(OR(NOT(W587),NOT(X577)),FALSE,AND(D597="",OR(AG597&lt;=W588+COUNTIF(E589:E597,$W$218),AG597&lt;=X588+COUNTIF(F589:F597,$W$218))))</f>
        <v>0</v>
      </c>
      <c r="AI597" s="496" t="b">
        <f ca="1">IF(OR(NOT(W587),NOT(X577)),FALSE,AND(E597="",OR(AG597&lt;=W588+COUNTIF(E589:E597,$W$218),AG597&lt;=X588+COUNTIF(F589:F597,$W$218))))</f>
        <v>0</v>
      </c>
      <c r="AJ597" s="496" t="b">
        <f ca="1">IF(OR(NOT(W587),NOT(X577)),FALSE,AND(F597="",OR(AG597&lt;=W588+COUNTIF(E589:E597,$W$218),AG597&lt;=X588+COUNTIF(F589:F597,$W$218))))</f>
        <v>0</v>
      </c>
      <c r="AK597" s="496" t="b">
        <f ca="1">IF(OR(NOT(W587),NOT(X577)),FALSE,AND(G597="",OR(AG597&lt;=W588+COUNTIF(E589:E597,$W$218),AG597&lt;=X588+COUNTIF(F589:F597,$W$218))))</f>
        <v>0</v>
      </c>
      <c r="AL597" s="496" t="b">
        <f ca="1">IF(OR(NOT(Y587),NOT(Z577)),FALSE,AND(K597="",OR(AG597&lt;=Y588+COUNTIF(L589:L597,$W$218),AG597&lt;=Z588+COUNTIF(M589:M597,$W$218))))</f>
        <v>0</v>
      </c>
      <c r="AM597" s="496" t="b">
        <f ca="1">IF(OR(NOT(Y587),NOT(Z577)),FALSE,AND(L597="",OR(AG597&lt;=Y588+COUNTIF(L589:L597,$W$218),AG597&lt;=Z588+COUNTIF(M589:M597,$W$218))))</f>
        <v>0</v>
      </c>
      <c r="AN597" s="496" t="b">
        <f ca="1">IF(OR(NOT(Y587),NOT(Z577)),FALSE,AND(M597="",OR(AG597&lt;=Y588+COUNTIF(L589:L597,$W$218),AG597&lt;=Z588+COUNTIF(M589:M597,$W$218))))</f>
        <v>0</v>
      </c>
      <c r="AO597" s="496" t="b">
        <f ca="1">IF(OR(NOT(Y587),NOT(Z577)),FALSE,AND(N597="",OR(AG597&lt;=Y588+COUNTIF(L589:L597,$W$218),AG597&lt;=Z588+COUNTIF(M589:M597,$W$218))))</f>
        <v>0</v>
      </c>
      <c r="AS597" s="323"/>
      <c r="AT597" s="323"/>
      <c r="AW597" s="485"/>
      <c r="AY597" s="323"/>
      <c r="BA597" s="323"/>
      <c r="BC597" s="323"/>
      <c r="BE597" s="323"/>
      <c r="BG597" s="323"/>
      <c r="BI597" s="323"/>
      <c r="BK597" s="323"/>
      <c r="BM597" s="323"/>
      <c r="BO597" s="323"/>
      <c r="BQ597" s="323"/>
      <c r="BS597" s="323"/>
      <c r="BU597" s="323"/>
      <c r="BW597" s="323"/>
      <c r="BY597" s="323"/>
      <c r="CA597" s="323"/>
      <c r="CC597" s="323"/>
      <c r="CE597" s="323"/>
      <c r="CG597" s="323"/>
      <c r="CI597" s="323"/>
      <c r="CK597" s="323"/>
      <c r="CM597" s="323"/>
      <c r="CO597" s="323"/>
      <c r="CQ597" s="323"/>
      <c r="CS597" s="323"/>
      <c r="CU597" s="323"/>
      <c r="CW597" s="323"/>
      <c r="CY597" s="323"/>
      <c r="DA597" s="323"/>
      <c r="DC597" s="323"/>
      <c r="DE597" s="323"/>
      <c r="DG597" s="323"/>
      <c r="DI597" s="323"/>
      <c r="DJ597" s="485"/>
    </row>
    <row r="598" spans="1:115" ht="11.25" customHeight="1" x14ac:dyDescent="0.3">
      <c r="A598" s="765"/>
      <c r="C598" s="219"/>
      <c r="D598" s="220"/>
      <c r="E598" s="517"/>
      <c r="F598" s="516"/>
      <c r="G598" s="223"/>
      <c r="H598" s="219"/>
      <c r="J598" s="219"/>
      <c r="K598" s="220"/>
      <c r="L598" s="517"/>
      <c r="M598" s="516"/>
      <c r="N598" s="223"/>
      <c r="O598" s="219"/>
      <c r="AB598" s="327" t="str">
        <f t="shared" si="124"/>
        <v/>
      </c>
      <c r="AC598" s="327" t="str">
        <f t="shared" si="125"/>
        <v/>
      </c>
      <c r="AD598" s="327" t="str">
        <f t="shared" si="126"/>
        <v/>
      </c>
      <c r="AE598" s="327" t="str">
        <f t="shared" si="127"/>
        <v/>
      </c>
      <c r="AF598" s="325"/>
      <c r="AG598" s="485">
        <v>10</v>
      </c>
      <c r="AH598" s="496" t="b">
        <f ca="1">IF(OR(NOT(W587),NOT(X577)),FALSE,AND(D598="",OR(AG598&lt;=W588+COUNTIF(E589:E598,$W$218),AG598&lt;=X588+COUNTIF(F589:F598,$W$218))))</f>
        <v>0</v>
      </c>
      <c r="AI598" s="496" t="b">
        <f ca="1">IF(OR(NOT(W587),NOT(X577)),FALSE,AND(E598="",OR(AG598&lt;=W588+COUNTIF(E589:E598,$W$218),AG598&lt;=X588+COUNTIF(F589:F598,$W$218))))</f>
        <v>0</v>
      </c>
      <c r="AJ598" s="496" t="b">
        <f ca="1">IF(OR(NOT(W587),NOT(X577)),FALSE,AND(F598="",OR(AG598&lt;=W588+COUNTIF(E589:E598,$W$218),AG598&lt;=X588+COUNTIF(F589:F598,$W$218))))</f>
        <v>0</v>
      </c>
      <c r="AK598" s="496" t="b">
        <f ca="1">IF(OR(NOT(W587),NOT(X577)),FALSE,AND(G598="",OR(AG598&lt;=W588+COUNTIF(E589:E598,$W$218),AG598&lt;=X588+COUNTIF(F589:F598,$W$218))))</f>
        <v>0</v>
      </c>
      <c r="AL598" s="496" t="b">
        <f ca="1">IF(OR(NOT(Y587),NOT(Z577)),FALSE,AND(K598="",OR(AG598&lt;=Y588+COUNTIF(L589:L598,$W$218),AG598&lt;=Z588+COUNTIF(M589:M598,$W$218))))</f>
        <v>0</v>
      </c>
      <c r="AM598" s="496" t="b">
        <f ca="1">IF(OR(NOT(Y587),NOT(Z577)),FALSE,AND(L598="",OR(AG598&lt;=Y588+COUNTIF(L589:L598,$W$218),AG598&lt;=Z588+COUNTIF(M589:M598,$W$218))))</f>
        <v>0</v>
      </c>
      <c r="AN598" s="496" t="b">
        <f ca="1">IF(OR(NOT(Y587),NOT(Z577)),FALSE,AND(M598="",OR(AG598&lt;=Y588+COUNTIF(L589:L598,$W$218),AG598&lt;=Z588+COUNTIF(M589:M598,$W$218))))</f>
        <v>0</v>
      </c>
      <c r="AO598" s="496" t="b">
        <f ca="1">IF(OR(NOT(Y587),NOT(Z577)),FALSE,AND(N598="",OR(AG598&lt;=Y588+COUNTIF(L589:L598,$W$218),AG598&lt;=Z588+COUNTIF(M589:M598,$W$218))))</f>
        <v>0</v>
      </c>
      <c r="AW598" s="485"/>
      <c r="AY598" s="323"/>
      <c r="BA598" s="323"/>
      <c r="BC598" s="323"/>
      <c r="BE598" s="323"/>
      <c r="BG598" s="323"/>
      <c r="BI598" s="323"/>
      <c r="BK598" s="323"/>
      <c r="BM598" s="323"/>
      <c r="BO598" s="323"/>
      <c r="BQ598" s="323"/>
      <c r="BS598" s="323"/>
      <c r="BU598" s="323"/>
      <c r="BW598" s="323"/>
      <c r="BY598" s="323"/>
      <c r="CA598" s="323"/>
      <c r="CC598" s="323"/>
      <c r="CE598" s="323"/>
      <c r="CG598" s="323"/>
      <c r="CI598" s="323"/>
      <c r="CK598" s="323"/>
      <c r="CM598" s="323"/>
      <c r="CO598" s="323"/>
      <c r="CQ598" s="323"/>
      <c r="CS598" s="323"/>
      <c r="CU598" s="323"/>
      <c r="CW598" s="323"/>
      <c r="CY598" s="323"/>
      <c r="DA598" s="323"/>
      <c r="DC598" s="323"/>
      <c r="DE598" s="323"/>
      <c r="DG598" s="323"/>
      <c r="DI598" s="323"/>
      <c r="DJ598" s="485"/>
    </row>
    <row r="599" spans="1:115" ht="11.25" customHeight="1" x14ac:dyDescent="0.3">
      <c r="A599" s="765"/>
      <c r="C599" s="219"/>
      <c r="D599" s="220"/>
      <c r="E599" s="517"/>
      <c r="F599" s="516"/>
      <c r="G599" s="223"/>
      <c r="H599" s="219"/>
      <c r="J599" s="219"/>
      <c r="K599" s="220"/>
      <c r="L599" s="517"/>
      <c r="M599" s="516"/>
      <c r="N599" s="223"/>
      <c r="O599" s="219"/>
      <c r="AB599" s="327" t="str">
        <f t="shared" si="124"/>
        <v/>
      </c>
      <c r="AC599" s="327" t="str">
        <f t="shared" si="125"/>
        <v/>
      </c>
      <c r="AD599" s="327" t="str">
        <f t="shared" si="126"/>
        <v/>
      </c>
      <c r="AE599" s="327" t="str">
        <f t="shared" si="127"/>
        <v/>
      </c>
      <c r="AF599" s="325"/>
      <c r="AG599" s="485">
        <v>11</v>
      </c>
      <c r="AH599" s="496" t="b">
        <f ca="1">IF(OR(NOT(W587),NOT(X577)),FALSE,AND(D599="",OR(AG599&lt;=W588+COUNTIF(E589:E599,$W$218),AG599&lt;=X588+COUNTIF(F589:F599,$W$218))))</f>
        <v>0</v>
      </c>
      <c r="AI599" s="496" t="b">
        <f ca="1">IF(OR(NOT(W587),NOT(X577)),FALSE,AND(E599="",OR(AG599&lt;=W588+COUNTIF(E589:E599,$W$218),AG599&lt;=X588+COUNTIF(F589:F599,$W$218))))</f>
        <v>0</v>
      </c>
      <c r="AJ599" s="496" t="b">
        <f ca="1">IF(OR(NOT(W587),NOT(X577)),FALSE,AND(F599="",OR(AG599&lt;=W588+COUNTIF(E589:E599,$W$218),AG599&lt;=X588+COUNTIF(F589:F599,$W$218))))</f>
        <v>0</v>
      </c>
      <c r="AK599" s="496" t="b">
        <f ca="1">IF(OR(NOT(W587),NOT(X577)),FALSE,AND(G599="",OR(AG599&lt;=W588+COUNTIF(E589:E599,$W$218),AG599&lt;=X588+COUNTIF(F589:F599,$W$218))))</f>
        <v>0</v>
      </c>
      <c r="AL599" s="496" t="b">
        <f ca="1">IF(OR(NOT(Y587),NOT(Z577)),FALSE,AND(K599="",OR(AG599&lt;=Y588+COUNTIF(L589:L599,$W$218),AG599&lt;=Z588+COUNTIF(M589:M599,$W$218))))</f>
        <v>0</v>
      </c>
      <c r="AM599" s="496" t="b">
        <f ca="1">IF(OR(NOT(Y587),NOT(Z577)),FALSE,AND(L599="",OR(AG599&lt;=Y588+COUNTIF(L589:L599,$W$218),AG599&lt;=Z588+COUNTIF(M589:M599,$W$218))))</f>
        <v>0</v>
      </c>
      <c r="AN599" s="496" t="b">
        <f ca="1">IF(OR(NOT(Y587),NOT(Z577)),FALSE,AND(M599="",OR(AG599&lt;=Y588+COUNTIF(L589:L599,$W$218),AG599&lt;=Z588+COUNTIF(M589:M599,$W$218))))</f>
        <v>0</v>
      </c>
      <c r="AO599" s="496" t="b">
        <f ca="1">IF(OR(NOT(Y587),NOT(Z577)),FALSE,AND(N599="",OR(AG599&lt;=Y588+COUNTIF(L589:L599,$W$218),AG599&lt;=Z588+COUNTIF(M589:M599,$W$218))))</f>
        <v>0</v>
      </c>
      <c r="AW599" s="485"/>
      <c r="AY599" s="323"/>
      <c r="BA599" s="323"/>
      <c r="BC599" s="323"/>
      <c r="BE599" s="323"/>
      <c r="BG599" s="323"/>
      <c r="BI599" s="323"/>
      <c r="BK599" s="323"/>
      <c r="BM599" s="323"/>
      <c r="BO599" s="323"/>
      <c r="BQ599" s="323"/>
      <c r="BS599" s="323"/>
      <c r="BU599" s="323"/>
      <c r="BW599" s="323"/>
      <c r="BY599" s="323"/>
      <c r="CA599" s="323"/>
      <c r="CC599" s="323"/>
      <c r="CE599" s="323"/>
      <c r="CG599" s="323"/>
      <c r="CI599" s="323"/>
      <c r="CK599" s="323"/>
      <c r="CM599" s="323"/>
      <c r="CO599" s="323"/>
      <c r="CQ599" s="323"/>
      <c r="CS599" s="323"/>
      <c r="CU599" s="323"/>
      <c r="CW599" s="323"/>
      <c r="CY599" s="323"/>
      <c r="DA599" s="323"/>
      <c r="DC599" s="323"/>
      <c r="DE599" s="323"/>
      <c r="DG599" s="323"/>
      <c r="DI599" s="323"/>
      <c r="DJ599" s="485"/>
    </row>
    <row r="600" spans="1:115" ht="11.25" customHeight="1" x14ac:dyDescent="0.3">
      <c r="A600" s="765"/>
      <c r="C600" s="219"/>
      <c r="D600" s="220"/>
      <c r="E600" s="517"/>
      <c r="F600" s="516"/>
      <c r="G600" s="223"/>
      <c r="H600" s="219"/>
      <c r="J600" s="219"/>
      <c r="K600" s="220"/>
      <c r="L600" s="517"/>
      <c r="M600" s="516"/>
      <c r="N600" s="223"/>
      <c r="O600" s="219"/>
      <c r="AB600" s="327" t="str">
        <f t="shared" si="124"/>
        <v/>
      </c>
      <c r="AC600" s="327" t="str">
        <f t="shared" si="125"/>
        <v/>
      </c>
      <c r="AD600" s="327" t="str">
        <f t="shared" si="126"/>
        <v/>
      </c>
      <c r="AE600" s="327" t="str">
        <f t="shared" si="127"/>
        <v/>
      </c>
      <c r="AF600" s="325"/>
      <c r="AG600" s="485">
        <v>12</v>
      </c>
      <c r="AH600" s="496" t="b">
        <f ca="1">IF(OR(NOT(W587),NOT(X577)),FALSE,AND(D600="",OR(AG600&lt;=W588+COUNTIF(E589:E600,$W$218),AG600&lt;=X588+COUNTIF(F589:F600,$W$218))))</f>
        <v>0</v>
      </c>
      <c r="AI600" s="496" t="b">
        <f ca="1">IF(OR(NOT(W587),NOT(X577)),FALSE,AND(E600="",OR(AG600&lt;=W588+COUNTIF(E589:E600,$W$218),AG600&lt;=X588+COUNTIF(F589:F600,$W$218))))</f>
        <v>0</v>
      </c>
      <c r="AJ600" s="496" t="b">
        <f ca="1">IF(OR(NOT(W587),NOT(X577)),FALSE,AND(F600="",OR(AG600&lt;=W588+COUNTIF(E589:E600,$W$218),AG600&lt;=X588+COUNTIF(F589:F600,$W$218))))</f>
        <v>0</v>
      </c>
      <c r="AK600" s="496" t="b">
        <f ca="1">IF(OR(NOT(W587),NOT(X577)),FALSE,AND(G600="",OR(AG600&lt;=W588+COUNTIF(E589:E600,$W$218),AG600&lt;=X588+COUNTIF(F589:F600,$W$218))))</f>
        <v>0</v>
      </c>
      <c r="AL600" s="496" t="b">
        <f ca="1">IF(OR(NOT(Y587),NOT(Z577)),FALSE,AND(K600="",OR(AG600&lt;=Y588+COUNTIF(L589:L600,$W$218),AG600&lt;=Z588+COUNTIF(M589:M600,$W$218))))</f>
        <v>0</v>
      </c>
      <c r="AM600" s="496" t="b">
        <f ca="1">IF(OR(NOT(Y587),NOT(Z577)),FALSE,AND(L600="",OR(AG600&lt;=Y588+COUNTIF(L589:L600,$W$218),AG600&lt;=Z588+COUNTIF(M589:M600,$W$218))))</f>
        <v>0</v>
      </c>
      <c r="AN600" s="496" t="b">
        <f ca="1">IF(OR(NOT(Y587),NOT(Z577)),FALSE,AND(M600="",OR(AG600&lt;=Y588+COUNTIF(L589:L600,$W$218),AG600&lt;=Z588+COUNTIF(M589:M600,$W$218))))</f>
        <v>0</v>
      </c>
      <c r="AO600" s="496" t="b">
        <f ca="1">IF(OR(NOT(Y587),NOT(Z577)),FALSE,AND(N600="",OR(AG600&lt;=Y588+COUNTIF(L589:L600,$W$218),AG600&lt;=Z588+COUNTIF(M589:M600,$W$218))))</f>
        <v>0</v>
      </c>
      <c r="AW600" s="485"/>
      <c r="AY600" s="323"/>
      <c r="BA600" s="323"/>
      <c r="BC600" s="323"/>
      <c r="BE600" s="323"/>
      <c r="BG600" s="323"/>
      <c r="BI600" s="323"/>
      <c r="BK600" s="323"/>
      <c r="BM600" s="323"/>
      <c r="BO600" s="323"/>
      <c r="BQ600" s="323"/>
      <c r="BS600" s="323"/>
      <c r="BU600" s="323"/>
      <c r="BW600" s="323"/>
      <c r="BY600" s="323"/>
      <c r="CA600" s="323"/>
      <c r="CC600" s="323"/>
      <c r="CE600" s="323"/>
      <c r="CG600" s="323"/>
      <c r="CI600" s="323"/>
      <c r="CK600" s="323"/>
      <c r="CM600" s="323"/>
      <c r="CO600" s="323"/>
      <c r="CQ600" s="323"/>
      <c r="CS600" s="323"/>
      <c r="CU600" s="323"/>
      <c r="CW600" s="323"/>
      <c r="CY600" s="323"/>
      <c r="DA600" s="323"/>
      <c r="DC600" s="323"/>
      <c r="DE600" s="323"/>
      <c r="DG600" s="323"/>
      <c r="DI600" s="323"/>
      <c r="DJ600" s="485"/>
    </row>
    <row r="601" spans="1:115" ht="11.25" customHeight="1" x14ac:dyDescent="0.3">
      <c r="A601" s="765"/>
      <c r="C601" s="219"/>
      <c r="D601" s="220"/>
      <c r="E601" s="516"/>
      <c r="F601" s="516"/>
      <c r="G601" s="223"/>
      <c r="H601" s="219"/>
      <c r="J601" s="219"/>
      <c r="K601" s="220"/>
      <c r="L601" s="516"/>
      <c r="M601" s="516"/>
      <c r="N601" s="223"/>
      <c r="O601" s="219"/>
      <c r="AB601" s="327" t="str">
        <f t="shared" si="124"/>
        <v/>
      </c>
      <c r="AC601" s="327" t="str">
        <f t="shared" si="125"/>
        <v/>
      </c>
      <c r="AD601" s="327" t="str">
        <f t="shared" si="126"/>
        <v/>
      </c>
      <c r="AE601" s="327" t="str">
        <f t="shared" si="127"/>
        <v/>
      </c>
      <c r="AG601" s="485">
        <v>13</v>
      </c>
      <c r="AH601" s="496" t="b">
        <f ca="1">IF(OR(NOT(W587),NOT(X577)),FALSE,AND(D601="",OR(AG601&lt;=W588+COUNTIF(E589:E601,$W$218),AG601&lt;=X588+COUNTIF(F589:F601,$W$218))))</f>
        <v>0</v>
      </c>
      <c r="AI601" s="496" t="b">
        <f ca="1">IF(OR(NOT(W587),NOT(X577)),FALSE,AND(E601="",OR(AG601&lt;=W588+COUNTIF(E589:E601,$W$218),AG601&lt;=X588+COUNTIF(F589:F601,$W$218))))</f>
        <v>0</v>
      </c>
      <c r="AJ601" s="496" t="b">
        <f ca="1">IF(OR(NOT(W587),NOT(X577)),FALSE,AND(F601="",OR(AG601&lt;=W588+COUNTIF(E589:E601,$W$218),AG601&lt;=X588+COUNTIF(F589:F601,$W$218))))</f>
        <v>0</v>
      </c>
      <c r="AK601" s="496" t="b">
        <f ca="1">IF(OR(NOT(W587),NOT(X577)),FALSE,AND(G601="",OR(AG601&lt;=W588+COUNTIF(E589:E601,$W$218),AG601&lt;=X588+COUNTIF(F589:F601,$W$218))))</f>
        <v>0</v>
      </c>
      <c r="AL601" s="496" t="b">
        <f ca="1">IF(OR(NOT(Y587),NOT(Z577)),FALSE,AND(K601="",OR(AG601&lt;=Y588+COUNTIF(L589:L601,$W$218),AG601&lt;=Z588+COUNTIF(M589:M601,$W$218))))</f>
        <v>0</v>
      </c>
      <c r="AM601" s="496" t="b">
        <f ca="1">IF(OR(NOT(Y587),NOT(Z577)),FALSE,AND(L601="",OR(AG601&lt;=Y588+COUNTIF(L589:L601,$W$218),AG601&lt;=Z588+COUNTIF(M589:M601,$W$218))))</f>
        <v>0</v>
      </c>
      <c r="AN601" s="496" t="b">
        <f ca="1">IF(OR(NOT(Y587),NOT(Z577)),FALSE,AND(M601="",OR(AG601&lt;=Y588+COUNTIF(L589:L601,$W$218),AG601&lt;=Z588+COUNTIF(M589:M601,$W$218))))</f>
        <v>0</v>
      </c>
      <c r="AO601" s="496" t="b">
        <f ca="1">IF(OR(NOT(Y587),NOT(Z577)),FALSE,AND(N601="",OR(AG601&lt;=Y588+COUNTIF(L589:L601,$W$218),AG601&lt;=Z588+COUNTIF(M589:M601,$W$218))))</f>
        <v>0</v>
      </c>
      <c r="AW601" s="485"/>
      <c r="AY601" s="323"/>
      <c r="BA601" s="323"/>
      <c r="BC601" s="323"/>
      <c r="BE601" s="323"/>
      <c r="BG601" s="323"/>
      <c r="BI601" s="323"/>
      <c r="BK601" s="323"/>
      <c r="BM601" s="323"/>
      <c r="BO601" s="323"/>
      <c r="BQ601" s="323"/>
      <c r="BS601" s="323"/>
      <c r="BU601" s="323"/>
      <c r="BW601" s="323"/>
      <c r="BY601" s="323"/>
      <c r="CA601" s="323"/>
      <c r="CC601" s="323"/>
      <c r="CE601" s="323"/>
      <c r="CG601" s="323"/>
      <c r="CI601" s="323"/>
      <c r="CK601" s="323"/>
      <c r="CM601" s="323"/>
      <c r="CO601" s="323"/>
      <c r="CQ601" s="323"/>
      <c r="CS601" s="323"/>
      <c r="CU601" s="323"/>
      <c r="CW601" s="323"/>
      <c r="CY601" s="323"/>
      <c r="DA601" s="323"/>
      <c r="DC601" s="323"/>
      <c r="DE601" s="323"/>
      <c r="DG601" s="323"/>
      <c r="DI601" s="323"/>
      <c r="DJ601" s="485"/>
    </row>
    <row r="602" spans="1:115" ht="11.25" hidden="1" customHeight="1" x14ac:dyDescent="0.3">
      <c r="A602" s="765"/>
      <c r="C602" s="219"/>
      <c r="D602" s="220"/>
      <c r="E602" s="517"/>
      <c r="F602" s="516"/>
      <c r="G602" s="223"/>
      <c r="H602" s="219"/>
      <c r="J602" s="219"/>
      <c r="K602" s="220"/>
      <c r="L602" s="517"/>
      <c r="M602" s="516"/>
      <c r="N602" s="223"/>
      <c r="O602" s="219"/>
      <c r="AB602" s="327" t="str">
        <f t="shared" si="124"/>
        <v/>
      </c>
      <c r="AC602" s="327" t="str">
        <f t="shared" si="125"/>
        <v/>
      </c>
      <c r="AD602" s="327" t="str">
        <f t="shared" si="126"/>
        <v/>
      </c>
      <c r="AE602" s="327" t="str">
        <f t="shared" si="127"/>
        <v/>
      </c>
      <c r="AG602" s="485">
        <v>14</v>
      </c>
      <c r="AH602" s="496" t="b">
        <f ca="1">IF(OR(NOT(W587),NOT(X577)),FALSE,AND(D602="",OR(AG602&lt;=W588+COUNTIF(E589:E602,$W$218),AG602&lt;=X588+COUNTIF(F589:F602,$W$218))))</f>
        <v>0</v>
      </c>
      <c r="AI602" s="496" t="b">
        <f ca="1">IF(OR(NOT(W587),NOT(X577)),FALSE,AND(E602="",OR(AG602&lt;=W588+COUNTIF(E589:E602,$W$218),AG602&lt;=X588+COUNTIF(F589:F602,$W$218))))</f>
        <v>0</v>
      </c>
      <c r="AJ602" s="496" t="b">
        <f ca="1">IF(OR(NOT(W587),NOT(X577)),FALSE,AND(F602="",OR(AG602&lt;=W588+COUNTIF(E589:E602,$W$218),AG602&lt;=X588+COUNTIF(F589:F602,$W$218))))</f>
        <v>0</v>
      </c>
      <c r="AK602" s="496" t="b">
        <f ca="1">IF(OR(NOT(W587),NOT(X577)),FALSE,AND(G602="",OR(AG602&lt;=W588+COUNTIF(E589:E602,$W$218),AG602&lt;=X588+COUNTIF(F589:F602,$W$218))))</f>
        <v>0</v>
      </c>
      <c r="AL602" s="496" t="b">
        <f ca="1">IF(OR(NOT(Y587),NOT(Z577)),FALSE,AND(K602="",OR(AG602&lt;=Y588+COUNTIF(L589:L602,$W$218),AG602&lt;=Z588+COUNTIF(M589:M602,$W$218))))</f>
        <v>0</v>
      </c>
      <c r="AM602" s="496" t="b">
        <f ca="1">IF(OR(NOT(Y587),NOT(Z577)),FALSE,AND(L602="",OR(AG602&lt;=Y588+COUNTIF(L589:L602,$W$218),AG602&lt;=Z588+COUNTIF(M589:M602,$W$218))))</f>
        <v>0</v>
      </c>
      <c r="AN602" s="496" t="b">
        <f ca="1">IF(OR(NOT(Y587),NOT(Z577)),FALSE,AND(M602="",OR(AG602&lt;=Y588+COUNTIF(L589:L602,$W$218),AG602&lt;=Z588+COUNTIF(M589:M602,$W$218))))</f>
        <v>0</v>
      </c>
      <c r="AO602" s="496" t="b">
        <f ca="1">IF(OR(NOT(Y587),NOT(Z577)),FALSE,AND(N602="",OR(AG602&lt;=Y588+COUNTIF(L589:L602,$W$218),AG602&lt;=Z588+COUNTIF(M589:M602,$W$218))))</f>
        <v>0</v>
      </c>
      <c r="AS602" s="323"/>
      <c r="AT602" s="323"/>
      <c r="AW602" s="485"/>
      <c r="AY602" s="323"/>
      <c r="BA602" s="323"/>
      <c r="BC602" s="323"/>
      <c r="BE602" s="323"/>
      <c r="BG602" s="323"/>
      <c r="BI602" s="323"/>
      <c r="BK602" s="323"/>
      <c r="BM602" s="323"/>
      <c r="BO602" s="323"/>
      <c r="BQ602" s="323"/>
      <c r="BS602" s="323"/>
      <c r="BU602" s="323"/>
      <c r="BW602" s="323"/>
      <c r="BY602" s="323"/>
      <c r="CA602" s="323"/>
      <c r="CC602" s="323"/>
      <c r="CE602" s="323"/>
      <c r="CG602" s="323"/>
      <c r="CI602" s="323"/>
      <c r="CK602" s="323"/>
      <c r="CM602" s="323"/>
      <c r="CO602" s="323"/>
      <c r="CQ602" s="323"/>
      <c r="CS602" s="323"/>
      <c r="CU602" s="323"/>
      <c r="CW602" s="323"/>
      <c r="CY602" s="323"/>
      <c r="DA602" s="323"/>
      <c r="DC602" s="323"/>
      <c r="DE602" s="323"/>
      <c r="DG602" s="323"/>
      <c r="DI602" s="323"/>
      <c r="DJ602" s="485"/>
    </row>
    <row r="603" spans="1:115" ht="10.5" hidden="1" customHeight="1" x14ac:dyDescent="0.3">
      <c r="A603" s="76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AQ603" s="323"/>
      <c r="AR603" s="323"/>
      <c r="AS603" s="323"/>
      <c r="AT603" s="323"/>
      <c r="AW603" s="485"/>
      <c r="AY603" s="323"/>
      <c r="BA603" s="323"/>
      <c r="BC603" s="323"/>
      <c r="BE603" s="323"/>
      <c r="BG603" s="323"/>
      <c r="BI603" s="323"/>
      <c r="BK603" s="323"/>
      <c r="BM603" s="323"/>
      <c r="BO603" s="323"/>
      <c r="BQ603" s="323"/>
      <c r="BS603" s="323"/>
      <c r="BU603" s="323"/>
      <c r="BW603" s="323"/>
      <c r="BY603" s="323"/>
      <c r="CA603" s="323"/>
      <c r="CC603" s="323"/>
      <c r="CE603" s="323"/>
      <c r="CG603" s="323"/>
      <c r="CI603" s="323"/>
      <c r="CK603" s="323"/>
      <c r="CM603" s="323"/>
      <c r="CO603" s="323"/>
      <c r="CQ603" s="323"/>
      <c r="CS603" s="323"/>
      <c r="CU603" s="323"/>
      <c r="CW603" s="323"/>
      <c r="CY603" s="323"/>
      <c r="DA603" s="323"/>
      <c r="DC603" s="323"/>
      <c r="DE603" s="323"/>
      <c r="DG603" s="323"/>
      <c r="DI603" s="323"/>
    </row>
    <row r="604" spans="1:115" ht="10.5" customHeight="1" x14ac:dyDescent="0.3">
      <c r="A604" s="76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AQ604" s="323"/>
      <c r="AR604" s="323"/>
      <c r="AS604" s="323"/>
      <c r="AT604" s="323"/>
      <c r="AW604" s="485"/>
      <c r="AY604" s="323"/>
      <c r="BA604" s="323"/>
      <c r="BC604" s="323"/>
      <c r="BE604" s="323"/>
      <c r="BG604" s="323"/>
      <c r="BI604" s="323"/>
      <c r="BK604" s="323"/>
      <c r="BM604" s="323"/>
      <c r="BO604" s="323"/>
      <c r="BQ604" s="323"/>
      <c r="BS604" s="323"/>
      <c r="BU604" s="323"/>
      <c r="BW604" s="323"/>
      <c r="BY604" s="323"/>
      <c r="CA604" s="323"/>
      <c r="CC604" s="323"/>
      <c r="CE604" s="323"/>
      <c r="CG604" s="323"/>
      <c r="CI604" s="323"/>
      <c r="CK604" s="323"/>
      <c r="CM604" s="323"/>
      <c r="CO604" s="323"/>
      <c r="CQ604" s="323"/>
      <c r="CS604" s="323"/>
      <c r="CU604" s="323"/>
      <c r="CW604" s="323"/>
      <c r="CY604" s="323"/>
      <c r="DA604" s="323"/>
      <c r="DC604" s="323"/>
      <c r="DE604" s="323"/>
      <c r="DG604" s="323"/>
      <c r="DI604" s="323"/>
    </row>
    <row r="605" spans="1:115" ht="3.75" customHeight="1" x14ac:dyDescent="0.3">
      <c r="A605" s="765"/>
      <c r="AQ605" s="323"/>
      <c r="AR605" s="323"/>
      <c r="AS605" s="323"/>
      <c r="AT605" s="323"/>
      <c r="AY605" s="323"/>
      <c r="BA605" s="323"/>
      <c r="BC605" s="323"/>
      <c r="BE605" s="323"/>
      <c r="BG605" s="323"/>
      <c r="BI605" s="323"/>
      <c r="BK605" s="323"/>
      <c r="BM605" s="323"/>
      <c r="BO605" s="323"/>
      <c r="BQ605" s="323"/>
      <c r="BS605" s="323"/>
      <c r="BU605" s="323"/>
      <c r="BW605" s="323"/>
      <c r="BY605" s="323"/>
      <c r="CA605" s="323"/>
      <c r="CC605" s="323"/>
      <c r="CE605" s="323"/>
      <c r="CG605" s="323"/>
      <c r="CI605" s="323"/>
      <c r="CK605" s="323"/>
      <c r="CM605" s="323"/>
      <c r="CO605" s="323"/>
      <c r="CQ605" s="323"/>
      <c r="CS605" s="323"/>
      <c r="CU605" s="323"/>
      <c r="CW605" s="323"/>
      <c r="CY605" s="323"/>
      <c r="DA605" s="323"/>
      <c r="DC605" s="323"/>
      <c r="DE605" s="323"/>
      <c r="DG605" s="323"/>
      <c r="DI605" s="323"/>
    </row>
    <row r="606" spans="1:115" ht="12" customHeight="1" x14ac:dyDescent="0.3">
      <c r="A606" s="765"/>
      <c r="B606" s="15"/>
      <c r="C606" s="247" t="str">
        <f>W611</f>
        <v>JÚLIUS 6. – KEDD 21:00</v>
      </c>
      <c r="D606" s="227"/>
      <c r="E606" s="228"/>
      <c r="F606" s="229"/>
      <c r="G606" s="230"/>
      <c r="H606" s="231" t="str">
        <f>W612</f>
        <v>ELŐDÖNTŐ</v>
      </c>
      <c r="I606" s="138"/>
      <c r="J606" s="246" t="str">
        <f>Y611</f>
        <v>JÚLIUS 7. – SZERDA 21:00</v>
      </c>
      <c r="K606" s="227"/>
      <c r="L606" s="228"/>
      <c r="M606" s="229"/>
      <c r="N606" s="230"/>
      <c r="O606" s="226" t="str">
        <f>Y612</f>
        <v>ELŐDÖNTŐ</v>
      </c>
      <c r="AQ606" s="323"/>
      <c r="AR606" s="323"/>
      <c r="AS606" s="323"/>
      <c r="AT606" s="323"/>
      <c r="AY606" s="323"/>
      <c r="BA606" s="323"/>
      <c r="BC606" s="323"/>
      <c r="BE606" s="323"/>
      <c r="BG606" s="323"/>
      <c r="BI606" s="323"/>
      <c r="BK606" s="323"/>
      <c r="BM606" s="323"/>
      <c r="BO606" s="323"/>
      <c r="BQ606" s="323"/>
      <c r="BS606" s="323"/>
      <c r="BU606" s="323"/>
      <c r="BW606" s="323"/>
      <c r="BY606" s="323"/>
      <c r="CA606" s="323"/>
      <c r="CC606" s="323"/>
      <c r="CE606" s="323"/>
      <c r="CG606" s="323"/>
      <c r="CI606" s="323"/>
      <c r="CK606" s="323"/>
      <c r="CM606" s="323"/>
      <c r="CO606" s="323"/>
      <c r="CQ606" s="323"/>
      <c r="CS606" s="323"/>
      <c r="CU606" s="323"/>
      <c r="CW606" s="323"/>
      <c r="CY606" s="323"/>
      <c r="DA606" s="323"/>
      <c r="DC606" s="323"/>
      <c r="DE606" s="323"/>
      <c r="DG606" s="323"/>
      <c r="DI606" s="323"/>
    </row>
    <row r="607" spans="1:115" s="138" customFormat="1" ht="14.25" customHeight="1" x14ac:dyDescent="0.3">
      <c r="A607" s="765"/>
      <c r="B607" s="137"/>
      <c r="C607" s="233" t="str">
        <f>IF(W614=0,"",IF(W614&gt;0,CONCATENATE("még ",W614," gól"),CONCATENATE("túl sok (",W614," gól)")))</f>
        <v/>
      </c>
      <c r="D607" s="714" t="str">
        <f>W615</f>
        <v>1/4 győztese</v>
      </c>
      <c r="E607" s="716" t="str">
        <f>W616</f>
        <v/>
      </c>
      <c r="F607" s="717" t="str">
        <f>X616</f>
        <v/>
      </c>
      <c r="G607" s="715" t="str">
        <f>X615</f>
        <v>2/4 győztese</v>
      </c>
      <c r="H607" s="232" t="str">
        <f>IF(X614=0,"",IF(X614&gt;0,CONCATENATE("még ",X614," gól"),CONCATENATE("túl sok (",X614," gól)")))</f>
        <v/>
      </c>
      <c r="I607" s="127"/>
      <c r="J607" s="233" t="str">
        <f>IF(Y614=0,"",IF(Y614&gt;0,CONCATENATE("még ",Y614," gól"),CONCATENATE("túl sok (",Y614," gól)")))</f>
        <v/>
      </c>
      <c r="K607" s="714" t="str">
        <f>Y615</f>
        <v>3/4 győztese</v>
      </c>
      <c r="L607" s="716" t="str">
        <f>Y616</f>
        <v/>
      </c>
      <c r="M607" s="717" t="str">
        <f>Z616</f>
        <v/>
      </c>
      <c r="N607" s="715" t="str">
        <f>Z615</f>
        <v>4/4 győztese</v>
      </c>
      <c r="O607" s="232" t="str">
        <f>IF(Z614=0,"",IF(Z614&gt;0,CONCATENATE("még ",Z614," gól"),CONCATENATE("túl sok (",Z614," gól)")))</f>
        <v/>
      </c>
      <c r="P607" s="139"/>
      <c r="Q607" s="140"/>
      <c r="R607" s="141"/>
      <c r="S607" s="141"/>
      <c r="T607" s="484"/>
      <c r="U607" s="485"/>
      <c r="V607" s="485"/>
      <c r="W607" s="485"/>
      <c r="X607" s="485"/>
      <c r="Y607" s="485"/>
      <c r="Z607" s="485"/>
      <c r="AA607" s="485"/>
      <c r="AB607" s="242" t="e">
        <f>HLOOKUP(D607,nevek.li,2,FALSE)</f>
        <v>#N/A</v>
      </c>
      <c r="AC607" s="242" t="e">
        <f>HLOOKUP(G607,nevek.li,2,FALSE)</f>
        <v>#N/A</v>
      </c>
      <c r="AD607" s="242" t="e">
        <f>HLOOKUP(K607,nevek.li,2,FALSE)</f>
        <v>#N/A</v>
      </c>
      <c r="AE607" s="242" t="e">
        <f>HLOOKUP(N607,nevek.li,2,FALSE)</f>
        <v>#N/A</v>
      </c>
      <c r="AF607" s="485"/>
      <c r="AG607" s="485"/>
      <c r="AH607" s="485"/>
      <c r="AI607" s="485"/>
      <c r="AJ607" s="485"/>
      <c r="AK607" s="485"/>
      <c r="AL607" s="485"/>
      <c r="AM607" s="485"/>
      <c r="AN607" s="485"/>
      <c r="AO607" s="485"/>
      <c r="AP607" s="485"/>
      <c r="AQ607" s="485"/>
      <c r="AR607" s="485"/>
      <c r="AS607" s="485"/>
      <c r="AT607" s="485"/>
      <c r="AU607" s="485"/>
      <c r="AV607" s="500"/>
      <c r="AW607" s="323"/>
      <c r="AX607" s="323"/>
      <c r="AY607" s="323"/>
      <c r="AZ607" s="323"/>
      <c r="BA607" s="323"/>
      <c r="BB607" s="323"/>
      <c r="BC607" s="323"/>
      <c r="BD607" s="323"/>
      <c r="BE607" s="323"/>
      <c r="BF607" s="323"/>
      <c r="BG607" s="323"/>
      <c r="BH607" s="323"/>
      <c r="BI607" s="323"/>
      <c r="BJ607" s="323"/>
      <c r="BK607" s="323"/>
      <c r="BL607" s="323"/>
      <c r="BM607" s="323"/>
      <c r="BN607" s="323"/>
      <c r="BO607" s="323"/>
      <c r="BP607" s="323"/>
      <c r="BQ607" s="323"/>
      <c r="BR607" s="323"/>
      <c r="BS607" s="323"/>
      <c r="BT607" s="323"/>
      <c r="BU607" s="323"/>
      <c r="BV607" s="323"/>
      <c r="BW607" s="323"/>
      <c r="BX607" s="323"/>
      <c r="BY607" s="323"/>
      <c r="BZ607" s="323"/>
      <c r="CA607" s="323"/>
      <c r="CB607" s="323"/>
      <c r="CC607" s="323"/>
      <c r="CD607" s="323"/>
      <c r="CE607" s="323"/>
      <c r="CF607" s="323"/>
      <c r="CG607" s="323"/>
      <c r="CH607" s="323"/>
      <c r="CI607" s="323"/>
      <c r="CJ607" s="323"/>
      <c r="CK607" s="323"/>
      <c r="CL607" s="323"/>
      <c r="CM607" s="323"/>
      <c r="CN607" s="323"/>
      <c r="CO607" s="323"/>
      <c r="CP607" s="323"/>
      <c r="CQ607" s="323"/>
      <c r="CR607" s="323"/>
      <c r="CS607" s="323"/>
      <c r="CT607" s="323"/>
      <c r="CU607" s="323"/>
      <c r="CV607" s="323"/>
      <c r="CW607" s="323"/>
      <c r="CX607" s="323"/>
      <c r="CY607" s="323"/>
      <c r="CZ607" s="323"/>
      <c r="DA607" s="323"/>
      <c r="DB607" s="323"/>
      <c r="DC607" s="323"/>
      <c r="DD607" s="323"/>
      <c r="DE607" s="323"/>
      <c r="DF607" s="323"/>
      <c r="DG607" s="323"/>
      <c r="DH607" s="323"/>
      <c r="DI607" s="323"/>
      <c r="DJ607" s="323"/>
      <c r="DK607" s="500"/>
    </row>
    <row r="608" spans="1:115" ht="12" customHeight="1" x14ac:dyDescent="0.3">
      <c r="A608" s="765"/>
      <c r="C608" s="218"/>
      <c r="D608" s="220"/>
      <c r="E608" s="221"/>
      <c r="F608" s="222"/>
      <c r="G608" s="223"/>
      <c r="H608" s="218"/>
      <c r="J608" s="218"/>
      <c r="K608" s="220"/>
      <c r="L608" s="221"/>
      <c r="M608" s="222"/>
      <c r="N608" s="223"/>
      <c r="O608" s="218"/>
      <c r="V608" s="487" t="s">
        <v>706</v>
      </c>
      <c r="W608" s="242">
        <v>49</v>
      </c>
      <c r="X608" s="485" t="str">
        <f>""</f>
        <v/>
      </c>
      <c r="Y608" s="242">
        <v>50</v>
      </c>
      <c r="AB608" s="327" t="e">
        <f>IF(C608="öngól",AC607,AB607)</f>
        <v>#N/A</v>
      </c>
      <c r="AC608" s="327" t="e">
        <f>IF(H608="öngól",AB607,AC607)</f>
        <v>#N/A</v>
      </c>
      <c r="AD608" s="327" t="e">
        <f>IF(J608="öngól",AE607,AD607)</f>
        <v>#N/A</v>
      </c>
      <c r="AE608" s="327" t="e">
        <f>IF(O608="öngól",AD607,AE607)</f>
        <v>#N/A</v>
      </c>
      <c r="AF608" s="325"/>
      <c r="AG608" s="485">
        <v>1</v>
      </c>
      <c r="AH608" s="488" t="b">
        <f ca="1">AND(W610,X611,D608="",AG608&lt;=W616)</f>
        <v>0</v>
      </c>
      <c r="AI608" s="488" t="b">
        <f ca="1">AND(W610,X611,E608="",AG608&lt;=W616)</f>
        <v>0</v>
      </c>
      <c r="AJ608" s="488" t="b">
        <f ca="1">AND(W610,X611,F608="",AG608&lt;=X616)</f>
        <v>0</v>
      </c>
      <c r="AK608" s="488" t="b">
        <f ca="1">AND(W610,X611,G608="",AG608&lt;=X616)</f>
        <v>0</v>
      </c>
      <c r="AL608" s="488" t="b">
        <f ca="1">AND(Y610,Z611,K608="",AG608&lt;=Y616)</f>
        <v>0</v>
      </c>
      <c r="AM608" s="488" t="b">
        <f ca="1">AND(Y610,Z611,L608="",AG608&lt;=Y616)</f>
        <v>0</v>
      </c>
      <c r="AN608" s="488" t="b">
        <f ca="1">AND(Y610,Z611,M608="",AG608&lt;=Z616)</f>
        <v>0</v>
      </c>
      <c r="AO608" s="488" t="b">
        <f ca="1">AND(Y610,Z611,N608="",AG608&lt;=Z616)</f>
        <v>0</v>
      </c>
      <c r="AQ608" s="326" t="str">
        <f>IF(OR(NOT(Góllista!$E$6),D608=""),"",IF(C608="öngól","ö"&amp;G607&amp;D608,D607&amp;D608))</f>
        <v/>
      </c>
      <c r="AR608" s="326" t="str">
        <f>IF(OR(NOT(Góllista!$E$6),G608=""),"",IF(H608="öngól","ö"&amp;D607&amp;G608,G607&amp;G608))</f>
        <v/>
      </c>
      <c r="AS608" s="326" t="str">
        <f>IF(OR(NOT(Góllista!$E$6),K608=""),"",IF(J608="öngól","ö"&amp;N607&amp;K608,K607&amp;K608))</f>
        <v/>
      </c>
      <c r="AT608" s="326" t="str">
        <f>IF(OR(NOT(Góllista!$E$6),N608=""),"",IF(O608="öngól","ö"&amp;K607&amp;N608,N607&amp;N608))</f>
        <v/>
      </c>
      <c r="AY608" s="323"/>
      <c r="BA608" s="323"/>
      <c r="BC608" s="323"/>
      <c r="BE608" s="323"/>
      <c r="BG608" s="323"/>
      <c r="BI608" s="323"/>
      <c r="BK608" s="323"/>
      <c r="BM608" s="323"/>
      <c r="BO608" s="323"/>
      <c r="BQ608" s="323"/>
      <c r="BS608" s="323"/>
      <c r="BU608" s="323"/>
      <c r="BW608" s="323"/>
      <c r="BY608" s="323"/>
      <c r="CA608" s="323"/>
      <c r="CC608" s="323"/>
      <c r="CE608" s="323"/>
      <c r="CG608" s="323"/>
      <c r="CI608" s="323"/>
      <c r="CK608" s="323"/>
      <c r="CM608" s="323"/>
      <c r="CO608" s="323"/>
      <c r="CQ608" s="323"/>
      <c r="CS608" s="323"/>
      <c r="CU608" s="323"/>
      <c r="CW608" s="323"/>
      <c r="CY608" s="323"/>
      <c r="DA608" s="323"/>
      <c r="DC608" s="323"/>
      <c r="DE608" s="323"/>
      <c r="DG608" s="323"/>
      <c r="DI608" s="323"/>
    </row>
    <row r="609" spans="1:114" ht="12" customHeight="1" x14ac:dyDescent="0.3">
      <c r="A609" s="765"/>
      <c r="C609" s="219"/>
      <c r="D609" s="220"/>
      <c r="E609" s="224"/>
      <c r="F609" s="222"/>
      <c r="G609" s="223"/>
      <c r="H609" s="219"/>
      <c r="J609" s="219"/>
      <c r="K609" s="220"/>
      <c r="L609" s="224"/>
      <c r="M609" s="222"/>
      <c r="N609" s="223"/>
      <c r="O609" s="219"/>
      <c r="V609" s="487" t="s">
        <v>711</v>
      </c>
      <c r="W609" s="327">
        <f>MATCH(W608,n.er.index,0)</f>
        <v>132</v>
      </c>
      <c r="X609" s="485" t="str">
        <f>""</f>
        <v/>
      </c>
      <c r="Y609" s="327">
        <f>MATCH(Y608,n.er.index,0)</f>
        <v>137</v>
      </c>
      <c r="AB609" s="327" t="e">
        <f>IF(C609="öngól",AC607,AB607)</f>
        <v>#N/A</v>
      </c>
      <c r="AC609" s="327" t="e">
        <f>IF(H609="öngól",AB607,AC607)</f>
        <v>#N/A</v>
      </c>
      <c r="AD609" s="327" t="e">
        <f>IF(J609="öngól",AE607,AD607)</f>
        <v>#N/A</v>
      </c>
      <c r="AE609" s="327" t="e">
        <f>IF(O609="öngól",AD607,AE607)</f>
        <v>#N/A</v>
      </c>
      <c r="AF609" s="325"/>
      <c r="AG609" s="485">
        <v>2</v>
      </c>
      <c r="AH609" s="488" t="b">
        <f ca="1">AND(W610,X611,D609="",AG609&lt;=W616)</f>
        <v>0</v>
      </c>
      <c r="AI609" s="488" t="b">
        <f ca="1">AND(W610,X611,E609="",AG609&lt;=W616)</f>
        <v>0</v>
      </c>
      <c r="AJ609" s="488" t="b">
        <f ca="1">AND(W610,X611,F609="",AG609&lt;=X616)</f>
        <v>0</v>
      </c>
      <c r="AK609" s="488" t="b">
        <f ca="1">AND(W610,X611,G609="",AG609&lt;=X616)</f>
        <v>0</v>
      </c>
      <c r="AL609" s="488" t="b">
        <f ca="1">AND(Y610,Z611,K609="",AG609&lt;=Y616)</f>
        <v>0</v>
      </c>
      <c r="AM609" s="488" t="b">
        <f ca="1">AND(Y610,Z611,L609="",AG609&lt;=Y616)</f>
        <v>0</v>
      </c>
      <c r="AN609" s="488" t="b">
        <f ca="1">AND(Y610,Z611,M609="",AG609&lt;=Z616)</f>
        <v>0</v>
      </c>
      <c r="AO609" s="488" t="b">
        <f ca="1">AND(Y610,Z611,N609="",AG609&lt;=Z616)</f>
        <v>0</v>
      </c>
      <c r="AQ609" s="326" t="str">
        <f>IF(OR(NOT(Góllista!$E$6),D609=""),"",IF(C609="öngól","ö"&amp;G607&amp;D609,D607&amp;D609))</f>
        <v/>
      </c>
      <c r="AR609" s="326" t="str">
        <f>IF(OR(NOT(Góllista!$E$6),G609=""),"",IF(H609="öngól","ö"&amp;D607&amp;G609,G607&amp;G609))</f>
        <v/>
      </c>
      <c r="AS609" s="326" t="str">
        <f>IF(OR(NOT(Góllista!$E$6),K609=""),"",IF(J609="öngól","ö"&amp;N607&amp;K609,K607&amp;K609))</f>
        <v/>
      </c>
      <c r="AT609" s="326" t="str">
        <f>IF(OR(NOT(Góllista!$E$6),N609=""),"",IF(O609="öngól","ö"&amp;K607&amp;N609,N607&amp;N609))</f>
        <v/>
      </c>
      <c r="AY609" s="323"/>
      <c r="BA609" s="323"/>
      <c r="BC609" s="323"/>
      <c r="BE609" s="323"/>
      <c r="BG609" s="323"/>
      <c r="BI609" s="323"/>
      <c r="BK609" s="323"/>
      <c r="BM609" s="323"/>
      <c r="BO609" s="323"/>
      <c r="BQ609" s="323"/>
      <c r="BS609" s="323"/>
      <c r="BU609" s="323"/>
      <c r="BW609" s="323"/>
      <c r="BY609" s="323"/>
      <c r="CA609" s="323"/>
      <c r="CC609" s="323"/>
      <c r="CE609" s="323"/>
      <c r="CG609" s="323"/>
      <c r="CI609" s="323"/>
      <c r="CK609" s="323"/>
      <c r="CM609" s="323"/>
      <c r="CO609" s="323"/>
      <c r="CQ609" s="323"/>
      <c r="CS609" s="323"/>
      <c r="CU609" s="323"/>
      <c r="CW609" s="323"/>
      <c r="CY609" s="323"/>
      <c r="DA609" s="323"/>
      <c r="DC609" s="323"/>
      <c r="DE609" s="323"/>
      <c r="DG609" s="323"/>
      <c r="DI609" s="323"/>
    </row>
    <row r="610" spans="1:114" ht="12" customHeight="1" x14ac:dyDescent="0.3">
      <c r="A610" s="765"/>
      <c r="C610" s="219"/>
      <c r="D610" s="220"/>
      <c r="E610" s="224"/>
      <c r="F610" s="222"/>
      <c r="G610" s="223"/>
      <c r="H610" s="219"/>
      <c r="J610" s="219"/>
      <c r="K610" s="220"/>
      <c r="L610" s="224"/>
      <c r="M610" s="222"/>
      <c r="N610" s="223"/>
      <c r="O610" s="219"/>
      <c r="V610" s="487" t="s">
        <v>710</v>
      </c>
      <c r="W610" s="489" t="b">
        <f>INDEX(n.er,W609,3)</f>
        <v>0</v>
      </c>
      <c r="X610" s="485" t="str">
        <f>""</f>
        <v/>
      </c>
      <c r="Y610" s="489" t="b">
        <f>INDEX(n.er,Y609,3)</f>
        <v>0</v>
      </c>
      <c r="AB610" s="327" t="e">
        <f>IF(C610="öngól",AC607,AB607)</f>
        <v>#N/A</v>
      </c>
      <c r="AC610" s="327" t="e">
        <f>IF(H610="öngól",AB607,AC607)</f>
        <v>#N/A</v>
      </c>
      <c r="AD610" s="327" t="e">
        <f>IF(J610="öngól",AE607,AD607)</f>
        <v>#N/A</v>
      </c>
      <c r="AE610" s="327" t="e">
        <f>IF(O610="öngól",AD607,AE607)</f>
        <v>#N/A</v>
      </c>
      <c r="AF610" s="325"/>
      <c r="AG610" s="485">
        <v>3</v>
      </c>
      <c r="AH610" s="488" t="b">
        <f ca="1">AND(W610,X611,D610="",AG610&lt;=W616)</f>
        <v>0</v>
      </c>
      <c r="AI610" s="488" t="b">
        <f ca="1">AND(W610,X611,E610="",AG610&lt;=W616)</f>
        <v>0</v>
      </c>
      <c r="AJ610" s="488" t="b">
        <f ca="1">AND(W610,X611,F610="",AG610&lt;=X616)</f>
        <v>0</v>
      </c>
      <c r="AK610" s="488" t="b">
        <f ca="1">AND(W610,X611,G610="",AG610&lt;=X616)</f>
        <v>0</v>
      </c>
      <c r="AL610" s="488" t="b">
        <f ca="1">AND(Y610,Z611,K610="",AG610&lt;=Y616)</f>
        <v>0</v>
      </c>
      <c r="AM610" s="488" t="b">
        <f ca="1">AND(Y610,Z611,L610="",AG610&lt;=Y616)</f>
        <v>0</v>
      </c>
      <c r="AN610" s="488" t="b">
        <f ca="1">AND(Y610,Z611,M610="",AG610&lt;=Z616)</f>
        <v>0</v>
      </c>
      <c r="AO610" s="488" t="b">
        <f ca="1">AND(Y610,Z611,N610="",AG610&lt;=Z616)</f>
        <v>0</v>
      </c>
      <c r="AQ610" s="326" t="str">
        <f>IF(OR(NOT(Góllista!$E$6),D610=""),"",IF(C610="öngól","ö"&amp;G607&amp;D610,D607&amp;D610))</f>
        <v/>
      </c>
      <c r="AR610" s="326" t="str">
        <f>IF(OR(NOT(Góllista!$E$6),G610=""),"",IF(H610="öngól","ö"&amp;D607&amp;G610,G607&amp;G610))</f>
        <v/>
      </c>
      <c r="AS610" s="326" t="str">
        <f>IF(OR(NOT(Góllista!$E$6),K610=""),"",IF(J610="öngól","ö"&amp;N607&amp;K610,K607&amp;K610))</f>
        <v/>
      </c>
      <c r="AT610" s="326" t="str">
        <f>IF(OR(NOT(Góllista!$E$6),N610=""),"",IF(O610="öngól","ö"&amp;K607&amp;N610,N607&amp;N610))</f>
        <v/>
      </c>
      <c r="AY610" s="323"/>
      <c r="BA610" s="323"/>
      <c r="BC610" s="323"/>
      <c r="BE610" s="323"/>
      <c r="BG610" s="323"/>
      <c r="BI610" s="323"/>
      <c r="BK610" s="323"/>
      <c r="BM610" s="323"/>
      <c r="BO610" s="323"/>
      <c r="BQ610" s="323"/>
      <c r="BS610" s="323"/>
      <c r="BU610" s="323"/>
      <c r="BW610" s="323"/>
      <c r="BY610" s="323"/>
      <c r="CA610" s="323"/>
      <c r="CC610" s="323"/>
      <c r="CE610" s="323"/>
      <c r="CG610" s="323"/>
      <c r="CI610" s="323"/>
      <c r="CK610" s="323"/>
      <c r="CM610" s="323"/>
      <c r="CO610" s="323"/>
      <c r="CQ610" s="323"/>
      <c r="CS610" s="323"/>
      <c r="CU610" s="323"/>
      <c r="CW610" s="323"/>
      <c r="CY610" s="323"/>
      <c r="DA610" s="323"/>
      <c r="DC610" s="323"/>
      <c r="DE610" s="323"/>
      <c r="DG610" s="323"/>
      <c r="DI610" s="323"/>
    </row>
    <row r="611" spans="1:114" ht="12" customHeight="1" x14ac:dyDescent="0.3">
      <c r="A611" s="765"/>
      <c r="C611" s="219"/>
      <c r="D611" s="220"/>
      <c r="E611" s="224"/>
      <c r="F611" s="222"/>
      <c r="G611" s="223"/>
      <c r="H611" s="219"/>
      <c r="J611" s="219"/>
      <c r="K611" s="220"/>
      <c r="L611" s="224"/>
      <c r="M611" s="222"/>
      <c r="N611" s="223"/>
      <c r="O611" s="219"/>
      <c r="V611" s="487" t="s">
        <v>705</v>
      </c>
      <c r="W611" s="490" t="str">
        <f>VLOOKUP(W608,schedule,18,FALSE)</f>
        <v>JÚLIUS 6. – KEDD 21:00</v>
      </c>
      <c r="X611" s="489" t="b">
        <f ca="1">VLOOKUP(W608,schedule,14,FALSE)&lt;=NOW()</f>
        <v>0</v>
      </c>
      <c r="Y611" s="490" t="str">
        <f>VLOOKUP(Y608,schedule,18,FALSE)</f>
        <v>JÚLIUS 7. – SZERDA 21:00</v>
      </c>
      <c r="Z611" s="489" t="b">
        <f ca="1">VLOOKUP(Y608,schedule,14,FALSE)&lt;=NOW()</f>
        <v>0</v>
      </c>
      <c r="AB611" s="327" t="e">
        <f>IF(C611="öngól",AC607,AB607)</f>
        <v>#N/A</v>
      </c>
      <c r="AC611" s="327" t="e">
        <f>IF(H611="öngól",AB607,AC607)</f>
        <v>#N/A</v>
      </c>
      <c r="AD611" s="327" t="e">
        <f>IF(J611="öngól",AE607,AD607)</f>
        <v>#N/A</v>
      </c>
      <c r="AE611" s="327" t="e">
        <f>IF(O611="öngól",AD607,AE607)</f>
        <v>#N/A</v>
      </c>
      <c r="AF611" s="325"/>
      <c r="AG611" s="485">
        <v>4</v>
      </c>
      <c r="AH611" s="488" t="b">
        <f ca="1">AND(W610,X611,D611="",AG611&lt;=W616)</f>
        <v>0</v>
      </c>
      <c r="AI611" s="488" t="b">
        <f ca="1">AND(W610,X611,E611="",AG611&lt;=W616)</f>
        <v>0</v>
      </c>
      <c r="AJ611" s="488" t="b">
        <f ca="1">AND(W610,X611,F611="",AG611&lt;=X616)</f>
        <v>0</v>
      </c>
      <c r="AK611" s="488" t="b">
        <f ca="1">AND(W610,X611,G611="",AG611&lt;=X616)</f>
        <v>0</v>
      </c>
      <c r="AL611" s="488" t="b">
        <f ca="1">AND(Y610,Z611,K611="",AG611&lt;=Y616)</f>
        <v>0</v>
      </c>
      <c r="AM611" s="488" t="b">
        <f ca="1">AND(Y610,Z611,L611="",AG611&lt;=Y616)</f>
        <v>0</v>
      </c>
      <c r="AN611" s="488" t="b">
        <f ca="1">AND(Y610,Z611,M611="",AG611&lt;=Z616)</f>
        <v>0</v>
      </c>
      <c r="AO611" s="488" t="b">
        <f ca="1">AND(Y610,Z611,N611="",AG611&lt;=Z616)</f>
        <v>0</v>
      </c>
      <c r="AQ611" s="326" t="str">
        <f>IF(OR(NOT(Góllista!$E$6),D611=""),"",IF(C611="öngól","ö"&amp;G607&amp;D611,D607&amp;D611))</f>
        <v/>
      </c>
      <c r="AR611" s="326" t="str">
        <f>IF(OR(NOT(Góllista!$E$6),G611=""),"",IF(H611="öngól","ö"&amp;D607&amp;G611,G607&amp;G611))</f>
        <v/>
      </c>
      <c r="AS611" s="326" t="str">
        <f>IF(OR(NOT(Góllista!$E$6),K611=""),"",IF(J611="öngól","ö"&amp;N607&amp;K611,K607&amp;K611))</f>
        <v/>
      </c>
      <c r="AT611" s="326" t="str">
        <f>IF(OR(NOT(Góllista!$E$6),N611=""),"",IF(O611="öngól","ö"&amp;K607&amp;N611,N607&amp;N611))</f>
        <v/>
      </c>
      <c r="AY611" s="323"/>
      <c r="BA611" s="323"/>
      <c r="BC611" s="323"/>
      <c r="BE611" s="323"/>
      <c r="BG611" s="323"/>
      <c r="BI611" s="323"/>
      <c r="BK611" s="323"/>
      <c r="BM611" s="323"/>
      <c r="BO611" s="323"/>
      <c r="BQ611" s="323"/>
      <c r="BS611" s="323"/>
      <c r="BU611" s="323"/>
      <c r="BW611" s="323"/>
      <c r="BY611" s="323"/>
      <c r="CA611" s="323"/>
      <c r="CC611" s="323"/>
      <c r="CE611" s="323"/>
      <c r="CG611" s="323"/>
      <c r="CI611" s="323"/>
      <c r="CK611" s="323"/>
      <c r="CM611" s="323"/>
      <c r="CO611" s="323"/>
      <c r="CQ611" s="323"/>
      <c r="CS611" s="323"/>
      <c r="CU611" s="323"/>
      <c r="CW611" s="323"/>
      <c r="CY611" s="323"/>
      <c r="DA611" s="323"/>
      <c r="DC611" s="323"/>
      <c r="DE611" s="323"/>
      <c r="DG611" s="323"/>
      <c r="DI611" s="323"/>
    </row>
    <row r="612" spans="1:114" ht="12" customHeight="1" x14ac:dyDescent="0.3">
      <c r="A612" s="765"/>
      <c r="C612" s="219"/>
      <c r="D612" s="220"/>
      <c r="E612" s="224"/>
      <c r="F612" s="222"/>
      <c r="G612" s="223"/>
      <c r="H612" s="219"/>
      <c r="J612" s="219"/>
      <c r="K612" s="220"/>
      <c r="L612" s="224"/>
      <c r="M612" s="222"/>
      <c r="N612" s="223"/>
      <c r="O612" s="219"/>
      <c r="V612" s="487" t="s">
        <v>1265</v>
      </c>
      <c r="W612" s="491" t="str">
        <f>VLOOKUP(W608,schedule,12,FALSE)</f>
        <v>ELŐDÖNTŐ</v>
      </c>
      <c r="X612" s="485" t="str">
        <f>""</f>
        <v/>
      </c>
      <c r="Y612" s="491" t="str">
        <f>VLOOKUP(Y608,schedule,12,FALSE)</f>
        <v>ELŐDÖNTŐ</v>
      </c>
      <c r="AB612" s="327" t="e">
        <f>IF(C612="öngól",AC607,AB607)</f>
        <v>#N/A</v>
      </c>
      <c r="AC612" s="327" t="e">
        <f>IF(H612="öngól",AB607,AC607)</f>
        <v>#N/A</v>
      </c>
      <c r="AD612" s="327" t="e">
        <f>IF(J612="öngól",AE607,AD607)</f>
        <v>#N/A</v>
      </c>
      <c r="AE612" s="327" t="e">
        <f>IF(O612="öngól",AD607,AE607)</f>
        <v>#N/A</v>
      </c>
      <c r="AF612" s="325"/>
      <c r="AG612" s="485">
        <v>5</v>
      </c>
      <c r="AH612" s="488" t="b">
        <f ca="1">AND(W610,X611,D612="",AG612&lt;=W616)</f>
        <v>0</v>
      </c>
      <c r="AI612" s="488" t="b">
        <f ca="1">AND(W610,X611,E612="",AG612&lt;=W616)</f>
        <v>0</v>
      </c>
      <c r="AJ612" s="488" t="b">
        <f ca="1">AND(W610,X611,F612="",AG612&lt;=X616)</f>
        <v>0</v>
      </c>
      <c r="AK612" s="488" t="b">
        <f ca="1">AND(W610,X611,G612="",AG612&lt;=X616)</f>
        <v>0</v>
      </c>
      <c r="AL612" s="488" t="b">
        <f ca="1">AND(Y610,Z611,K612="",AG612&lt;=Y616)</f>
        <v>0</v>
      </c>
      <c r="AM612" s="488" t="b">
        <f ca="1">AND(Y610,Z611,L612="",AG612&lt;=Y616)</f>
        <v>0</v>
      </c>
      <c r="AN612" s="488" t="b">
        <f ca="1">AND(Y610,Z611,M612="",AG612&lt;=Z616)</f>
        <v>0</v>
      </c>
      <c r="AO612" s="488" t="b">
        <f ca="1">AND(Y610,Z611,N612="",AG612&lt;=Z616)</f>
        <v>0</v>
      </c>
      <c r="AQ612" s="326" t="str">
        <f>IF(OR(NOT(Góllista!$E$6),D612=""),"",IF(C612="öngól","ö"&amp;G607&amp;D612,D607&amp;D612))</f>
        <v/>
      </c>
      <c r="AR612" s="326" t="str">
        <f>IF(OR(NOT(Góllista!$E$6),G612=""),"",IF(H612="öngól","ö"&amp;D607&amp;G612,G607&amp;G612))</f>
        <v/>
      </c>
      <c r="AS612" s="326" t="str">
        <f>IF(OR(NOT(Góllista!$E$6),K612=""),"",IF(J612="öngól","ö"&amp;N607&amp;K612,K607&amp;K612))</f>
        <v/>
      </c>
      <c r="AT612" s="326" t="str">
        <f>IF(OR(NOT(Góllista!$E$6),N612=""),"",IF(O612="öngól","ö"&amp;K607&amp;N612,N607&amp;N612))</f>
        <v/>
      </c>
      <c r="AY612" s="323"/>
      <c r="BA612" s="323"/>
      <c r="BC612" s="323"/>
      <c r="BE612" s="323"/>
      <c r="BG612" s="323"/>
      <c r="BI612" s="323"/>
      <c r="BK612" s="323"/>
      <c r="BM612" s="323"/>
      <c r="BO612" s="323"/>
      <c r="BQ612" s="323"/>
      <c r="BS612" s="323"/>
      <c r="BU612" s="323"/>
      <c r="BW612" s="323"/>
      <c r="BY612" s="323"/>
      <c r="CA612" s="323"/>
      <c r="CC612" s="323"/>
      <c r="CE612" s="323"/>
      <c r="CG612" s="323"/>
      <c r="CI612" s="323"/>
      <c r="CK612" s="323"/>
      <c r="CM612" s="323"/>
      <c r="CO612" s="323"/>
      <c r="CQ612" s="323"/>
      <c r="CS612" s="323"/>
      <c r="CU612" s="323"/>
      <c r="CW612" s="323"/>
      <c r="CY612" s="323"/>
      <c r="DA612" s="323"/>
      <c r="DC612" s="323"/>
      <c r="DE612" s="323"/>
      <c r="DG612" s="323"/>
      <c r="DI612" s="323"/>
    </row>
    <row r="613" spans="1:114" ht="12" customHeight="1" x14ac:dyDescent="0.3">
      <c r="A613" s="765"/>
      <c r="C613" s="219"/>
      <c r="D613" s="220"/>
      <c r="E613" s="224"/>
      <c r="F613" s="222"/>
      <c r="G613" s="223"/>
      <c r="H613" s="219"/>
      <c r="J613" s="219"/>
      <c r="K613" s="220"/>
      <c r="L613" s="224"/>
      <c r="M613" s="222"/>
      <c r="N613" s="223"/>
      <c r="O613" s="219"/>
      <c r="V613" s="487" t="s">
        <v>1264</v>
      </c>
      <c r="W613" s="327" t="str">
        <f>VLOOKUP(W608,schedule,3,FALSE)</f>
        <v>1/2</v>
      </c>
      <c r="X613" s="485" t="str">
        <f>""</f>
        <v/>
      </c>
      <c r="Y613" s="327" t="str">
        <f>VLOOKUP(Y608,schedule,3,FALSE)</f>
        <v>2/2</v>
      </c>
      <c r="AB613" s="327" t="e">
        <f>IF(C613="öngól",AC607,AB607)</f>
        <v>#N/A</v>
      </c>
      <c r="AC613" s="327" t="e">
        <f>IF(H613="öngól",AB607,AC607)</f>
        <v>#N/A</v>
      </c>
      <c r="AD613" s="327" t="e">
        <f>IF(J613="öngól",AE607,AD607)</f>
        <v>#N/A</v>
      </c>
      <c r="AE613" s="327" t="e">
        <f>IF(O613="öngól",AD607,AE607)</f>
        <v>#N/A</v>
      </c>
      <c r="AF613" s="325"/>
      <c r="AG613" s="485">
        <v>6</v>
      </c>
      <c r="AH613" s="488" t="b">
        <f ca="1">AND(W610,X611,D613="",AG613&lt;=W616)</f>
        <v>0</v>
      </c>
      <c r="AI613" s="488" t="b">
        <f ca="1">AND(W610,X611,E613="",AG613&lt;=W616)</f>
        <v>0</v>
      </c>
      <c r="AJ613" s="488" t="b">
        <f ca="1">AND(W610,X611,F613="",AG613&lt;=X616)</f>
        <v>0</v>
      </c>
      <c r="AK613" s="488" t="b">
        <f ca="1">AND(W610,X611,G613="",AG613&lt;=X616)</f>
        <v>0</v>
      </c>
      <c r="AL613" s="488" t="b">
        <f ca="1">AND(Y610,Z611,K613="",AG613&lt;=Y616)</f>
        <v>0</v>
      </c>
      <c r="AM613" s="488" t="b">
        <f ca="1">AND(Y610,Z611,L613="",AG613&lt;=Y616)</f>
        <v>0</v>
      </c>
      <c r="AN613" s="488" t="b">
        <f ca="1">AND(Y610,Z611,M613="",AG613&lt;=Z616)</f>
        <v>0</v>
      </c>
      <c r="AO613" s="488" t="b">
        <f ca="1">AND(Y610,Z611,N613="",AG613&lt;=Z616)</f>
        <v>0</v>
      </c>
      <c r="AQ613" s="326" t="str">
        <f>IF(OR(NOT(Góllista!$E$6),D613=""),"",IF(C613="öngól","ö"&amp;G607&amp;D613,D607&amp;D613))</f>
        <v/>
      </c>
      <c r="AR613" s="326" t="str">
        <f>IF(OR(NOT(Góllista!$E$6),G613=""),"",IF(H613="öngól","ö"&amp;D607&amp;G613,G607&amp;G613))</f>
        <v/>
      </c>
      <c r="AS613" s="326" t="str">
        <f>IF(OR(NOT(Góllista!$E$6),K613=""),"",IF(J613="öngól","ö"&amp;N607&amp;K613,K607&amp;K613))</f>
        <v/>
      </c>
      <c r="AT613" s="326" t="str">
        <f>IF(OR(NOT(Góllista!$E$6),N613=""),"",IF(O613="öngól","ö"&amp;K607&amp;N613,N607&amp;N613))</f>
        <v/>
      </c>
      <c r="AY613" s="323"/>
      <c r="BA613" s="323"/>
      <c r="BC613" s="323"/>
      <c r="BE613" s="323"/>
      <c r="BG613" s="323"/>
      <c r="BI613" s="323"/>
      <c r="BK613" s="323"/>
      <c r="BM613" s="323"/>
      <c r="BO613" s="323"/>
      <c r="BQ613" s="323"/>
      <c r="BS613" s="323"/>
      <c r="BU613" s="323"/>
      <c r="BW613" s="323"/>
      <c r="BY613" s="323"/>
      <c r="CA613" s="323"/>
      <c r="CC613" s="323"/>
      <c r="CE613" s="323"/>
      <c r="CG613" s="323"/>
      <c r="CI613" s="323"/>
      <c r="CK613" s="323"/>
      <c r="CM613" s="323"/>
      <c r="CO613" s="323"/>
      <c r="CQ613" s="323"/>
      <c r="CS613" s="323"/>
      <c r="CU613" s="323"/>
      <c r="CW613" s="323"/>
      <c r="CY613" s="323"/>
      <c r="DA613" s="323"/>
      <c r="DC613" s="323"/>
      <c r="DE613" s="323"/>
      <c r="DG613" s="323"/>
      <c r="DI613" s="323"/>
    </row>
    <row r="614" spans="1:114" ht="12" customHeight="1" x14ac:dyDescent="0.3">
      <c r="A614" s="765"/>
      <c r="C614" s="219"/>
      <c r="D614" s="220"/>
      <c r="E614" s="224"/>
      <c r="F614" s="222"/>
      <c r="G614" s="223"/>
      <c r="H614" s="219"/>
      <c r="J614" s="219"/>
      <c r="K614" s="220"/>
      <c r="L614" s="224"/>
      <c r="M614" s="222"/>
      <c r="N614" s="223"/>
      <c r="O614" s="219"/>
      <c r="V614" s="485" t="s">
        <v>707</v>
      </c>
      <c r="W614" s="327">
        <f>IF(NOT(W610),0,E607-9+COUNTBLANK(D608:D616))</f>
        <v>0</v>
      </c>
      <c r="X614" s="327">
        <f>IF(NOT(W610),0,F607-9+COUNTBLANK(G608:G616))</f>
        <v>0</v>
      </c>
      <c r="Y614" s="327">
        <f>IF(NOT(Y610),0,L607-9+COUNTBLANK(K608:K616))</f>
        <v>0</v>
      </c>
      <c r="Z614" s="327">
        <f>IF(NOT(Y610),0,M607-9+COUNTBLANK(N608:N616))</f>
        <v>0</v>
      </c>
      <c r="AB614" s="327" t="e">
        <f>IF(C614="öngól",AC607,AB607)</f>
        <v>#N/A</v>
      </c>
      <c r="AC614" s="327" t="e">
        <f>IF(H614="öngól",AB607,AC607)</f>
        <v>#N/A</v>
      </c>
      <c r="AD614" s="327" t="e">
        <f>IF(J614="öngól",AE607,AD607)</f>
        <v>#N/A</v>
      </c>
      <c r="AE614" s="327" t="e">
        <f>IF(O614="öngól",AD607,AE607)</f>
        <v>#N/A</v>
      </c>
      <c r="AF614" s="325"/>
      <c r="AG614" s="485">
        <v>7</v>
      </c>
      <c r="AH614" s="488" t="b">
        <f ca="1">AND(W610,X611,D614="",AG614&lt;=W616)</f>
        <v>0</v>
      </c>
      <c r="AI614" s="488" t="b">
        <f ca="1">AND(W610,X611,E614="",AG614&lt;=W616)</f>
        <v>0</v>
      </c>
      <c r="AJ614" s="488" t="b">
        <f ca="1">AND(W610,X611,F614="",AG614&lt;=X616)</f>
        <v>0</v>
      </c>
      <c r="AK614" s="488" t="b">
        <f ca="1">AND(W610,X611,G614="",AG614&lt;=X616)</f>
        <v>0</v>
      </c>
      <c r="AL614" s="488" t="b">
        <f ca="1">AND(Y610,Z611,K614="",AG614&lt;=Y616)</f>
        <v>0</v>
      </c>
      <c r="AM614" s="488" t="b">
        <f ca="1">AND(Y610,Z611,L614="",AG614&lt;=Y616)</f>
        <v>0</v>
      </c>
      <c r="AN614" s="488" t="b">
        <f ca="1">AND(Y610,Z611,M614="",AG614&lt;=Z616)</f>
        <v>0</v>
      </c>
      <c r="AO614" s="488" t="b">
        <f ca="1">AND(Y610,Z611,N614="",AG614&lt;=Z616)</f>
        <v>0</v>
      </c>
      <c r="AQ614" s="326" t="str">
        <f>IF(OR(NOT(Góllista!$E$6),D614=""),"",IF(C614="öngól","ö"&amp;G607&amp;D614,D607&amp;D614))</f>
        <v/>
      </c>
      <c r="AR614" s="326" t="str">
        <f>IF(OR(NOT(Góllista!$E$6),G614=""),"",IF(H614="öngól","ö"&amp;D607&amp;G614,G607&amp;G614))</f>
        <v/>
      </c>
      <c r="AS614" s="326" t="str">
        <f>IF(OR(NOT(Góllista!$E$6),K614=""),"",IF(J614="öngól","ö"&amp;N607&amp;K614,K607&amp;K614))</f>
        <v/>
      </c>
      <c r="AT614" s="326" t="str">
        <f>IF(OR(NOT(Góllista!$E$6),N614=""),"",IF(O614="öngól","ö"&amp;K607&amp;N614,N607&amp;N614))</f>
        <v/>
      </c>
      <c r="AY614" s="323"/>
      <c r="BA614" s="323"/>
      <c r="BC614" s="323"/>
      <c r="BE614" s="323"/>
      <c r="BG614" s="323"/>
      <c r="BI614" s="323"/>
      <c r="BK614" s="323"/>
      <c r="BM614" s="323"/>
      <c r="BO614" s="323"/>
      <c r="BQ614" s="323"/>
      <c r="BS614" s="323"/>
      <c r="BU614" s="323"/>
      <c r="BW614" s="323"/>
      <c r="BY614" s="323"/>
      <c r="CA614" s="323"/>
      <c r="CC614" s="323"/>
      <c r="CE614" s="323"/>
      <c r="CG614" s="323"/>
      <c r="CI614" s="323"/>
      <c r="CK614" s="323"/>
      <c r="CM614" s="323"/>
      <c r="CO614" s="323"/>
      <c r="CQ614" s="323"/>
      <c r="CS614" s="323"/>
      <c r="CU614" s="323"/>
      <c r="CW614" s="323"/>
      <c r="CY614" s="323"/>
      <c r="DA614" s="323"/>
      <c r="DC614" s="323"/>
      <c r="DE614" s="323"/>
      <c r="DG614" s="323"/>
      <c r="DI614" s="323"/>
    </row>
    <row r="615" spans="1:114" ht="12" customHeight="1" x14ac:dyDescent="0.3">
      <c r="A615" s="765"/>
      <c r="C615" s="219"/>
      <c r="D615" s="220"/>
      <c r="E615" s="224"/>
      <c r="F615" s="222"/>
      <c r="G615" s="223"/>
      <c r="H615" s="219"/>
      <c r="J615" s="219"/>
      <c r="K615" s="220"/>
      <c r="L615" s="224"/>
      <c r="M615" s="222"/>
      <c r="N615" s="223"/>
      <c r="O615" s="219"/>
      <c r="V615" s="485" t="s">
        <v>708</v>
      </c>
      <c r="W615" s="411" t="str">
        <f>VLOOKUP(W608,schedule,8,FALSE)</f>
        <v>1/4 győztese</v>
      </c>
      <c r="X615" s="411" t="str">
        <f>VLOOKUP(W608,schedule,9,FALSE)</f>
        <v>2/4 győztese</v>
      </c>
      <c r="Y615" s="411" t="str">
        <f>VLOOKUP(Y608,schedule,8,FALSE)</f>
        <v>3/4 győztese</v>
      </c>
      <c r="Z615" s="491" t="str">
        <f>VLOOKUP(Y608,schedule,9,FALSE)</f>
        <v>4/4 győztese</v>
      </c>
      <c r="AB615" s="327" t="e">
        <f>IF(C615="öngól",AC607,AB607)</f>
        <v>#N/A</v>
      </c>
      <c r="AC615" s="327" t="e">
        <f>IF(H615="öngól",AB607,AC607)</f>
        <v>#N/A</v>
      </c>
      <c r="AD615" s="327" t="e">
        <f>IF(J615="öngól",AE607,AD607)</f>
        <v>#N/A</v>
      </c>
      <c r="AE615" s="327" t="e">
        <f>IF(O615="öngól",AD607,AE607)</f>
        <v>#N/A</v>
      </c>
      <c r="AF615" s="325"/>
      <c r="AG615" s="485">
        <v>8</v>
      </c>
      <c r="AH615" s="488" t="b">
        <f ca="1">AND(W610,X611,D615="",AG615&lt;=W616)</f>
        <v>0</v>
      </c>
      <c r="AI615" s="488" t="b">
        <f ca="1">AND(W610,X611,E615="",AG615&lt;=W616)</f>
        <v>0</v>
      </c>
      <c r="AJ615" s="488" t="b">
        <f ca="1">AND(W610,X611,F615="",AG615&lt;=X616)</f>
        <v>0</v>
      </c>
      <c r="AK615" s="488" t="b">
        <f ca="1">AND(W610,X611,G615="",AG615&lt;=X616)</f>
        <v>0</v>
      </c>
      <c r="AL615" s="488" t="b">
        <f ca="1">AND(Y610,Z611,K615="",AG615&lt;=Y616)</f>
        <v>0</v>
      </c>
      <c r="AM615" s="488" t="b">
        <f ca="1">AND(Y610,Z611,L615="",AG615&lt;=Y616)</f>
        <v>0</v>
      </c>
      <c r="AN615" s="488" t="b">
        <f ca="1">AND(Y610,Z611,M615="",AG615&lt;=Z616)</f>
        <v>0</v>
      </c>
      <c r="AO615" s="488" t="b">
        <f ca="1">AND(Y610,Z611,N615="",AG615&lt;=Z616)</f>
        <v>0</v>
      </c>
      <c r="AQ615" s="326" t="str">
        <f>IF(OR(NOT(Góllista!$E$6),D615=""),"",IF(C615="öngól","ö"&amp;G607&amp;D615,D607&amp;D615))</f>
        <v/>
      </c>
      <c r="AR615" s="326" t="str">
        <f>IF(OR(NOT(Góllista!$E$6),G615=""),"",IF(H615="öngól","ö"&amp;D607&amp;G615,G607&amp;G615))</f>
        <v/>
      </c>
      <c r="AS615" s="326" t="str">
        <f>IF(OR(NOT(Góllista!$E$6),K615=""),"",IF(J615="öngól","ö"&amp;N607&amp;K615,K607&amp;K615))</f>
        <v/>
      </c>
      <c r="AT615" s="326" t="str">
        <f>IF(OR(NOT(Góllista!$E$6),N615=""),"",IF(O615="öngól","ö"&amp;K607&amp;N615,N607&amp;N615))</f>
        <v/>
      </c>
      <c r="AY615" s="323"/>
      <c r="BA615" s="323"/>
      <c r="BC615" s="323"/>
      <c r="BE615" s="323"/>
      <c r="BG615" s="323"/>
      <c r="BI615" s="323"/>
      <c r="BK615" s="323"/>
      <c r="BM615" s="323"/>
      <c r="BO615" s="323"/>
      <c r="BQ615" s="323"/>
      <c r="BS615" s="323"/>
      <c r="BU615" s="323"/>
      <c r="BW615" s="323"/>
      <c r="BY615" s="323"/>
      <c r="CA615" s="323"/>
      <c r="CC615" s="323"/>
      <c r="CE615" s="323"/>
      <c r="CG615" s="323"/>
      <c r="CI615" s="323"/>
      <c r="CK615" s="323"/>
      <c r="CM615" s="323"/>
      <c r="CO615" s="323"/>
      <c r="CQ615" s="323"/>
      <c r="CS615" s="323"/>
      <c r="CU615" s="323"/>
      <c r="CW615" s="323"/>
      <c r="CY615" s="323"/>
      <c r="DA615" s="323"/>
      <c r="DC615" s="323"/>
      <c r="DE615" s="323"/>
      <c r="DG615" s="323"/>
      <c r="DI615" s="323"/>
    </row>
    <row r="616" spans="1:114" ht="12" customHeight="1" x14ac:dyDescent="0.3">
      <c r="A616" s="765"/>
      <c r="C616" s="219"/>
      <c r="D616" s="220"/>
      <c r="E616" s="225"/>
      <c r="F616" s="222"/>
      <c r="G616" s="223"/>
      <c r="H616" s="219"/>
      <c r="J616" s="219"/>
      <c r="K616" s="220"/>
      <c r="L616" s="225"/>
      <c r="M616" s="222"/>
      <c r="N616" s="223"/>
      <c r="O616" s="219"/>
      <c r="V616" s="485" t="s">
        <v>709</v>
      </c>
      <c r="W616" s="492" t="str">
        <f>INDEX(n.er,W609,9)</f>
        <v/>
      </c>
      <c r="X616" s="493" t="str">
        <f>INDEX(n.er,W609,10)</f>
        <v/>
      </c>
      <c r="Y616" s="492" t="str">
        <f>INDEX(n.er,Y609,9)</f>
        <v/>
      </c>
      <c r="Z616" s="493" t="str">
        <f>INDEX(n.er,Y609,10)</f>
        <v/>
      </c>
      <c r="AB616" s="327" t="e">
        <f>IF(C616="öngól",AC607,AB607)</f>
        <v>#N/A</v>
      </c>
      <c r="AC616" s="327" t="e">
        <f>IF(H616="öngól",AB607,AC607)</f>
        <v>#N/A</v>
      </c>
      <c r="AD616" s="327" t="e">
        <f>IF(J616="öngól",AE607,AD607)</f>
        <v>#N/A</v>
      </c>
      <c r="AE616" s="327" t="e">
        <f>IF(O616="öngól",AD607,AE607)</f>
        <v>#N/A</v>
      </c>
      <c r="AF616" s="325"/>
      <c r="AG616" s="485">
        <v>9</v>
      </c>
      <c r="AH616" s="488" t="b">
        <f ca="1">AND(W610,X611,D616="",AG616&lt;=W616)</f>
        <v>0</v>
      </c>
      <c r="AI616" s="488" t="b">
        <f ca="1">AND(W610,X611,E616="",AG616&lt;=W616)</f>
        <v>0</v>
      </c>
      <c r="AJ616" s="488" t="b">
        <f ca="1">AND(W610,X611,F616="",AG616&lt;=X616)</f>
        <v>0</v>
      </c>
      <c r="AK616" s="488" t="b">
        <f ca="1">AND(W610,X611,G616="",AG616&lt;=X616)</f>
        <v>0</v>
      </c>
      <c r="AL616" s="488" t="b">
        <f ca="1">AND(Y610,Z611,K616="",AG616&lt;=Y616)</f>
        <v>0</v>
      </c>
      <c r="AM616" s="488" t="b">
        <f ca="1">AND(Y610,Z611,L616="",AG616&lt;=Y616)</f>
        <v>0</v>
      </c>
      <c r="AN616" s="488" t="b">
        <f ca="1">AND(Y610,Z611,M616="",AG616&lt;=Z616)</f>
        <v>0</v>
      </c>
      <c r="AO616" s="488" t="b">
        <f ca="1">AND(Y610,Z611,N616="",AG616&lt;=Z616)</f>
        <v>0</v>
      </c>
      <c r="AQ616" s="326" t="str">
        <f>IF(OR(NOT(Góllista!$E$6),D616=""),"",IF(C616="öngól","ö"&amp;G607&amp;D616,D607&amp;D616))</f>
        <v/>
      </c>
      <c r="AR616" s="326" t="str">
        <f>IF(OR(NOT(Góllista!$E$6),G616=""),"",IF(H616="öngól","ö"&amp;D607&amp;G616,G607&amp;G616))</f>
        <v/>
      </c>
      <c r="AS616" s="326" t="str">
        <f>IF(OR(NOT(Góllista!$E$6),K616=""),"",IF(J616="öngól","ö"&amp;N607&amp;K616,K607&amp;K616))</f>
        <v/>
      </c>
      <c r="AT616" s="326" t="str">
        <f>IF(OR(NOT(Góllista!$E$6),N616=""),"",IF(O616="öngól","ö"&amp;K607&amp;N616,N607&amp;N616))</f>
        <v/>
      </c>
      <c r="AY616" s="323"/>
      <c r="BA616" s="323"/>
      <c r="BC616" s="323"/>
      <c r="BE616" s="323"/>
      <c r="BG616" s="323"/>
      <c r="BI616" s="323"/>
      <c r="BK616" s="323"/>
      <c r="BM616" s="323"/>
      <c r="BO616" s="323"/>
      <c r="BQ616" s="323"/>
      <c r="BS616" s="323"/>
      <c r="BU616" s="323"/>
      <c r="BW616" s="323"/>
      <c r="BY616" s="323"/>
      <c r="CA616" s="323"/>
      <c r="CC616" s="323"/>
      <c r="CE616" s="323"/>
      <c r="CG616" s="323"/>
      <c r="CI616" s="323"/>
      <c r="CK616" s="323"/>
      <c r="CM616" s="323"/>
      <c r="CO616" s="323"/>
      <c r="CQ616" s="323"/>
      <c r="CS616" s="323"/>
      <c r="CU616" s="323"/>
      <c r="CW616" s="323"/>
      <c r="CY616" s="323"/>
      <c r="DA616" s="323"/>
      <c r="DC616" s="323"/>
      <c r="DE616" s="323"/>
      <c r="DG616" s="323"/>
      <c r="DI616" s="323"/>
    </row>
    <row r="617" spans="1:114" ht="12" customHeight="1" x14ac:dyDescent="0.3">
      <c r="A617" s="765"/>
      <c r="C617" s="768"/>
      <c r="D617" s="768"/>
      <c r="E617" s="768"/>
      <c r="F617" s="768"/>
      <c r="G617" s="768"/>
      <c r="H617" s="768"/>
      <c r="J617" s="768"/>
      <c r="K617" s="768"/>
      <c r="L617" s="768"/>
      <c r="M617" s="768"/>
      <c r="N617" s="768"/>
      <c r="O617" s="768"/>
      <c r="AY617" s="323"/>
      <c r="BA617" s="323"/>
      <c r="BC617" s="323"/>
      <c r="BE617" s="323"/>
      <c r="BG617" s="323"/>
      <c r="BI617" s="323"/>
      <c r="BK617" s="323"/>
      <c r="BM617" s="323"/>
      <c r="BO617" s="323"/>
      <c r="BQ617" s="323"/>
      <c r="BS617" s="323"/>
      <c r="BU617" s="323"/>
      <c r="BW617" s="323"/>
      <c r="BY617" s="323"/>
      <c r="CA617" s="323"/>
      <c r="CC617" s="323"/>
      <c r="CE617" s="323"/>
      <c r="CG617" s="323"/>
      <c r="CI617" s="323"/>
      <c r="CK617" s="323"/>
      <c r="CM617" s="323"/>
      <c r="CO617" s="323"/>
      <c r="CQ617" s="323"/>
      <c r="CS617" s="323"/>
      <c r="CU617" s="323"/>
      <c r="CW617" s="323"/>
      <c r="CY617" s="323"/>
      <c r="DA617" s="323"/>
      <c r="DC617" s="323"/>
      <c r="DE617" s="323"/>
      <c r="DG617" s="323"/>
      <c r="DI617" s="323"/>
    </row>
    <row r="618" spans="1:114" ht="12" hidden="1" customHeight="1" x14ac:dyDescent="0.3">
      <c r="A618" s="765"/>
      <c r="C618" s="767"/>
      <c r="D618" s="767"/>
      <c r="E618" s="767"/>
      <c r="F618" s="767"/>
      <c r="G618" s="767"/>
      <c r="H618" s="767"/>
      <c r="J618" s="767"/>
      <c r="K618" s="767"/>
      <c r="L618" s="767"/>
      <c r="M618" s="767"/>
      <c r="N618" s="767"/>
      <c r="O618" s="767"/>
      <c r="AY618" s="323"/>
      <c r="BA618" s="323"/>
      <c r="BC618" s="323"/>
      <c r="BE618" s="323"/>
      <c r="BG618" s="323"/>
      <c r="BI618" s="323"/>
      <c r="BK618" s="323"/>
      <c r="BM618" s="323"/>
      <c r="BO618" s="323"/>
      <c r="BQ618" s="323"/>
      <c r="BS618" s="323"/>
      <c r="BU618" s="323"/>
      <c r="BW618" s="323"/>
      <c r="BY618" s="323"/>
      <c r="CA618" s="323"/>
      <c r="CC618" s="323"/>
      <c r="CE618" s="323"/>
      <c r="CG618" s="323"/>
      <c r="CI618" s="323"/>
      <c r="CK618" s="323"/>
      <c r="CM618" s="323"/>
      <c r="CO618" s="323"/>
      <c r="CQ618" s="323"/>
      <c r="CS618" s="323"/>
      <c r="CU618" s="323"/>
      <c r="CW618" s="323"/>
      <c r="CY618" s="323"/>
      <c r="DA618" s="323"/>
      <c r="DC618" s="323"/>
      <c r="DE618" s="323"/>
      <c r="DG618" s="323"/>
      <c r="DI618" s="323"/>
    </row>
    <row r="619" spans="1:114" ht="12" hidden="1" customHeight="1" x14ac:dyDescent="0.3">
      <c r="A619" s="765"/>
      <c r="C619" s="767"/>
      <c r="D619" s="767"/>
      <c r="E619" s="767"/>
      <c r="F619" s="767"/>
      <c r="G619" s="767"/>
      <c r="H619" s="767"/>
      <c r="J619" s="767"/>
      <c r="K619" s="767"/>
      <c r="L619" s="767"/>
      <c r="M619" s="767"/>
      <c r="N619" s="767"/>
      <c r="O619" s="767"/>
      <c r="AY619" s="323"/>
      <c r="BA619" s="323"/>
      <c r="BC619" s="323"/>
      <c r="BE619" s="323"/>
      <c r="BG619" s="323"/>
      <c r="BI619" s="323"/>
      <c r="BK619" s="323"/>
      <c r="BM619" s="323"/>
      <c r="BO619" s="323"/>
      <c r="BQ619" s="323"/>
      <c r="BS619" s="323"/>
      <c r="BU619" s="323"/>
      <c r="BW619" s="323"/>
      <c r="BY619" s="323"/>
      <c r="CA619" s="323"/>
      <c r="CC619" s="323"/>
      <c r="CE619" s="323"/>
      <c r="CG619" s="323"/>
      <c r="CI619" s="323"/>
      <c r="CK619" s="323"/>
      <c r="CM619" s="323"/>
      <c r="CO619" s="323"/>
      <c r="CQ619" s="323"/>
      <c r="CS619" s="323"/>
      <c r="CU619" s="323"/>
      <c r="CW619" s="323"/>
      <c r="CY619" s="323"/>
      <c r="DA619" s="323"/>
      <c r="DC619" s="323"/>
      <c r="DE619" s="323"/>
      <c r="DG619" s="323"/>
      <c r="DI619" s="323"/>
    </row>
    <row r="620" spans="1:114" ht="3.75" customHeight="1" x14ac:dyDescent="0.3">
      <c r="A620" s="765"/>
      <c r="AH620" s="494"/>
      <c r="AY620" s="323"/>
      <c r="BA620" s="323"/>
      <c r="BC620" s="323"/>
      <c r="BE620" s="323"/>
      <c r="BG620" s="323"/>
      <c r="BI620" s="323"/>
      <c r="BK620" s="323"/>
      <c r="BM620" s="323"/>
      <c r="BO620" s="323"/>
      <c r="BQ620" s="323"/>
      <c r="BS620" s="323"/>
      <c r="BU620" s="323"/>
      <c r="BW620" s="323"/>
      <c r="BY620" s="323"/>
      <c r="CA620" s="323"/>
      <c r="CC620" s="323"/>
      <c r="CE620" s="323"/>
      <c r="CG620" s="323"/>
      <c r="CI620" s="323"/>
      <c r="CK620" s="323"/>
      <c r="CM620" s="323"/>
      <c r="CO620" s="323"/>
      <c r="CQ620" s="323"/>
      <c r="CS620" s="323"/>
      <c r="CU620" s="323"/>
      <c r="CW620" s="323"/>
      <c r="CY620" s="323"/>
      <c r="DA620" s="323"/>
      <c r="DC620" s="323"/>
      <c r="DE620" s="323"/>
      <c r="DG620" s="323"/>
      <c r="DI620" s="323"/>
    </row>
    <row r="621" spans="1:114" ht="11.25" customHeight="1" x14ac:dyDescent="0.3">
      <c r="A621" s="765"/>
      <c r="B621" s="15"/>
      <c r="D621" s="235"/>
      <c r="E621" s="722" t="str">
        <f>IF(W621,"  BÜNTETŐK:","  BÜNTETŐK:  –")</f>
        <v xml:space="preserve">  BÜNTETŐK:  –</v>
      </c>
      <c r="F621" s="235"/>
      <c r="G621" s="235"/>
      <c r="H621" s="235"/>
      <c r="I621" s="37"/>
      <c r="J621" s="234"/>
      <c r="K621" s="235"/>
      <c r="L621" s="722" t="str">
        <f>IF(AD621,"  BÜNTETŐK:","  BÜNTETŐK:  –")</f>
        <v xml:space="preserve">  BÜNTETŐK:  –</v>
      </c>
      <c r="M621" s="235"/>
      <c r="N621" s="235"/>
      <c r="O621" s="235"/>
      <c r="V621" s="487" t="s">
        <v>712</v>
      </c>
      <c r="W621" s="489" t="b">
        <f>INDEX(n.er,W609,14)</f>
        <v>0</v>
      </c>
      <c r="Y621" s="489" t="b">
        <f>INDEX(n.er,Y609,14)</f>
        <v>0</v>
      </c>
      <c r="AF621" s="325"/>
      <c r="AQ621" s="323"/>
      <c r="AR621" s="323"/>
      <c r="AS621" s="323"/>
      <c r="AT621" s="323"/>
      <c r="AW621" s="485"/>
      <c r="AY621" s="323"/>
      <c r="BA621" s="323"/>
      <c r="BC621" s="323"/>
      <c r="BE621" s="323"/>
      <c r="BG621" s="323"/>
      <c r="BI621" s="323"/>
      <c r="BK621" s="323"/>
      <c r="BM621" s="323"/>
      <c r="BO621" s="323"/>
      <c r="BQ621" s="323"/>
      <c r="BS621" s="323"/>
      <c r="BU621" s="323"/>
      <c r="BW621" s="323"/>
      <c r="BY621" s="323"/>
      <c r="CA621" s="323"/>
      <c r="CC621" s="323"/>
      <c r="CE621" s="323"/>
      <c r="CG621" s="323"/>
      <c r="CI621" s="323"/>
      <c r="CK621" s="323"/>
      <c r="CM621" s="323"/>
      <c r="CO621" s="323"/>
      <c r="CQ621" s="323"/>
      <c r="CS621" s="323"/>
      <c r="CU621" s="323"/>
      <c r="CW621" s="323"/>
      <c r="CY621" s="323"/>
      <c r="DA621" s="323"/>
      <c r="DC621" s="323"/>
      <c r="DE621" s="323"/>
      <c r="DG621" s="323"/>
      <c r="DI621" s="323"/>
      <c r="DJ621" s="485"/>
    </row>
    <row r="622" spans="1:114" ht="11.25" customHeight="1" x14ac:dyDescent="0.3">
      <c r="A622" s="765"/>
      <c r="C622" s="241" t="str">
        <f>IF(W623=0,"",IF(W623&gt;0,CONCATENATE("még ",W623," büntető"),CONCATENATE("túl sok (",W623," büntető)")))</f>
        <v/>
      </c>
      <c r="D622" s="237" t="str">
        <f>IF(W621,W615,"")</f>
        <v/>
      </c>
      <c r="E622" s="239" t="str">
        <f>IF(W621,W622,"")</f>
        <v/>
      </c>
      <c r="F622" s="240" t="str">
        <f>IF(W621,X622,"")</f>
        <v/>
      </c>
      <c r="G622" s="238" t="str">
        <f>IF(W621,X615,"")</f>
        <v/>
      </c>
      <c r="H622" s="241" t="str">
        <f>IF(X623=0,"",IF(X623&gt;0,CONCATENATE("még ",X623," büntető"),CONCATENATE("túl sok (",X623," büntető)")))</f>
        <v/>
      </c>
      <c r="J622" s="241" t="str">
        <f>IF(Y623=0,"",IF(Y623&gt;0,CONCATENATE("még ",Y623," büntető"),CONCATENATE("túl sok (",Y623," büntető)")))</f>
        <v/>
      </c>
      <c r="K622" s="237" t="str">
        <f>IF(Y621,Y615,"")</f>
        <v/>
      </c>
      <c r="L622" s="239" t="str">
        <f>IF(Y621,Y622,"")</f>
        <v/>
      </c>
      <c r="M622" s="240" t="str">
        <f>IF(Y621,Z622,"")</f>
        <v/>
      </c>
      <c r="N622" s="238" t="str">
        <f>IF(Y621,Z615,"")</f>
        <v/>
      </c>
      <c r="O622" s="241" t="str">
        <f>IF(Z623=0,"",IF(Z623&gt;0,CONCATENATE("még ",Z623," büntető"),CONCATENATE("túl sok (",Z623," büntető)")))</f>
        <v/>
      </c>
      <c r="V622" s="487" t="s">
        <v>709</v>
      </c>
      <c r="W622" s="492" t="str">
        <f>IF(NOT(W621),"",INDEX(n.er,W609,17))</f>
        <v/>
      </c>
      <c r="X622" s="493" t="str">
        <f>IF(NOT(W621),"",INDEX(n.er,W609,18))</f>
        <v/>
      </c>
      <c r="Y622" s="492" t="str">
        <f>IF(NOT(Y621),"",INDEX(n.er,Y609,17))</f>
        <v/>
      </c>
      <c r="Z622" s="493" t="str">
        <f>IF(NOT(Y621),"",INDEX(n.er,Y609,18))</f>
        <v/>
      </c>
      <c r="AF622" s="325"/>
      <c r="AH622" s="494"/>
      <c r="AQ622" s="323"/>
      <c r="AR622" s="323"/>
      <c r="AS622" s="323"/>
      <c r="AT622" s="323"/>
      <c r="AW622" s="485"/>
      <c r="AY622" s="323"/>
      <c r="BA622" s="323"/>
      <c r="BC622" s="323"/>
      <c r="BE622" s="323"/>
      <c r="BG622" s="323"/>
      <c r="BI622" s="323"/>
      <c r="BK622" s="323"/>
      <c r="BM622" s="323"/>
      <c r="BO622" s="323"/>
      <c r="BQ622" s="323"/>
      <c r="BS622" s="323"/>
      <c r="BU622" s="323"/>
      <c r="BW622" s="323"/>
      <c r="BY622" s="323"/>
      <c r="CA622" s="323"/>
      <c r="CC622" s="323"/>
      <c r="CE622" s="323"/>
      <c r="CG622" s="323"/>
      <c r="CI622" s="323"/>
      <c r="CK622" s="323"/>
      <c r="CM622" s="323"/>
      <c r="CO622" s="323"/>
      <c r="CQ622" s="323"/>
      <c r="CS622" s="323"/>
      <c r="CU622" s="323"/>
      <c r="CW622" s="323"/>
      <c r="CY622" s="323"/>
      <c r="DA622" s="323"/>
      <c r="DC622" s="323"/>
      <c r="DE622" s="323"/>
      <c r="DG622" s="323"/>
      <c r="DI622" s="323"/>
    </row>
    <row r="623" spans="1:114" ht="11.25" customHeight="1" x14ac:dyDescent="0.3">
      <c r="A623" s="765"/>
      <c r="C623" s="236"/>
      <c r="D623" s="220"/>
      <c r="E623" s="515"/>
      <c r="F623" s="516"/>
      <c r="G623" s="223"/>
      <c r="H623" s="236"/>
      <c r="J623" s="236"/>
      <c r="K623" s="220"/>
      <c r="L623" s="515"/>
      <c r="M623" s="516"/>
      <c r="N623" s="223"/>
      <c r="O623" s="236"/>
      <c r="V623" s="485" t="s">
        <v>707</v>
      </c>
      <c r="W623" s="327">
        <f>IF(W622="",0,E622-COUNTIF(E623:E636,"O"))</f>
        <v>0</v>
      </c>
      <c r="X623" s="327">
        <f>IF(X622="",0,F622-COUNTIF(F623:F636,"O"))</f>
        <v>0</v>
      </c>
      <c r="Y623" s="327">
        <f>IF(Y622="",0,L622-COUNTIF(L623:L638,"O"))</f>
        <v>0</v>
      </c>
      <c r="Z623" s="327">
        <f>IF(Z622="",0,M622-COUNTIF(M623:M638,"O"))</f>
        <v>0</v>
      </c>
      <c r="AB623" s="52" t="str">
        <f>IF(NOT(W621),"",HLOOKUP(D622,nevek.li,2,FALSE))</f>
        <v/>
      </c>
      <c r="AC623" s="52" t="str">
        <f>IF(NOT(W621),"",HLOOKUP(G622,nevek.li,2,FALSE))</f>
        <v/>
      </c>
      <c r="AD623" s="52" t="str">
        <f>IF(NOT(Y621),"",HLOOKUP(K622,nevek.li,2,FALSE))</f>
        <v/>
      </c>
      <c r="AE623" s="52" t="str">
        <f>IF(NOT(Y621),"",HLOOKUP(N622,nevek.li,2,FALSE))</f>
        <v/>
      </c>
      <c r="AF623" s="325"/>
      <c r="AG623" s="485">
        <v>1</v>
      </c>
      <c r="AH623" s="488" t="b">
        <f ca="1">IF(OR(NOT(W621),NOT(X611)),FALSE,D623="")</f>
        <v>0</v>
      </c>
      <c r="AI623" s="488" t="b">
        <f ca="1">IF(OR(NOT(W621),NOT(X611)),FALSE,E623="")</f>
        <v>0</v>
      </c>
      <c r="AJ623" s="488" t="b">
        <f ca="1">IF(OR(NOT(W621),NOT(X611)),FALSE,F623="")</f>
        <v>0</v>
      </c>
      <c r="AK623" s="488" t="b">
        <f ca="1">IF(OR(NOT(W621),NOT(X611)),FALSE,G623="")</f>
        <v>0</v>
      </c>
      <c r="AL623" s="488" t="b">
        <f ca="1">IF(OR(NOT(Y621),NOT(Z611)),FALSE,K623="")</f>
        <v>0</v>
      </c>
      <c r="AM623" s="488" t="b">
        <f ca="1">IF(OR(NOT(Y621),NOT(Z611)),FALSE,L623="")</f>
        <v>0</v>
      </c>
      <c r="AN623" s="488" t="b">
        <f ca="1">IF(OR(NOT(Y621),NOT(Z611)),FALSE,M623="")</f>
        <v>0</v>
      </c>
      <c r="AO623" s="488" t="b">
        <f ca="1">IF(OR(NOT(Y621),NOT(Z611)),FALSE,N623="")</f>
        <v>0</v>
      </c>
      <c r="AS623" s="323"/>
      <c r="AT623" s="323"/>
      <c r="AY623" s="323"/>
      <c r="BA623" s="323"/>
      <c r="BC623" s="323"/>
      <c r="BE623" s="323"/>
      <c r="BG623" s="323"/>
      <c r="BI623" s="323"/>
      <c r="BK623" s="323"/>
      <c r="BM623" s="323"/>
      <c r="BO623" s="323"/>
      <c r="BQ623" s="323"/>
      <c r="BS623" s="323"/>
      <c r="BU623" s="323"/>
      <c r="BW623" s="323"/>
      <c r="BY623" s="323"/>
      <c r="CA623" s="323"/>
      <c r="CC623" s="323"/>
      <c r="CE623" s="323"/>
      <c r="CG623" s="323"/>
      <c r="CI623" s="323"/>
      <c r="CK623" s="323"/>
      <c r="CM623" s="323"/>
      <c r="CO623" s="323"/>
      <c r="CQ623" s="323"/>
      <c r="CS623" s="323"/>
      <c r="CU623" s="323"/>
      <c r="CW623" s="323"/>
      <c r="CY623" s="323"/>
      <c r="DA623" s="323"/>
      <c r="DC623" s="323"/>
      <c r="DE623" s="323"/>
      <c r="DG623" s="323"/>
      <c r="DI623" s="323"/>
      <c r="DJ623" s="485"/>
    </row>
    <row r="624" spans="1:114" ht="11.25" customHeight="1" x14ac:dyDescent="0.3">
      <c r="A624" s="765"/>
      <c r="C624" s="219"/>
      <c r="D624" s="220"/>
      <c r="E624" s="517"/>
      <c r="F624" s="516"/>
      <c r="G624" s="223"/>
      <c r="H624" s="219"/>
      <c r="J624" s="219"/>
      <c r="K624" s="220"/>
      <c r="L624" s="517"/>
      <c r="M624" s="516"/>
      <c r="N624" s="223"/>
      <c r="O624" s="219"/>
      <c r="AB624" s="327" t="str">
        <f>AB623</f>
        <v/>
      </c>
      <c r="AC624" s="327" t="str">
        <f>AC623</f>
        <v/>
      </c>
      <c r="AD624" s="327" t="str">
        <f>AD623</f>
        <v/>
      </c>
      <c r="AE624" s="327" t="str">
        <f>AE623</f>
        <v/>
      </c>
      <c r="AF624" s="325"/>
      <c r="AG624" s="485">
        <v>2</v>
      </c>
      <c r="AH624" s="488" t="b">
        <f ca="1">IF(OR(NOT(W621),NOT(X611)),FALSE,D624="")</f>
        <v>0</v>
      </c>
      <c r="AI624" s="488" t="b">
        <f ca="1">IF(OR(NOT(W621),NOT(X611)),FALSE,E624="")</f>
        <v>0</v>
      </c>
      <c r="AJ624" s="488" t="b">
        <f ca="1">IF(OR(NOT(W621),NOT(X611)),FALSE,F624="")</f>
        <v>0</v>
      </c>
      <c r="AK624" s="488" t="b">
        <f ca="1">IF(OR(NOT(W621),NOT(X611)),FALSE,G624="")</f>
        <v>0</v>
      </c>
      <c r="AL624" s="488" t="b">
        <f ca="1">IF(OR(NOT(Y621),NOT(Z611)),FALSE,K624="")</f>
        <v>0</v>
      </c>
      <c r="AM624" s="488" t="b">
        <f ca="1">IF(OR(NOT(Y621),NOT(Z611)),FALSE,L624="")</f>
        <v>0</v>
      </c>
      <c r="AN624" s="488" t="b">
        <f ca="1">IF(OR(NOT(Y621),NOT(Z611)),FALSE,M624="")</f>
        <v>0</v>
      </c>
      <c r="AO624" s="488" t="b">
        <f ca="1">IF(OR(NOT(Y621),NOT(Z611)),FALSE,N624="")</f>
        <v>0</v>
      </c>
      <c r="AS624" s="323"/>
      <c r="AT624" s="323"/>
      <c r="AW624" s="485"/>
      <c r="AY624" s="323"/>
      <c r="BA624" s="323"/>
      <c r="BC624" s="323"/>
      <c r="BE624" s="323"/>
      <c r="BG624" s="323"/>
      <c r="BI624" s="323"/>
      <c r="BK624" s="323"/>
      <c r="BM624" s="323"/>
      <c r="BO624" s="323"/>
      <c r="BQ624" s="323"/>
      <c r="BS624" s="323"/>
      <c r="BU624" s="323"/>
      <c r="BW624" s="323"/>
      <c r="BY624" s="323"/>
      <c r="CA624" s="323"/>
      <c r="CC624" s="323"/>
      <c r="CE624" s="323"/>
      <c r="CG624" s="323"/>
      <c r="CI624" s="323"/>
      <c r="CK624" s="323"/>
      <c r="CM624" s="323"/>
      <c r="CO624" s="323"/>
      <c r="CQ624" s="323"/>
      <c r="CS624" s="323"/>
      <c r="CU624" s="323"/>
      <c r="CW624" s="323"/>
      <c r="CY624" s="323"/>
      <c r="DA624" s="323"/>
      <c r="DC624" s="323"/>
      <c r="DE624" s="323"/>
      <c r="DG624" s="323"/>
      <c r="DI624" s="323"/>
      <c r="DJ624" s="485"/>
    </row>
    <row r="625" spans="1:114" ht="11.25" customHeight="1" x14ac:dyDescent="0.3">
      <c r="A625" s="765"/>
      <c r="C625" s="219"/>
      <c r="D625" s="220"/>
      <c r="E625" s="517"/>
      <c r="F625" s="516"/>
      <c r="G625" s="223"/>
      <c r="H625" s="219"/>
      <c r="J625" s="219"/>
      <c r="K625" s="220"/>
      <c r="L625" s="517"/>
      <c r="M625" s="516"/>
      <c r="N625" s="223"/>
      <c r="O625" s="219"/>
      <c r="AB625" s="327" t="str">
        <f t="shared" ref="AB625:AB636" si="128">AB624</f>
        <v/>
      </c>
      <c r="AC625" s="327" t="str">
        <f t="shared" ref="AC625:AC636" si="129">AC624</f>
        <v/>
      </c>
      <c r="AD625" s="327" t="str">
        <f t="shared" ref="AD625:AD636" si="130">AD624</f>
        <v/>
      </c>
      <c r="AE625" s="327" t="str">
        <f t="shared" ref="AE625:AE636" si="131">AE624</f>
        <v/>
      </c>
      <c r="AF625" s="325"/>
      <c r="AG625" s="485">
        <v>3</v>
      </c>
      <c r="AH625" s="488" t="b">
        <f ca="1">IF(OR(NOT(W621),NOT(X611)),FALSE,D625="")</f>
        <v>0</v>
      </c>
      <c r="AI625" s="488" t="b">
        <f ca="1">IF(OR(NOT(W621),NOT(X611)),FALSE,E625="")</f>
        <v>0</v>
      </c>
      <c r="AJ625" s="488" t="b">
        <f ca="1">IF(OR(NOT(W621),NOT(X611)),FALSE,F625="")</f>
        <v>0</v>
      </c>
      <c r="AK625" s="488" t="b">
        <f ca="1">IF(OR(NOT(W621),NOT(X611)),FALSE,G625="")</f>
        <v>0</v>
      </c>
      <c r="AL625" s="488" t="b">
        <f ca="1">IF(OR(NOT(Y621),NOT(Z611)),FALSE,K625="")</f>
        <v>0</v>
      </c>
      <c r="AM625" s="488" t="b">
        <f ca="1">IF(OR(NOT(Y621),NOT(Z611)),FALSE,L625="")</f>
        <v>0</v>
      </c>
      <c r="AN625" s="488" t="b">
        <f ca="1">IF(OR(NOT(Y621),NOT(Z611)),FALSE,M625="")</f>
        <v>0</v>
      </c>
      <c r="AO625" s="488" t="b">
        <f ca="1">IF(OR(NOT(Y621),NOT(Z611)),FALSE,N625="")</f>
        <v>0</v>
      </c>
      <c r="AS625" s="323"/>
      <c r="AT625" s="323"/>
      <c r="AW625" s="485"/>
      <c r="AY625" s="323"/>
      <c r="BA625" s="323"/>
      <c r="BC625" s="323"/>
      <c r="BE625" s="323"/>
      <c r="BG625" s="323"/>
      <c r="BI625" s="323"/>
      <c r="BK625" s="323"/>
      <c r="BM625" s="323"/>
      <c r="BO625" s="323"/>
      <c r="BQ625" s="323"/>
      <c r="BS625" s="323"/>
      <c r="BU625" s="323"/>
      <c r="BW625" s="323"/>
      <c r="BY625" s="323"/>
      <c r="CA625" s="323"/>
      <c r="CC625" s="323"/>
      <c r="CE625" s="323"/>
      <c r="CG625" s="323"/>
      <c r="CI625" s="323"/>
      <c r="CK625" s="323"/>
      <c r="CM625" s="323"/>
      <c r="CO625" s="323"/>
      <c r="CQ625" s="323"/>
      <c r="CS625" s="323"/>
      <c r="CU625" s="323"/>
      <c r="CW625" s="323"/>
      <c r="CY625" s="323"/>
      <c r="DA625" s="323"/>
      <c r="DC625" s="323"/>
      <c r="DE625" s="323"/>
      <c r="DG625" s="323"/>
      <c r="DI625" s="323"/>
      <c r="DJ625" s="485"/>
    </row>
    <row r="626" spans="1:114" ht="11.25" customHeight="1" x14ac:dyDescent="0.3">
      <c r="A626" s="765"/>
      <c r="C626" s="219"/>
      <c r="D626" s="220"/>
      <c r="E626" s="517"/>
      <c r="F626" s="516"/>
      <c r="G626" s="223"/>
      <c r="H626" s="219"/>
      <c r="J626" s="219"/>
      <c r="K626" s="220"/>
      <c r="L626" s="517"/>
      <c r="M626" s="516"/>
      <c r="N626" s="223"/>
      <c r="O626" s="219"/>
      <c r="AB626" s="327" t="str">
        <f t="shared" si="128"/>
        <v/>
      </c>
      <c r="AC626" s="327" t="str">
        <f t="shared" si="129"/>
        <v/>
      </c>
      <c r="AD626" s="327" t="str">
        <f t="shared" si="130"/>
        <v/>
      </c>
      <c r="AE626" s="327" t="str">
        <f t="shared" si="131"/>
        <v/>
      </c>
      <c r="AF626" s="325"/>
      <c r="AG626" s="485">
        <v>4</v>
      </c>
      <c r="AH626" s="488" t="b">
        <f ca="1">IF(OR(NOT(W621),NOT(X611)),FALSE,D626="")</f>
        <v>0</v>
      </c>
      <c r="AI626" s="488" t="b">
        <f ca="1">IF(OR(NOT(W621),NOT(X611)),FALSE,E626="")</f>
        <v>0</v>
      </c>
      <c r="AJ626" s="488" t="b">
        <f ca="1">IF(OR(NOT(W621),NOT(X611)),FALSE,F626="")</f>
        <v>0</v>
      </c>
      <c r="AK626" s="488" t="b">
        <f ca="1">IF(OR(NOT(W621),NOT(X611)),FALSE,G626="")</f>
        <v>0</v>
      </c>
      <c r="AL626" s="488" t="b">
        <f ca="1">IF(OR(NOT(Y621),NOT(Z611)),FALSE,K626="")</f>
        <v>0</v>
      </c>
      <c r="AM626" s="488" t="b">
        <f ca="1">IF(OR(NOT(Y621),NOT(Z611)),FALSE,L626="")</f>
        <v>0</v>
      </c>
      <c r="AN626" s="488" t="b">
        <f ca="1">IF(OR(NOT(Y621),NOT(Z611)),FALSE,M626="")</f>
        <v>0</v>
      </c>
      <c r="AO626" s="488" t="b">
        <f ca="1">IF(OR(NOT(Y621),NOT(Z611)),FALSE,N626="")</f>
        <v>0</v>
      </c>
      <c r="AS626" s="323"/>
      <c r="AT626" s="323"/>
      <c r="AW626" s="485"/>
      <c r="AY626" s="323"/>
      <c r="BA626" s="323"/>
      <c r="BC626" s="323"/>
      <c r="BE626" s="323"/>
      <c r="BG626" s="323"/>
      <c r="BI626" s="323"/>
      <c r="BK626" s="323"/>
      <c r="BM626" s="323"/>
      <c r="BO626" s="323"/>
      <c r="BQ626" s="323"/>
      <c r="BS626" s="323"/>
      <c r="BU626" s="323"/>
      <c r="BW626" s="323"/>
      <c r="BY626" s="323"/>
      <c r="CA626" s="323"/>
      <c r="CC626" s="323"/>
      <c r="CE626" s="323"/>
      <c r="CG626" s="323"/>
      <c r="CI626" s="323"/>
      <c r="CK626" s="323"/>
      <c r="CM626" s="323"/>
      <c r="CO626" s="323"/>
      <c r="CQ626" s="323"/>
      <c r="CS626" s="323"/>
      <c r="CU626" s="323"/>
      <c r="CW626" s="323"/>
      <c r="CY626" s="323"/>
      <c r="DA626" s="323"/>
      <c r="DC626" s="323"/>
      <c r="DE626" s="323"/>
      <c r="DG626" s="323"/>
      <c r="DI626" s="323"/>
      <c r="DJ626" s="485"/>
    </row>
    <row r="627" spans="1:114" ht="11.25" customHeight="1" x14ac:dyDescent="0.3">
      <c r="A627" s="765"/>
      <c r="C627" s="219"/>
      <c r="D627" s="220"/>
      <c r="E627" s="517"/>
      <c r="F627" s="516"/>
      <c r="G627" s="223"/>
      <c r="H627" s="219"/>
      <c r="J627" s="219"/>
      <c r="K627" s="220"/>
      <c r="L627" s="517"/>
      <c r="M627" s="516"/>
      <c r="N627" s="223"/>
      <c r="O627" s="219"/>
      <c r="AB627" s="327" t="str">
        <f t="shared" si="128"/>
        <v/>
      </c>
      <c r="AC627" s="327" t="str">
        <f t="shared" si="129"/>
        <v/>
      </c>
      <c r="AD627" s="327" t="str">
        <f t="shared" si="130"/>
        <v/>
      </c>
      <c r="AE627" s="327" t="str">
        <f t="shared" si="131"/>
        <v/>
      </c>
      <c r="AF627" s="325"/>
      <c r="AG627" s="495">
        <v>5</v>
      </c>
      <c r="AH627" s="488" t="b">
        <f ca="1">IF(OR(NOT(W621),NOT(X611)),FALSE,D627="")</f>
        <v>0</v>
      </c>
      <c r="AI627" s="488" t="b">
        <f ca="1">IF(OR(NOT(W621),NOT(X611)),FALSE,E627="")</f>
        <v>0</v>
      </c>
      <c r="AJ627" s="488" t="b">
        <f ca="1">IF(OR(NOT(W621),NOT(X611)),FALSE,F627="")</f>
        <v>0</v>
      </c>
      <c r="AK627" s="488" t="b">
        <f ca="1">IF(OR(NOT(W621),NOT(X611)),FALSE,G627="")</f>
        <v>0</v>
      </c>
      <c r="AL627" s="488" t="b">
        <f ca="1">IF(OR(NOT(Y621),NOT(Z611)),FALSE,K627="")</f>
        <v>0</v>
      </c>
      <c r="AM627" s="488" t="b">
        <f ca="1">IF(OR(NOT(Y621),NOT(Z611)),FALSE,L627="")</f>
        <v>0</v>
      </c>
      <c r="AN627" s="488" t="b">
        <f ca="1">IF(OR(NOT(Y621),NOT(Z611)),FALSE,M627="")</f>
        <v>0</v>
      </c>
      <c r="AO627" s="488" t="b">
        <f ca="1">IF(OR(NOT(Y621),NOT(Z611)),FALSE,N627="")</f>
        <v>0</v>
      </c>
      <c r="AP627" s="495"/>
      <c r="AS627" s="323"/>
      <c r="AT627" s="323"/>
      <c r="AW627" s="485"/>
      <c r="AY627" s="323"/>
      <c r="BA627" s="323"/>
      <c r="BC627" s="323"/>
      <c r="BE627" s="323"/>
      <c r="BG627" s="323"/>
      <c r="BI627" s="323"/>
      <c r="BK627" s="323"/>
      <c r="BM627" s="323"/>
      <c r="BO627" s="323"/>
      <c r="BQ627" s="323"/>
      <c r="BS627" s="323"/>
      <c r="BU627" s="323"/>
      <c r="BW627" s="323"/>
      <c r="BY627" s="323"/>
      <c r="CA627" s="323"/>
      <c r="CC627" s="323"/>
      <c r="CE627" s="323"/>
      <c r="CG627" s="323"/>
      <c r="CI627" s="323"/>
      <c r="CK627" s="323"/>
      <c r="CM627" s="323"/>
      <c r="CO627" s="323"/>
      <c r="CQ627" s="323"/>
      <c r="CS627" s="323"/>
      <c r="CU627" s="323"/>
      <c r="CW627" s="323"/>
      <c r="CY627" s="323"/>
      <c r="DA627" s="323"/>
      <c r="DC627" s="323"/>
      <c r="DE627" s="323"/>
      <c r="DG627" s="323"/>
      <c r="DI627" s="323"/>
      <c r="DJ627" s="485"/>
    </row>
    <row r="628" spans="1:114" ht="11.25" customHeight="1" x14ac:dyDescent="0.3">
      <c r="A628" s="765"/>
      <c r="C628" s="219"/>
      <c r="D628" s="220"/>
      <c r="E628" s="517"/>
      <c r="F628" s="516"/>
      <c r="G628" s="223"/>
      <c r="H628" s="219"/>
      <c r="J628" s="219"/>
      <c r="K628" s="220"/>
      <c r="L628" s="517"/>
      <c r="M628" s="516"/>
      <c r="N628" s="223"/>
      <c r="O628" s="219"/>
      <c r="AB628" s="327" t="str">
        <f t="shared" si="128"/>
        <v/>
      </c>
      <c r="AC628" s="327" t="str">
        <f t="shared" si="129"/>
        <v/>
      </c>
      <c r="AD628" s="327" t="str">
        <f t="shared" si="130"/>
        <v/>
      </c>
      <c r="AE628" s="327" t="str">
        <f t="shared" si="131"/>
        <v/>
      </c>
      <c r="AF628" s="325"/>
      <c r="AG628" s="485">
        <v>6</v>
      </c>
      <c r="AH628" s="496" t="b">
        <f ca="1">IF(OR(NOT(W621),NOT(X611)),FALSE,AND(D628="",OR(AG628&lt;=W622+COUNTIF(E623:E628,$W$218),AG628&lt;=X622+COUNTIF(F623:F628,$W$218))))</f>
        <v>0</v>
      </c>
      <c r="AI628" s="496" t="b">
        <f ca="1">IF(OR(NOT(W621),NOT(X611)),FALSE,AND(E628="",OR(AG628&lt;=W622+COUNTIF(E623:E628,$W$218),AG628&lt;=X622+COUNTIF(F623:F628,$W$218))))</f>
        <v>0</v>
      </c>
      <c r="AJ628" s="496" t="b">
        <f ca="1">IF(OR(NOT(W621),NOT(X611)),FALSE,AND(F628="",OR(AG628&lt;=W622+COUNTIF(E623:E628,$W$218),AG628&lt;=X622+COUNTIF(F623:F628,$W$218))))</f>
        <v>0</v>
      </c>
      <c r="AK628" s="496" t="b">
        <f ca="1">IF(OR(NOT(W621),NOT(X611)),FALSE,AND(G628="",OR(AG628&lt;=W622+COUNTIF(E623:E628,$W$218),AG628&lt;=X622+COUNTIF(F623:F628,$W$218))))</f>
        <v>0</v>
      </c>
      <c r="AL628" s="496" t="b">
        <f ca="1">IF(OR(NOT(Y621),NOT(Z611)),FALSE,AND(K628="",OR(AG628&lt;=Y622+COUNTIF(L623:L628,$W$218),AG628&lt;=Z622+COUNTIF(M623:M628,$W$218))))</f>
        <v>0</v>
      </c>
      <c r="AM628" s="496" t="b">
        <f ca="1">IF(OR(NOT(Y621),NOT(Z611)),FALSE,AND(L628="",OR(AG628&lt;=Y622+COUNTIF(L623:L628,$W$218),AG628&lt;=Z622+COUNTIF(M623:M628,$W$218))))</f>
        <v>0</v>
      </c>
      <c r="AN628" s="496" t="b">
        <f ca="1">IF(OR(NOT(Y621),NOT(Z611)),FALSE,AND(M628="",OR(AG628&lt;=Y622+COUNTIF(L623:L628,$W$218),AG628&lt;=Z622+COUNTIF(M623:M628,$W$218))))</f>
        <v>0</v>
      </c>
      <c r="AO628" s="496" t="b">
        <f ca="1">IF(OR(NOT(Y621),NOT(Z611)),FALSE,AND(N628="",OR(AG628&lt;=Y622+COUNTIF(L623:L628,$W$218),AG628&lt;=Z622+COUNTIF(M623:M628,$W$218))))</f>
        <v>0</v>
      </c>
      <c r="AS628" s="323"/>
      <c r="AT628" s="323"/>
      <c r="AW628" s="485"/>
      <c r="AY628" s="323"/>
      <c r="BA628" s="323"/>
      <c r="BC628" s="323"/>
      <c r="BE628" s="323"/>
      <c r="BG628" s="323"/>
      <c r="BI628" s="323"/>
      <c r="BK628" s="323"/>
      <c r="BM628" s="323"/>
      <c r="BO628" s="323"/>
      <c r="BQ628" s="323"/>
      <c r="BS628" s="323"/>
      <c r="BU628" s="323"/>
      <c r="BW628" s="323"/>
      <c r="BY628" s="323"/>
      <c r="CA628" s="323"/>
      <c r="CC628" s="323"/>
      <c r="CE628" s="323"/>
      <c r="CG628" s="323"/>
      <c r="CI628" s="323"/>
      <c r="CK628" s="323"/>
      <c r="CM628" s="323"/>
      <c r="CO628" s="323"/>
      <c r="CQ628" s="323"/>
      <c r="CS628" s="323"/>
      <c r="CU628" s="323"/>
      <c r="CW628" s="323"/>
      <c r="CY628" s="323"/>
      <c r="DA628" s="323"/>
      <c r="DC628" s="323"/>
      <c r="DE628" s="323"/>
      <c r="DG628" s="323"/>
      <c r="DI628" s="323"/>
      <c r="DJ628" s="485"/>
    </row>
    <row r="629" spans="1:114" ht="11.25" customHeight="1" x14ac:dyDescent="0.3">
      <c r="A629" s="765"/>
      <c r="C629" s="219"/>
      <c r="D629" s="220"/>
      <c r="E629" s="517"/>
      <c r="F629" s="516"/>
      <c r="G629" s="223"/>
      <c r="H629" s="219"/>
      <c r="J629" s="219"/>
      <c r="K629" s="220"/>
      <c r="L629" s="517"/>
      <c r="M629" s="516"/>
      <c r="N629" s="223"/>
      <c r="O629" s="219"/>
      <c r="AB629" s="327" t="str">
        <f t="shared" si="128"/>
        <v/>
      </c>
      <c r="AC629" s="327" t="str">
        <f t="shared" si="129"/>
        <v/>
      </c>
      <c r="AD629" s="327" t="str">
        <f t="shared" si="130"/>
        <v/>
      </c>
      <c r="AE629" s="327" t="str">
        <f t="shared" si="131"/>
        <v/>
      </c>
      <c r="AF629" s="325"/>
      <c r="AG629" s="485">
        <v>7</v>
      </c>
      <c r="AH629" s="496" t="b">
        <f ca="1">IF(OR(NOT(W621),NOT(X611)),FALSE,AND(D629="",OR(AG629&lt;=W622+COUNTIF(E623:E629,$W$218),AG629&lt;=X622+COUNTIF(F623:F629,$W$218))))</f>
        <v>0</v>
      </c>
      <c r="AI629" s="496" t="b">
        <f ca="1">IF(OR(NOT(W621),NOT(X611)),FALSE,AND(E629="",OR(AG629&lt;=W622+COUNTIF(E623:E629,$W$218),AG629&lt;=X622+COUNTIF(F623:F629,$W$218))))</f>
        <v>0</v>
      </c>
      <c r="AJ629" s="496" t="b">
        <f ca="1">IF(OR(NOT(W621),NOT(X611)),FALSE,AND(F629="",OR(AG629&lt;=W622+COUNTIF(E623:E629,$W$218),AG629&lt;=X622+COUNTIF(F623:F629,$W$218))))</f>
        <v>0</v>
      </c>
      <c r="AK629" s="496" t="b">
        <f ca="1">IF(OR(NOT(W621),NOT(X611)),FALSE,AND(G629="",OR(AG629&lt;=W622+COUNTIF(E623:E629,$W$218),AG629&lt;=X622+COUNTIF(F623:F629,$W$218))))</f>
        <v>0</v>
      </c>
      <c r="AL629" s="496" t="b">
        <f ca="1">IF(OR(NOT(Y621),NOT(Z611)),FALSE,AND(K629="",OR(AG629&lt;=Y622+COUNTIF(L623:L629,$W$218),AG629&lt;=Z622+COUNTIF(M623:M629,$W$218))))</f>
        <v>0</v>
      </c>
      <c r="AM629" s="496" t="b">
        <f ca="1">IF(OR(NOT(Y621),NOT(Z611)),FALSE,AND(L629="",OR(AG629&lt;=Y622+COUNTIF(L623:L629,$W$218),AG629&lt;=Z622+COUNTIF(M623:M629,$W$218))))</f>
        <v>0</v>
      </c>
      <c r="AN629" s="496" t="b">
        <f ca="1">IF(OR(NOT(Y621),NOT(Z611)),FALSE,AND(M629="",OR(AG629&lt;=Y622+COUNTIF(L623:L629,$W$218),AG629&lt;=Z622+COUNTIF(M623:M629,$W$218))))</f>
        <v>0</v>
      </c>
      <c r="AO629" s="496" t="b">
        <f ca="1">IF(OR(NOT(Y621),NOT(Z611)),FALSE,AND(N629="",OR(AG629&lt;=Y622+COUNTIF(L623:L629,$W$218),AG629&lt;=Z622+COUNTIF(M623:M629,$W$218))))</f>
        <v>0</v>
      </c>
      <c r="AS629" s="323"/>
      <c r="AT629" s="323"/>
      <c r="AW629" s="485"/>
      <c r="AY629" s="323"/>
      <c r="BA629" s="323"/>
      <c r="BC629" s="323"/>
      <c r="BE629" s="323"/>
      <c r="BG629" s="323"/>
      <c r="BI629" s="323"/>
      <c r="BK629" s="323"/>
      <c r="BM629" s="323"/>
      <c r="BO629" s="323"/>
      <c r="BQ629" s="323"/>
      <c r="BS629" s="323"/>
      <c r="BU629" s="323"/>
      <c r="BW629" s="323"/>
      <c r="BY629" s="323"/>
      <c r="CA629" s="323"/>
      <c r="CC629" s="323"/>
      <c r="CE629" s="323"/>
      <c r="CG629" s="323"/>
      <c r="CI629" s="323"/>
      <c r="CK629" s="323"/>
      <c r="CM629" s="323"/>
      <c r="CO629" s="323"/>
      <c r="CQ629" s="323"/>
      <c r="CS629" s="323"/>
      <c r="CU629" s="323"/>
      <c r="CW629" s="323"/>
      <c r="CY629" s="323"/>
      <c r="DA629" s="323"/>
      <c r="DC629" s="323"/>
      <c r="DE629" s="323"/>
      <c r="DG629" s="323"/>
      <c r="DI629" s="323"/>
      <c r="DJ629" s="485"/>
    </row>
    <row r="630" spans="1:114" ht="11.25" customHeight="1" x14ac:dyDescent="0.3">
      <c r="A630" s="765"/>
      <c r="C630" s="219"/>
      <c r="D630" s="220"/>
      <c r="E630" s="517"/>
      <c r="F630" s="516"/>
      <c r="G630" s="223"/>
      <c r="H630" s="219"/>
      <c r="J630" s="219"/>
      <c r="K630" s="220"/>
      <c r="L630" s="517"/>
      <c r="M630" s="516"/>
      <c r="N630" s="223"/>
      <c r="O630" s="219"/>
      <c r="AB630" s="327" t="str">
        <f t="shared" si="128"/>
        <v/>
      </c>
      <c r="AC630" s="327" t="str">
        <f t="shared" si="129"/>
        <v/>
      </c>
      <c r="AD630" s="327" t="str">
        <f t="shared" si="130"/>
        <v/>
      </c>
      <c r="AE630" s="327" t="str">
        <f t="shared" si="131"/>
        <v/>
      </c>
      <c r="AF630" s="325"/>
      <c r="AG630" s="485">
        <v>8</v>
      </c>
      <c r="AH630" s="496" t="b">
        <f ca="1">IF(OR(NOT(W621),NOT(X611)),FALSE,AND(D630="",OR(AG630&lt;=W622+COUNTIF(E623:E630,$W$218),AG630&lt;=X622+COUNTIF(F623:F630,$W$218))))</f>
        <v>0</v>
      </c>
      <c r="AI630" s="496" t="b">
        <f ca="1">IF(OR(NOT(W621),NOT(X611)),FALSE,AND(E630="",OR(AG630&lt;=W622+COUNTIF(E623:E630,$W$218),AG630&lt;=X622+COUNTIF(F623:F630,$W$218))))</f>
        <v>0</v>
      </c>
      <c r="AJ630" s="496" t="b">
        <f ca="1">IF(OR(NOT(W621),NOT(X611)),FALSE,AND(F630="",OR(AG630&lt;=W622+COUNTIF(E623:E630,$W$218),AG630&lt;=X622+COUNTIF(F623:F630,$W$218))))</f>
        <v>0</v>
      </c>
      <c r="AK630" s="496" t="b">
        <f ca="1">IF(OR(NOT(W621),NOT(X611)),FALSE,AND(G630="",OR(AG630&lt;=W622+COUNTIF(E623:E630,$W$218),AG630&lt;=X622+COUNTIF(F623:F630,$W$218))))</f>
        <v>0</v>
      </c>
      <c r="AL630" s="496" t="b">
        <f ca="1">IF(OR(NOT(Y621),NOT(Z611)),FALSE,AND(K630="",OR(AG630&lt;=Y622+COUNTIF(L623:L630,$W$218),AG630&lt;=Z622+COUNTIF(M623:M630,$W$218))))</f>
        <v>0</v>
      </c>
      <c r="AM630" s="496" t="b">
        <f ca="1">IF(OR(NOT(Y621),NOT(Z611)),FALSE,AND(L630="",OR(AG630&lt;=Y622+COUNTIF(L623:L630,$W$218),AG630&lt;=Z622+COUNTIF(M623:M630,$W$218))))</f>
        <v>0</v>
      </c>
      <c r="AN630" s="496" t="b">
        <f ca="1">IF(OR(NOT(Y621),NOT(Z611)),FALSE,AND(M630="",OR(AG630&lt;=Y622+COUNTIF(L623:L630,$W$218),AG630&lt;=Z622+COUNTIF(M623:M630,$W$218))))</f>
        <v>0</v>
      </c>
      <c r="AO630" s="496" t="b">
        <f ca="1">IF(OR(NOT(Y621),NOT(Z611)),FALSE,AND(N630="",OR(AG630&lt;=Y622+COUNTIF(L623:L630,$W$218),AG630&lt;=Z622+COUNTIF(M623:M630,$W$218))))</f>
        <v>0</v>
      </c>
      <c r="AS630" s="323"/>
      <c r="AT630" s="323"/>
      <c r="AW630" s="485"/>
      <c r="AY630" s="323"/>
      <c r="BA630" s="323"/>
      <c r="BC630" s="323"/>
      <c r="BE630" s="323"/>
      <c r="BG630" s="323"/>
      <c r="BI630" s="323"/>
      <c r="BK630" s="323"/>
      <c r="BM630" s="323"/>
      <c r="BO630" s="323"/>
      <c r="BQ630" s="323"/>
      <c r="BS630" s="323"/>
      <c r="BU630" s="323"/>
      <c r="BW630" s="323"/>
      <c r="BY630" s="323"/>
      <c r="CA630" s="323"/>
      <c r="CC630" s="323"/>
      <c r="CE630" s="323"/>
      <c r="CG630" s="323"/>
      <c r="CI630" s="323"/>
      <c r="CK630" s="323"/>
      <c r="CM630" s="323"/>
      <c r="CO630" s="323"/>
      <c r="CQ630" s="323"/>
      <c r="CS630" s="323"/>
      <c r="CU630" s="323"/>
      <c r="CW630" s="323"/>
      <c r="CY630" s="323"/>
      <c r="DA630" s="323"/>
      <c r="DC630" s="323"/>
      <c r="DE630" s="323"/>
      <c r="DG630" s="323"/>
      <c r="DI630" s="323"/>
      <c r="DJ630" s="485"/>
    </row>
    <row r="631" spans="1:114" ht="11.25" customHeight="1" x14ac:dyDescent="0.3">
      <c r="A631" s="765"/>
      <c r="C631" s="219"/>
      <c r="D631" s="220"/>
      <c r="E631" s="517"/>
      <c r="F631" s="516"/>
      <c r="G631" s="223"/>
      <c r="H631" s="219"/>
      <c r="J631" s="219"/>
      <c r="K631" s="220"/>
      <c r="L631" s="517"/>
      <c r="M631" s="516"/>
      <c r="N631" s="223"/>
      <c r="O631" s="219"/>
      <c r="AB631" s="327" t="str">
        <f t="shared" si="128"/>
        <v/>
      </c>
      <c r="AC631" s="327" t="str">
        <f t="shared" si="129"/>
        <v/>
      </c>
      <c r="AD631" s="327" t="str">
        <f t="shared" si="130"/>
        <v/>
      </c>
      <c r="AE631" s="327" t="str">
        <f t="shared" si="131"/>
        <v/>
      </c>
      <c r="AF631" s="325"/>
      <c r="AG631" s="485">
        <v>9</v>
      </c>
      <c r="AH631" s="496" t="b">
        <f ca="1">IF(OR(NOT(W621),NOT(X611)),FALSE,AND(D631="",OR(AG631&lt;=W622+COUNTIF(E623:E631,$W$218),AG631&lt;=X622+COUNTIF(F623:F631,$W$218))))</f>
        <v>0</v>
      </c>
      <c r="AI631" s="496" t="b">
        <f ca="1">IF(OR(NOT(W621),NOT(X611)),FALSE,AND(E631="",OR(AG631&lt;=W622+COUNTIF(E623:E631,$W$218),AG631&lt;=X622+COUNTIF(F623:F631,$W$218))))</f>
        <v>0</v>
      </c>
      <c r="AJ631" s="496" t="b">
        <f ca="1">IF(OR(NOT(W621),NOT(X611)),FALSE,AND(F631="",OR(AG631&lt;=W622+COUNTIF(E623:E631,$W$218),AG631&lt;=X622+COUNTIF(F623:F631,$W$218))))</f>
        <v>0</v>
      </c>
      <c r="AK631" s="496" t="b">
        <f ca="1">IF(OR(NOT(W621),NOT(X611)),FALSE,AND(G631="",OR(AG631&lt;=W622+COUNTIF(E623:E631,$W$218),AG631&lt;=X622+COUNTIF(F623:F631,$W$218))))</f>
        <v>0</v>
      </c>
      <c r="AL631" s="496" t="b">
        <f ca="1">IF(OR(NOT(Y621),NOT(Z611)),FALSE,AND(K631="",OR(AG631&lt;=Y622+COUNTIF(L623:L631,$W$218),AG631&lt;=Z622+COUNTIF(M623:M631,$W$218))))</f>
        <v>0</v>
      </c>
      <c r="AM631" s="496" t="b">
        <f ca="1">IF(OR(NOT(Y621),NOT(Z611)),FALSE,AND(L631="",OR(AG631&lt;=Y622+COUNTIF(L623:L631,$W$218),AG631&lt;=Z622+COUNTIF(M623:M631,$W$218))))</f>
        <v>0</v>
      </c>
      <c r="AN631" s="496" t="b">
        <f ca="1">IF(OR(NOT(Y621),NOT(Z611)),FALSE,AND(M631="",OR(AG631&lt;=Y622+COUNTIF(L623:L631,$W$218),AG631&lt;=Z622+COUNTIF(M623:M631,$W$218))))</f>
        <v>0</v>
      </c>
      <c r="AO631" s="496" t="b">
        <f ca="1">IF(OR(NOT(Y621),NOT(Z611)),FALSE,AND(N631="",OR(AG631&lt;=Y622+COUNTIF(L623:L631,$W$218),AG631&lt;=Z622+COUNTIF(M623:M631,$W$218))))</f>
        <v>0</v>
      </c>
      <c r="AS631" s="323"/>
      <c r="AT631" s="323"/>
      <c r="AW631" s="485"/>
      <c r="AY631" s="323"/>
      <c r="BA631" s="323"/>
      <c r="BC631" s="323"/>
      <c r="BE631" s="323"/>
      <c r="BG631" s="323"/>
      <c r="BI631" s="323"/>
      <c r="BK631" s="323"/>
      <c r="BM631" s="323"/>
      <c r="BO631" s="323"/>
      <c r="BQ631" s="323"/>
      <c r="BS631" s="323"/>
      <c r="BU631" s="323"/>
      <c r="BW631" s="323"/>
      <c r="BY631" s="323"/>
      <c r="CA631" s="323"/>
      <c r="CC631" s="323"/>
      <c r="CE631" s="323"/>
      <c r="CG631" s="323"/>
      <c r="CI631" s="323"/>
      <c r="CK631" s="323"/>
      <c r="CM631" s="323"/>
      <c r="CO631" s="323"/>
      <c r="CQ631" s="323"/>
      <c r="CS631" s="323"/>
      <c r="CU631" s="323"/>
      <c r="CW631" s="323"/>
      <c r="CY631" s="323"/>
      <c r="DA631" s="323"/>
      <c r="DC631" s="323"/>
      <c r="DE631" s="323"/>
      <c r="DG631" s="323"/>
      <c r="DI631" s="323"/>
      <c r="DJ631" s="485"/>
    </row>
    <row r="632" spans="1:114" ht="11.25" customHeight="1" x14ac:dyDescent="0.3">
      <c r="A632" s="765"/>
      <c r="C632" s="219"/>
      <c r="D632" s="220"/>
      <c r="E632" s="517"/>
      <c r="F632" s="516"/>
      <c r="G632" s="223"/>
      <c r="H632" s="219"/>
      <c r="J632" s="219"/>
      <c r="K632" s="220"/>
      <c r="L632" s="517"/>
      <c r="M632" s="516"/>
      <c r="N632" s="223"/>
      <c r="O632" s="219"/>
      <c r="AB632" s="327" t="str">
        <f t="shared" si="128"/>
        <v/>
      </c>
      <c r="AC632" s="327" t="str">
        <f t="shared" si="129"/>
        <v/>
      </c>
      <c r="AD632" s="327" t="str">
        <f t="shared" si="130"/>
        <v/>
      </c>
      <c r="AE632" s="327" t="str">
        <f t="shared" si="131"/>
        <v/>
      </c>
      <c r="AF632" s="325"/>
      <c r="AG632" s="485">
        <v>10</v>
      </c>
      <c r="AH632" s="496" t="b">
        <f ca="1">IF(OR(NOT(W621),NOT(X611)),FALSE,AND(D632="",OR(AG632&lt;=W622+COUNTIF(E623:E632,$W$218),AG632&lt;=X622+COUNTIF(F623:F632,$W$218))))</f>
        <v>0</v>
      </c>
      <c r="AI632" s="496" t="b">
        <f ca="1">IF(OR(NOT(W621),NOT(X611)),FALSE,AND(E632="",OR(AG632&lt;=W622+COUNTIF(E623:E632,$W$218),AG632&lt;=X622+COUNTIF(F623:F632,$W$218))))</f>
        <v>0</v>
      </c>
      <c r="AJ632" s="496" t="b">
        <f ca="1">IF(OR(NOT(W621),NOT(X611)),FALSE,AND(F632="",OR(AG632&lt;=W622+COUNTIF(E623:E632,$W$218),AG632&lt;=X622+COUNTIF(F623:F632,$W$218))))</f>
        <v>0</v>
      </c>
      <c r="AK632" s="496" t="b">
        <f ca="1">IF(OR(NOT(W621),NOT(X611)),FALSE,AND(G632="",OR(AG632&lt;=W622+COUNTIF(E623:E632,$W$218),AG632&lt;=X622+COUNTIF(F623:F632,$W$218))))</f>
        <v>0</v>
      </c>
      <c r="AL632" s="496" t="b">
        <f ca="1">IF(OR(NOT(Y621),NOT(Z611)),FALSE,AND(K632="",OR(AG632&lt;=Y622+COUNTIF(L623:L632,$W$218),AG632&lt;=Z622+COUNTIF(M623:M632,$W$218))))</f>
        <v>0</v>
      </c>
      <c r="AM632" s="496" t="b">
        <f ca="1">IF(OR(NOT(Y621),NOT(Z611)),FALSE,AND(L632="",OR(AG632&lt;=Y622+COUNTIF(L623:L632,$W$218),AG632&lt;=Z622+COUNTIF(M623:M632,$W$218))))</f>
        <v>0</v>
      </c>
      <c r="AN632" s="496" t="b">
        <f ca="1">IF(OR(NOT(Y621),NOT(Z611)),FALSE,AND(M632="",OR(AG632&lt;=Y622+COUNTIF(L623:L632,$W$218),AG632&lt;=Z622+COUNTIF(M623:M632,$W$218))))</f>
        <v>0</v>
      </c>
      <c r="AO632" s="496" t="b">
        <f ca="1">IF(OR(NOT(Y621),NOT(Z611)),FALSE,AND(N632="",OR(AG632&lt;=Y622+COUNTIF(L623:L632,$W$218),AG632&lt;=Z622+COUNTIF(M623:M632,$W$218))))</f>
        <v>0</v>
      </c>
      <c r="AW632" s="485"/>
      <c r="AY632" s="323"/>
      <c r="BA632" s="323"/>
      <c r="BC632" s="323"/>
      <c r="BE632" s="323"/>
      <c r="BG632" s="323"/>
      <c r="BI632" s="323"/>
      <c r="BK632" s="323"/>
      <c r="BM632" s="323"/>
      <c r="BO632" s="323"/>
      <c r="BQ632" s="323"/>
      <c r="BS632" s="323"/>
      <c r="BU632" s="323"/>
      <c r="BW632" s="323"/>
      <c r="BY632" s="323"/>
      <c r="CA632" s="323"/>
      <c r="CC632" s="323"/>
      <c r="CE632" s="323"/>
      <c r="CG632" s="323"/>
      <c r="CI632" s="323"/>
      <c r="CK632" s="323"/>
      <c r="CM632" s="323"/>
      <c r="CO632" s="323"/>
      <c r="CQ632" s="323"/>
      <c r="CS632" s="323"/>
      <c r="CU632" s="323"/>
      <c r="CW632" s="323"/>
      <c r="CY632" s="323"/>
      <c r="DA632" s="323"/>
      <c r="DC632" s="323"/>
      <c r="DE632" s="323"/>
      <c r="DG632" s="323"/>
      <c r="DI632" s="323"/>
      <c r="DJ632" s="485"/>
    </row>
    <row r="633" spans="1:114" ht="11.25" customHeight="1" x14ac:dyDescent="0.3">
      <c r="A633" s="765"/>
      <c r="C633" s="219"/>
      <c r="D633" s="220"/>
      <c r="E633" s="517"/>
      <c r="F633" s="516"/>
      <c r="G633" s="223"/>
      <c r="H633" s="219"/>
      <c r="J633" s="219"/>
      <c r="K633" s="220"/>
      <c r="L633" s="517"/>
      <c r="M633" s="516"/>
      <c r="N633" s="223"/>
      <c r="O633" s="219"/>
      <c r="AB633" s="327" t="str">
        <f t="shared" si="128"/>
        <v/>
      </c>
      <c r="AC633" s="327" t="str">
        <f t="shared" si="129"/>
        <v/>
      </c>
      <c r="AD633" s="327" t="str">
        <f t="shared" si="130"/>
        <v/>
      </c>
      <c r="AE633" s="327" t="str">
        <f t="shared" si="131"/>
        <v/>
      </c>
      <c r="AF633" s="325"/>
      <c r="AG633" s="485">
        <v>11</v>
      </c>
      <c r="AH633" s="496" t="b">
        <f ca="1">IF(OR(NOT(W621),NOT(X611)),FALSE,AND(D633="",OR(AG633&lt;=W622+COUNTIF(E623:E633,$W$218),AG633&lt;=X622+COUNTIF(F623:F633,$W$218))))</f>
        <v>0</v>
      </c>
      <c r="AI633" s="496" t="b">
        <f ca="1">IF(OR(NOT(W621),NOT(X611)),FALSE,AND(E633="",OR(AG633&lt;=W622+COUNTIF(E623:E633,$W$218),AG633&lt;=X622+COUNTIF(F623:F633,$W$218))))</f>
        <v>0</v>
      </c>
      <c r="AJ633" s="496" t="b">
        <f ca="1">IF(OR(NOT(W621),NOT(X611)),FALSE,AND(F633="",OR(AG633&lt;=W622+COUNTIF(E623:E633,$W$218),AG633&lt;=X622+COUNTIF(F623:F633,$W$218))))</f>
        <v>0</v>
      </c>
      <c r="AK633" s="496" t="b">
        <f ca="1">IF(OR(NOT(W621),NOT(X611)),FALSE,AND(G633="",OR(AG633&lt;=W622+COUNTIF(E623:E633,$W$218),AG633&lt;=X622+COUNTIF(F623:F633,$W$218))))</f>
        <v>0</v>
      </c>
      <c r="AL633" s="496" t="b">
        <f ca="1">IF(OR(NOT(Y621),NOT(Z611)),FALSE,AND(K633="",OR(AG633&lt;=Y622+COUNTIF(L623:L633,$W$218),AG633&lt;=Z622+COUNTIF(M623:M633,$W$218))))</f>
        <v>0</v>
      </c>
      <c r="AM633" s="496" t="b">
        <f ca="1">IF(OR(NOT(Y621),NOT(Z611)),FALSE,AND(L633="",OR(AG633&lt;=Y622+COUNTIF(L623:L633,$W$218),AG633&lt;=Z622+COUNTIF(M623:M633,$W$218))))</f>
        <v>0</v>
      </c>
      <c r="AN633" s="496" t="b">
        <f ca="1">IF(OR(NOT(Y621),NOT(Z611)),FALSE,AND(M633="",OR(AG633&lt;=Y622+COUNTIF(L623:L633,$W$218),AG633&lt;=Z622+COUNTIF(M623:M633,$W$218))))</f>
        <v>0</v>
      </c>
      <c r="AO633" s="496" t="b">
        <f ca="1">IF(OR(NOT(Y621),NOT(Z611)),FALSE,AND(N633="",OR(AG633&lt;=Y622+COUNTIF(L623:L633,$W$218),AG633&lt;=Z622+COUNTIF(M623:M633,$W$218))))</f>
        <v>0</v>
      </c>
      <c r="AW633" s="485"/>
      <c r="AY633" s="323"/>
      <c r="BA633" s="323"/>
      <c r="BC633" s="323"/>
      <c r="BE633" s="323"/>
      <c r="BG633" s="323"/>
      <c r="BI633" s="323"/>
      <c r="BK633" s="323"/>
      <c r="BM633" s="323"/>
      <c r="BO633" s="323"/>
      <c r="BQ633" s="323"/>
      <c r="BS633" s="323"/>
      <c r="BU633" s="323"/>
      <c r="BW633" s="323"/>
      <c r="BY633" s="323"/>
      <c r="CA633" s="323"/>
      <c r="CC633" s="323"/>
      <c r="CE633" s="323"/>
      <c r="CG633" s="323"/>
      <c r="CI633" s="323"/>
      <c r="CK633" s="323"/>
      <c r="CM633" s="323"/>
      <c r="CO633" s="323"/>
      <c r="CQ633" s="323"/>
      <c r="CS633" s="323"/>
      <c r="CU633" s="323"/>
      <c r="CW633" s="323"/>
      <c r="CY633" s="323"/>
      <c r="DA633" s="323"/>
      <c r="DC633" s="323"/>
      <c r="DE633" s="323"/>
      <c r="DG633" s="323"/>
      <c r="DI633" s="323"/>
      <c r="DJ633" s="485"/>
    </row>
    <row r="634" spans="1:114" ht="11.25" customHeight="1" x14ac:dyDescent="0.3">
      <c r="A634" s="765"/>
      <c r="C634" s="219"/>
      <c r="D634" s="220"/>
      <c r="E634" s="517"/>
      <c r="F634" s="516"/>
      <c r="G634" s="223"/>
      <c r="H634" s="219"/>
      <c r="J634" s="219"/>
      <c r="K634" s="220"/>
      <c r="L634" s="517"/>
      <c r="M634" s="516"/>
      <c r="N634" s="223"/>
      <c r="O634" s="219"/>
      <c r="AB634" s="327" t="str">
        <f t="shared" si="128"/>
        <v/>
      </c>
      <c r="AC634" s="327" t="str">
        <f t="shared" si="129"/>
        <v/>
      </c>
      <c r="AD634" s="327" t="str">
        <f t="shared" si="130"/>
        <v/>
      </c>
      <c r="AE634" s="327" t="str">
        <f t="shared" si="131"/>
        <v/>
      </c>
      <c r="AF634" s="325"/>
      <c r="AG634" s="485">
        <v>12</v>
      </c>
      <c r="AH634" s="496" t="b">
        <f ca="1">IF(OR(NOT(W621),NOT(X611)),FALSE,AND(D634="",OR(AG634&lt;=W622+COUNTIF(E623:E634,$W$218),AG634&lt;=X622+COUNTIF(F623:F634,$W$218))))</f>
        <v>0</v>
      </c>
      <c r="AI634" s="496" t="b">
        <f ca="1">IF(OR(NOT(W621),NOT(X611)),FALSE,AND(E634="",OR(AG634&lt;=W622+COUNTIF(E623:E634,$W$218),AG634&lt;=X622+COUNTIF(F623:F634,$W$218))))</f>
        <v>0</v>
      </c>
      <c r="AJ634" s="496" t="b">
        <f ca="1">IF(OR(NOT(W621),NOT(X611)),FALSE,AND(F634="",OR(AG634&lt;=W622+COUNTIF(E623:E634,$W$218),AG634&lt;=X622+COUNTIF(F623:F634,$W$218))))</f>
        <v>0</v>
      </c>
      <c r="AK634" s="496" t="b">
        <f ca="1">IF(OR(NOT(W621),NOT(X611)),FALSE,AND(G634="",OR(AG634&lt;=W622+COUNTIF(E623:E634,$W$218),AG634&lt;=X622+COUNTIF(F623:F634,$W$218))))</f>
        <v>0</v>
      </c>
      <c r="AL634" s="496" t="b">
        <f ca="1">IF(OR(NOT(Y621),NOT(Z611)),FALSE,AND(K634="",OR(AG634&lt;=Y622+COUNTIF(L623:L634,$W$218),AG634&lt;=Z622+COUNTIF(M623:M634,$W$218))))</f>
        <v>0</v>
      </c>
      <c r="AM634" s="496" t="b">
        <f ca="1">IF(OR(NOT(Y621),NOT(Z611)),FALSE,AND(L634="",OR(AG634&lt;=Y622+COUNTIF(L623:L634,$W$218),AG634&lt;=Z622+COUNTIF(M623:M634,$W$218))))</f>
        <v>0</v>
      </c>
      <c r="AN634" s="496" t="b">
        <f ca="1">IF(OR(NOT(Y621),NOT(Z611)),FALSE,AND(M634="",OR(AG634&lt;=Y622+COUNTIF(L623:L634,$W$218),AG634&lt;=Z622+COUNTIF(M623:M634,$W$218))))</f>
        <v>0</v>
      </c>
      <c r="AO634" s="496" t="b">
        <f ca="1">IF(OR(NOT(Y621),NOT(Z611)),FALSE,AND(N634="",OR(AG634&lt;=Y622+COUNTIF(L623:L634,$W$218),AG634&lt;=Z622+COUNTIF(M623:M634,$W$218))))</f>
        <v>0</v>
      </c>
      <c r="AW634" s="485"/>
      <c r="AY634" s="323"/>
      <c r="BA634" s="323"/>
      <c r="BC634" s="323"/>
      <c r="BE634" s="323"/>
      <c r="BG634" s="323"/>
      <c r="BI634" s="323"/>
      <c r="BK634" s="323"/>
      <c r="BM634" s="323"/>
      <c r="BO634" s="323"/>
      <c r="BQ634" s="323"/>
      <c r="BS634" s="323"/>
      <c r="BU634" s="323"/>
      <c r="BW634" s="323"/>
      <c r="BY634" s="323"/>
      <c r="CA634" s="323"/>
      <c r="CC634" s="323"/>
      <c r="CE634" s="323"/>
      <c r="CG634" s="323"/>
      <c r="CI634" s="323"/>
      <c r="CK634" s="323"/>
      <c r="CM634" s="323"/>
      <c r="CO634" s="323"/>
      <c r="CQ634" s="323"/>
      <c r="CS634" s="323"/>
      <c r="CU634" s="323"/>
      <c r="CW634" s="323"/>
      <c r="CY634" s="323"/>
      <c r="DA634" s="323"/>
      <c r="DC634" s="323"/>
      <c r="DE634" s="323"/>
      <c r="DG634" s="323"/>
      <c r="DI634" s="323"/>
      <c r="DJ634" s="485"/>
    </row>
    <row r="635" spans="1:114" ht="11.25" customHeight="1" x14ac:dyDescent="0.3">
      <c r="A635" s="765"/>
      <c r="C635" s="219"/>
      <c r="D635" s="220"/>
      <c r="E635" s="516"/>
      <c r="F635" s="516"/>
      <c r="G635" s="223"/>
      <c r="H635" s="219"/>
      <c r="J635" s="219"/>
      <c r="K635" s="220"/>
      <c r="L635" s="516"/>
      <c r="M635" s="516"/>
      <c r="N635" s="223"/>
      <c r="O635" s="219"/>
      <c r="AB635" s="327" t="str">
        <f t="shared" si="128"/>
        <v/>
      </c>
      <c r="AC635" s="327" t="str">
        <f t="shared" si="129"/>
        <v/>
      </c>
      <c r="AD635" s="327" t="str">
        <f t="shared" si="130"/>
        <v/>
      </c>
      <c r="AE635" s="327" t="str">
        <f t="shared" si="131"/>
        <v/>
      </c>
      <c r="AG635" s="485">
        <v>13</v>
      </c>
      <c r="AH635" s="496" t="b">
        <f ca="1">IF(OR(NOT(W621),NOT(X611)),FALSE,AND(D635="",OR(AG635&lt;=W622+COUNTIF(E623:E635,$W$218),AG635&lt;=X622+COUNTIF(F623:F635,$W$218))))</f>
        <v>0</v>
      </c>
      <c r="AI635" s="496" t="b">
        <f ca="1">IF(OR(NOT(W621),NOT(X611)),FALSE,AND(E635="",OR(AG635&lt;=W622+COUNTIF(E623:E635,$W$218),AG635&lt;=X622+COUNTIF(F623:F635,$W$218))))</f>
        <v>0</v>
      </c>
      <c r="AJ635" s="496" t="b">
        <f ca="1">IF(OR(NOT(W621),NOT(X611)),FALSE,AND(F635="",OR(AG635&lt;=W622+COUNTIF(E623:E635,$W$218),AG635&lt;=X622+COUNTIF(F623:F635,$W$218))))</f>
        <v>0</v>
      </c>
      <c r="AK635" s="496" t="b">
        <f ca="1">IF(OR(NOT(W621),NOT(X611)),FALSE,AND(G635="",OR(AG635&lt;=W622+COUNTIF(E623:E635,$W$218),AG635&lt;=X622+COUNTIF(F623:F635,$W$218))))</f>
        <v>0</v>
      </c>
      <c r="AL635" s="496" t="b">
        <f ca="1">IF(OR(NOT(Y621),NOT(Z611)),FALSE,AND(K635="",OR(AG635&lt;=Y622+COUNTIF(L623:L635,$W$218),AG635&lt;=Z622+COUNTIF(M623:M635,$W$218))))</f>
        <v>0</v>
      </c>
      <c r="AM635" s="496" t="b">
        <f ca="1">IF(OR(NOT(Y621),NOT(Z611)),FALSE,AND(L635="",OR(AG635&lt;=Y622+COUNTIF(L623:L635,$W$218),AG635&lt;=Z622+COUNTIF(M623:M635,$W$218))))</f>
        <v>0</v>
      </c>
      <c r="AN635" s="496" t="b">
        <f ca="1">IF(OR(NOT(Y621),NOT(Z611)),FALSE,AND(M635="",OR(AG635&lt;=Y622+COUNTIF(L623:L635,$W$218),AG635&lt;=Z622+COUNTIF(M623:M635,$W$218))))</f>
        <v>0</v>
      </c>
      <c r="AO635" s="496" t="b">
        <f ca="1">IF(OR(NOT(Y621),NOT(Z611)),FALSE,AND(N635="",OR(AG635&lt;=Y622+COUNTIF(L623:L635,$W$218),AG635&lt;=Z622+COUNTIF(M623:M635,$W$218))))</f>
        <v>0</v>
      </c>
      <c r="AW635" s="485"/>
      <c r="AY635" s="323"/>
      <c r="BA635" s="323"/>
      <c r="BC635" s="323"/>
      <c r="BE635" s="323"/>
      <c r="BG635" s="323"/>
      <c r="BI635" s="323"/>
      <c r="BK635" s="323"/>
      <c r="BM635" s="323"/>
      <c r="BO635" s="323"/>
      <c r="BQ635" s="323"/>
      <c r="BS635" s="323"/>
      <c r="BU635" s="323"/>
      <c r="BW635" s="323"/>
      <c r="BY635" s="323"/>
      <c r="CA635" s="323"/>
      <c r="CC635" s="323"/>
      <c r="CE635" s="323"/>
      <c r="CG635" s="323"/>
      <c r="CI635" s="323"/>
      <c r="CK635" s="323"/>
      <c r="CM635" s="323"/>
      <c r="CO635" s="323"/>
      <c r="CQ635" s="323"/>
      <c r="CS635" s="323"/>
      <c r="CU635" s="323"/>
      <c r="CW635" s="323"/>
      <c r="CY635" s="323"/>
      <c r="DA635" s="323"/>
      <c r="DC635" s="323"/>
      <c r="DE635" s="323"/>
      <c r="DG635" s="323"/>
      <c r="DI635" s="323"/>
      <c r="DJ635" s="485"/>
    </row>
    <row r="636" spans="1:114" ht="11.25" hidden="1" customHeight="1" x14ac:dyDescent="0.3">
      <c r="A636" s="765"/>
      <c r="C636" s="219"/>
      <c r="D636" s="220"/>
      <c r="E636" s="517"/>
      <c r="F636" s="516"/>
      <c r="G636" s="223"/>
      <c r="H636" s="219"/>
      <c r="J636" s="219"/>
      <c r="K636" s="220"/>
      <c r="L636" s="517"/>
      <c r="M636" s="516"/>
      <c r="N636" s="223"/>
      <c r="O636" s="219"/>
      <c r="AB636" s="327" t="str">
        <f t="shared" si="128"/>
        <v/>
      </c>
      <c r="AC636" s="327" t="str">
        <f t="shared" si="129"/>
        <v/>
      </c>
      <c r="AD636" s="327" t="str">
        <f t="shared" si="130"/>
        <v/>
      </c>
      <c r="AE636" s="327" t="str">
        <f t="shared" si="131"/>
        <v/>
      </c>
      <c r="AG636" s="485">
        <v>14</v>
      </c>
      <c r="AH636" s="496" t="b">
        <f ca="1">IF(OR(NOT(W621),NOT(X611)),FALSE,AND(D636="",OR(AG636&lt;=W622+COUNTIF(E623:E636,$W$218),AG636&lt;=X622+COUNTIF(F623:F636,$W$218))))</f>
        <v>0</v>
      </c>
      <c r="AI636" s="496" t="b">
        <f ca="1">IF(OR(NOT(W621),NOT(X611)),FALSE,AND(E636="",OR(AG636&lt;=W622+COUNTIF(E623:E636,$W$218),AG636&lt;=X622+COUNTIF(F623:F636,$W$218))))</f>
        <v>0</v>
      </c>
      <c r="AJ636" s="496" t="b">
        <f ca="1">IF(OR(NOT(W621),NOT(X611)),FALSE,AND(F636="",OR(AG636&lt;=W622+COUNTIF(E623:E636,$W$218),AG636&lt;=X622+COUNTIF(F623:F636,$W$218))))</f>
        <v>0</v>
      </c>
      <c r="AK636" s="496" t="b">
        <f ca="1">IF(OR(NOT(W621),NOT(X611)),FALSE,AND(G636="",OR(AG636&lt;=W622+COUNTIF(E623:E636,$W$218),AG636&lt;=X622+COUNTIF(F623:F636,$W$218))))</f>
        <v>0</v>
      </c>
      <c r="AL636" s="496" t="b">
        <f ca="1">IF(OR(NOT(Y621),NOT(Z611)),FALSE,AND(K636="",OR(AG636&lt;=Y622+COUNTIF(L623:L636,$W$218),AG636&lt;=Z622+COUNTIF(M623:M636,$W$218))))</f>
        <v>0</v>
      </c>
      <c r="AM636" s="496" t="b">
        <f ca="1">IF(OR(NOT(Y621),NOT(Z611)),FALSE,AND(L636="",OR(AG636&lt;=Y622+COUNTIF(L623:L636,$W$218),AG636&lt;=Z622+COUNTIF(M623:M636,$W$218))))</f>
        <v>0</v>
      </c>
      <c r="AN636" s="496" t="b">
        <f ca="1">IF(OR(NOT(Y621),NOT(Z611)),FALSE,AND(M636="",OR(AG636&lt;=Y622+COUNTIF(L623:L636,$W$218),AG636&lt;=Z622+COUNTIF(M623:M636,$W$218))))</f>
        <v>0</v>
      </c>
      <c r="AO636" s="496" t="b">
        <f ca="1">IF(OR(NOT(Y621),NOT(Z611)),FALSE,AND(N636="",OR(AG636&lt;=Y622+COUNTIF(L623:L636,$W$218),AG636&lt;=Z622+COUNTIF(M623:M636,$W$218))))</f>
        <v>0</v>
      </c>
      <c r="AS636" s="323"/>
      <c r="AT636" s="323"/>
      <c r="AW636" s="485"/>
      <c r="AY636" s="323"/>
      <c r="BA636" s="323"/>
      <c r="BC636" s="323"/>
      <c r="BE636" s="323"/>
      <c r="BG636" s="323"/>
      <c r="BI636" s="323"/>
      <c r="BK636" s="323"/>
      <c r="BM636" s="323"/>
      <c r="BO636" s="323"/>
      <c r="BQ636" s="323"/>
      <c r="BS636" s="323"/>
      <c r="BU636" s="323"/>
      <c r="BW636" s="323"/>
      <c r="BY636" s="323"/>
      <c r="CA636" s="323"/>
      <c r="CC636" s="323"/>
      <c r="CE636" s="323"/>
      <c r="CG636" s="323"/>
      <c r="CI636" s="323"/>
      <c r="CK636" s="323"/>
      <c r="CM636" s="323"/>
      <c r="CO636" s="323"/>
      <c r="CQ636" s="323"/>
      <c r="CS636" s="323"/>
      <c r="CU636" s="323"/>
      <c r="CW636" s="323"/>
      <c r="CY636" s="323"/>
      <c r="DA636" s="323"/>
      <c r="DC636" s="323"/>
      <c r="DE636" s="323"/>
      <c r="DG636" s="323"/>
      <c r="DI636" s="323"/>
      <c r="DJ636" s="485"/>
    </row>
    <row r="637" spans="1:114" ht="10.5" hidden="1" customHeight="1" x14ac:dyDescent="0.3">
      <c r="A637" s="76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AQ637" s="323"/>
      <c r="AR637" s="323"/>
      <c r="AS637" s="323"/>
      <c r="AT637" s="323"/>
      <c r="AW637" s="485"/>
      <c r="AY637" s="323"/>
      <c r="BA637" s="323"/>
      <c r="BC637" s="323"/>
      <c r="BE637" s="323"/>
      <c r="BG637" s="323"/>
      <c r="BI637" s="323"/>
      <c r="BK637" s="323"/>
      <c r="BM637" s="323"/>
      <c r="BO637" s="323"/>
      <c r="BQ637" s="323"/>
      <c r="BS637" s="323"/>
      <c r="BU637" s="323"/>
      <c r="BW637" s="323"/>
      <c r="BY637" s="323"/>
      <c r="CA637" s="323"/>
      <c r="CC637" s="323"/>
      <c r="CE637" s="323"/>
      <c r="CG637" s="323"/>
      <c r="CI637" s="323"/>
      <c r="CK637" s="323"/>
      <c r="CM637" s="323"/>
      <c r="CO637" s="323"/>
      <c r="CQ637" s="323"/>
      <c r="CS637" s="323"/>
      <c r="CU637" s="323"/>
      <c r="CW637" s="323"/>
      <c r="CY637" s="323"/>
      <c r="DA637" s="323"/>
      <c r="DC637" s="323"/>
      <c r="DE637" s="323"/>
      <c r="DG637" s="323"/>
      <c r="DI637" s="323"/>
    </row>
    <row r="638" spans="1:114" ht="10.5" customHeight="1" x14ac:dyDescent="0.3">
      <c r="A638" s="76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AQ638" s="323"/>
      <c r="AR638" s="323"/>
      <c r="AS638" s="323"/>
      <c r="AT638" s="323"/>
      <c r="AW638" s="485"/>
      <c r="AY638" s="323"/>
      <c r="BA638" s="323"/>
      <c r="BC638" s="323"/>
      <c r="BE638" s="323"/>
      <c r="BG638" s="323"/>
      <c r="BI638" s="323"/>
      <c r="BK638" s="323"/>
      <c r="BM638" s="323"/>
      <c r="BO638" s="323"/>
      <c r="BQ638" s="323"/>
      <c r="BS638" s="323"/>
      <c r="BU638" s="323"/>
      <c r="BW638" s="323"/>
      <c r="BY638" s="323"/>
      <c r="CA638" s="323"/>
      <c r="CC638" s="323"/>
      <c r="CE638" s="323"/>
      <c r="CG638" s="323"/>
      <c r="CI638" s="323"/>
      <c r="CK638" s="323"/>
      <c r="CM638" s="323"/>
      <c r="CO638" s="323"/>
      <c r="CQ638" s="323"/>
      <c r="CS638" s="323"/>
      <c r="CU638" s="323"/>
      <c r="CW638" s="323"/>
      <c r="CY638" s="323"/>
      <c r="DA638" s="323"/>
      <c r="DC638" s="323"/>
      <c r="DE638" s="323"/>
      <c r="DG638" s="323"/>
      <c r="DI638" s="323"/>
    </row>
    <row r="639" spans="1:114" ht="3.75" customHeight="1" x14ac:dyDescent="0.3">
      <c r="A639" s="765"/>
      <c r="I639" s="15"/>
      <c r="J639" s="15"/>
      <c r="K639" s="15"/>
      <c r="L639" s="15"/>
      <c r="M639" s="15"/>
      <c r="N639" s="15"/>
      <c r="O639" s="15"/>
      <c r="AQ639" s="323"/>
      <c r="AR639" s="323"/>
      <c r="AS639" s="323"/>
      <c r="AT639" s="323"/>
      <c r="AY639" s="323"/>
      <c r="BA639" s="323"/>
      <c r="BC639" s="323"/>
      <c r="BE639" s="323"/>
      <c r="BG639" s="323"/>
      <c r="BI639" s="323"/>
      <c r="BK639" s="323"/>
      <c r="BM639" s="323"/>
      <c r="BO639" s="323"/>
      <c r="BQ639" s="323"/>
      <c r="BS639" s="323"/>
      <c r="BU639" s="323"/>
      <c r="BW639" s="323"/>
      <c r="BY639" s="323"/>
      <c r="CA639" s="323"/>
      <c r="CC639" s="323"/>
      <c r="CE639" s="323"/>
      <c r="CG639" s="323"/>
      <c r="CI639" s="323"/>
      <c r="CK639" s="323"/>
      <c r="CM639" s="323"/>
      <c r="CO639" s="323"/>
      <c r="CQ639" s="323"/>
      <c r="CS639" s="323"/>
      <c r="CU639" s="323"/>
      <c r="CW639" s="323"/>
      <c r="CY639" s="323"/>
      <c r="DA639" s="323"/>
      <c r="DC639" s="323"/>
      <c r="DE639" s="323"/>
      <c r="DG639" s="323"/>
      <c r="DI639" s="323"/>
    </row>
    <row r="640" spans="1:114" ht="12" customHeight="1" x14ac:dyDescent="0.3">
      <c r="A640" s="765"/>
      <c r="B640" s="15"/>
      <c r="C640" s="247" t="str">
        <f>W645</f>
        <v>JÚLIUS 11. – VASÁRNAP 21:00</v>
      </c>
      <c r="D640" s="227"/>
      <c r="E640" s="228"/>
      <c r="F640" s="229"/>
      <c r="G640" s="230"/>
      <c r="H640" s="231" t="str">
        <f>W646</f>
        <v>DÖNTŐ</v>
      </c>
      <c r="I640" s="15"/>
      <c r="J640" s="15"/>
      <c r="K640" s="15"/>
      <c r="L640" s="15"/>
      <c r="M640" s="15"/>
      <c r="N640" s="15"/>
      <c r="O640" s="15"/>
      <c r="AQ640" s="323"/>
      <c r="AR640" s="323"/>
      <c r="AS640" s="323"/>
      <c r="AT640" s="323"/>
      <c r="AY640" s="323"/>
      <c r="BA640" s="323"/>
      <c r="BC640" s="323"/>
      <c r="BE640" s="323"/>
      <c r="BG640" s="323"/>
      <c r="BI640" s="323"/>
      <c r="BK640" s="323"/>
      <c r="BM640" s="323"/>
      <c r="BO640" s="323"/>
      <c r="BQ640" s="323"/>
      <c r="BS640" s="323"/>
      <c r="BU640" s="323"/>
      <c r="BW640" s="323"/>
      <c r="BY640" s="323"/>
      <c r="CA640" s="323"/>
      <c r="CC640" s="323"/>
      <c r="CE640" s="323"/>
      <c r="CG640" s="323"/>
      <c r="CI640" s="323"/>
      <c r="CK640" s="323"/>
      <c r="CM640" s="323"/>
      <c r="CO640" s="323"/>
      <c r="CQ640" s="323"/>
      <c r="CS640" s="323"/>
      <c r="CU640" s="323"/>
      <c r="CW640" s="323"/>
      <c r="CY640" s="323"/>
      <c r="DA640" s="323"/>
      <c r="DC640" s="323"/>
      <c r="DE640" s="323"/>
      <c r="DG640" s="323"/>
      <c r="DI640" s="323"/>
    </row>
    <row r="641" spans="1:115" s="138" customFormat="1" ht="14.25" customHeight="1" x14ac:dyDescent="0.3">
      <c r="A641" s="765"/>
      <c r="B641" s="137"/>
      <c r="C641" s="233" t="str">
        <f>IF(W648=0,"",IF(W648&gt;0,CONCATENATE("még ",W648," gól"),CONCATENATE("túl sok (",W648," gól)")))</f>
        <v/>
      </c>
      <c r="D641" s="714" t="str">
        <f>W649</f>
        <v>1/2 győztese</v>
      </c>
      <c r="E641" s="716" t="str">
        <f>W650</f>
        <v/>
      </c>
      <c r="F641" s="717" t="str">
        <f>X650</f>
        <v/>
      </c>
      <c r="G641" s="715" t="str">
        <f>X649</f>
        <v>2/2 győztese</v>
      </c>
      <c r="H641" s="232" t="str">
        <f>IF(X648=0,"",IF(X648&gt;0,CONCATENATE("még ",X648," gól"),CONCATENATE("túl sok (",X648," gól)")))</f>
        <v/>
      </c>
      <c r="I641" s="15"/>
      <c r="J641" s="15"/>
      <c r="K641" s="15"/>
      <c r="L641" s="15"/>
      <c r="M641" s="15"/>
      <c r="N641" s="15"/>
      <c r="O641" s="15"/>
      <c r="P641" s="139"/>
      <c r="Q641" s="140"/>
      <c r="R641" s="141"/>
      <c r="S641" s="141"/>
      <c r="T641" s="484"/>
      <c r="U641" s="485"/>
      <c r="V641" s="485"/>
      <c r="W641" s="485"/>
      <c r="X641" s="485"/>
      <c r="Y641" s="485"/>
      <c r="Z641" s="485"/>
      <c r="AA641" s="485"/>
      <c r="AB641" s="242" t="e">
        <f>HLOOKUP(D641,nevek.li,2,FALSE)</f>
        <v>#N/A</v>
      </c>
      <c r="AC641" s="242" t="e">
        <f>HLOOKUP(G641,nevek.li,2,FALSE)</f>
        <v>#N/A</v>
      </c>
      <c r="AD641" s="242" t="e">
        <f>HLOOKUP(K641,nevek.li,2,FALSE)</f>
        <v>#N/A</v>
      </c>
      <c r="AE641" s="242" t="e">
        <f>HLOOKUP(N641,nevek.li,2,FALSE)</f>
        <v>#N/A</v>
      </c>
      <c r="AF641" s="485"/>
      <c r="AG641" s="485"/>
      <c r="AH641" s="485"/>
      <c r="AI641" s="485"/>
      <c r="AJ641" s="485"/>
      <c r="AK641" s="485"/>
      <c r="AL641" s="485"/>
      <c r="AM641" s="485"/>
      <c r="AN641" s="485"/>
      <c r="AO641" s="485"/>
      <c r="AP641" s="485"/>
      <c r="AQ641" s="485"/>
      <c r="AR641" s="485"/>
      <c r="AS641" s="485"/>
      <c r="AT641" s="485"/>
      <c r="AU641" s="485"/>
      <c r="AV641" s="500"/>
      <c r="AW641" s="323"/>
      <c r="AX641" s="323"/>
      <c r="AY641" s="323"/>
      <c r="AZ641" s="323"/>
      <c r="BA641" s="323"/>
      <c r="BB641" s="323"/>
      <c r="BC641" s="323"/>
      <c r="BD641" s="323"/>
      <c r="BE641" s="323"/>
      <c r="BF641" s="323"/>
      <c r="BG641" s="323"/>
      <c r="BH641" s="323"/>
      <c r="BI641" s="323"/>
      <c r="BJ641" s="323"/>
      <c r="BK641" s="323"/>
      <c r="BL641" s="323"/>
      <c r="BM641" s="323"/>
      <c r="BN641" s="323"/>
      <c r="BO641" s="323"/>
      <c r="BP641" s="323"/>
      <c r="BQ641" s="323"/>
      <c r="BR641" s="323"/>
      <c r="BS641" s="323"/>
      <c r="BT641" s="323"/>
      <c r="BU641" s="323"/>
      <c r="BV641" s="323"/>
      <c r="BW641" s="323"/>
      <c r="BX641" s="323"/>
      <c r="BY641" s="323"/>
      <c r="BZ641" s="323"/>
      <c r="CA641" s="323"/>
      <c r="CB641" s="323"/>
      <c r="CC641" s="323"/>
      <c r="CD641" s="323"/>
      <c r="CE641" s="323"/>
      <c r="CF641" s="323"/>
      <c r="CG641" s="323"/>
      <c r="CH641" s="323"/>
      <c r="CI641" s="323"/>
      <c r="CJ641" s="323"/>
      <c r="CK641" s="323"/>
      <c r="CL641" s="323"/>
      <c r="CM641" s="323"/>
      <c r="CN641" s="323"/>
      <c r="CO641" s="323"/>
      <c r="CP641" s="323"/>
      <c r="CQ641" s="323"/>
      <c r="CR641" s="323"/>
      <c r="CS641" s="323"/>
      <c r="CT641" s="323"/>
      <c r="CU641" s="323"/>
      <c r="CV641" s="323"/>
      <c r="CW641" s="323"/>
      <c r="CX641" s="323"/>
      <c r="CY641" s="323"/>
      <c r="CZ641" s="323"/>
      <c r="DA641" s="323"/>
      <c r="DB641" s="323"/>
      <c r="DC641" s="323"/>
      <c r="DD641" s="323"/>
      <c r="DE641" s="323"/>
      <c r="DF641" s="323"/>
      <c r="DG641" s="323"/>
      <c r="DH641" s="323"/>
      <c r="DI641" s="323"/>
      <c r="DJ641" s="323"/>
      <c r="DK641" s="500"/>
    </row>
    <row r="642" spans="1:115" ht="12" customHeight="1" x14ac:dyDescent="0.3">
      <c r="A642" s="765"/>
      <c r="C642" s="218"/>
      <c r="D642" s="220"/>
      <c r="E642" s="221"/>
      <c r="F642" s="222"/>
      <c r="G642" s="223"/>
      <c r="H642" s="218"/>
      <c r="I642" s="15"/>
      <c r="J642" s="15"/>
      <c r="K642" s="15"/>
      <c r="L642" s="15"/>
      <c r="M642" s="15"/>
      <c r="N642" s="15"/>
      <c r="O642" s="15"/>
      <c r="V642" s="487" t="s">
        <v>706</v>
      </c>
      <c r="W642" s="242">
        <v>51</v>
      </c>
      <c r="X642" s="485" t="str">
        <f>""</f>
        <v/>
      </c>
      <c r="Y642" s="242">
        <v>64</v>
      </c>
      <c r="AB642" s="327" t="e">
        <f>IF(C642="öngól",AC641,AB641)</f>
        <v>#N/A</v>
      </c>
      <c r="AC642" s="327" t="e">
        <f>IF(H642="öngól",AB641,AC641)</f>
        <v>#N/A</v>
      </c>
      <c r="AD642" s="327" t="e">
        <f>IF(J642="öngól",AE641,AD641)</f>
        <v>#N/A</v>
      </c>
      <c r="AE642" s="327" t="e">
        <f>IF(O642="öngól",AD641,AE641)</f>
        <v>#N/A</v>
      </c>
      <c r="AF642" s="325"/>
      <c r="AG642" s="485">
        <v>1</v>
      </c>
      <c r="AH642" s="488" t="b">
        <f ca="1">AND(W644,X645,D642="",AG642&lt;=W650)</f>
        <v>0</v>
      </c>
      <c r="AI642" s="488" t="b">
        <f ca="1">AND(W644,X645,E642="",AG642&lt;=W650)</f>
        <v>0</v>
      </c>
      <c r="AJ642" s="488" t="b">
        <f ca="1">AND(W644,X645,F642="",AG642&lt;=X650)</f>
        <v>0</v>
      </c>
      <c r="AK642" s="488" t="b">
        <f ca="1">AND(W644,X645,G642="",AG642&lt;=X650)</f>
        <v>0</v>
      </c>
      <c r="AL642" s="488" t="e">
        <f>AND(Y644,Z645,K642="",AG642&lt;=Y650)</f>
        <v>#N/A</v>
      </c>
      <c r="AM642" s="488" t="e">
        <f>AND(Y644,Z645,L642="",AG642&lt;=Y650)</f>
        <v>#N/A</v>
      </c>
      <c r="AN642" s="488" t="e">
        <f>AND(Y644,Z645,M642="",AG642&lt;=Z650)</f>
        <v>#N/A</v>
      </c>
      <c r="AO642" s="488" t="e">
        <f>AND(Y644,Z645,N642="",AG642&lt;=Z650)</f>
        <v>#N/A</v>
      </c>
      <c r="AQ642" s="326" t="str">
        <f>IF(OR(NOT(Góllista!$E$6),D642=""),"",IF(C642="öngól","ö"&amp;G641&amp;D642,D641&amp;D642))</f>
        <v/>
      </c>
      <c r="AR642" s="326" t="str">
        <f>IF(OR(NOT(Góllista!$E$6),G642=""),"",IF(H642="öngól","ö"&amp;D641&amp;G642,G641&amp;G642))</f>
        <v/>
      </c>
      <c r="AS642" s="326" t="str">
        <f>IF(OR(NOT(Góllista!$E$6),K642=""),"",IF(J642="öngól","ö"&amp;N641&amp;K642,K641&amp;K642))</f>
        <v/>
      </c>
      <c r="AT642" s="326" t="str">
        <f>IF(OR(NOT(Góllista!$E$6),N642=""),"",IF(O642="öngól","ö"&amp;K641&amp;N642,N641&amp;N642))</f>
        <v/>
      </c>
      <c r="AY642" s="323"/>
      <c r="BA642" s="323"/>
      <c r="BC642" s="323"/>
      <c r="BE642" s="323"/>
      <c r="BG642" s="323"/>
      <c r="BI642" s="323"/>
      <c r="BK642" s="323"/>
      <c r="BM642" s="323"/>
      <c r="BO642" s="323"/>
      <c r="BQ642" s="323"/>
      <c r="BS642" s="323"/>
      <c r="BU642" s="323"/>
      <c r="BW642" s="323"/>
      <c r="BY642" s="323"/>
      <c r="CA642" s="323"/>
      <c r="CC642" s="323"/>
      <c r="CE642" s="323"/>
      <c r="CG642" s="323"/>
      <c r="CI642" s="323"/>
      <c r="CK642" s="323"/>
      <c r="CM642" s="323"/>
      <c r="CO642" s="323"/>
      <c r="CQ642" s="323"/>
      <c r="CS642" s="323"/>
      <c r="CU642" s="323"/>
      <c r="CW642" s="323"/>
      <c r="CY642" s="323"/>
      <c r="DA642" s="323"/>
      <c r="DC642" s="323"/>
      <c r="DE642" s="323"/>
      <c r="DG642" s="323"/>
      <c r="DI642" s="323"/>
    </row>
    <row r="643" spans="1:115" ht="12" customHeight="1" x14ac:dyDescent="0.3">
      <c r="A643" s="765"/>
      <c r="C643" s="219"/>
      <c r="D643" s="220"/>
      <c r="E643" s="224"/>
      <c r="F643" s="222"/>
      <c r="G643" s="223"/>
      <c r="H643" s="219"/>
      <c r="I643" s="15"/>
      <c r="J643" s="15"/>
      <c r="K643" s="15"/>
      <c r="L643" s="15"/>
      <c r="M643" s="15"/>
      <c r="N643" s="15"/>
      <c r="O643" s="15"/>
      <c r="V643" s="487" t="s">
        <v>711</v>
      </c>
      <c r="W643" s="327">
        <f>MATCH(W642,n.er.index,0)</f>
        <v>145</v>
      </c>
      <c r="X643" s="485" t="str">
        <f>""</f>
        <v/>
      </c>
      <c r="Y643" s="327" t="e">
        <f>MATCH(Y642,n.er.index,0)</f>
        <v>#N/A</v>
      </c>
      <c r="AB643" s="327" t="e">
        <f>IF(C643="öngól",AC641,AB641)</f>
        <v>#N/A</v>
      </c>
      <c r="AC643" s="327" t="e">
        <f>IF(H643="öngól",AB641,AC641)</f>
        <v>#N/A</v>
      </c>
      <c r="AD643" s="327" t="e">
        <f>IF(J643="öngól",AE641,AD641)</f>
        <v>#N/A</v>
      </c>
      <c r="AE643" s="327" t="e">
        <f>IF(O643="öngól",AD641,AE641)</f>
        <v>#N/A</v>
      </c>
      <c r="AF643" s="325"/>
      <c r="AG643" s="485">
        <v>2</v>
      </c>
      <c r="AH643" s="488" t="b">
        <f ca="1">AND(W644,X645,D643="",AG643&lt;=W650)</f>
        <v>0</v>
      </c>
      <c r="AI643" s="488" t="b">
        <f ca="1">AND(W644,X645,E643="",AG643&lt;=W650)</f>
        <v>0</v>
      </c>
      <c r="AJ643" s="488" t="b">
        <f ca="1">AND(W644,X645,F643="",AG643&lt;=X650)</f>
        <v>0</v>
      </c>
      <c r="AK643" s="488" t="b">
        <f ca="1">AND(W644,X645,G643="",AG643&lt;=X650)</f>
        <v>0</v>
      </c>
      <c r="AL643" s="488" t="e">
        <f>AND(Y644,Z645,K643="",AG643&lt;=Y650)</f>
        <v>#N/A</v>
      </c>
      <c r="AM643" s="488" t="e">
        <f>AND(Y644,Z645,L643="",AG643&lt;=Y650)</f>
        <v>#N/A</v>
      </c>
      <c r="AN643" s="488" t="e">
        <f>AND(Y644,Z645,M643="",AG643&lt;=Z650)</f>
        <v>#N/A</v>
      </c>
      <c r="AO643" s="488" t="e">
        <f>AND(Y644,Z645,N643="",AG643&lt;=Z650)</f>
        <v>#N/A</v>
      </c>
      <c r="AQ643" s="326" t="str">
        <f>IF(OR(NOT(Góllista!$E$6),D643=""),"",IF(C643="öngól","ö"&amp;G641&amp;D643,D641&amp;D643))</f>
        <v/>
      </c>
      <c r="AR643" s="326" t="str">
        <f>IF(OR(NOT(Góllista!$E$6),G643=""),"",IF(H643="öngól","ö"&amp;D641&amp;G643,G641&amp;G643))</f>
        <v/>
      </c>
      <c r="AS643" s="326" t="str">
        <f>IF(OR(NOT(Góllista!$E$6),K643=""),"",IF(J643="öngól","ö"&amp;N641&amp;K643,K641&amp;K643))</f>
        <v/>
      </c>
      <c r="AT643" s="326" t="str">
        <f>IF(OR(NOT(Góllista!$E$6),N643=""),"",IF(O643="öngól","ö"&amp;K641&amp;N643,N641&amp;N643))</f>
        <v/>
      </c>
      <c r="AY643" s="323"/>
      <c r="BA643" s="323"/>
      <c r="BC643" s="323"/>
      <c r="BE643" s="323"/>
      <c r="BG643" s="323"/>
      <c r="BI643" s="323"/>
      <c r="BK643" s="323"/>
      <c r="BM643" s="323"/>
      <c r="BO643" s="323"/>
      <c r="BQ643" s="323"/>
      <c r="BS643" s="323"/>
      <c r="BU643" s="323"/>
      <c r="BW643" s="323"/>
      <c r="BY643" s="323"/>
      <c r="CA643" s="323"/>
      <c r="CC643" s="323"/>
      <c r="CE643" s="323"/>
      <c r="CG643" s="323"/>
      <c r="CI643" s="323"/>
      <c r="CK643" s="323"/>
      <c r="CM643" s="323"/>
      <c r="CO643" s="323"/>
      <c r="CQ643" s="323"/>
      <c r="CS643" s="323"/>
      <c r="CU643" s="323"/>
      <c r="CW643" s="323"/>
      <c r="CY643" s="323"/>
      <c r="DA643" s="323"/>
      <c r="DC643" s="323"/>
      <c r="DE643" s="323"/>
      <c r="DG643" s="323"/>
      <c r="DI643" s="323"/>
    </row>
    <row r="644" spans="1:115" ht="12" customHeight="1" x14ac:dyDescent="0.3">
      <c r="A644" s="765"/>
      <c r="C644" s="219"/>
      <c r="D644" s="220"/>
      <c r="E644" s="224"/>
      <c r="F644" s="222"/>
      <c r="G644" s="223"/>
      <c r="H644" s="219"/>
      <c r="I644" s="15"/>
      <c r="J644" s="15"/>
      <c r="K644" s="15"/>
      <c r="L644" s="15"/>
      <c r="M644" s="15"/>
      <c r="N644" s="15"/>
      <c r="O644" s="15"/>
      <c r="V644" s="487" t="s">
        <v>710</v>
      </c>
      <c r="W644" s="489" t="b">
        <f>INDEX(n.er,W643,3)</f>
        <v>0</v>
      </c>
      <c r="X644" s="485" t="str">
        <f>""</f>
        <v/>
      </c>
      <c r="Y644" s="489" t="e">
        <f>INDEX(n.er,Y643,3)</f>
        <v>#N/A</v>
      </c>
      <c r="AB644" s="327" t="e">
        <f>IF(C644="öngól",AC641,AB641)</f>
        <v>#N/A</v>
      </c>
      <c r="AC644" s="327" t="e">
        <f>IF(H644="öngól",AB641,AC641)</f>
        <v>#N/A</v>
      </c>
      <c r="AD644" s="327" t="e">
        <f>IF(J644="öngól",AE641,AD641)</f>
        <v>#N/A</v>
      </c>
      <c r="AE644" s="327" t="e">
        <f>IF(O644="öngól",AD641,AE641)</f>
        <v>#N/A</v>
      </c>
      <c r="AF644" s="325"/>
      <c r="AG644" s="485">
        <v>3</v>
      </c>
      <c r="AH644" s="488" t="b">
        <f ca="1">AND(W644,X645,D644="",AG644&lt;=W650)</f>
        <v>0</v>
      </c>
      <c r="AI644" s="488" t="b">
        <f ca="1">AND(W644,X645,E644="",AG644&lt;=W650)</f>
        <v>0</v>
      </c>
      <c r="AJ644" s="488" t="b">
        <f ca="1">AND(W644,X645,F644="",AG644&lt;=X650)</f>
        <v>0</v>
      </c>
      <c r="AK644" s="488" t="b">
        <f ca="1">AND(W644,X645,G644="",AG644&lt;=X650)</f>
        <v>0</v>
      </c>
      <c r="AL644" s="488" t="e">
        <f>AND(Y644,Z645,K644="",AG644&lt;=Y650)</f>
        <v>#N/A</v>
      </c>
      <c r="AM644" s="488" t="e">
        <f>AND(Y644,Z645,L644="",AG644&lt;=Y650)</f>
        <v>#N/A</v>
      </c>
      <c r="AN644" s="488" t="e">
        <f>AND(Y644,Z645,M644="",AG644&lt;=Z650)</f>
        <v>#N/A</v>
      </c>
      <c r="AO644" s="488" t="e">
        <f>AND(Y644,Z645,N644="",AG644&lt;=Z650)</f>
        <v>#N/A</v>
      </c>
      <c r="AQ644" s="326" t="str">
        <f>IF(OR(NOT(Góllista!$E$6),D644=""),"",IF(C644="öngól","ö"&amp;G641&amp;D644,D641&amp;D644))</f>
        <v/>
      </c>
      <c r="AR644" s="326" t="str">
        <f>IF(OR(NOT(Góllista!$E$6),G644=""),"",IF(H644="öngól","ö"&amp;D641&amp;G644,G641&amp;G644))</f>
        <v/>
      </c>
      <c r="AS644" s="326" t="str">
        <f>IF(OR(NOT(Góllista!$E$6),K644=""),"",IF(J644="öngól","ö"&amp;N641&amp;K644,K641&amp;K644))</f>
        <v/>
      </c>
      <c r="AT644" s="326" t="str">
        <f>IF(OR(NOT(Góllista!$E$6),N644=""),"",IF(O644="öngól","ö"&amp;K641&amp;N644,N641&amp;N644))</f>
        <v/>
      </c>
      <c r="AY644" s="323"/>
      <c r="BA644" s="323"/>
      <c r="BC644" s="323"/>
      <c r="BE644" s="323"/>
      <c r="BG644" s="323"/>
      <c r="BI644" s="323"/>
      <c r="BK644" s="323"/>
      <c r="BM644" s="323"/>
      <c r="BO644" s="323"/>
      <c r="BQ644" s="323"/>
      <c r="BS644" s="323"/>
      <c r="BU644" s="323"/>
      <c r="BW644" s="323"/>
      <c r="BY644" s="323"/>
      <c r="CA644" s="323"/>
      <c r="CC644" s="323"/>
      <c r="CE644" s="323"/>
      <c r="CG644" s="323"/>
      <c r="CI644" s="323"/>
      <c r="CK644" s="323"/>
      <c r="CM644" s="323"/>
      <c r="CO644" s="323"/>
      <c r="CQ644" s="323"/>
      <c r="CS644" s="323"/>
      <c r="CU644" s="323"/>
      <c r="CW644" s="323"/>
      <c r="CY644" s="323"/>
      <c r="DA644" s="323"/>
      <c r="DC644" s="323"/>
      <c r="DE644" s="323"/>
      <c r="DG644" s="323"/>
      <c r="DI644" s="323"/>
    </row>
    <row r="645" spans="1:115" ht="12" customHeight="1" x14ac:dyDescent="0.3">
      <c r="A645" s="765"/>
      <c r="C645" s="219"/>
      <c r="D645" s="220"/>
      <c r="E645" s="224"/>
      <c r="F645" s="222"/>
      <c r="G645" s="223"/>
      <c r="H645" s="219"/>
      <c r="I645" s="15"/>
      <c r="J645" s="15"/>
      <c r="K645" s="15"/>
      <c r="L645" s="15"/>
      <c r="M645" s="15"/>
      <c r="N645" s="15"/>
      <c r="O645" s="15"/>
      <c r="V645" s="487" t="s">
        <v>705</v>
      </c>
      <c r="W645" s="490" t="str">
        <f>VLOOKUP(W642,schedule,18,FALSE)</f>
        <v>JÚLIUS 11. – VASÁRNAP 21:00</v>
      </c>
      <c r="X645" s="489" t="b">
        <f ca="1">VLOOKUP(W642,schedule,14,FALSE)&lt;=NOW()</f>
        <v>0</v>
      </c>
      <c r="Y645" s="490" t="e">
        <f>VLOOKUP(Y642,schedule,18,FALSE)</f>
        <v>#N/A</v>
      </c>
      <c r="Z645" s="489" t="e">
        <f ca="1">VLOOKUP(Y642,schedule,14,FALSE)&lt;=NOW()</f>
        <v>#N/A</v>
      </c>
      <c r="AB645" s="327" t="e">
        <f>IF(C645="öngól",AC641,AB641)</f>
        <v>#N/A</v>
      </c>
      <c r="AC645" s="327" t="e">
        <f>IF(H645="öngól",AB641,AC641)</f>
        <v>#N/A</v>
      </c>
      <c r="AD645" s="327" t="e">
        <f>IF(J645="öngól",AE641,AD641)</f>
        <v>#N/A</v>
      </c>
      <c r="AE645" s="327" t="e">
        <f>IF(O645="öngól",AD641,AE641)</f>
        <v>#N/A</v>
      </c>
      <c r="AF645" s="325"/>
      <c r="AG645" s="485">
        <v>4</v>
      </c>
      <c r="AH645" s="488" t="b">
        <f ca="1">AND(W644,X645,D645="",AG645&lt;=W650)</f>
        <v>0</v>
      </c>
      <c r="AI645" s="488" t="b">
        <f ca="1">AND(W644,X645,E645="",AG645&lt;=W650)</f>
        <v>0</v>
      </c>
      <c r="AJ645" s="488" t="b">
        <f ca="1">AND(W644,X645,F645="",AG645&lt;=X650)</f>
        <v>0</v>
      </c>
      <c r="AK645" s="488" t="b">
        <f ca="1">AND(W644,X645,G645="",AG645&lt;=X650)</f>
        <v>0</v>
      </c>
      <c r="AL645" s="488" t="e">
        <f>AND(Y644,Z645,K645="",AG645&lt;=Y650)</f>
        <v>#N/A</v>
      </c>
      <c r="AM645" s="488" t="e">
        <f>AND(Y644,Z645,L645="",AG645&lt;=Y650)</f>
        <v>#N/A</v>
      </c>
      <c r="AN645" s="488" t="e">
        <f>AND(Y644,Z645,M645="",AG645&lt;=Z650)</f>
        <v>#N/A</v>
      </c>
      <c r="AO645" s="488" t="e">
        <f>AND(Y644,Z645,N645="",AG645&lt;=Z650)</f>
        <v>#N/A</v>
      </c>
      <c r="AQ645" s="326" t="str">
        <f>IF(OR(NOT(Góllista!$E$6),D645=""),"",IF(C645="öngól","ö"&amp;G641&amp;D645,D641&amp;D645))</f>
        <v/>
      </c>
      <c r="AR645" s="326" t="str">
        <f>IF(OR(NOT(Góllista!$E$6),G645=""),"",IF(H645="öngól","ö"&amp;D641&amp;G645,G641&amp;G645))</f>
        <v/>
      </c>
      <c r="AS645" s="326" t="str">
        <f>IF(OR(NOT(Góllista!$E$6),K645=""),"",IF(J645="öngól","ö"&amp;N641&amp;K645,K641&amp;K645))</f>
        <v/>
      </c>
      <c r="AT645" s="326" t="str">
        <f>IF(OR(NOT(Góllista!$E$6),N645=""),"",IF(O645="öngól","ö"&amp;K641&amp;N645,N641&amp;N645))</f>
        <v/>
      </c>
      <c r="AY645" s="323"/>
      <c r="BA645" s="323"/>
      <c r="BC645" s="323"/>
      <c r="BE645" s="323"/>
      <c r="BG645" s="323"/>
      <c r="BI645" s="323"/>
      <c r="BK645" s="323"/>
      <c r="BM645" s="323"/>
      <c r="BO645" s="323"/>
      <c r="BQ645" s="323"/>
      <c r="BS645" s="323"/>
      <c r="BU645" s="323"/>
      <c r="BW645" s="323"/>
      <c r="BY645" s="323"/>
      <c r="CA645" s="323"/>
      <c r="CC645" s="323"/>
      <c r="CE645" s="323"/>
      <c r="CG645" s="323"/>
      <c r="CI645" s="323"/>
      <c r="CK645" s="323"/>
      <c r="CM645" s="323"/>
      <c r="CO645" s="323"/>
      <c r="CQ645" s="323"/>
      <c r="CS645" s="323"/>
      <c r="CU645" s="323"/>
      <c r="CW645" s="323"/>
      <c r="CY645" s="323"/>
      <c r="DA645" s="323"/>
      <c r="DC645" s="323"/>
      <c r="DE645" s="323"/>
      <c r="DG645" s="323"/>
      <c r="DI645" s="323"/>
    </row>
    <row r="646" spans="1:115" ht="12" customHeight="1" x14ac:dyDescent="0.3">
      <c r="A646" s="765"/>
      <c r="C646" s="219"/>
      <c r="D646" s="220"/>
      <c r="E646" s="224"/>
      <c r="F646" s="222"/>
      <c r="G646" s="223"/>
      <c r="H646" s="219"/>
      <c r="I646" s="15"/>
      <c r="J646" s="15"/>
      <c r="K646" s="15"/>
      <c r="L646" s="15"/>
      <c r="M646" s="15"/>
      <c r="N646" s="15"/>
      <c r="O646" s="15"/>
      <c r="V646" s="487" t="s">
        <v>1265</v>
      </c>
      <c r="W646" s="491" t="str">
        <f>VLOOKUP(W642,schedule,12,FALSE)</f>
        <v>DÖNTŐ</v>
      </c>
      <c r="X646" s="485" t="str">
        <f>""</f>
        <v/>
      </c>
      <c r="Y646" s="491" t="e">
        <f>VLOOKUP(Y642,schedule,12,FALSE)</f>
        <v>#N/A</v>
      </c>
      <c r="AB646" s="327" t="e">
        <f>IF(C646="öngól",AC641,AB641)</f>
        <v>#N/A</v>
      </c>
      <c r="AC646" s="327" t="e">
        <f>IF(H646="öngól",AB641,AC641)</f>
        <v>#N/A</v>
      </c>
      <c r="AD646" s="327" t="e">
        <f>IF(J646="öngól",AE641,AD641)</f>
        <v>#N/A</v>
      </c>
      <c r="AE646" s="327" t="e">
        <f>IF(O646="öngól",AD641,AE641)</f>
        <v>#N/A</v>
      </c>
      <c r="AF646" s="325"/>
      <c r="AG646" s="485">
        <v>5</v>
      </c>
      <c r="AH646" s="488" t="b">
        <f ca="1">AND(W644,X645,D646="",AG646&lt;=W650)</f>
        <v>0</v>
      </c>
      <c r="AI646" s="488" t="b">
        <f ca="1">AND(W644,X645,E646="",AG646&lt;=W650)</f>
        <v>0</v>
      </c>
      <c r="AJ646" s="488" t="b">
        <f ca="1">AND(W644,X645,F646="",AG646&lt;=X650)</f>
        <v>0</v>
      </c>
      <c r="AK646" s="488" t="b">
        <f ca="1">AND(W644,X645,G646="",AG646&lt;=X650)</f>
        <v>0</v>
      </c>
      <c r="AL646" s="488" t="e">
        <f>AND(Y644,Z645,K646="",AG646&lt;=Y650)</f>
        <v>#N/A</v>
      </c>
      <c r="AM646" s="488" t="e">
        <f>AND(Y644,Z645,L646="",AG646&lt;=Y650)</f>
        <v>#N/A</v>
      </c>
      <c r="AN646" s="488" t="e">
        <f>AND(Y644,Z645,M646="",AG646&lt;=Z650)</f>
        <v>#N/A</v>
      </c>
      <c r="AO646" s="488" t="e">
        <f>AND(Y644,Z645,N646="",AG646&lt;=Z650)</f>
        <v>#N/A</v>
      </c>
      <c r="AQ646" s="326" t="str">
        <f>IF(OR(NOT(Góllista!$E$6),D646=""),"",IF(C646="öngól","ö"&amp;G641&amp;D646,D641&amp;D646))</f>
        <v/>
      </c>
      <c r="AR646" s="326" t="str">
        <f>IF(OR(NOT(Góllista!$E$6),G646=""),"",IF(H646="öngól","ö"&amp;D641&amp;G646,G641&amp;G646))</f>
        <v/>
      </c>
      <c r="AS646" s="326" t="str">
        <f>IF(OR(NOT(Góllista!$E$6),K646=""),"",IF(J646="öngól","ö"&amp;N641&amp;K646,K641&amp;K646))</f>
        <v/>
      </c>
      <c r="AT646" s="326" t="str">
        <f>IF(OR(NOT(Góllista!$E$6),N646=""),"",IF(O646="öngól","ö"&amp;K641&amp;N646,N641&amp;N646))</f>
        <v/>
      </c>
      <c r="AY646" s="323"/>
      <c r="BA646" s="323"/>
      <c r="BC646" s="323"/>
      <c r="BE646" s="323"/>
      <c r="BG646" s="323"/>
      <c r="BI646" s="323"/>
      <c r="BK646" s="323"/>
      <c r="BM646" s="323"/>
      <c r="BO646" s="323"/>
      <c r="BQ646" s="323"/>
      <c r="BS646" s="323"/>
      <c r="BU646" s="323"/>
      <c r="BW646" s="323"/>
      <c r="BY646" s="323"/>
      <c r="CA646" s="323"/>
      <c r="CC646" s="323"/>
      <c r="CE646" s="323"/>
      <c r="CG646" s="323"/>
      <c r="CI646" s="323"/>
      <c r="CK646" s="323"/>
      <c r="CM646" s="323"/>
      <c r="CO646" s="323"/>
      <c r="CQ646" s="323"/>
      <c r="CS646" s="323"/>
      <c r="CU646" s="323"/>
      <c r="CW646" s="323"/>
      <c r="CY646" s="323"/>
      <c r="DA646" s="323"/>
      <c r="DC646" s="323"/>
      <c r="DE646" s="323"/>
      <c r="DG646" s="323"/>
      <c r="DI646" s="323"/>
    </row>
    <row r="647" spans="1:115" ht="12" customHeight="1" x14ac:dyDescent="0.3">
      <c r="A647" s="765"/>
      <c r="C647" s="219"/>
      <c r="D647" s="220"/>
      <c r="E647" s="224"/>
      <c r="F647" s="222"/>
      <c r="G647" s="223"/>
      <c r="H647" s="219"/>
      <c r="I647" s="15"/>
      <c r="J647" s="15"/>
      <c r="K647" s="15"/>
      <c r="L647" s="15"/>
      <c r="M647" s="15"/>
      <c r="N647" s="15"/>
      <c r="O647" s="15"/>
      <c r="V647" s="487" t="s">
        <v>1264</v>
      </c>
      <c r="W647" s="327" t="str">
        <f>VLOOKUP(W642,schedule,3,FALSE)</f>
        <v/>
      </c>
      <c r="X647" s="485" t="str">
        <f>""</f>
        <v/>
      </c>
      <c r="Y647" s="327" t="e">
        <f>VLOOKUP(Y642,schedule,3,FALSE)</f>
        <v>#N/A</v>
      </c>
      <c r="AB647" s="327" t="e">
        <f>IF(C647="öngól",AC641,AB641)</f>
        <v>#N/A</v>
      </c>
      <c r="AC647" s="327" t="e">
        <f>IF(H647="öngól",AB641,AC641)</f>
        <v>#N/A</v>
      </c>
      <c r="AD647" s="327" t="e">
        <f>IF(J647="öngól",AE641,AD641)</f>
        <v>#N/A</v>
      </c>
      <c r="AE647" s="327" t="e">
        <f>IF(O647="öngól",AD641,AE641)</f>
        <v>#N/A</v>
      </c>
      <c r="AF647" s="325"/>
      <c r="AG647" s="485">
        <v>6</v>
      </c>
      <c r="AH647" s="488" t="b">
        <f ca="1">AND(W644,X645,D647="",AG647&lt;=W650)</f>
        <v>0</v>
      </c>
      <c r="AI647" s="488" t="b">
        <f ca="1">AND(W644,X645,E647="",AG647&lt;=W650)</f>
        <v>0</v>
      </c>
      <c r="AJ647" s="488" t="b">
        <f ca="1">AND(W644,X645,F647="",AG647&lt;=X650)</f>
        <v>0</v>
      </c>
      <c r="AK647" s="488" t="b">
        <f ca="1">AND(W644,X645,G647="",AG647&lt;=X650)</f>
        <v>0</v>
      </c>
      <c r="AL647" s="488" t="e">
        <f>AND(Y644,Z645,K647="",AG647&lt;=Y650)</f>
        <v>#N/A</v>
      </c>
      <c r="AM647" s="488" t="e">
        <f>AND(Y644,Z645,L647="",AG647&lt;=Y650)</f>
        <v>#N/A</v>
      </c>
      <c r="AN647" s="488" t="e">
        <f>AND(Y644,Z645,M647="",AG647&lt;=Z650)</f>
        <v>#N/A</v>
      </c>
      <c r="AO647" s="488" t="e">
        <f>AND(Y644,Z645,N647="",AG647&lt;=Z650)</f>
        <v>#N/A</v>
      </c>
      <c r="AQ647" s="326" t="str">
        <f>IF(OR(NOT(Góllista!$E$6),D647=""),"",IF(C647="öngól","ö"&amp;G641&amp;D647,D641&amp;D647))</f>
        <v/>
      </c>
      <c r="AR647" s="326" t="str">
        <f>IF(OR(NOT(Góllista!$E$6),G647=""),"",IF(H647="öngól","ö"&amp;D641&amp;G647,G641&amp;G647))</f>
        <v/>
      </c>
      <c r="AS647" s="326" t="str">
        <f>IF(OR(NOT(Góllista!$E$6),K647=""),"",IF(J647="öngól","ö"&amp;N641&amp;K647,K641&amp;K647))</f>
        <v/>
      </c>
      <c r="AT647" s="326" t="str">
        <f>IF(OR(NOT(Góllista!$E$6),N647=""),"",IF(O647="öngól","ö"&amp;K641&amp;N647,N641&amp;N647))</f>
        <v/>
      </c>
      <c r="AY647" s="323"/>
      <c r="BA647" s="323"/>
      <c r="BC647" s="323"/>
      <c r="BE647" s="323"/>
      <c r="BG647" s="323"/>
      <c r="BI647" s="323"/>
      <c r="BK647" s="323"/>
      <c r="BM647" s="323"/>
      <c r="BO647" s="323"/>
      <c r="BQ647" s="323"/>
      <c r="BS647" s="323"/>
      <c r="BU647" s="323"/>
      <c r="BW647" s="323"/>
      <c r="BY647" s="323"/>
      <c r="CA647" s="323"/>
      <c r="CC647" s="323"/>
      <c r="CE647" s="323"/>
      <c r="CG647" s="323"/>
      <c r="CI647" s="323"/>
      <c r="CK647" s="323"/>
      <c r="CM647" s="323"/>
      <c r="CO647" s="323"/>
      <c r="CQ647" s="323"/>
      <c r="CS647" s="323"/>
      <c r="CU647" s="323"/>
      <c r="CW647" s="323"/>
      <c r="CY647" s="323"/>
      <c r="DA647" s="323"/>
      <c r="DC647" s="323"/>
      <c r="DE647" s="323"/>
      <c r="DG647" s="323"/>
      <c r="DI647" s="323"/>
    </row>
    <row r="648" spans="1:115" ht="12" customHeight="1" x14ac:dyDescent="0.3">
      <c r="A648" s="765"/>
      <c r="C648" s="219"/>
      <c r="D648" s="220"/>
      <c r="E648" s="224"/>
      <c r="F648" s="222"/>
      <c r="G648" s="223"/>
      <c r="H648" s="219"/>
      <c r="I648" s="15"/>
      <c r="J648" s="15"/>
      <c r="K648" s="15"/>
      <c r="L648" s="15"/>
      <c r="M648" s="15"/>
      <c r="N648" s="15"/>
      <c r="O648" s="15"/>
      <c r="V648" s="485" t="s">
        <v>707</v>
      </c>
      <c r="W648" s="327">
        <f>IF(NOT(W644),0,E641-9+COUNTBLANK(D642:D650))</f>
        <v>0</v>
      </c>
      <c r="X648" s="327">
        <f>IF(NOT(W644),0,F641-9+COUNTBLANK(G642:G650))</f>
        <v>0</v>
      </c>
      <c r="Y648" s="327" t="e">
        <f>IF(NOT(Y644),0,L641-9+COUNTBLANK(K642:K650))</f>
        <v>#N/A</v>
      </c>
      <c r="Z648" s="327" t="e">
        <f>IF(NOT(Y644),0,M641-9+COUNTBLANK(N642:N650))</f>
        <v>#N/A</v>
      </c>
      <c r="AB648" s="327" t="e">
        <f>IF(C648="öngól",AC641,AB641)</f>
        <v>#N/A</v>
      </c>
      <c r="AC648" s="327" t="e">
        <f>IF(H648="öngól",AB641,AC641)</f>
        <v>#N/A</v>
      </c>
      <c r="AD648" s="327" t="e">
        <f>IF(J648="öngól",AE641,AD641)</f>
        <v>#N/A</v>
      </c>
      <c r="AE648" s="327" t="e">
        <f>IF(O648="öngól",AD641,AE641)</f>
        <v>#N/A</v>
      </c>
      <c r="AF648" s="325"/>
      <c r="AG648" s="485">
        <v>7</v>
      </c>
      <c r="AH648" s="488" t="b">
        <f ca="1">AND(W644,X645,D648="",AG648&lt;=W650)</f>
        <v>0</v>
      </c>
      <c r="AI648" s="488" t="b">
        <f ca="1">AND(W644,X645,E648="",AG648&lt;=W650)</f>
        <v>0</v>
      </c>
      <c r="AJ648" s="488" t="b">
        <f ca="1">AND(W644,X645,F648="",AG648&lt;=X650)</f>
        <v>0</v>
      </c>
      <c r="AK648" s="488" t="b">
        <f ca="1">AND(W644,X645,G648="",AG648&lt;=X650)</f>
        <v>0</v>
      </c>
      <c r="AL648" s="488" t="e">
        <f>AND(Y644,Z645,K648="",AG648&lt;=Y650)</f>
        <v>#N/A</v>
      </c>
      <c r="AM648" s="488" t="e">
        <f>AND(Y644,Z645,L648="",AG648&lt;=Y650)</f>
        <v>#N/A</v>
      </c>
      <c r="AN648" s="488" t="e">
        <f>AND(Y644,Z645,M648="",AG648&lt;=Z650)</f>
        <v>#N/A</v>
      </c>
      <c r="AO648" s="488" t="e">
        <f>AND(Y644,Z645,N648="",AG648&lt;=Z650)</f>
        <v>#N/A</v>
      </c>
      <c r="AQ648" s="326" t="str">
        <f>IF(OR(NOT(Góllista!$E$6),D648=""),"",IF(C648="öngól","ö"&amp;G641&amp;D648,D641&amp;D648))</f>
        <v/>
      </c>
      <c r="AR648" s="326" t="str">
        <f>IF(OR(NOT(Góllista!$E$6),G648=""),"",IF(H648="öngól","ö"&amp;D641&amp;G648,G641&amp;G648))</f>
        <v/>
      </c>
      <c r="AS648" s="326" t="str">
        <f>IF(OR(NOT(Góllista!$E$6),K648=""),"",IF(J648="öngól","ö"&amp;N641&amp;K648,K641&amp;K648))</f>
        <v/>
      </c>
      <c r="AT648" s="326" t="str">
        <f>IF(OR(NOT(Góllista!$E$6),N648=""),"",IF(O648="öngól","ö"&amp;K641&amp;N648,N641&amp;N648))</f>
        <v/>
      </c>
      <c r="AY648" s="323"/>
      <c r="BA648" s="323"/>
      <c r="BC648" s="323"/>
      <c r="BE648" s="323"/>
      <c r="BG648" s="323"/>
      <c r="BI648" s="323"/>
      <c r="BK648" s="323"/>
      <c r="BM648" s="323"/>
      <c r="BO648" s="323"/>
      <c r="BQ648" s="323"/>
      <c r="BS648" s="323"/>
      <c r="BU648" s="323"/>
      <c r="BW648" s="323"/>
      <c r="BY648" s="323"/>
      <c r="CA648" s="323"/>
      <c r="CC648" s="323"/>
      <c r="CE648" s="323"/>
      <c r="CG648" s="323"/>
      <c r="CI648" s="323"/>
      <c r="CK648" s="323"/>
      <c r="CM648" s="323"/>
      <c r="CO648" s="323"/>
      <c r="CQ648" s="323"/>
      <c r="CS648" s="323"/>
      <c r="CU648" s="323"/>
      <c r="CW648" s="323"/>
      <c r="CY648" s="323"/>
      <c r="DA648" s="323"/>
      <c r="DC648" s="323"/>
      <c r="DE648" s="323"/>
      <c r="DG648" s="323"/>
      <c r="DI648" s="323"/>
    </row>
    <row r="649" spans="1:115" ht="12" customHeight="1" x14ac:dyDescent="0.3">
      <c r="A649" s="765"/>
      <c r="C649" s="219"/>
      <c r="D649" s="220"/>
      <c r="E649" s="224"/>
      <c r="F649" s="222"/>
      <c r="G649" s="223"/>
      <c r="H649" s="219"/>
      <c r="I649" s="15"/>
      <c r="J649" s="15"/>
      <c r="K649" s="15"/>
      <c r="L649" s="15"/>
      <c r="M649" s="15"/>
      <c r="N649" s="15"/>
      <c r="O649" s="15"/>
      <c r="V649" s="485" t="s">
        <v>708</v>
      </c>
      <c r="W649" s="411" t="str">
        <f>VLOOKUP(W642,schedule,8,FALSE)</f>
        <v>1/2 győztese</v>
      </c>
      <c r="X649" s="411" t="str">
        <f>VLOOKUP(W642,schedule,9,FALSE)</f>
        <v>2/2 győztese</v>
      </c>
      <c r="Y649" s="411" t="e">
        <f>VLOOKUP(Y642,schedule,8,FALSE)</f>
        <v>#N/A</v>
      </c>
      <c r="Z649" s="491" t="e">
        <f>VLOOKUP(Y642,schedule,9,FALSE)</f>
        <v>#N/A</v>
      </c>
      <c r="AB649" s="327" t="e">
        <f>IF(C649="öngól",AC641,AB641)</f>
        <v>#N/A</v>
      </c>
      <c r="AC649" s="327" t="e">
        <f>IF(H649="öngól",AB641,AC641)</f>
        <v>#N/A</v>
      </c>
      <c r="AD649" s="327" t="e">
        <f>IF(J649="öngól",AE641,AD641)</f>
        <v>#N/A</v>
      </c>
      <c r="AE649" s="327" t="e">
        <f>IF(O649="öngól",AD641,AE641)</f>
        <v>#N/A</v>
      </c>
      <c r="AF649" s="325"/>
      <c r="AG649" s="485">
        <v>8</v>
      </c>
      <c r="AH649" s="488" t="b">
        <f ca="1">AND(W644,X645,D649="",AG649&lt;=W650)</f>
        <v>0</v>
      </c>
      <c r="AI649" s="488" t="b">
        <f ca="1">AND(W644,X645,E649="",AG649&lt;=W650)</f>
        <v>0</v>
      </c>
      <c r="AJ649" s="488" t="b">
        <f ca="1">AND(W644,X645,F649="",AG649&lt;=X650)</f>
        <v>0</v>
      </c>
      <c r="AK649" s="488" t="b">
        <f ca="1">AND(W644,X645,G649="",AG649&lt;=X650)</f>
        <v>0</v>
      </c>
      <c r="AL649" s="488" t="e">
        <f>AND(Y644,Z645,K649="",AG649&lt;=Y650)</f>
        <v>#N/A</v>
      </c>
      <c r="AM649" s="488" t="e">
        <f>AND(Y644,Z645,L649="",AG649&lt;=Y650)</f>
        <v>#N/A</v>
      </c>
      <c r="AN649" s="488" t="e">
        <f>AND(Y644,Z645,M649="",AG649&lt;=Z650)</f>
        <v>#N/A</v>
      </c>
      <c r="AO649" s="488" t="e">
        <f>AND(Y644,Z645,N649="",AG649&lt;=Z650)</f>
        <v>#N/A</v>
      </c>
      <c r="AQ649" s="326" t="str">
        <f>IF(OR(NOT(Góllista!$E$6),D649=""),"",IF(C649="öngól","ö"&amp;G641&amp;D649,D641&amp;D649))</f>
        <v/>
      </c>
      <c r="AR649" s="326" t="str">
        <f>IF(OR(NOT(Góllista!$E$6),G649=""),"",IF(H649="öngól","ö"&amp;D641&amp;G649,G641&amp;G649))</f>
        <v/>
      </c>
      <c r="AS649" s="326" t="str">
        <f>IF(OR(NOT(Góllista!$E$6),K649=""),"",IF(J649="öngól","ö"&amp;N641&amp;K649,K641&amp;K649))</f>
        <v/>
      </c>
      <c r="AT649" s="326" t="str">
        <f>IF(OR(NOT(Góllista!$E$6),N649=""),"",IF(O649="öngól","ö"&amp;K641&amp;N649,N641&amp;N649))</f>
        <v/>
      </c>
      <c r="AY649" s="323"/>
      <c r="BA649" s="323"/>
      <c r="BC649" s="323"/>
      <c r="BE649" s="323"/>
      <c r="BG649" s="323"/>
      <c r="BI649" s="323"/>
      <c r="BK649" s="323"/>
      <c r="BM649" s="323"/>
      <c r="BO649" s="323"/>
      <c r="BQ649" s="323"/>
      <c r="BS649" s="323"/>
      <c r="BU649" s="323"/>
      <c r="BW649" s="323"/>
      <c r="BY649" s="323"/>
      <c r="CA649" s="323"/>
      <c r="CC649" s="323"/>
      <c r="CE649" s="323"/>
      <c r="CG649" s="323"/>
      <c r="CI649" s="323"/>
      <c r="CK649" s="323"/>
      <c r="CM649" s="323"/>
      <c r="CO649" s="323"/>
      <c r="CQ649" s="323"/>
      <c r="CS649" s="323"/>
      <c r="CU649" s="323"/>
      <c r="CW649" s="323"/>
      <c r="CY649" s="323"/>
      <c r="DA649" s="323"/>
      <c r="DC649" s="323"/>
      <c r="DE649" s="323"/>
      <c r="DG649" s="323"/>
      <c r="DI649" s="323"/>
    </row>
    <row r="650" spans="1:115" ht="12" customHeight="1" x14ac:dyDescent="0.3">
      <c r="A650" s="765"/>
      <c r="C650" s="219"/>
      <c r="D650" s="220"/>
      <c r="E650" s="225"/>
      <c r="F650" s="222"/>
      <c r="G650" s="223"/>
      <c r="H650" s="219"/>
      <c r="I650" s="15"/>
      <c r="J650" s="15"/>
      <c r="K650" s="15"/>
      <c r="L650" s="15"/>
      <c r="M650" s="15"/>
      <c r="N650" s="15"/>
      <c r="O650" s="15"/>
      <c r="V650" s="485" t="s">
        <v>709</v>
      </c>
      <c r="W650" s="492" t="str">
        <f>INDEX(n.er,W643,9)</f>
        <v/>
      </c>
      <c r="X650" s="493" t="str">
        <f>INDEX(n.er,W643,10)</f>
        <v/>
      </c>
      <c r="Y650" s="492" t="e">
        <f>INDEX(n.er,Y643,9)</f>
        <v>#N/A</v>
      </c>
      <c r="Z650" s="493" t="e">
        <f>INDEX(n.er,Y643,10)</f>
        <v>#N/A</v>
      </c>
      <c r="AB650" s="327" t="e">
        <f>IF(C650="öngól",AC641,AB641)</f>
        <v>#N/A</v>
      </c>
      <c r="AC650" s="327" t="e">
        <f>IF(H650="öngól",AB641,AC641)</f>
        <v>#N/A</v>
      </c>
      <c r="AD650" s="327" t="e">
        <f>IF(J650="öngól",AE641,AD641)</f>
        <v>#N/A</v>
      </c>
      <c r="AE650" s="327" t="e">
        <f>IF(O650="öngól",AD641,AE641)</f>
        <v>#N/A</v>
      </c>
      <c r="AF650" s="325"/>
      <c r="AG650" s="485">
        <v>9</v>
      </c>
      <c r="AH650" s="488" t="b">
        <f ca="1">AND(W644,X645,D650="",AG650&lt;=W650)</f>
        <v>0</v>
      </c>
      <c r="AI650" s="488" t="b">
        <f ca="1">AND(W644,X645,E650="",AG650&lt;=W650)</f>
        <v>0</v>
      </c>
      <c r="AJ650" s="488" t="b">
        <f ca="1">AND(W644,X645,F650="",AG650&lt;=X650)</f>
        <v>0</v>
      </c>
      <c r="AK650" s="488" t="b">
        <f ca="1">AND(W644,X645,G650="",AG650&lt;=X650)</f>
        <v>0</v>
      </c>
      <c r="AL650" s="488" t="e">
        <f>AND(Y644,Z645,K650="",AG650&lt;=Y650)</f>
        <v>#N/A</v>
      </c>
      <c r="AM650" s="488" t="e">
        <f>AND(Y644,Z645,L650="",AG650&lt;=Y650)</f>
        <v>#N/A</v>
      </c>
      <c r="AN650" s="488" t="e">
        <f>AND(Y644,Z645,M650="",AG650&lt;=Z650)</f>
        <v>#N/A</v>
      </c>
      <c r="AO650" s="488" t="e">
        <f>AND(Y644,Z645,N650="",AG650&lt;=Z650)</f>
        <v>#N/A</v>
      </c>
      <c r="AQ650" s="326" t="str">
        <f>IF(OR(NOT(Góllista!$E$6),D650=""),"",IF(C650="öngól","ö"&amp;G641&amp;D650,D641&amp;D650))</f>
        <v/>
      </c>
      <c r="AR650" s="326" t="str">
        <f>IF(OR(NOT(Góllista!$E$6),G650=""),"",IF(H650="öngól","ö"&amp;D641&amp;G650,G641&amp;G650))</f>
        <v/>
      </c>
      <c r="AS650" s="326" t="str">
        <f>IF(OR(NOT(Góllista!$E$6),K650=""),"",IF(J650="öngól","ö"&amp;N641&amp;K650,K641&amp;K650))</f>
        <v/>
      </c>
      <c r="AT650" s="326" t="str">
        <f>IF(OR(NOT(Góllista!$E$6),N650=""),"",IF(O650="öngól","ö"&amp;K641&amp;N650,N641&amp;N650))</f>
        <v/>
      </c>
      <c r="AY650" s="323"/>
      <c r="BA650" s="323"/>
      <c r="BC650" s="323"/>
      <c r="BE650" s="323"/>
      <c r="BG650" s="323"/>
      <c r="BI650" s="323"/>
      <c r="BK650" s="323"/>
      <c r="BM650" s="323"/>
      <c r="BO650" s="323"/>
      <c r="BQ650" s="323"/>
      <c r="BS650" s="323"/>
      <c r="BU650" s="323"/>
      <c r="BW650" s="323"/>
      <c r="BY650" s="323"/>
      <c r="CA650" s="323"/>
      <c r="CC650" s="323"/>
      <c r="CE650" s="323"/>
      <c r="CG650" s="323"/>
      <c r="CI650" s="323"/>
      <c r="CK650" s="323"/>
      <c r="CM650" s="323"/>
      <c r="CO650" s="323"/>
      <c r="CQ650" s="323"/>
      <c r="CS650" s="323"/>
      <c r="CU650" s="323"/>
      <c r="CW650" s="323"/>
      <c r="CY650" s="323"/>
      <c r="DA650" s="323"/>
      <c r="DC650" s="323"/>
      <c r="DE650" s="323"/>
      <c r="DG650" s="323"/>
      <c r="DI650" s="323"/>
    </row>
    <row r="651" spans="1:115" ht="12" customHeight="1" x14ac:dyDescent="0.3">
      <c r="A651" s="765"/>
      <c r="C651" s="768"/>
      <c r="D651" s="768"/>
      <c r="E651" s="768"/>
      <c r="F651" s="768"/>
      <c r="G651" s="768"/>
      <c r="H651" s="768"/>
      <c r="I651" s="15"/>
      <c r="J651" s="15"/>
      <c r="K651" s="15"/>
      <c r="L651" s="15"/>
      <c r="M651" s="15"/>
      <c r="N651" s="15"/>
      <c r="O651" s="15"/>
      <c r="AY651" s="323"/>
      <c r="BA651" s="323"/>
      <c r="BC651" s="323"/>
      <c r="BE651" s="323"/>
      <c r="BG651" s="323"/>
      <c r="BI651" s="323"/>
      <c r="BK651" s="323"/>
      <c r="BM651" s="323"/>
      <c r="BO651" s="323"/>
      <c r="BQ651" s="323"/>
      <c r="BS651" s="323"/>
      <c r="BU651" s="323"/>
      <c r="BW651" s="323"/>
      <c r="BY651" s="323"/>
      <c r="CA651" s="323"/>
      <c r="CC651" s="323"/>
      <c r="CE651" s="323"/>
      <c r="CG651" s="323"/>
      <c r="CI651" s="323"/>
      <c r="CK651" s="323"/>
      <c r="CM651" s="323"/>
      <c r="CO651" s="323"/>
      <c r="CQ651" s="323"/>
      <c r="CS651" s="323"/>
      <c r="CU651" s="323"/>
      <c r="CW651" s="323"/>
      <c r="CY651" s="323"/>
      <c r="DA651" s="323"/>
      <c r="DC651" s="323"/>
      <c r="DE651" s="323"/>
      <c r="DG651" s="323"/>
      <c r="DI651" s="323"/>
    </row>
    <row r="652" spans="1:115" ht="12" hidden="1" customHeight="1" x14ac:dyDescent="0.3">
      <c r="A652" s="765"/>
      <c r="C652" s="767"/>
      <c r="D652" s="767"/>
      <c r="E652" s="767"/>
      <c r="F652" s="767"/>
      <c r="G652" s="767"/>
      <c r="H652" s="767"/>
      <c r="I652" s="15"/>
      <c r="J652" s="15"/>
      <c r="K652" s="15"/>
      <c r="L652" s="15"/>
      <c r="M652" s="15"/>
      <c r="N652" s="15"/>
      <c r="O652" s="15"/>
      <c r="AY652" s="323"/>
      <c r="BA652" s="323"/>
      <c r="BC652" s="323"/>
      <c r="BE652" s="323"/>
      <c r="BG652" s="323"/>
      <c r="BI652" s="323"/>
      <c r="BK652" s="323"/>
      <c r="BM652" s="323"/>
      <c r="BO652" s="323"/>
      <c r="BQ652" s="323"/>
      <c r="BS652" s="323"/>
      <c r="BU652" s="323"/>
      <c r="BW652" s="323"/>
      <c r="BY652" s="323"/>
      <c r="CA652" s="323"/>
      <c r="CC652" s="323"/>
      <c r="CE652" s="323"/>
      <c r="CG652" s="323"/>
      <c r="CI652" s="323"/>
      <c r="CK652" s="323"/>
      <c r="CM652" s="323"/>
      <c r="CO652" s="323"/>
      <c r="CQ652" s="323"/>
      <c r="CS652" s="323"/>
      <c r="CU652" s="323"/>
      <c r="CW652" s="323"/>
      <c r="CY652" s="323"/>
      <c r="DA652" s="323"/>
      <c r="DC652" s="323"/>
      <c r="DE652" s="323"/>
      <c r="DG652" s="323"/>
      <c r="DI652" s="323"/>
    </row>
    <row r="653" spans="1:115" ht="12" hidden="1" customHeight="1" x14ac:dyDescent="0.3">
      <c r="A653" s="765"/>
      <c r="C653" s="767"/>
      <c r="D653" s="767"/>
      <c r="E653" s="767"/>
      <c r="F653" s="767"/>
      <c r="G653" s="767"/>
      <c r="H653" s="767"/>
      <c r="I653" s="15"/>
      <c r="J653" s="15"/>
      <c r="K653" s="15"/>
      <c r="L653" s="15"/>
      <c r="M653" s="15"/>
      <c r="N653" s="15"/>
      <c r="O653" s="15"/>
      <c r="AY653" s="323"/>
      <c r="BA653" s="323"/>
      <c r="BC653" s="323"/>
      <c r="BE653" s="323"/>
      <c r="BG653" s="323"/>
      <c r="BI653" s="323"/>
      <c r="BK653" s="323"/>
      <c r="BM653" s="323"/>
      <c r="BO653" s="323"/>
      <c r="BQ653" s="323"/>
      <c r="BS653" s="323"/>
      <c r="BU653" s="323"/>
      <c r="BW653" s="323"/>
      <c r="BY653" s="323"/>
      <c r="CA653" s="323"/>
      <c r="CC653" s="323"/>
      <c r="CE653" s="323"/>
      <c r="CG653" s="323"/>
      <c r="CI653" s="323"/>
      <c r="CK653" s="323"/>
      <c r="CM653" s="323"/>
      <c r="CO653" s="323"/>
      <c r="CQ653" s="323"/>
      <c r="CS653" s="323"/>
      <c r="CU653" s="323"/>
      <c r="CW653" s="323"/>
      <c r="CY653" s="323"/>
      <c r="DA653" s="323"/>
      <c r="DC653" s="323"/>
      <c r="DE653" s="323"/>
      <c r="DG653" s="323"/>
      <c r="DI653" s="323"/>
    </row>
    <row r="654" spans="1:115" ht="3.75" customHeight="1" x14ac:dyDescent="0.3">
      <c r="A654" s="765"/>
      <c r="I654" s="15"/>
      <c r="J654" s="15"/>
      <c r="K654" s="15"/>
      <c r="L654" s="15"/>
      <c r="M654" s="15"/>
      <c r="N654" s="15"/>
      <c r="O654" s="15"/>
      <c r="AH654" s="494"/>
      <c r="AY654" s="323"/>
      <c r="BA654" s="323"/>
      <c r="BC654" s="323"/>
      <c r="BE654" s="323"/>
      <c r="BG654" s="323"/>
      <c r="BI654" s="323"/>
      <c r="BK654" s="323"/>
      <c r="BM654" s="323"/>
      <c r="BO654" s="323"/>
      <c r="BQ654" s="323"/>
      <c r="BS654" s="323"/>
      <c r="BU654" s="323"/>
      <c r="BW654" s="323"/>
      <c r="BY654" s="323"/>
      <c r="CA654" s="323"/>
      <c r="CC654" s="323"/>
      <c r="CE654" s="323"/>
      <c r="CG654" s="323"/>
      <c r="CI654" s="323"/>
      <c r="CK654" s="323"/>
      <c r="CM654" s="323"/>
      <c r="CO654" s="323"/>
      <c r="CQ654" s="323"/>
      <c r="CS654" s="323"/>
      <c r="CU654" s="323"/>
      <c r="CW654" s="323"/>
      <c r="CY654" s="323"/>
      <c r="DA654" s="323"/>
      <c r="DC654" s="323"/>
      <c r="DE654" s="323"/>
      <c r="DG654" s="323"/>
      <c r="DI654" s="323"/>
    </row>
    <row r="655" spans="1:115" ht="11.25" customHeight="1" x14ac:dyDescent="0.3">
      <c r="A655" s="765"/>
      <c r="B655" s="15"/>
      <c r="D655" s="235"/>
      <c r="E655" s="722" t="str">
        <f>IF(W655,"  BÜNTETŐK:","  BÜNTETŐK:  –")</f>
        <v xml:space="preserve">  BÜNTETŐK:  –</v>
      </c>
      <c r="F655" s="235"/>
      <c r="G655" s="235"/>
      <c r="H655" s="235"/>
      <c r="I655" s="15"/>
      <c r="J655" s="15"/>
      <c r="K655" s="15"/>
      <c r="L655" s="15"/>
      <c r="M655" s="15"/>
      <c r="N655" s="15"/>
      <c r="O655" s="15"/>
      <c r="V655" s="487" t="s">
        <v>712</v>
      </c>
      <c r="W655" s="489" t="b">
        <f>INDEX(n.er,W643,14)</f>
        <v>0</v>
      </c>
      <c r="Y655" s="489" t="e">
        <f>INDEX(n.er,Y643,14)</f>
        <v>#N/A</v>
      </c>
      <c r="AF655" s="325"/>
      <c r="AQ655" s="323"/>
      <c r="AR655" s="323"/>
      <c r="AS655" s="323"/>
      <c r="AT655" s="323"/>
      <c r="AW655" s="485"/>
      <c r="AY655" s="323"/>
      <c r="BA655" s="323"/>
      <c r="BC655" s="323"/>
      <c r="BE655" s="323"/>
      <c r="BG655" s="323"/>
      <c r="BI655" s="323"/>
      <c r="BK655" s="323"/>
      <c r="BM655" s="323"/>
      <c r="BO655" s="323"/>
      <c r="BQ655" s="323"/>
      <c r="BS655" s="323"/>
      <c r="BU655" s="323"/>
      <c r="BW655" s="323"/>
      <c r="BY655" s="323"/>
      <c r="CA655" s="323"/>
      <c r="CC655" s="323"/>
      <c r="CE655" s="323"/>
      <c r="CG655" s="323"/>
      <c r="CI655" s="323"/>
      <c r="CK655" s="323"/>
      <c r="CM655" s="323"/>
      <c r="CO655" s="323"/>
      <c r="CQ655" s="323"/>
      <c r="CS655" s="323"/>
      <c r="CU655" s="323"/>
      <c r="CW655" s="323"/>
      <c r="CY655" s="323"/>
      <c r="DA655" s="323"/>
      <c r="DC655" s="323"/>
      <c r="DE655" s="323"/>
      <c r="DG655" s="323"/>
      <c r="DI655" s="323"/>
      <c r="DJ655" s="485"/>
    </row>
    <row r="656" spans="1:115" ht="11.25" customHeight="1" x14ac:dyDescent="0.3">
      <c r="A656" s="765"/>
      <c r="C656" s="241" t="str">
        <f>IF(W657=0,"",IF(W657&gt;0,CONCATENATE("még ",W657," büntető"),CONCATENATE("túl sok (",W657," büntető)")))</f>
        <v/>
      </c>
      <c r="D656" s="237" t="str">
        <f>IF(W655,W649,"")</f>
        <v/>
      </c>
      <c r="E656" s="239" t="str">
        <f>IF(W655,W656,"")</f>
        <v/>
      </c>
      <c r="F656" s="240" t="str">
        <f>IF(W655,X656,"")</f>
        <v/>
      </c>
      <c r="G656" s="238" t="str">
        <f>IF(W655,X649,"")</f>
        <v/>
      </c>
      <c r="H656" s="241" t="str">
        <f>IF(X657=0,"",IF(X657&gt;0,CONCATENATE("még ",X657," büntető"),CONCATENATE("túl sok (",X657," büntető)")))</f>
        <v/>
      </c>
      <c r="I656" s="15"/>
      <c r="J656" s="15"/>
      <c r="K656" s="15"/>
      <c r="L656" s="15"/>
      <c r="M656" s="15"/>
      <c r="N656" s="15"/>
      <c r="O656" s="15"/>
      <c r="V656" s="487" t="s">
        <v>709</v>
      </c>
      <c r="W656" s="492" t="str">
        <f>IF(NOT(W655),"",INDEX(n.er,W643,17))</f>
        <v/>
      </c>
      <c r="X656" s="493" t="str">
        <f>IF(NOT(W655),"",INDEX(n.er,W643,18))</f>
        <v/>
      </c>
      <c r="Y656" s="492" t="e">
        <f>IF(NOT(Y655),"",INDEX(n.er,Y643,17))</f>
        <v>#N/A</v>
      </c>
      <c r="Z656" s="493" t="e">
        <f>IF(NOT(Y655),"",INDEX(n.er,Y643,18))</f>
        <v>#N/A</v>
      </c>
      <c r="AF656" s="325"/>
      <c r="AH656" s="494"/>
      <c r="AQ656" s="323"/>
      <c r="AR656" s="323"/>
      <c r="AS656" s="323"/>
      <c r="AT656" s="323"/>
      <c r="AW656" s="485"/>
      <c r="AY656" s="323"/>
      <c r="BA656" s="323"/>
      <c r="BC656" s="323"/>
      <c r="BE656" s="323"/>
      <c r="BG656" s="323"/>
      <c r="BI656" s="323"/>
      <c r="BK656" s="323"/>
      <c r="BM656" s="323"/>
      <c r="BO656" s="323"/>
      <c r="BQ656" s="323"/>
      <c r="BS656" s="323"/>
      <c r="BU656" s="323"/>
      <c r="BW656" s="323"/>
      <c r="BY656" s="323"/>
      <c r="CA656" s="323"/>
      <c r="CC656" s="323"/>
      <c r="CE656" s="323"/>
      <c r="CG656" s="323"/>
      <c r="CI656" s="323"/>
      <c r="CK656" s="323"/>
      <c r="CM656" s="323"/>
      <c r="CO656" s="323"/>
      <c r="CQ656" s="323"/>
      <c r="CS656" s="323"/>
      <c r="CU656" s="323"/>
      <c r="CW656" s="323"/>
      <c r="CY656" s="323"/>
      <c r="DA656" s="323"/>
      <c r="DC656" s="323"/>
      <c r="DE656" s="323"/>
      <c r="DG656" s="323"/>
      <c r="DI656" s="323"/>
    </row>
    <row r="657" spans="1:114" ht="11.25" customHeight="1" x14ac:dyDescent="0.3">
      <c r="A657" s="765"/>
      <c r="C657" s="236"/>
      <c r="D657" s="220"/>
      <c r="E657" s="515"/>
      <c r="F657" s="516"/>
      <c r="G657" s="223"/>
      <c r="H657" s="236"/>
      <c r="I657" s="15"/>
      <c r="J657" s="15"/>
      <c r="K657" s="15"/>
      <c r="L657" s="15"/>
      <c r="M657" s="15"/>
      <c r="N657" s="15"/>
      <c r="O657" s="15"/>
      <c r="V657" s="485" t="s">
        <v>707</v>
      </c>
      <c r="W657" s="327">
        <f>IF(W656="",0,E656-COUNTIF(E657:E670,"O"))</f>
        <v>0</v>
      </c>
      <c r="X657" s="327">
        <f>IF(X656="",0,F656-COUNTIF(F657:F670,"O"))</f>
        <v>0</v>
      </c>
      <c r="Y657" s="327" t="e">
        <f>IF(Y656="",0,L656-COUNTIF(L657:L672,"O"))</f>
        <v>#N/A</v>
      </c>
      <c r="Z657" s="327" t="e">
        <f>IF(Z656="",0,M656-COUNTIF(M657:M672,"O"))</f>
        <v>#N/A</v>
      </c>
      <c r="AB657" s="52" t="str">
        <f>IF(NOT(W655),"",HLOOKUP(D656,nevek.li,2,FALSE))</f>
        <v/>
      </c>
      <c r="AC657" s="52" t="str">
        <f>IF(NOT(W655),"",HLOOKUP(G656,nevek.li,2,FALSE))</f>
        <v/>
      </c>
      <c r="AD657" s="52" t="e">
        <f>IF(NOT(Y655),"",HLOOKUP(K656,nevek.li,2,FALSE))</f>
        <v>#N/A</v>
      </c>
      <c r="AE657" s="52" t="e">
        <f>IF(NOT(Y655),"",HLOOKUP(N656,nevek.li,2,FALSE))</f>
        <v>#N/A</v>
      </c>
      <c r="AF657" s="325"/>
      <c r="AG657" s="485">
        <v>1</v>
      </c>
      <c r="AH657" s="488" t="b">
        <f ca="1">IF(OR(NOT(W655),NOT(X645)),FALSE,D657="")</f>
        <v>0</v>
      </c>
      <c r="AI657" s="488" t="b">
        <f ca="1">IF(OR(NOT(W655),NOT(X645)),FALSE,E657="")</f>
        <v>0</v>
      </c>
      <c r="AJ657" s="488" t="b">
        <f ca="1">IF(OR(NOT(W655),NOT(X645)),FALSE,F657="")</f>
        <v>0</v>
      </c>
      <c r="AK657" s="488" t="b">
        <f ca="1">IF(OR(NOT(W655),NOT(X645)),FALSE,G657="")</f>
        <v>0</v>
      </c>
      <c r="AL657" s="488" t="e">
        <f ca="1">IF(OR(NOT(Y655),NOT(Z645)),FALSE,K657="")</f>
        <v>#N/A</v>
      </c>
      <c r="AM657" s="488" t="e">
        <f ca="1">IF(OR(NOT(Y655),NOT(Z645)),FALSE,L657="")</f>
        <v>#N/A</v>
      </c>
      <c r="AN657" s="488" t="e">
        <f ca="1">IF(OR(NOT(Y655),NOT(Z645)),FALSE,M657="")</f>
        <v>#N/A</v>
      </c>
      <c r="AO657" s="488" t="e">
        <f ca="1">IF(OR(NOT(Y655),NOT(Z645)),FALSE,N657="")</f>
        <v>#N/A</v>
      </c>
      <c r="AS657" s="323"/>
      <c r="AT657" s="323"/>
      <c r="AY657" s="323"/>
      <c r="BA657" s="323"/>
      <c r="BC657" s="323"/>
      <c r="BE657" s="323"/>
      <c r="BG657" s="323"/>
      <c r="BI657" s="323"/>
      <c r="BK657" s="323"/>
      <c r="BM657" s="323"/>
      <c r="BO657" s="323"/>
      <c r="BQ657" s="323"/>
      <c r="BS657" s="323"/>
      <c r="BU657" s="323"/>
      <c r="BW657" s="323"/>
      <c r="BY657" s="323"/>
      <c r="CA657" s="323"/>
      <c r="CC657" s="323"/>
      <c r="CE657" s="323"/>
      <c r="CG657" s="323"/>
      <c r="CI657" s="323"/>
      <c r="CK657" s="323"/>
      <c r="CM657" s="323"/>
      <c r="CO657" s="323"/>
      <c r="CQ657" s="323"/>
      <c r="CS657" s="323"/>
      <c r="CU657" s="323"/>
      <c r="CW657" s="323"/>
      <c r="CY657" s="323"/>
      <c r="DA657" s="323"/>
      <c r="DC657" s="323"/>
      <c r="DE657" s="323"/>
      <c r="DG657" s="323"/>
      <c r="DI657" s="323"/>
      <c r="DJ657" s="485"/>
    </row>
    <row r="658" spans="1:114" ht="11.25" customHeight="1" x14ac:dyDescent="0.3">
      <c r="A658" s="765"/>
      <c r="C658" s="219"/>
      <c r="D658" s="220"/>
      <c r="E658" s="517"/>
      <c r="F658" s="516"/>
      <c r="G658" s="223"/>
      <c r="H658" s="219"/>
      <c r="I658" s="15"/>
      <c r="J658" s="15"/>
      <c r="K658" s="15"/>
      <c r="L658" s="15"/>
      <c r="M658" s="15"/>
      <c r="N658" s="15"/>
      <c r="O658" s="15"/>
      <c r="AB658" s="327" t="str">
        <f>AB657</f>
        <v/>
      </c>
      <c r="AC658" s="327" t="str">
        <f>AC657</f>
        <v/>
      </c>
      <c r="AD658" s="327" t="e">
        <f>AD657</f>
        <v>#N/A</v>
      </c>
      <c r="AE658" s="327" t="e">
        <f>AE657</f>
        <v>#N/A</v>
      </c>
      <c r="AF658" s="325"/>
      <c r="AG658" s="485">
        <v>2</v>
      </c>
      <c r="AH658" s="488" t="b">
        <f ca="1">IF(OR(NOT(W655),NOT(X645)),FALSE,D658="")</f>
        <v>0</v>
      </c>
      <c r="AI658" s="488" t="b">
        <f ca="1">IF(OR(NOT(W655),NOT(X645)),FALSE,E658="")</f>
        <v>0</v>
      </c>
      <c r="AJ658" s="488" t="b">
        <f ca="1">IF(OR(NOT(W655),NOT(X645)),FALSE,F658="")</f>
        <v>0</v>
      </c>
      <c r="AK658" s="488" t="b">
        <f ca="1">IF(OR(NOT(W655),NOT(X645)),FALSE,G658="")</f>
        <v>0</v>
      </c>
      <c r="AL658" s="488" t="e">
        <f ca="1">IF(OR(NOT(Y655),NOT(Z645)),FALSE,K658="")</f>
        <v>#N/A</v>
      </c>
      <c r="AM658" s="488" t="e">
        <f ca="1">IF(OR(NOT(Y655),NOT(Z645)),FALSE,L658="")</f>
        <v>#N/A</v>
      </c>
      <c r="AN658" s="488" t="e">
        <f ca="1">IF(OR(NOT(Y655),NOT(Z645)),FALSE,M658="")</f>
        <v>#N/A</v>
      </c>
      <c r="AO658" s="488" t="e">
        <f ca="1">IF(OR(NOT(Y655),NOT(Z645)),FALSE,N658="")</f>
        <v>#N/A</v>
      </c>
      <c r="AS658" s="323"/>
      <c r="AT658" s="323"/>
      <c r="AW658" s="485"/>
      <c r="AY658" s="323"/>
      <c r="BA658" s="323"/>
      <c r="BC658" s="323"/>
      <c r="BE658" s="323"/>
      <c r="BG658" s="323"/>
      <c r="BI658" s="323"/>
      <c r="BK658" s="323"/>
      <c r="BM658" s="323"/>
      <c r="BO658" s="323"/>
      <c r="BQ658" s="323"/>
      <c r="BS658" s="323"/>
      <c r="BU658" s="323"/>
      <c r="BW658" s="323"/>
      <c r="BY658" s="323"/>
      <c r="CA658" s="323"/>
      <c r="CC658" s="323"/>
      <c r="CE658" s="323"/>
      <c r="CG658" s="323"/>
      <c r="CI658" s="323"/>
      <c r="CK658" s="323"/>
      <c r="CM658" s="323"/>
      <c r="CO658" s="323"/>
      <c r="CQ658" s="323"/>
      <c r="CS658" s="323"/>
      <c r="CU658" s="323"/>
      <c r="CW658" s="323"/>
      <c r="CY658" s="323"/>
      <c r="DA658" s="323"/>
      <c r="DC658" s="323"/>
      <c r="DE658" s="323"/>
      <c r="DG658" s="323"/>
      <c r="DI658" s="323"/>
      <c r="DJ658" s="485"/>
    </row>
    <row r="659" spans="1:114" ht="11.25" customHeight="1" x14ac:dyDescent="0.3">
      <c r="A659" s="765"/>
      <c r="C659" s="219"/>
      <c r="D659" s="220"/>
      <c r="E659" s="517"/>
      <c r="F659" s="516"/>
      <c r="G659" s="223"/>
      <c r="H659" s="219"/>
      <c r="I659" s="15"/>
      <c r="J659" s="15"/>
      <c r="K659" s="15"/>
      <c r="L659" s="15"/>
      <c r="M659" s="15"/>
      <c r="N659" s="15"/>
      <c r="O659" s="15"/>
      <c r="AB659" s="327" t="str">
        <f t="shared" ref="AB659:AB670" si="132">AB658</f>
        <v/>
      </c>
      <c r="AC659" s="327" t="str">
        <f t="shared" ref="AC659:AC670" si="133">AC658</f>
        <v/>
      </c>
      <c r="AD659" s="327" t="e">
        <f t="shared" ref="AD659:AD670" si="134">AD658</f>
        <v>#N/A</v>
      </c>
      <c r="AE659" s="327" t="e">
        <f t="shared" ref="AE659:AE670" si="135">AE658</f>
        <v>#N/A</v>
      </c>
      <c r="AF659" s="325"/>
      <c r="AG659" s="485">
        <v>3</v>
      </c>
      <c r="AH659" s="488" t="b">
        <f ca="1">IF(OR(NOT(W655),NOT(X645)),FALSE,D659="")</f>
        <v>0</v>
      </c>
      <c r="AI659" s="488" t="b">
        <f ca="1">IF(OR(NOT(W655),NOT(X645)),FALSE,E659="")</f>
        <v>0</v>
      </c>
      <c r="AJ659" s="488" t="b">
        <f ca="1">IF(OR(NOT(W655),NOT(X645)),FALSE,F659="")</f>
        <v>0</v>
      </c>
      <c r="AK659" s="488" t="b">
        <f ca="1">IF(OR(NOT(W655),NOT(X645)),FALSE,G659="")</f>
        <v>0</v>
      </c>
      <c r="AL659" s="488" t="e">
        <f ca="1">IF(OR(NOT(Y655),NOT(Z645)),FALSE,K659="")</f>
        <v>#N/A</v>
      </c>
      <c r="AM659" s="488" t="e">
        <f ca="1">IF(OR(NOT(Y655),NOT(Z645)),FALSE,L659="")</f>
        <v>#N/A</v>
      </c>
      <c r="AN659" s="488" t="e">
        <f ca="1">IF(OR(NOT(Y655),NOT(Z645)),FALSE,M659="")</f>
        <v>#N/A</v>
      </c>
      <c r="AO659" s="488" t="e">
        <f ca="1">IF(OR(NOT(Y655),NOT(Z645)),FALSE,N659="")</f>
        <v>#N/A</v>
      </c>
      <c r="AS659" s="323"/>
      <c r="AT659" s="323"/>
      <c r="AW659" s="485"/>
      <c r="AY659" s="323"/>
      <c r="BA659" s="323"/>
      <c r="BC659" s="323"/>
      <c r="BE659" s="323"/>
      <c r="BG659" s="323"/>
      <c r="BI659" s="323"/>
      <c r="BK659" s="323"/>
      <c r="BM659" s="323"/>
      <c r="BO659" s="323"/>
      <c r="BQ659" s="323"/>
      <c r="BS659" s="323"/>
      <c r="BU659" s="323"/>
      <c r="BW659" s="323"/>
      <c r="BY659" s="323"/>
      <c r="CA659" s="323"/>
      <c r="CC659" s="323"/>
      <c r="CE659" s="323"/>
      <c r="CG659" s="323"/>
      <c r="CI659" s="323"/>
      <c r="CK659" s="323"/>
      <c r="CM659" s="323"/>
      <c r="CO659" s="323"/>
      <c r="CQ659" s="323"/>
      <c r="CS659" s="323"/>
      <c r="CU659" s="323"/>
      <c r="CW659" s="323"/>
      <c r="CY659" s="323"/>
      <c r="DA659" s="323"/>
      <c r="DC659" s="323"/>
      <c r="DE659" s="323"/>
      <c r="DG659" s="323"/>
      <c r="DI659" s="323"/>
      <c r="DJ659" s="485"/>
    </row>
    <row r="660" spans="1:114" ht="11.25" customHeight="1" x14ac:dyDescent="0.3">
      <c r="A660" s="765"/>
      <c r="C660" s="219"/>
      <c r="D660" s="220"/>
      <c r="E660" s="517"/>
      <c r="F660" s="516"/>
      <c r="G660" s="223"/>
      <c r="H660" s="219"/>
      <c r="I660" s="15"/>
      <c r="J660" s="15"/>
      <c r="K660" s="15"/>
      <c r="L660" s="15"/>
      <c r="M660" s="15"/>
      <c r="N660" s="15"/>
      <c r="O660" s="15"/>
      <c r="AB660" s="327" t="str">
        <f t="shared" si="132"/>
        <v/>
      </c>
      <c r="AC660" s="327" t="str">
        <f t="shared" si="133"/>
        <v/>
      </c>
      <c r="AD660" s="327" t="e">
        <f t="shared" si="134"/>
        <v>#N/A</v>
      </c>
      <c r="AE660" s="327" t="e">
        <f t="shared" si="135"/>
        <v>#N/A</v>
      </c>
      <c r="AF660" s="325"/>
      <c r="AG660" s="485">
        <v>4</v>
      </c>
      <c r="AH660" s="488" t="b">
        <f ca="1">IF(OR(NOT(W655),NOT(X645)),FALSE,D660="")</f>
        <v>0</v>
      </c>
      <c r="AI660" s="488" t="b">
        <f ca="1">IF(OR(NOT(W655),NOT(X645)),FALSE,E660="")</f>
        <v>0</v>
      </c>
      <c r="AJ660" s="488" t="b">
        <f ca="1">IF(OR(NOT(W655),NOT(X645)),FALSE,F660="")</f>
        <v>0</v>
      </c>
      <c r="AK660" s="488" t="b">
        <f ca="1">IF(OR(NOT(W655),NOT(X645)),FALSE,G660="")</f>
        <v>0</v>
      </c>
      <c r="AL660" s="488" t="e">
        <f ca="1">IF(OR(NOT(Y655),NOT(Z645)),FALSE,K660="")</f>
        <v>#N/A</v>
      </c>
      <c r="AM660" s="488" t="e">
        <f ca="1">IF(OR(NOT(Y655),NOT(Z645)),FALSE,L660="")</f>
        <v>#N/A</v>
      </c>
      <c r="AN660" s="488" t="e">
        <f ca="1">IF(OR(NOT(Y655),NOT(Z645)),FALSE,M660="")</f>
        <v>#N/A</v>
      </c>
      <c r="AO660" s="488" t="e">
        <f ca="1">IF(OR(NOT(Y655),NOT(Z645)),FALSE,N660="")</f>
        <v>#N/A</v>
      </c>
      <c r="AS660" s="323"/>
      <c r="AT660" s="323"/>
      <c r="AW660" s="485"/>
      <c r="AY660" s="323"/>
      <c r="BA660" s="323"/>
      <c r="BC660" s="323"/>
      <c r="BE660" s="323"/>
      <c r="BG660" s="323"/>
      <c r="BI660" s="323"/>
      <c r="BK660" s="323"/>
      <c r="BM660" s="323"/>
      <c r="BO660" s="323"/>
      <c r="BQ660" s="323"/>
      <c r="BS660" s="323"/>
      <c r="BU660" s="323"/>
      <c r="BW660" s="323"/>
      <c r="BY660" s="323"/>
      <c r="CA660" s="323"/>
      <c r="CC660" s="323"/>
      <c r="CE660" s="323"/>
      <c r="CG660" s="323"/>
      <c r="CI660" s="323"/>
      <c r="CK660" s="323"/>
      <c r="CM660" s="323"/>
      <c r="CO660" s="323"/>
      <c r="CQ660" s="323"/>
      <c r="CS660" s="323"/>
      <c r="CU660" s="323"/>
      <c r="CW660" s="323"/>
      <c r="CY660" s="323"/>
      <c r="DA660" s="323"/>
      <c r="DC660" s="323"/>
      <c r="DE660" s="323"/>
      <c r="DG660" s="323"/>
      <c r="DI660" s="323"/>
      <c r="DJ660" s="485"/>
    </row>
    <row r="661" spans="1:114" ht="11.25" customHeight="1" x14ac:dyDescent="0.3">
      <c r="A661" s="765"/>
      <c r="C661" s="219"/>
      <c r="D661" s="220"/>
      <c r="E661" s="517"/>
      <c r="F661" s="516"/>
      <c r="G661" s="223"/>
      <c r="H661" s="219"/>
      <c r="I661" s="15"/>
      <c r="J661" s="15"/>
      <c r="K661" s="15"/>
      <c r="L661" s="15"/>
      <c r="M661" s="15"/>
      <c r="N661" s="15"/>
      <c r="O661" s="15"/>
      <c r="AB661" s="327" t="str">
        <f t="shared" si="132"/>
        <v/>
      </c>
      <c r="AC661" s="327" t="str">
        <f t="shared" si="133"/>
        <v/>
      </c>
      <c r="AD661" s="327" t="e">
        <f t="shared" si="134"/>
        <v>#N/A</v>
      </c>
      <c r="AE661" s="327" t="e">
        <f t="shared" si="135"/>
        <v>#N/A</v>
      </c>
      <c r="AF661" s="325"/>
      <c r="AG661" s="495">
        <v>5</v>
      </c>
      <c r="AH661" s="488" t="b">
        <f ca="1">IF(OR(NOT(W655),NOT(X645)),FALSE,D661="")</f>
        <v>0</v>
      </c>
      <c r="AI661" s="488" t="b">
        <f ca="1">IF(OR(NOT(W655),NOT(X645)),FALSE,E661="")</f>
        <v>0</v>
      </c>
      <c r="AJ661" s="488" t="b">
        <f ca="1">IF(OR(NOT(W655),NOT(X645)),FALSE,F661="")</f>
        <v>0</v>
      </c>
      <c r="AK661" s="488" t="b">
        <f ca="1">IF(OR(NOT(W655),NOT(X645)),FALSE,G661="")</f>
        <v>0</v>
      </c>
      <c r="AL661" s="488" t="e">
        <f ca="1">IF(OR(NOT(Y655),NOT(Z645)),FALSE,K661="")</f>
        <v>#N/A</v>
      </c>
      <c r="AM661" s="488" t="e">
        <f ca="1">IF(OR(NOT(Y655),NOT(Z645)),FALSE,L661="")</f>
        <v>#N/A</v>
      </c>
      <c r="AN661" s="488" t="e">
        <f ca="1">IF(OR(NOT(Y655),NOT(Z645)),FALSE,M661="")</f>
        <v>#N/A</v>
      </c>
      <c r="AO661" s="488" t="e">
        <f ca="1">IF(OR(NOT(Y655),NOT(Z645)),FALSE,N661="")</f>
        <v>#N/A</v>
      </c>
      <c r="AP661" s="495"/>
      <c r="AS661" s="323"/>
      <c r="AT661" s="323"/>
      <c r="AW661" s="485"/>
      <c r="AY661" s="323"/>
      <c r="BA661" s="323"/>
      <c r="BC661" s="323"/>
      <c r="BE661" s="323"/>
      <c r="BG661" s="323"/>
      <c r="BI661" s="323"/>
      <c r="BK661" s="323"/>
      <c r="BM661" s="323"/>
      <c r="BO661" s="323"/>
      <c r="BQ661" s="323"/>
      <c r="BS661" s="323"/>
      <c r="BU661" s="323"/>
      <c r="BW661" s="323"/>
      <c r="BY661" s="323"/>
      <c r="CA661" s="323"/>
      <c r="CC661" s="323"/>
      <c r="CE661" s="323"/>
      <c r="CG661" s="323"/>
      <c r="CI661" s="323"/>
      <c r="CK661" s="323"/>
      <c r="CM661" s="323"/>
      <c r="CO661" s="323"/>
      <c r="CQ661" s="323"/>
      <c r="CS661" s="323"/>
      <c r="CU661" s="323"/>
      <c r="CW661" s="323"/>
      <c r="CY661" s="323"/>
      <c r="DA661" s="323"/>
      <c r="DC661" s="323"/>
      <c r="DE661" s="323"/>
      <c r="DG661" s="323"/>
      <c r="DI661" s="323"/>
      <c r="DJ661" s="485"/>
    </row>
    <row r="662" spans="1:114" ht="11.25" customHeight="1" x14ac:dyDescent="0.3">
      <c r="A662" s="765"/>
      <c r="C662" s="219"/>
      <c r="D662" s="220"/>
      <c r="E662" s="517"/>
      <c r="F662" s="516"/>
      <c r="G662" s="223"/>
      <c r="H662" s="219"/>
      <c r="I662" s="15"/>
      <c r="J662" s="15"/>
      <c r="K662" s="15"/>
      <c r="L662" s="15"/>
      <c r="M662" s="15"/>
      <c r="N662" s="15"/>
      <c r="O662" s="15"/>
      <c r="AB662" s="327" t="str">
        <f t="shared" si="132"/>
        <v/>
      </c>
      <c r="AC662" s="327" t="str">
        <f t="shared" si="133"/>
        <v/>
      </c>
      <c r="AD662" s="327" t="e">
        <f t="shared" si="134"/>
        <v>#N/A</v>
      </c>
      <c r="AE662" s="327" t="e">
        <f t="shared" si="135"/>
        <v>#N/A</v>
      </c>
      <c r="AF662" s="325"/>
      <c r="AG662" s="485">
        <v>6</v>
      </c>
      <c r="AH662" s="496" t="b">
        <f ca="1">IF(OR(NOT(W655),NOT(X645)),FALSE,AND(D662="",OR(AG662&lt;=W656+COUNTIF(E657:E662,$W$218),AG662&lt;=X656+COUNTIF(F657:F662,$W$218))))</f>
        <v>0</v>
      </c>
      <c r="AI662" s="496" t="b">
        <f ca="1">IF(OR(NOT(W655),NOT(X645)),FALSE,AND(E662="",OR(AG662&lt;=W656+COUNTIF(E657:E662,$W$218),AG662&lt;=X656+COUNTIF(F657:F662,$W$218))))</f>
        <v>0</v>
      </c>
      <c r="AJ662" s="496" t="b">
        <f ca="1">IF(OR(NOT(W655),NOT(X645)),FALSE,AND(F662="",OR(AG662&lt;=W656+COUNTIF(E657:E662,$W$218),AG662&lt;=X656+COUNTIF(F657:F662,$W$218))))</f>
        <v>0</v>
      </c>
      <c r="AK662" s="496" t="b">
        <f ca="1">IF(OR(NOT(W655),NOT(X645)),FALSE,AND(G662="",OR(AG662&lt;=W656+COUNTIF(E657:E662,$W$218),AG662&lt;=X656+COUNTIF(F657:F662,$W$218))))</f>
        <v>0</v>
      </c>
      <c r="AL662" s="496" t="e">
        <f ca="1">IF(OR(NOT(Y655),NOT(Z645)),FALSE,AND(K662="",OR(AG662&lt;=Y656+COUNTIF(L657:L662,$W$218),AG662&lt;=Z656+COUNTIF(M657:M662,$W$218))))</f>
        <v>#N/A</v>
      </c>
      <c r="AM662" s="496" t="e">
        <f ca="1">IF(OR(NOT(Y655),NOT(Z645)),FALSE,AND(L662="",OR(AG662&lt;=Y656+COUNTIF(L657:L662,$W$218),AG662&lt;=Z656+COUNTIF(M657:M662,$W$218))))</f>
        <v>#N/A</v>
      </c>
      <c r="AN662" s="496" t="e">
        <f ca="1">IF(OR(NOT(Y655),NOT(Z645)),FALSE,AND(M662="",OR(AG662&lt;=Y656+COUNTIF(L657:L662,$W$218),AG662&lt;=Z656+COUNTIF(M657:M662,$W$218))))</f>
        <v>#N/A</v>
      </c>
      <c r="AO662" s="496" t="e">
        <f ca="1">IF(OR(NOT(Y655),NOT(Z645)),FALSE,AND(N662="",OR(AG662&lt;=Y656+COUNTIF(L657:L662,$W$218),AG662&lt;=Z656+COUNTIF(M657:M662,$W$218))))</f>
        <v>#N/A</v>
      </c>
      <c r="AS662" s="323"/>
      <c r="AT662" s="323"/>
      <c r="AW662" s="485"/>
      <c r="AY662" s="323"/>
      <c r="BA662" s="323"/>
      <c r="BC662" s="323"/>
      <c r="BE662" s="323"/>
      <c r="BG662" s="323"/>
      <c r="BI662" s="323"/>
      <c r="BK662" s="323"/>
      <c r="BM662" s="323"/>
      <c r="BO662" s="323"/>
      <c r="BQ662" s="323"/>
      <c r="BS662" s="323"/>
      <c r="BU662" s="323"/>
      <c r="BW662" s="323"/>
      <c r="BY662" s="323"/>
      <c r="CA662" s="323"/>
      <c r="CC662" s="323"/>
      <c r="CE662" s="323"/>
      <c r="CG662" s="323"/>
      <c r="CI662" s="323"/>
      <c r="CK662" s="323"/>
      <c r="CM662" s="323"/>
      <c r="CO662" s="323"/>
      <c r="CQ662" s="323"/>
      <c r="CS662" s="323"/>
      <c r="CU662" s="323"/>
      <c r="CW662" s="323"/>
      <c r="CY662" s="323"/>
      <c r="DA662" s="323"/>
      <c r="DC662" s="323"/>
      <c r="DE662" s="323"/>
      <c r="DG662" s="323"/>
      <c r="DI662" s="323"/>
      <c r="DJ662" s="485"/>
    </row>
    <row r="663" spans="1:114" ht="11.25" customHeight="1" x14ac:dyDescent="0.3">
      <c r="A663" s="765"/>
      <c r="C663" s="219"/>
      <c r="D663" s="220"/>
      <c r="E663" s="517"/>
      <c r="F663" s="516"/>
      <c r="G663" s="223"/>
      <c r="H663" s="219"/>
      <c r="I663" s="15"/>
      <c r="J663" s="15"/>
      <c r="K663" s="15"/>
      <c r="L663" s="15"/>
      <c r="M663" s="15"/>
      <c r="N663" s="15"/>
      <c r="O663" s="15"/>
      <c r="AB663" s="327" t="str">
        <f t="shared" si="132"/>
        <v/>
      </c>
      <c r="AC663" s="327" t="str">
        <f t="shared" si="133"/>
        <v/>
      </c>
      <c r="AD663" s="327" t="e">
        <f t="shared" si="134"/>
        <v>#N/A</v>
      </c>
      <c r="AE663" s="327" t="e">
        <f t="shared" si="135"/>
        <v>#N/A</v>
      </c>
      <c r="AF663" s="325"/>
      <c r="AG663" s="485">
        <v>7</v>
      </c>
      <c r="AH663" s="496" t="b">
        <f ca="1">IF(OR(NOT(W655),NOT(X645)),FALSE,AND(D663="",OR(AG663&lt;=W656+COUNTIF(E657:E663,$W$218),AG663&lt;=X656+COUNTIF(F657:F663,$W$218))))</f>
        <v>0</v>
      </c>
      <c r="AI663" s="496" t="b">
        <f ca="1">IF(OR(NOT(W655),NOT(X645)),FALSE,AND(E663="",OR(AG663&lt;=W656+COUNTIF(E657:E663,$W$218),AG663&lt;=X656+COUNTIF(F657:F663,$W$218))))</f>
        <v>0</v>
      </c>
      <c r="AJ663" s="496" t="b">
        <f ca="1">IF(OR(NOT(W655),NOT(X645)),FALSE,AND(F663="",OR(AG663&lt;=W656+COUNTIF(E657:E663,$W$218),AG663&lt;=X656+COUNTIF(F657:F663,$W$218))))</f>
        <v>0</v>
      </c>
      <c r="AK663" s="496" t="b">
        <f ca="1">IF(OR(NOT(W655),NOT(X645)),FALSE,AND(G663="",OR(AG663&lt;=W656+COUNTIF(E657:E663,$W$218),AG663&lt;=X656+COUNTIF(F657:F663,$W$218))))</f>
        <v>0</v>
      </c>
      <c r="AL663" s="496" t="e">
        <f ca="1">IF(OR(NOT(Y655),NOT(Z645)),FALSE,AND(K663="",OR(AG663&lt;=Y656+COUNTIF(L657:L663,$W$218),AG663&lt;=Z656+COUNTIF(M657:M663,$W$218))))</f>
        <v>#N/A</v>
      </c>
      <c r="AM663" s="496" t="e">
        <f ca="1">IF(OR(NOT(Y655),NOT(Z645)),FALSE,AND(L663="",OR(AG663&lt;=Y656+COUNTIF(L657:L663,$W$218),AG663&lt;=Z656+COUNTIF(M657:M663,$W$218))))</f>
        <v>#N/A</v>
      </c>
      <c r="AN663" s="496" t="e">
        <f ca="1">IF(OR(NOT(Y655),NOT(Z645)),FALSE,AND(M663="",OR(AG663&lt;=Y656+COUNTIF(L657:L663,$W$218),AG663&lt;=Z656+COUNTIF(M657:M663,$W$218))))</f>
        <v>#N/A</v>
      </c>
      <c r="AO663" s="496" t="e">
        <f ca="1">IF(OR(NOT(Y655),NOT(Z645)),FALSE,AND(N663="",OR(AG663&lt;=Y656+COUNTIF(L657:L663,$W$218),AG663&lt;=Z656+COUNTIF(M657:M663,$W$218))))</f>
        <v>#N/A</v>
      </c>
      <c r="AS663" s="323"/>
      <c r="AT663" s="323"/>
      <c r="AW663" s="485"/>
      <c r="AY663" s="323"/>
      <c r="BA663" s="323"/>
      <c r="BC663" s="323"/>
      <c r="BE663" s="323"/>
      <c r="BG663" s="323"/>
      <c r="BI663" s="323"/>
      <c r="BK663" s="323"/>
      <c r="BM663" s="323"/>
      <c r="BO663" s="323"/>
      <c r="BQ663" s="323"/>
      <c r="BS663" s="323"/>
      <c r="BU663" s="323"/>
      <c r="BW663" s="323"/>
      <c r="BY663" s="323"/>
      <c r="CA663" s="323"/>
      <c r="CC663" s="323"/>
      <c r="CE663" s="323"/>
      <c r="CG663" s="323"/>
      <c r="CI663" s="323"/>
      <c r="CK663" s="323"/>
      <c r="CM663" s="323"/>
      <c r="CO663" s="323"/>
      <c r="CQ663" s="323"/>
      <c r="CS663" s="323"/>
      <c r="CU663" s="323"/>
      <c r="CW663" s="323"/>
      <c r="CY663" s="323"/>
      <c r="DA663" s="323"/>
      <c r="DC663" s="323"/>
      <c r="DE663" s="323"/>
      <c r="DG663" s="323"/>
      <c r="DI663" s="323"/>
      <c r="DJ663" s="485"/>
    </row>
    <row r="664" spans="1:114" ht="11.25" customHeight="1" x14ac:dyDescent="0.3">
      <c r="A664" s="765"/>
      <c r="C664" s="219"/>
      <c r="D664" s="220"/>
      <c r="E664" s="517"/>
      <c r="F664" s="516"/>
      <c r="G664" s="223"/>
      <c r="H664" s="219"/>
      <c r="I664" s="15"/>
      <c r="J664" s="15"/>
      <c r="K664" s="15"/>
      <c r="L664" s="15"/>
      <c r="M664" s="15"/>
      <c r="N664" s="15"/>
      <c r="O664" s="15"/>
      <c r="AB664" s="327" t="str">
        <f t="shared" si="132"/>
        <v/>
      </c>
      <c r="AC664" s="327" t="str">
        <f t="shared" si="133"/>
        <v/>
      </c>
      <c r="AD664" s="327" t="e">
        <f t="shared" si="134"/>
        <v>#N/A</v>
      </c>
      <c r="AE664" s="327" t="e">
        <f t="shared" si="135"/>
        <v>#N/A</v>
      </c>
      <c r="AF664" s="325"/>
      <c r="AG664" s="485">
        <v>8</v>
      </c>
      <c r="AH664" s="496" t="b">
        <f ca="1">IF(OR(NOT(W655),NOT(X645)),FALSE,AND(D664="",OR(AG664&lt;=W656+COUNTIF(E657:E664,$W$218),AG664&lt;=X656+COUNTIF(F657:F664,$W$218))))</f>
        <v>0</v>
      </c>
      <c r="AI664" s="496" t="b">
        <f ca="1">IF(OR(NOT(W655),NOT(X645)),FALSE,AND(E664="",OR(AG664&lt;=W656+COUNTIF(E657:E664,$W$218),AG664&lt;=X656+COUNTIF(F657:F664,$W$218))))</f>
        <v>0</v>
      </c>
      <c r="AJ664" s="496" t="b">
        <f ca="1">IF(OR(NOT(W655),NOT(X645)),FALSE,AND(F664="",OR(AG664&lt;=W656+COUNTIF(E657:E664,$W$218),AG664&lt;=X656+COUNTIF(F657:F664,$W$218))))</f>
        <v>0</v>
      </c>
      <c r="AK664" s="496" t="b">
        <f ca="1">IF(OR(NOT(W655),NOT(X645)),FALSE,AND(G664="",OR(AG664&lt;=W656+COUNTIF(E657:E664,$W$218),AG664&lt;=X656+COUNTIF(F657:F664,$W$218))))</f>
        <v>0</v>
      </c>
      <c r="AL664" s="496" t="e">
        <f ca="1">IF(OR(NOT(Y655),NOT(Z645)),FALSE,AND(K664="",OR(AG664&lt;=Y656+COUNTIF(L657:L664,$W$218),AG664&lt;=Z656+COUNTIF(M657:M664,$W$218))))</f>
        <v>#N/A</v>
      </c>
      <c r="AM664" s="496" t="e">
        <f ca="1">IF(OR(NOT(Y655),NOT(Z645)),FALSE,AND(L664="",OR(AG664&lt;=Y656+COUNTIF(L657:L664,$W$218),AG664&lt;=Z656+COUNTIF(M657:M664,$W$218))))</f>
        <v>#N/A</v>
      </c>
      <c r="AN664" s="496" t="e">
        <f ca="1">IF(OR(NOT(Y655),NOT(Z645)),FALSE,AND(M664="",OR(AG664&lt;=Y656+COUNTIF(L657:L664,$W$218),AG664&lt;=Z656+COUNTIF(M657:M664,$W$218))))</f>
        <v>#N/A</v>
      </c>
      <c r="AO664" s="496" t="e">
        <f ca="1">IF(OR(NOT(Y655),NOT(Z645)),FALSE,AND(N664="",OR(AG664&lt;=Y656+COUNTIF(L657:L664,$W$218),AG664&lt;=Z656+COUNTIF(M657:M664,$W$218))))</f>
        <v>#N/A</v>
      </c>
      <c r="AS664" s="323"/>
      <c r="AT664" s="323"/>
      <c r="AW664" s="485"/>
      <c r="AY664" s="323"/>
      <c r="BA664" s="323"/>
      <c r="BC664" s="323"/>
      <c r="BE664" s="323"/>
      <c r="BG664" s="323"/>
      <c r="BI664" s="323"/>
      <c r="BK664" s="323"/>
      <c r="BM664" s="323"/>
      <c r="BO664" s="323"/>
      <c r="BQ664" s="323"/>
      <c r="BS664" s="323"/>
      <c r="BU664" s="323"/>
      <c r="BW664" s="323"/>
      <c r="BY664" s="323"/>
      <c r="CA664" s="323"/>
      <c r="CC664" s="323"/>
      <c r="CE664" s="323"/>
      <c r="CG664" s="323"/>
      <c r="CI664" s="323"/>
      <c r="CK664" s="323"/>
      <c r="CM664" s="323"/>
      <c r="CO664" s="323"/>
      <c r="CQ664" s="323"/>
      <c r="CS664" s="323"/>
      <c r="CU664" s="323"/>
      <c r="CW664" s="323"/>
      <c r="CY664" s="323"/>
      <c r="DA664" s="323"/>
      <c r="DC664" s="323"/>
      <c r="DE664" s="323"/>
      <c r="DG664" s="323"/>
      <c r="DI664" s="323"/>
      <c r="DJ664" s="485"/>
    </row>
    <row r="665" spans="1:114" ht="11.25" customHeight="1" x14ac:dyDescent="0.3">
      <c r="A665" s="765"/>
      <c r="C665" s="219"/>
      <c r="D665" s="220"/>
      <c r="E665" s="517"/>
      <c r="F665" s="516"/>
      <c r="G665" s="223"/>
      <c r="H665" s="219"/>
      <c r="I665" s="15"/>
      <c r="J665" s="15"/>
      <c r="K665" s="15"/>
      <c r="L665" s="15"/>
      <c r="M665" s="15"/>
      <c r="N665" s="15"/>
      <c r="O665" s="15"/>
      <c r="AB665" s="327" t="str">
        <f t="shared" si="132"/>
        <v/>
      </c>
      <c r="AC665" s="327" t="str">
        <f t="shared" si="133"/>
        <v/>
      </c>
      <c r="AD665" s="327" t="e">
        <f t="shared" si="134"/>
        <v>#N/A</v>
      </c>
      <c r="AE665" s="327" t="e">
        <f t="shared" si="135"/>
        <v>#N/A</v>
      </c>
      <c r="AF665" s="325"/>
      <c r="AG665" s="485">
        <v>9</v>
      </c>
      <c r="AH665" s="496" t="b">
        <f ca="1">IF(OR(NOT(W655),NOT(X645)),FALSE,AND(D665="",OR(AG665&lt;=W656+COUNTIF(E657:E665,$W$218),AG665&lt;=X656+COUNTIF(F657:F665,$W$218))))</f>
        <v>0</v>
      </c>
      <c r="AI665" s="496" t="b">
        <f ca="1">IF(OR(NOT(W655),NOT(X645)),FALSE,AND(E665="",OR(AG665&lt;=W656+COUNTIF(E657:E665,$W$218),AG665&lt;=X656+COUNTIF(F657:F665,$W$218))))</f>
        <v>0</v>
      </c>
      <c r="AJ665" s="496" t="b">
        <f ca="1">IF(OR(NOT(W655),NOT(X645)),FALSE,AND(F665="",OR(AG665&lt;=W656+COUNTIF(E657:E665,$W$218),AG665&lt;=X656+COUNTIF(F657:F665,$W$218))))</f>
        <v>0</v>
      </c>
      <c r="AK665" s="496" t="b">
        <f ca="1">IF(OR(NOT(W655),NOT(X645)),FALSE,AND(G665="",OR(AG665&lt;=W656+COUNTIF(E657:E665,$W$218),AG665&lt;=X656+COUNTIF(F657:F665,$W$218))))</f>
        <v>0</v>
      </c>
      <c r="AL665" s="496" t="e">
        <f ca="1">IF(OR(NOT(Y655),NOT(Z645)),FALSE,AND(K665="",OR(AG665&lt;=Y656+COUNTIF(L657:L665,$W$218),AG665&lt;=Z656+COUNTIF(M657:M665,$W$218))))</f>
        <v>#N/A</v>
      </c>
      <c r="AM665" s="496" t="e">
        <f ca="1">IF(OR(NOT(Y655),NOT(Z645)),FALSE,AND(L665="",OR(AG665&lt;=Y656+COUNTIF(L657:L665,$W$218),AG665&lt;=Z656+COUNTIF(M657:M665,$W$218))))</f>
        <v>#N/A</v>
      </c>
      <c r="AN665" s="496" t="e">
        <f ca="1">IF(OR(NOT(Y655),NOT(Z645)),FALSE,AND(M665="",OR(AG665&lt;=Y656+COUNTIF(L657:L665,$W$218),AG665&lt;=Z656+COUNTIF(M657:M665,$W$218))))</f>
        <v>#N/A</v>
      </c>
      <c r="AO665" s="496" t="e">
        <f ca="1">IF(OR(NOT(Y655),NOT(Z645)),FALSE,AND(N665="",OR(AG665&lt;=Y656+COUNTIF(L657:L665,$W$218),AG665&lt;=Z656+COUNTIF(M657:M665,$W$218))))</f>
        <v>#N/A</v>
      </c>
      <c r="AS665" s="323"/>
      <c r="AT665" s="323"/>
      <c r="AW665" s="485"/>
      <c r="AY665" s="323"/>
      <c r="BA665" s="323"/>
      <c r="BC665" s="323"/>
      <c r="BE665" s="323"/>
      <c r="BG665" s="323"/>
      <c r="BI665" s="323"/>
      <c r="BK665" s="323"/>
      <c r="BM665" s="323"/>
      <c r="BO665" s="323"/>
      <c r="BQ665" s="323"/>
      <c r="BS665" s="323"/>
      <c r="BU665" s="323"/>
      <c r="BW665" s="323"/>
      <c r="BY665" s="323"/>
      <c r="CA665" s="323"/>
      <c r="CC665" s="323"/>
      <c r="CE665" s="323"/>
      <c r="CG665" s="323"/>
      <c r="CI665" s="323"/>
      <c r="CK665" s="323"/>
      <c r="CM665" s="323"/>
      <c r="CO665" s="323"/>
      <c r="CQ665" s="323"/>
      <c r="CS665" s="323"/>
      <c r="CU665" s="323"/>
      <c r="CW665" s="323"/>
      <c r="CY665" s="323"/>
      <c r="DA665" s="323"/>
      <c r="DC665" s="323"/>
      <c r="DE665" s="323"/>
      <c r="DG665" s="323"/>
      <c r="DI665" s="323"/>
      <c r="DJ665" s="485"/>
    </row>
    <row r="666" spans="1:114" ht="11.25" customHeight="1" x14ac:dyDescent="0.3">
      <c r="A666" s="765"/>
      <c r="C666" s="219"/>
      <c r="D666" s="220"/>
      <c r="E666" s="517"/>
      <c r="F666" s="516"/>
      <c r="G666" s="223"/>
      <c r="H666" s="219"/>
      <c r="I666" s="15"/>
      <c r="J666" s="15"/>
      <c r="K666" s="15"/>
      <c r="L666" s="15"/>
      <c r="M666" s="15"/>
      <c r="N666" s="15"/>
      <c r="O666" s="15"/>
      <c r="AB666" s="327" t="str">
        <f t="shared" si="132"/>
        <v/>
      </c>
      <c r="AC666" s="327" t="str">
        <f t="shared" si="133"/>
        <v/>
      </c>
      <c r="AD666" s="327" t="e">
        <f t="shared" si="134"/>
        <v>#N/A</v>
      </c>
      <c r="AE666" s="327" t="e">
        <f t="shared" si="135"/>
        <v>#N/A</v>
      </c>
      <c r="AF666" s="325"/>
      <c r="AG666" s="485">
        <v>10</v>
      </c>
      <c r="AH666" s="496" t="b">
        <f ca="1">IF(OR(NOT(W655),NOT(X645)),FALSE,AND(D666="",OR(AG666&lt;=W656+COUNTIF(E657:E666,$W$218),AG666&lt;=X656+COUNTIF(F657:F666,$W$218))))</f>
        <v>0</v>
      </c>
      <c r="AI666" s="496" t="b">
        <f ca="1">IF(OR(NOT(W655),NOT(X645)),FALSE,AND(E666="",OR(AG666&lt;=W656+COUNTIF(E657:E666,$W$218),AG666&lt;=X656+COUNTIF(F657:F666,$W$218))))</f>
        <v>0</v>
      </c>
      <c r="AJ666" s="496" t="b">
        <f ca="1">IF(OR(NOT(W655),NOT(X645)),FALSE,AND(F666="",OR(AG666&lt;=W656+COUNTIF(E657:E666,$W$218),AG666&lt;=X656+COUNTIF(F657:F666,$W$218))))</f>
        <v>0</v>
      </c>
      <c r="AK666" s="496" t="b">
        <f ca="1">IF(OR(NOT(W655),NOT(X645)),FALSE,AND(G666="",OR(AG666&lt;=W656+COUNTIF(E657:E666,$W$218),AG666&lt;=X656+COUNTIF(F657:F666,$W$218))))</f>
        <v>0</v>
      </c>
      <c r="AL666" s="496" t="e">
        <f ca="1">IF(OR(NOT(Y655),NOT(Z645)),FALSE,AND(K666="",OR(AG666&lt;=Y656+COUNTIF(L657:L666,$W$218),AG666&lt;=Z656+COUNTIF(M657:M666,$W$218))))</f>
        <v>#N/A</v>
      </c>
      <c r="AM666" s="496" t="e">
        <f ca="1">IF(OR(NOT(Y655),NOT(Z645)),FALSE,AND(L666="",OR(AG666&lt;=Y656+COUNTIF(L657:L666,$W$218),AG666&lt;=Z656+COUNTIF(M657:M666,$W$218))))</f>
        <v>#N/A</v>
      </c>
      <c r="AN666" s="496" t="e">
        <f ca="1">IF(OR(NOT(Y655),NOT(Z645)),FALSE,AND(M666="",OR(AG666&lt;=Y656+COUNTIF(L657:L666,$W$218),AG666&lt;=Z656+COUNTIF(M657:M666,$W$218))))</f>
        <v>#N/A</v>
      </c>
      <c r="AO666" s="496" t="e">
        <f ca="1">IF(OR(NOT(Y655),NOT(Z645)),FALSE,AND(N666="",OR(AG666&lt;=Y656+COUNTIF(L657:L666,$W$218),AG666&lt;=Z656+COUNTIF(M657:M666,$W$218))))</f>
        <v>#N/A</v>
      </c>
      <c r="AW666" s="485"/>
      <c r="AY666" s="323"/>
      <c r="BA666" s="323"/>
      <c r="BC666" s="323"/>
      <c r="BE666" s="323"/>
      <c r="BG666" s="323"/>
      <c r="BI666" s="323"/>
      <c r="BK666" s="323"/>
      <c r="BM666" s="323"/>
      <c r="BO666" s="323"/>
      <c r="BQ666" s="323"/>
      <c r="BS666" s="323"/>
      <c r="BU666" s="323"/>
      <c r="BW666" s="323"/>
      <c r="BY666" s="323"/>
      <c r="CA666" s="323"/>
      <c r="CC666" s="323"/>
      <c r="CE666" s="323"/>
      <c r="CG666" s="323"/>
      <c r="CI666" s="323"/>
      <c r="CK666" s="323"/>
      <c r="CM666" s="323"/>
      <c r="CO666" s="323"/>
      <c r="CQ666" s="323"/>
      <c r="CS666" s="323"/>
      <c r="CU666" s="323"/>
      <c r="CW666" s="323"/>
      <c r="CY666" s="323"/>
      <c r="DA666" s="323"/>
      <c r="DC666" s="323"/>
      <c r="DE666" s="323"/>
      <c r="DG666" s="323"/>
      <c r="DI666" s="323"/>
      <c r="DJ666" s="485"/>
    </row>
    <row r="667" spans="1:114" ht="11.25" customHeight="1" x14ac:dyDescent="0.3">
      <c r="A667" s="765"/>
      <c r="C667" s="219"/>
      <c r="D667" s="220"/>
      <c r="E667" s="517"/>
      <c r="F667" s="516"/>
      <c r="G667" s="223"/>
      <c r="H667" s="219"/>
      <c r="I667" s="15"/>
      <c r="J667" s="15"/>
      <c r="K667" s="15"/>
      <c r="L667" s="15"/>
      <c r="M667" s="15"/>
      <c r="N667" s="15"/>
      <c r="O667" s="15"/>
      <c r="AB667" s="327" t="str">
        <f t="shared" si="132"/>
        <v/>
      </c>
      <c r="AC667" s="327" t="str">
        <f t="shared" si="133"/>
        <v/>
      </c>
      <c r="AD667" s="327" t="e">
        <f t="shared" si="134"/>
        <v>#N/A</v>
      </c>
      <c r="AE667" s="327" t="e">
        <f t="shared" si="135"/>
        <v>#N/A</v>
      </c>
      <c r="AF667" s="325"/>
      <c r="AG667" s="485">
        <v>11</v>
      </c>
      <c r="AH667" s="496" t="b">
        <f ca="1">IF(OR(NOT(W655),NOT(X645)),FALSE,AND(D667="",OR(AG667&lt;=W656+COUNTIF(E657:E667,$W$218),AG667&lt;=X656+COUNTIF(F657:F667,$W$218))))</f>
        <v>0</v>
      </c>
      <c r="AI667" s="496" t="b">
        <f ca="1">IF(OR(NOT(W655),NOT(X645)),FALSE,AND(E667="",OR(AG667&lt;=W656+COUNTIF(E657:E667,$W$218),AG667&lt;=X656+COUNTIF(F657:F667,$W$218))))</f>
        <v>0</v>
      </c>
      <c r="AJ667" s="496" t="b">
        <f ca="1">IF(OR(NOT(W655),NOT(X645)),FALSE,AND(F667="",OR(AG667&lt;=W656+COUNTIF(E657:E667,$W$218),AG667&lt;=X656+COUNTIF(F657:F667,$W$218))))</f>
        <v>0</v>
      </c>
      <c r="AK667" s="496" t="b">
        <f ca="1">IF(OR(NOT(W655),NOT(X645)),FALSE,AND(G667="",OR(AG667&lt;=W656+COUNTIF(E657:E667,$W$218),AG667&lt;=X656+COUNTIF(F657:F667,$W$218))))</f>
        <v>0</v>
      </c>
      <c r="AL667" s="496" t="e">
        <f ca="1">IF(OR(NOT(Y655),NOT(Z645)),FALSE,AND(K667="",OR(AG667&lt;=Y656+COUNTIF(L657:L667,$W$218),AG667&lt;=Z656+COUNTIF(M657:M667,$W$218))))</f>
        <v>#N/A</v>
      </c>
      <c r="AM667" s="496" t="e">
        <f ca="1">IF(OR(NOT(Y655),NOT(Z645)),FALSE,AND(L667="",OR(AG667&lt;=Y656+COUNTIF(L657:L667,$W$218),AG667&lt;=Z656+COUNTIF(M657:M667,$W$218))))</f>
        <v>#N/A</v>
      </c>
      <c r="AN667" s="496" t="e">
        <f ca="1">IF(OR(NOT(Y655),NOT(Z645)),FALSE,AND(M667="",OR(AG667&lt;=Y656+COUNTIF(L657:L667,$W$218),AG667&lt;=Z656+COUNTIF(M657:M667,$W$218))))</f>
        <v>#N/A</v>
      </c>
      <c r="AO667" s="496" t="e">
        <f ca="1">IF(OR(NOT(Y655),NOT(Z645)),FALSE,AND(N667="",OR(AG667&lt;=Y656+COUNTIF(L657:L667,$W$218),AG667&lt;=Z656+COUNTIF(M657:M667,$W$218))))</f>
        <v>#N/A</v>
      </c>
      <c r="AW667" s="485"/>
      <c r="AY667" s="323"/>
      <c r="BA667" s="323"/>
      <c r="BC667" s="323"/>
      <c r="BE667" s="323"/>
      <c r="BG667" s="323"/>
      <c r="BI667" s="323"/>
      <c r="BK667" s="323"/>
      <c r="BM667" s="323"/>
      <c r="BO667" s="323"/>
      <c r="BQ667" s="323"/>
      <c r="BS667" s="323"/>
      <c r="BU667" s="323"/>
      <c r="BW667" s="323"/>
      <c r="BY667" s="323"/>
      <c r="CA667" s="323"/>
      <c r="CC667" s="323"/>
      <c r="CE667" s="323"/>
      <c r="CG667" s="323"/>
      <c r="CI667" s="323"/>
      <c r="CK667" s="323"/>
      <c r="CM667" s="323"/>
      <c r="CO667" s="323"/>
      <c r="CQ667" s="323"/>
      <c r="CS667" s="323"/>
      <c r="CU667" s="323"/>
      <c r="CW667" s="323"/>
      <c r="CY667" s="323"/>
      <c r="DA667" s="323"/>
      <c r="DC667" s="323"/>
      <c r="DE667" s="323"/>
      <c r="DG667" s="323"/>
      <c r="DI667" s="323"/>
      <c r="DJ667" s="485"/>
    </row>
    <row r="668" spans="1:114" ht="11.25" customHeight="1" x14ac:dyDescent="0.3">
      <c r="A668" s="765"/>
      <c r="C668" s="219"/>
      <c r="D668" s="220"/>
      <c r="E668" s="517"/>
      <c r="F668" s="516"/>
      <c r="G668" s="223"/>
      <c r="H668" s="219"/>
      <c r="I668" s="15"/>
      <c r="J668" s="15"/>
      <c r="K668" s="15"/>
      <c r="L668" s="15"/>
      <c r="M668" s="15"/>
      <c r="N668" s="15"/>
      <c r="O668" s="15"/>
      <c r="AB668" s="327" t="str">
        <f t="shared" si="132"/>
        <v/>
      </c>
      <c r="AC668" s="327" t="str">
        <f t="shared" si="133"/>
        <v/>
      </c>
      <c r="AD668" s="327" t="e">
        <f t="shared" si="134"/>
        <v>#N/A</v>
      </c>
      <c r="AE668" s="327" t="e">
        <f t="shared" si="135"/>
        <v>#N/A</v>
      </c>
      <c r="AF668" s="325"/>
      <c r="AG668" s="485">
        <v>12</v>
      </c>
      <c r="AH668" s="496" t="b">
        <f ca="1">IF(OR(NOT(W655),NOT(X645)),FALSE,AND(D668="",OR(AG668&lt;=W656+COUNTIF(E657:E668,$W$218),AG668&lt;=X656+COUNTIF(F657:F668,$W$218))))</f>
        <v>0</v>
      </c>
      <c r="AI668" s="496" t="b">
        <f ca="1">IF(OR(NOT(W655),NOT(X645)),FALSE,AND(E668="",OR(AG668&lt;=W656+COUNTIF(E657:E668,$W$218),AG668&lt;=X656+COUNTIF(F657:F668,$W$218))))</f>
        <v>0</v>
      </c>
      <c r="AJ668" s="496" t="b">
        <f ca="1">IF(OR(NOT(W655),NOT(X645)),FALSE,AND(F668="",OR(AG668&lt;=W656+COUNTIF(E657:E668,$W$218),AG668&lt;=X656+COUNTIF(F657:F668,$W$218))))</f>
        <v>0</v>
      </c>
      <c r="AK668" s="496" t="b">
        <f ca="1">IF(OR(NOT(W655),NOT(X645)),FALSE,AND(G668="",OR(AG668&lt;=W656+COUNTIF(E657:E668,$W$218),AG668&lt;=X656+COUNTIF(F657:F668,$W$218))))</f>
        <v>0</v>
      </c>
      <c r="AL668" s="496" t="e">
        <f ca="1">IF(OR(NOT(Y655),NOT(Z645)),FALSE,AND(K668="",OR(AG668&lt;=Y656+COUNTIF(L657:L668,$W$218),AG668&lt;=Z656+COUNTIF(M657:M668,$W$218))))</f>
        <v>#N/A</v>
      </c>
      <c r="AM668" s="496" t="e">
        <f ca="1">IF(OR(NOT(Y655),NOT(Z645)),FALSE,AND(L668="",OR(AG668&lt;=Y656+COUNTIF(L657:L668,$W$218),AG668&lt;=Z656+COUNTIF(M657:M668,$W$218))))</f>
        <v>#N/A</v>
      </c>
      <c r="AN668" s="496" t="e">
        <f ca="1">IF(OR(NOT(Y655),NOT(Z645)),FALSE,AND(M668="",OR(AG668&lt;=Y656+COUNTIF(L657:L668,$W$218),AG668&lt;=Z656+COUNTIF(M657:M668,$W$218))))</f>
        <v>#N/A</v>
      </c>
      <c r="AO668" s="496" t="e">
        <f ca="1">IF(OR(NOT(Y655),NOT(Z645)),FALSE,AND(N668="",OR(AG668&lt;=Y656+COUNTIF(L657:L668,$W$218),AG668&lt;=Z656+COUNTIF(M657:M668,$W$218))))</f>
        <v>#N/A</v>
      </c>
      <c r="AW668" s="485"/>
      <c r="AY668" s="323"/>
      <c r="BA668" s="323"/>
      <c r="BC668" s="323"/>
      <c r="BE668" s="323"/>
      <c r="BG668" s="323"/>
      <c r="BI668" s="323"/>
      <c r="BK668" s="323"/>
      <c r="BM668" s="323"/>
      <c r="BO668" s="323"/>
      <c r="BQ668" s="323"/>
      <c r="BS668" s="323"/>
      <c r="BU668" s="323"/>
      <c r="BW668" s="323"/>
      <c r="BY668" s="323"/>
      <c r="CA668" s="323"/>
      <c r="CC668" s="323"/>
      <c r="CE668" s="323"/>
      <c r="CG668" s="323"/>
      <c r="CI668" s="323"/>
      <c r="CK668" s="323"/>
      <c r="CM668" s="323"/>
      <c r="CO668" s="323"/>
      <c r="CQ668" s="323"/>
      <c r="CS668" s="323"/>
      <c r="CU668" s="323"/>
      <c r="CW668" s="323"/>
      <c r="CY668" s="323"/>
      <c r="DA668" s="323"/>
      <c r="DC668" s="323"/>
      <c r="DE668" s="323"/>
      <c r="DG668" s="323"/>
      <c r="DI668" s="323"/>
      <c r="DJ668" s="485"/>
    </row>
    <row r="669" spans="1:114" ht="11.25" customHeight="1" x14ac:dyDescent="0.3">
      <c r="A669" s="765"/>
      <c r="C669" s="219"/>
      <c r="D669" s="220"/>
      <c r="E669" s="516"/>
      <c r="F669" s="516"/>
      <c r="G669" s="223"/>
      <c r="H669" s="219"/>
      <c r="I669" s="15"/>
      <c r="J669" s="15"/>
      <c r="K669" s="15"/>
      <c r="L669" s="15"/>
      <c r="M669" s="15"/>
      <c r="N669" s="15"/>
      <c r="O669" s="15"/>
      <c r="AB669" s="327" t="str">
        <f t="shared" si="132"/>
        <v/>
      </c>
      <c r="AC669" s="327" t="str">
        <f t="shared" si="133"/>
        <v/>
      </c>
      <c r="AD669" s="327" t="e">
        <f t="shared" si="134"/>
        <v>#N/A</v>
      </c>
      <c r="AE669" s="327" t="e">
        <f t="shared" si="135"/>
        <v>#N/A</v>
      </c>
      <c r="AG669" s="485">
        <v>13</v>
      </c>
      <c r="AH669" s="496" t="b">
        <f ca="1">IF(OR(NOT(W655),NOT(X645)),FALSE,AND(D669="",OR(AG669&lt;=W656+COUNTIF(E657:E669,$W$218),AG669&lt;=X656+COUNTIF(F657:F669,$W$218))))</f>
        <v>0</v>
      </c>
      <c r="AI669" s="496" t="b">
        <f ca="1">IF(OR(NOT(W655),NOT(X645)),FALSE,AND(E669="",OR(AG669&lt;=W656+COUNTIF(E657:E669,$W$218),AG669&lt;=X656+COUNTIF(F657:F669,$W$218))))</f>
        <v>0</v>
      </c>
      <c r="AJ669" s="496" t="b">
        <f ca="1">IF(OR(NOT(W655),NOT(X645)),FALSE,AND(F669="",OR(AG669&lt;=W656+COUNTIF(E657:E669,$W$218),AG669&lt;=X656+COUNTIF(F657:F669,$W$218))))</f>
        <v>0</v>
      </c>
      <c r="AK669" s="496" t="b">
        <f ca="1">IF(OR(NOT(W655),NOT(X645)),FALSE,AND(G669="",OR(AG669&lt;=W656+COUNTIF(E657:E669,$W$218),AG669&lt;=X656+COUNTIF(F657:F669,$W$218))))</f>
        <v>0</v>
      </c>
      <c r="AL669" s="496" t="e">
        <f ca="1">IF(OR(NOT(Y655),NOT(Z645)),FALSE,AND(K669="",OR(AG669&lt;=Y656+COUNTIF(L657:L669,$W$218),AG669&lt;=Z656+COUNTIF(M657:M669,$W$218))))</f>
        <v>#N/A</v>
      </c>
      <c r="AM669" s="496" t="e">
        <f ca="1">IF(OR(NOT(Y655),NOT(Z645)),FALSE,AND(L669="",OR(AG669&lt;=Y656+COUNTIF(L657:L669,$W$218),AG669&lt;=Z656+COUNTIF(M657:M669,$W$218))))</f>
        <v>#N/A</v>
      </c>
      <c r="AN669" s="496" t="e">
        <f ca="1">IF(OR(NOT(Y655),NOT(Z645)),FALSE,AND(M669="",OR(AG669&lt;=Y656+COUNTIF(L657:L669,$W$218),AG669&lt;=Z656+COUNTIF(M657:M669,$W$218))))</f>
        <v>#N/A</v>
      </c>
      <c r="AO669" s="496" t="e">
        <f ca="1">IF(OR(NOT(Y655),NOT(Z645)),FALSE,AND(N669="",OR(AG669&lt;=Y656+COUNTIF(L657:L669,$W$218),AG669&lt;=Z656+COUNTIF(M657:M669,$W$218))))</f>
        <v>#N/A</v>
      </c>
      <c r="AW669" s="485"/>
      <c r="AY669" s="323"/>
      <c r="BA669" s="323"/>
      <c r="BC669" s="323"/>
      <c r="BE669" s="323"/>
      <c r="BG669" s="323"/>
      <c r="BI669" s="323"/>
      <c r="BK669" s="323"/>
      <c r="BM669" s="323"/>
      <c r="BO669" s="323"/>
      <c r="BQ669" s="323"/>
      <c r="BS669" s="323"/>
      <c r="BU669" s="323"/>
      <c r="BW669" s="323"/>
      <c r="BY669" s="323"/>
      <c r="CA669" s="323"/>
      <c r="CC669" s="323"/>
      <c r="CE669" s="323"/>
      <c r="CG669" s="323"/>
      <c r="CI669" s="323"/>
      <c r="CK669" s="323"/>
      <c r="CM669" s="323"/>
      <c r="CO669" s="323"/>
      <c r="CQ669" s="323"/>
      <c r="CS669" s="323"/>
      <c r="CU669" s="323"/>
      <c r="CW669" s="323"/>
      <c r="CY669" s="323"/>
      <c r="DA669" s="323"/>
      <c r="DC669" s="323"/>
      <c r="DE669" s="323"/>
      <c r="DG669" s="323"/>
      <c r="DI669" s="323"/>
      <c r="DJ669" s="485"/>
    </row>
    <row r="670" spans="1:114" ht="11.25" hidden="1" customHeight="1" x14ac:dyDescent="0.3">
      <c r="A670" s="765"/>
      <c r="C670" s="219"/>
      <c r="D670" s="220"/>
      <c r="E670" s="517"/>
      <c r="F670" s="516"/>
      <c r="G670" s="223"/>
      <c r="H670" s="219"/>
      <c r="I670" s="15"/>
      <c r="J670" s="15"/>
      <c r="K670" s="15"/>
      <c r="L670" s="15"/>
      <c r="M670" s="15"/>
      <c r="N670" s="15"/>
      <c r="O670" s="15"/>
      <c r="AB670" s="327" t="str">
        <f t="shared" si="132"/>
        <v/>
      </c>
      <c r="AC670" s="327" t="str">
        <f t="shared" si="133"/>
        <v/>
      </c>
      <c r="AD670" s="327" t="e">
        <f t="shared" si="134"/>
        <v>#N/A</v>
      </c>
      <c r="AE670" s="327" t="e">
        <f t="shared" si="135"/>
        <v>#N/A</v>
      </c>
      <c r="AG670" s="485">
        <v>14</v>
      </c>
      <c r="AH670" s="496" t="b">
        <f ca="1">IF(OR(NOT(W655),NOT(X645)),FALSE,AND(D670="",OR(AG670&lt;=W656+COUNTIF(E657:E670,$W$218),AG670&lt;=X656+COUNTIF(F657:F670,$W$218))))</f>
        <v>0</v>
      </c>
      <c r="AI670" s="496" t="b">
        <f ca="1">IF(OR(NOT(W655),NOT(X645)),FALSE,AND(E670="",OR(AG670&lt;=W656+COUNTIF(E657:E670,$W$218),AG670&lt;=X656+COUNTIF(F657:F670,$W$218))))</f>
        <v>0</v>
      </c>
      <c r="AJ670" s="496" t="b">
        <f ca="1">IF(OR(NOT(W655),NOT(X645)),FALSE,AND(F670="",OR(AG670&lt;=W656+COUNTIF(E657:E670,$W$218),AG670&lt;=X656+COUNTIF(F657:F670,$W$218))))</f>
        <v>0</v>
      </c>
      <c r="AK670" s="496" t="b">
        <f ca="1">IF(OR(NOT(W655),NOT(X645)),FALSE,AND(G670="",OR(AG670&lt;=W656+COUNTIF(E657:E670,$W$218),AG670&lt;=X656+COUNTIF(F657:F670,$W$218))))</f>
        <v>0</v>
      </c>
      <c r="AL670" s="496" t="e">
        <f ca="1">IF(OR(NOT(Y655),NOT(Z645)),FALSE,AND(K670="",OR(AG670&lt;=Y656+COUNTIF(L657:L670,$W$218),AG670&lt;=Z656+COUNTIF(M657:M670,$W$218))))</f>
        <v>#N/A</v>
      </c>
      <c r="AM670" s="496" t="e">
        <f ca="1">IF(OR(NOT(Y655),NOT(Z645)),FALSE,AND(L670="",OR(AG670&lt;=Y656+COUNTIF(L657:L670,$W$218),AG670&lt;=Z656+COUNTIF(M657:M670,$W$218))))</f>
        <v>#N/A</v>
      </c>
      <c r="AN670" s="496" t="e">
        <f ca="1">IF(OR(NOT(Y655),NOT(Z645)),FALSE,AND(M670="",OR(AG670&lt;=Y656+COUNTIF(L657:L670,$W$218),AG670&lt;=Z656+COUNTIF(M657:M670,$W$218))))</f>
        <v>#N/A</v>
      </c>
      <c r="AO670" s="496" t="e">
        <f ca="1">IF(OR(NOT(Y655),NOT(Z645)),FALSE,AND(N670="",OR(AG670&lt;=Y656+COUNTIF(L657:L670,$W$218),AG670&lt;=Z656+COUNTIF(M657:M670,$W$218))))</f>
        <v>#N/A</v>
      </c>
      <c r="AS670" s="323"/>
      <c r="AT670" s="323"/>
      <c r="AW670" s="485"/>
      <c r="AY670" s="323"/>
      <c r="BA670" s="323"/>
      <c r="BC670" s="323"/>
      <c r="BE670" s="323"/>
      <c r="BG670" s="323"/>
      <c r="BI670" s="323"/>
      <c r="BK670" s="323"/>
      <c r="BM670" s="323"/>
      <c r="BO670" s="323"/>
      <c r="BQ670" s="323"/>
      <c r="BS670" s="323"/>
      <c r="BU670" s="323"/>
      <c r="BW670" s="323"/>
      <c r="BY670" s="323"/>
      <c r="CA670" s="323"/>
      <c r="CC670" s="323"/>
      <c r="CE670" s="323"/>
      <c r="CG670" s="323"/>
      <c r="CI670" s="323"/>
      <c r="CK670" s="323"/>
      <c r="CM670" s="323"/>
      <c r="CO670" s="323"/>
      <c r="CQ670" s="323"/>
      <c r="CS670" s="323"/>
      <c r="CU670" s="323"/>
      <c r="CW670" s="323"/>
      <c r="CY670" s="323"/>
      <c r="DA670" s="323"/>
      <c r="DC670" s="323"/>
      <c r="DE670" s="323"/>
      <c r="DG670" s="323"/>
      <c r="DI670" s="323"/>
      <c r="DJ670" s="485"/>
    </row>
    <row r="671" spans="1:114" ht="10.5" hidden="1" customHeight="1" x14ac:dyDescent="0.3">
      <c r="A671" s="76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AQ671" s="323"/>
      <c r="AR671" s="323"/>
      <c r="AS671" s="323"/>
      <c r="AT671" s="323"/>
      <c r="AW671" s="485"/>
      <c r="AY671" s="323"/>
      <c r="BA671" s="323"/>
      <c r="BC671" s="323"/>
      <c r="BE671" s="323"/>
      <c r="BG671" s="323"/>
      <c r="BI671" s="323"/>
      <c r="BK671" s="323"/>
      <c r="BM671" s="323"/>
      <c r="BO671" s="323"/>
      <c r="BQ671" s="323"/>
      <c r="BS671" s="323"/>
      <c r="BU671" s="323"/>
      <c r="BW671" s="323"/>
      <c r="BY671" s="323"/>
      <c r="CA671" s="323"/>
      <c r="CC671" s="323"/>
      <c r="CE671" s="323"/>
      <c r="CG671" s="323"/>
      <c r="CI671" s="323"/>
      <c r="CK671" s="323"/>
      <c r="CM671" s="323"/>
      <c r="CO671" s="323"/>
      <c r="CQ671" s="323"/>
      <c r="CS671" s="323"/>
      <c r="CU671" s="323"/>
      <c r="CW671" s="323"/>
      <c r="CY671" s="323"/>
      <c r="DA671" s="323"/>
      <c r="DC671" s="323"/>
      <c r="DE671" s="323"/>
      <c r="DG671" s="323"/>
      <c r="DI671" s="323"/>
    </row>
    <row r="672" spans="1:114" ht="10.5" customHeight="1" x14ac:dyDescent="0.3">
      <c r="A672" s="76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AQ672" s="323"/>
      <c r="AR672" s="323"/>
      <c r="AS672" s="323"/>
      <c r="AT672" s="323"/>
      <c r="AW672" s="485"/>
      <c r="AY672" s="323"/>
      <c r="BA672" s="323"/>
      <c r="BC672" s="323"/>
      <c r="BE672" s="323"/>
      <c r="BG672" s="323"/>
      <c r="BI672" s="323"/>
      <c r="BK672" s="323"/>
      <c r="BM672" s="323"/>
      <c r="BO672" s="323"/>
      <c r="BQ672" s="323"/>
      <c r="BS672" s="323"/>
      <c r="BU672" s="323"/>
      <c r="BW672" s="323"/>
      <c r="BY672" s="323"/>
      <c r="CA672" s="323"/>
      <c r="CC672" s="323"/>
      <c r="CE672" s="323"/>
      <c r="CG672" s="323"/>
      <c r="CI672" s="323"/>
      <c r="CK672" s="323"/>
      <c r="CM672" s="323"/>
      <c r="CO672" s="323"/>
      <c r="CQ672" s="323"/>
      <c r="CS672" s="323"/>
      <c r="CU672" s="323"/>
      <c r="CW672" s="323"/>
      <c r="CY672" s="323"/>
      <c r="DA672" s="323"/>
      <c r="DC672" s="323"/>
      <c r="DE672" s="323"/>
      <c r="DG672" s="323"/>
      <c r="DI672" s="323"/>
    </row>
    <row r="673" spans="3:15" x14ac:dyDescent="0.3"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</row>
    <row r="674" spans="3:15" x14ac:dyDescent="0.3">
      <c r="I674" s="15"/>
      <c r="J674" s="15"/>
      <c r="K674" s="15"/>
      <c r="L674" s="15"/>
      <c r="M674" s="15"/>
      <c r="N674" s="15"/>
      <c r="O674" s="15"/>
    </row>
  </sheetData>
  <sheetProtection algorithmName="SHA-512" hashValue="EWwEFXczOsGuMhxU8ILi4rmb9r39Wus2hvj/gd2DfGqufUzBOduDdvUtfolKCoxteQ9og7pP+YUkNdGm3p/kvg==" saltValue="lpGd8wI24ixtvmWVaG0GiQ==" spinCount="100000" sheet="1" objects="1" scenarios="1"/>
  <mergeCells count="173">
    <mergeCell ref="A367:A400"/>
    <mergeCell ref="A401:A434"/>
    <mergeCell ref="A435:A468"/>
    <mergeCell ref="A469:A502"/>
    <mergeCell ref="A639:A672"/>
    <mergeCell ref="A503:A536"/>
    <mergeCell ref="A537:A570"/>
    <mergeCell ref="A571:A604"/>
    <mergeCell ref="A605:A638"/>
    <mergeCell ref="A231:A264"/>
    <mergeCell ref="A265:A298"/>
    <mergeCell ref="A133:A164"/>
    <mergeCell ref="J33:O33"/>
    <mergeCell ref="C34:H34"/>
    <mergeCell ref="J34:O34"/>
    <mergeCell ref="J115:O115"/>
    <mergeCell ref="J145:O145"/>
    <mergeCell ref="J146:O146"/>
    <mergeCell ref="C195:H195"/>
    <mergeCell ref="C115:H115"/>
    <mergeCell ref="C163:H163"/>
    <mergeCell ref="C161:H161"/>
    <mergeCell ref="C129:H129"/>
    <mergeCell ref="C147:H147"/>
    <mergeCell ref="C145:H145"/>
    <mergeCell ref="C146:H146"/>
    <mergeCell ref="A5:A36"/>
    <mergeCell ref="A37:A68"/>
    <mergeCell ref="A69:A100"/>
    <mergeCell ref="C82:H82"/>
    <mergeCell ref="C33:H33"/>
    <mergeCell ref="C17:H17"/>
    <mergeCell ref="C18:H18"/>
    <mergeCell ref="C19:H19"/>
    <mergeCell ref="C245:H245"/>
    <mergeCell ref="J516:O516"/>
    <mergeCell ref="C517:H517"/>
    <mergeCell ref="J517:O517"/>
    <mergeCell ref="C549:H549"/>
    <mergeCell ref="J549:O549"/>
    <mergeCell ref="C413:H413"/>
    <mergeCell ref="J413:O413"/>
    <mergeCell ref="J381:O381"/>
    <mergeCell ref="J347:O347"/>
    <mergeCell ref="J278:O278"/>
    <mergeCell ref="C380:H380"/>
    <mergeCell ref="J380:O380"/>
    <mergeCell ref="C381:H381"/>
    <mergeCell ref="C345:H345"/>
    <mergeCell ref="C312:H312"/>
    <mergeCell ref="C346:H346"/>
    <mergeCell ref="C347:H347"/>
    <mergeCell ref="C379:H379"/>
    <mergeCell ref="C415:H415"/>
    <mergeCell ref="J35:O35"/>
    <mergeCell ref="J67:O67"/>
    <mergeCell ref="J49:O49"/>
    <mergeCell ref="A299:A332"/>
    <mergeCell ref="A333:A366"/>
    <mergeCell ref="J210:O210"/>
    <mergeCell ref="C277:H277"/>
    <mergeCell ref="C278:H278"/>
    <mergeCell ref="C279:H279"/>
    <mergeCell ref="C211:H211"/>
    <mergeCell ref="A101:A132"/>
    <mergeCell ref="A165:A196"/>
    <mergeCell ref="A197:A230"/>
    <mergeCell ref="J209:O209"/>
    <mergeCell ref="J161:O161"/>
    <mergeCell ref="J211:O211"/>
    <mergeCell ref="C209:H209"/>
    <mergeCell ref="J130:O130"/>
    <mergeCell ref="J193:O193"/>
    <mergeCell ref="J162:O162"/>
    <mergeCell ref="J129:O129"/>
    <mergeCell ref="J177:O177"/>
    <mergeCell ref="J178:O178"/>
    <mergeCell ref="J179:O179"/>
    <mergeCell ref="J163:O163"/>
    <mergeCell ref="J147:O147"/>
    <mergeCell ref="J131:O131"/>
    <mergeCell ref="J551:O551"/>
    <mergeCell ref="C583:H583"/>
    <mergeCell ref="J583:O583"/>
    <mergeCell ref="C210:H210"/>
    <mergeCell ref="C313:H313"/>
    <mergeCell ref="C311:H311"/>
    <mergeCell ref="C243:H243"/>
    <mergeCell ref="C414:H414"/>
    <mergeCell ref="J414:O414"/>
    <mergeCell ref="J313:O313"/>
    <mergeCell ref="J345:O345"/>
    <mergeCell ref="J277:O277"/>
    <mergeCell ref="J245:O245"/>
    <mergeCell ref="C193:H193"/>
    <mergeCell ref="C130:H130"/>
    <mergeCell ref="J515:O515"/>
    <mergeCell ref="C516:H516"/>
    <mergeCell ref="C481:H481"/>
    <mergeCell ref="J481:O481"/>
    <mergeCell ref="J447:O447"/>
    <mergeCell ref="J448:O448"/>
    <mergeCell ref="J449:O449"/>
    <mergeCell ref="C448:H448"/>
    <mergeCell ref="C177:H177"/>
    <mergeCell ref="C178:H178"/>
    <mergeCell ref="C244:H244"/>
    <mergeCell ref="C194:H194"/>
    <mergeCell ref="J194:O194"/>
    <mergeCell ref="J244:O244"/>
    <mergeCell ref="J195:O195"/>
    <mergeCell ref="J243:O243"/>
    <mergeCell ref="J379:O379"/>
    <mergeCell ref="J279:O279"/>
    <mergeCell ref="J311:O311"/>
    <mergeCell ref="J312:O312"/>
    <mergeCell ref="J346:O346"/>
    <mergeCell ref="C179:H179"/>
    <mergeCell ref="C653:H653"/>
    <mergeCell ref="C618:H618"/>
    <mergeCell ref="J618:O618"/>
    <mergeCell ref="C585:H585"/>
    <mergeCell ref="J585:O585"/>
    <mergeCell ref="C617:H617"/>
    <mergeCell ref="J617:O617"/>
    <mergeCell ref="C651:H651"/>
    <mergeCell ref="J415:O415"/>
    <mergeCell ref="J619:O619"/>
    <mergeCell ref="C449:H449"/>
    <mergeCell ref="C482:H482"/>
    <mergeCell ref="J482:O482"/>
    <mergeCell ref="C483:H483"/>
    <mergeCell ref="J483:O483"/>
    <mergeCell ref="C584:H584"/>
    <mergeCell ref="J584:O584"/>
    <mergeCell ref="C550:H550"/>
    <mergeCell ref="J550:O550"/>
    <mergeCell ref="C551:H551"/>
    <mergeCell ref="C652:H652"/>
    <mergeCell ref="C619:H619"/>
    <mergeCell ref="C447:H447"/>
    <mergeCell ref="C515:H515"/>
    <mergeCell ref="J66:O66"/>
    <mergeCell ref="J98:O98"/>
    <mergeCell ref="J82:O82"/>
    <mergeCell ref="J83:O83"/>
    <mergeCell ref="J17:O17"/>
    <mergeCell ref="J97:O97"/>
    <mergeCell ref="J113:O113"/>
    <mergeCell ref="J114:O114"/>
    <mergeCell ref="J18:O18"/>
    <mergeCell ref="J19:O19"/>
    <mergeCell ref="J50:O50"/>
    <mergeCell ref="J51:O51"/>
    <mergeCell ref="J99:O99"/>
    <mergeCell ref="J65:O65"/>
    <mergeCell ref="J81:O81"/>
    <mergeCell ref="C162:H162"/>
    <mergeCell ref="C35:H35"/>
    <mergeCell ref="C131:H131"/>
    <mergeCell ref="C49:H49"/>
    <mergeCell ref="C50:H50"/>
    <mergeCell ref="C51:H51"/>
    <mergeCell ref="C97:H97"/>
    <mergeCell ref="C83:H83"/>
    <mergeCell ref="C81:H81"/>
    <mergeCell ref="C66:H66"/>
    <mergeCell ref="C98:H98"/>
    <mergeCell ref="C67:H67"/>
    <mergeCell ref="C65:H65"/>
    <mergeCell ref="C113:H113"/>
    <mergeCell ref="C114:H114"/>
    <mergeCell ref="C99:H99"/>
  </mergeCells>
  <phoneticPr fontId="2" type="noConversion"/>
  <conditionalFormatting sqref="D24:G31 D8:G16 G623:G636 G215:G228 G351:G364 G249:G262 G283:G296 G317:G330 G385:G398 D385:D398 G419:G432 D419:D432 G453:G466 D453:D466 G487:G500 D487:D500 G521:G534 D521:D534 G555:G568 D555:D568 G589:G602 D589:D602 D623:D636 D215:D228 D351:D364 D249:D262 D283:D296 D317:D330 G657:G670 D657:D670">
    <cfRule type="expression" dxfId="91" priority="75" stopIfTrue="1">
      <formula>AH8</formula>
    </cfRule>
  </conditionalFormatting>
  <conditionalFormatting sqref="K8:N15 K24:N31 N317:N330 K283:K296 K317:K330 K385:K398 N385:N398 K419:K432 N419:N432 K453:K466 N453:N466 K487:K500 N487:N500 K521:K534 N521:N534 K555:K568 N555:N568 K589:K602 N589:N602 K623:K636 N623:N636 K215:K228 N215:N228 K351:K364 N351:N364 K249:K262 N249:N262 N283:N296">
    <cfRule type="expression" dxfId="90" priority="76" stopIfTrue="1">
      <formula>AL8</formula>
    </cfRule>
  </conditionalFormatting>
  <conditionalFormatting sqref="E385:F398 E419:F432 E453:F466 E487:F500 E521:F534 E555:F568 E589:F602 E623:F636 E351:F364 E249:F262 E283:F296 E317:F330 E657:F670 E215:F228">
    <cfRule type="expression" dxfId="89" priority="77" stopIfTrue="1">
      <formula>AI215</formula>
    </cfRule>
    <cfRule type="cellIs" dxfId="88" priority="78" stopIfTrue="1" operator="notEqual">
      <formula>"O"</formula>
    </cfRule>
  </conditionalFormatting>
  <conditionalFormatting sqref="L385:M398 L419:M432 L453:M466 L487:M500 L521:M534 L555:M568 L589:M602 L623:M636 L351:M364 L249:M262 L283:M296 L317:M330 L215:M228">
    <cfRule type="expression" dxfId="87" priority="79" stopIfTrue="1">
      <formula>AM215</formula>
    </cfRule>
    <cfRule type="cellIs" dxfId="86" priority="80" stopIfTrue="1" operator="notEqual">
      <formula>"O"</formula>
    </cfRule>
  </conditionalFormatting>
  <conditionalFormatting sqref="C7 C23 C39 C55 C71 C87 C103 C119 C135 C151 C167 C183 C199 C233 C267 C301 C335 C369 C403 C437 C471 C505 C539 C573 C607 C641">
    <cfRule type="expression" dxfId="85" priority="81" stopIfTrue="1">
      <formula>W14&gt;0</formula>
    </cfRule>
  </conditionalFormatting>
  <conditionalFormatting sqref="H7 H23 H39 H55 H71 H87 H103 H119 H135 H151 H167 H183 H199 H233 H267 H301 H335 H369 H403 H437 H471 H505 H539 H573 H607 H641">
    <cfRule type="expression" dxfId="84" priority="82" stopIfTrue="1">
      <formula>X14&gt;0</formula>
    </cfRule>
  </conditionalFormatting>
  <conditionalFormatting sqref="J7 J23 J39 J55 J71 J87 J103 J119 J135 J151 J167 J183 J199 J233 J267 J301 J335 J369 J403 J437 J471 J505 J539 J573 J607">
    <cfRule type="expression" dxfId="83" priority="83" stopIfTrue="1">
      <formula>Y14&gt;0</formula>
    </cfRule>
  </conditionalFormatting>
  <conditionalFormatting sqref="O7 O23 O39 O55 O71 O87 O103 O119 O135 O151 O167 O183 O199 O233 O267 O301 O335 O369 O403 O437 O471 O505 O539 O573 O607">
    <cfRule type="expression" dxfId="82" priority="84" stopIfTrue="1">
      <formula>Z14&gt;0</formula>
    </cfRule>
  </conditionalFormatting>
  <conditionalFormatting sqref="D32:G32">
    <cfRule type="expression" dxfId="81" priority="74" stopIfTrue="1">
      <formula>AH32</formula>
    </cfRule>
  </conditionalFormatting>
  <conditionalFormatting sqref="K16:N16">
    <cfRule type="expression" dxfId="80" priority="72" stopIfTrue="1">
      <formula>AO16</formula>
    </cfRule>
  </conditionalFormatting>
  <conditionalFormatting sqref="K32:N32">
    <cfRule type="expression" dxfId="79" priority="71" stopIfTrue="1">
      <formula>AO32</formula>
    </cfRule>
  </conditionalFormatting>
  <conditionalFormatting sqref="D40:G48">
    <cfRule type="expression" dxfId="78" priority="69" stopIfTrue="1">
      <formula>AH40</formula>
    </cfRule>
  </conditionalFormatting>
  <conditionalFormatting sqref="K40:N47">
    <cfRule type="expression" dxfId="77" priority="70" stopIfTrue="1">
      <formula>AL40</formula>
    </cfRule>
  </conditionalFormatting>
  <conditionalFormatting sqref="K48:N48">
    <cfRule type="expression" dxfId="76" priority="68" stopIfTrue="1">
      <formula>AO48</formula>
    </cfRule>
  </conditionalFormatting>
  <conditionalFormatting sqref="D56:G64">
    <cfRule type="expression" dxfId="75" priority="66" stopIfTrue="1">
      <formula>AH56</formula>
    </cfRule>
  </conditionalFormatting>
  <conditionalFormatting sqref="K56:N63">
    <cfRule type="expression" dxfId="74" priority="67" stopIfTrue="1">
      <formula>AL56</formula>
    </cfRule>
  </conditionalFormatting>
  <conditionalFormatting sqref="K64:N64">
    <cfRule type="expression" dxfId="73" priority="65" stopIfTrue="1">
      <formula>AO64</formula>
    </cfRule>
  </conditionalFormatting>
  <conditionalFormatting sqref="D72:G80">
    <cfRule type="expression" dxfId="72" priority="63" stopIfTrue="1">
      <formula>AH72</formula>
    </cfRule>
  </conditionalFormatting>
  <conditionalFormatting sqref="K72:N79">
    <cfRule type="expression" dxfId="71" priority="64" stopIfTrue="1">
      <formula>AL72</formula>
    </cfRule>
  </conditionalFormatting>
  <conditionalFormatting sqref="K80:N80">
    <cfRule type="expression" dxfId="70" priority="62" stopIfTrue="1">
      <formula>AO80</formula>
    </cfRule>
  </conditionalFormatting>
  <conditionalFormatting sqref="D88:G96">
    <cfRule type="expression" dxfId="69" priority="60" stopIfTrue="1">
      <formula>AH88</formula>
    </cfRule>
  </conditionalFormatting>
  <conditionalFormatting sqref="K88:N95">
    <cfRule type="expression" dxfId="68" priority="61" stopIfTrue="1">
      <formula>AL88</formula>
    </cfRule>
  </conditionalFormatting>
  <conditionalFormatting sqref="K96:N96">
    <cfRule type="expression" dxfId="67" priority="59" stopIfTrue="1">
      <formula>AO96</formula>
    </cfRule>
  </conditionalFormatting>
  <conditionalFormatting sqref="D104:G112">
    <cfRule type="expression" dxfId="66" priority="57" stopIfTrue="1">
      <formula>AH104</formula>
    </cfRule>
  </conditionalFormatting>
  <conditionalFormatting sqref="K104:N111">
    <cfRule type="expression" dxfId="65" priority="58" stopIfTrue="1">
      <formula>AL104</formula>
    </cfRule>
  </conditionalFormatting>
  <conditionalFormatting sqref="K112:N112">
    <cfRule type="expression" dxfId="64" priority="56" stopIfTrue="1">
      <formula>AO112</formula>
    </cfRule>
  </conditionalFormatting>
  <conditionalFormatting sqref="D120:G128">
    <cfRule type="expression" dxfId="63" priority="54" stopIfTrue="1">
      <formula>AH120</formula>
    </cfRule>
  </conditionalFormatting>
  <conditionalFormatting sqref="K120:N127">
    <cfRule type="expression" dxfId="62" priority="55" stopIfTrue="1">
      <formula>AL120</formula>
    </cfRule>
  </conditionalFormatting>
  <conditionalFormatting sqref="K128:N128">
    <cfRule type="expression" dxfId="61" priority="53" stopIfTrue="1">
      <formula>AO128</formula>
    </cfRule>
  </conditionalFormatting>
  <conditionalFormatting sqref="D136:G144">
    <cfRule type="expression" dxfId="60" priority="51" stopIfTrue="1">
      <formula>AH136</formula>
    </cfRule>
  </conditionalFormatting>
  <conditionalFormatting sqref="K136:N143">
    <cfRule type="expression" dxfId="59" priority="52" stopIfTrue="1">
      <formula>AL136</formula>
    </cfRule>
  </conditionalFormatting>
  <conditionalFormatting sqref="K144:N144">
    <cfRule type="expression" dxfId="58" priority="50" stopIfTrue="1">
      <formula>AO144</formula>
    </cfRule>
  </conditionalFormatting>
  <conditionalFormatting sqref="D152:G160">
    <cfRule type="expression" dxfId="57" priority="48" stopIfTrue="1">
      <formula>AH152</formula>
    </cfRule>
  </conditionalFormatting>
  <conditionalFormatting sqref="K152:N159">
    <cfRule type="expression" dxfId="56" priority="49" stopIfTrue="1">
      <formula>AL152</formula>
    </cfRule>
  </conditionalFormatting>
  <conditionalFormatting sqref="K160:N160">
    <cfRule type="expression" dxfId="55" priority="47" stopIfTrue="1">
      <formula>AO160</formula>
    </cfRule>
  </conditionalFormatting>
  <conditionalFormatting sqref="D168:G176">
    <cfRule type="expression" dxfId="54" priority="45" stopIfTrue="1">
      <formula>AH168</formula>
    </cfRule>
  </conditionalFormatting>
  <conditionalFormatting sqref="K168:N175">
    <cfRule type="expression" dxfId="53" priority="46" stopIfTrue="1">
      <formula>AL168</formula>
    </cfRule>
  </conditionalFormatting>
  <conditionalFormatting sqref="K176:N176">
    <cfRule type="expression" dxfId="52" priority="44" stopIfTrue="1">
      <formula>AO176</formula>
    </cfRule>
  </conditionalFormatting>
  <conditionalFormatting sqref="D184:G192">
    <cfRule type="expression" dxfId="51" priority="42" stopIfTrue="1">
      <formula>AH184</formula>
    </cfRule>
  </conditionalFormatting>
  <conditionalFormatting sqref="K184:N191">
    <cfRule type="expression" dxfId="50" priority="43" stopIfTrue="1">
      <formula>AL184</formula>
    </cfRule>
  </conditionalFormatting>
  <conditionalFormatting sqref="K192:N192">
    <cfRule type="expression" dxfId="49" priority="41" stopIfTrue="1">
      <formula>AO192</formula>
    </cfRule>
  </conditionalFormatting>
  <conditionalFormatting sqref="D200:G208">
    <cfRule type="expression" dxfId="48" priority="39" stopIfTrue="1">
      <formula>AH200</formula>
    </cfRule>
  </conditionalFormatting>
  <conditionalFormatting sqref="K200:N207">
    <cfRule type="expression" dxfId="47" priority="40" stopIfTrue="1">
      <formula>AL200</formula>
    </cfRule>
  </conditionalFormatting>
  <conditionalFormatting sqref="K208:N208">
    <cfRule type="expression" dxfId="46" priority="38" stopIfTrue="1">
      <formula>AO208</formula>
    </cfRule>
  </conditionalFormatting>
  <conditionalFormatting sqref="D234:G242">
    <cfRule type="expression" dxfId="45" priority="36" stopIfTrue="1">
      <formula>AH234</formula>
    </cfRule>
  </conditionalFormatting>
  <conditionalFormatting sqref="K234:N241">
    <cfRule type="expression" dxfId="44" priority="37" stopIfTrue="1">
      <formula>AL234</formula>
    </cfRule>
  </conditionalFormatting>
  <conditionalFormatting sqref="K242:N242">
    <cfRule type="expression" dxfId="43" priority="35" stopIfTrue="1">
      <formula>AO242</formula>
    </cfRule>
  </conditionalFormatting>
  <conditionalFormatting sqref="D268:G276">
    <cfRule type="expression" dxfId="42" priority="33" stopIfTrue="1">
      <formula>AH268</formula>
    </cfRule>
  </conditionalFormatting>
  <conditionalFormatting sqref="K268:N275">
    <cfRule type="expression" dxfId="41" priority="34" stopIfTrue="1">
      <formula>AL268</formula>
    </cfRule>
  </conditionalFormatting>
  <conditionalFormatting sqref="K276:N276">
    <cfRule type="expression" dxfId="40" priority="32" stopIfTrue="1">
      <formula>AO276</formula>
    </cfRule>
  </conditionalFormatting>
  <conditionalFormatting sqref="D302:G310">
    <cfRule type="expression" dxfId="39" priority="30" stopIfTrue="1">
      <formula>AH302</formula>
    </cfRule>
  </conditionalFormatting>
  <conditionalFormatting sqref="K302:N309">
    <cfRule type="expression" dxfId="38" priority="31" stopIfTrue="1">
      <formula>AL302</formula>
    </cfRule>
  </conditionalFormatting>
  <conditionalFormatting sqref="K310:N310">
    <cfRule type="expression" dxfId="37" priority="29" stopIfTrue="1">
      <formula>AO310</formula>
    </cfRule>
  </conditionalFormatting>
  <conditionalFormatting sqref="D336:G344">
    <cfRule type="expression" dxfId="36" priority="27" stopIfTrue="1">
      <formula>AH336</formula>
    </cfRule>
  </conditionalFormatting>
  <conditionalFormatting sqref="K336:N343">
    <cfRule type="expression" dxfId="35" priority="28" stopIfTrue="1">
      <formula>AL336</formula>
    </cfRule>
  </conditionalFormatting>
  <conditionalFormatting sqref="K344:N344">
    <cfRule type="expression" dxfId="34" priority="26" stopIfTrue="1">
      <formula>AO344</formula>
    </cfRule>
  </conditionalFormatting>
  <conditionalFormatting sqref="D370:G378">
    <cfRule type="expression" dxfId="33" priority="24" stopIfTrue="1">
      <formula>AH370</formula>
    </cfRule>
  </conditionalFormatting>
  <conditionalFormatting sqref="K370:N377">
    <cfRule type="expression" dxfId="32" priority="25" stopIfTrue="1">
      <formula>AL370</formula>
    </cfRule>
  </conditionalFormatting>
  <conditionalFormatting sqref="K378:N378">
    <cfRule type="expression" dxfId="31" priority="23" stopIfTrue="1">
      <formula>AO378</formula>
    </cfRule>
  </conditionalFormatting>
  <conditionalFormatting sqref="D404:G412">
    <cfRule type="expression" dxfId="30" priority="21" stopIfTrue="1">
      <formula>AH404</formula>
    </cfRule>
  </conditionalFormatting>
  <conditionalFormatting sqref="K404:N411">
    <cfRule type="expression" dxfId="29" priority="22" stopIfTrue="1">
      <formula>AL404</formula>
    </cfRule>
  </conditionalFormatting>
  <conditionalFormatting sqref="K412:N412">
    <cfRule type="expression" dxfId="28" priority="20" stopIfTrue="1">
      <formula>AO412</formula>
    </cfRule>
  </conditionalFormatting>
  <conditionalFormatting sqref="D438:G446">
    <cfRule type="expression" dxfId="27" priority="18" stopIfTrue="1">
      <formula>AH438</formula>
    </cfRule>
  </conditionalFormatting>
  <conditionalFormatting sqref="K438:N445">
    <cfRule type="expression" dxfId="26" priority="19" stopIfTrue="1">
      <formula>AL438</formula>
    </cfRule>
  </conditionalFormatting>
  <conditionalFormatting sqref="K446:N446">
    <cfRule type="expression" dxfId="25" priority="17" stopIfTrue="1">
      <formula>AO446</formula>
    </cfRule>
  </conditionalFormatting>
  <conditionalFormatting sqref="D472:G480">
    <cfRule type="expression" dxfId="24" priority="15" stopIfTrue="1">
      <formula>AH472</formula>
    </cfRule>
  </conditionalFormatting>
  <conditionalFormatting sqref="K472:N479">
    <cfRule type="expression" dxfId="23" priority="16" stopIfTrue="1">
      <formula>AL472</formula>
    </cfRule>
  </conditionalFormatting>
  <conditionalFormatting sqref="K480:N480">
    <cfRule type="expression" dxfId="22" priority="14" stopIfTrue="1">
      <formula>AO480</formula>
    </cfRule>
  </conditionalFormatting>
  <conditionalFormatting sqref="D506:G514">
    <cfRule type="expression" dxfId="21" priority="12" stopIfTrue="1">
      <formula>AH506</formula>
    </cfRule>
  </conditionalFormatting>
  <conditionalFormatting sqref="K506:N513">
    <cfRule type="expression" dxfId="20" priority="13" stopIfTrue="1">
      <formula>AL506</formula>
    </cfRule>
  </conditionalFormatting>
  <conditionalFormatting sqref="K514:N514">
    <cfRule type="expression" dxfId="19" priority="11" stopIfTrue="1">
      <formula>AO514</formula>
    </cfRule>
  </conditionalFormatting>
  <conditionalFormatting sqref="D540:G548">
    <cfRule type="expression" dxfId="18" priority="9" stopIfTrue="1">
      <formula>AH540</formula>
    </cfRule>
  </conditionalFormatting>
  <conditionalFormatting sqref="K540:N547">
    <cfRule type="expression" dxfId="17" priority="10" stopIfTrue="1">
      <formula>AL540</formula>
    </cfRule>
  </conditionalFormatting>
  <conditionalFormatting sqref="K548:N548">
    <cfRule type="expression" dxfId="16" priority="8" stopIfTrue="1">
      <formula>AO548</formula>
    </cfRule>
  </conditionalFormatting>
  <conditionalFormatting sqref="D574:G582">
    <cfRule type="expression" dxfId="15" priority="6" stopIfTrue="1">
      <formula>AH574</formula>
    </cfRule>
  </conditionalFormatting>
  <conditionalFormatting sqref="K574:N581">
    <cfRule type="expression" dxfId="14" priority="7" stopIfTrue="1">
      <formula>AL574</formula>
    </cfRule>
  </conditionalFormatting>
  <conditionalFormatting sqref="K582:N582">
    <cfRule type="expression" dxfId="13" priority="5" stopIfTrue="1">
      <formula>AO582</formula>
    </cfRule>
  </conditionalFormatting>
  <conditionalFormatting sqref="D608:G616">
    <cfRule type="expression" dxfId="12" priority="3" stopIfTrue="1">
      <formula>AH608</formula>
    </cfRule>
  </conditionalFormatting>
  <conditionalFormatting sqref="K608:N615">
    <cfRule type="expression" dxfId="11" priority="4" stopIfTrue="1">
      <formula>AL608</formula>
    </cfRule>
  </conditionalFormatting>
  <conditionalFormatting sqref="K616:N616">
    <cfRule type="expression" dxfId="10" priority="2" stopIfTrue="1">
      <formula>AO616</formula>
    </cfRule>
  </conditionalFormatting>
  <conditionalFormatting sqref="D642:G650">
    <cfRule type="expression" dxfId="9" priority="1" stopIfTrue="1">
      <formula>AH642</formula>
    </cfRule>
  </conditionalFormatting>
  <dataValidations count="7">
    <dataValidation type="list" allowBlank="1" showInputMessage="1" showErrorMessage="1" sqref="D268:D276 D608:D616 D40:D48 D438:D446 D24:D32 D168:D176 D72:D80 D623:D636 D472:D480 D487:D500 D56:D64 D104:D112 D88:D96 D136:D144 D574:D582 D589:D602 D152:D160 D506:D514 D657:D670 D200:D208 D234:D242 D404:D412 D184:D192 D540:D548 D120:D128 D249:D262 D302:D310 D370:D378 D283:D296 D215:D228 D555:D568 D8:D16 D336:D344 D317:D330 D351:D364 D521:D534 D453:D466 D419:D432 D642:D650 D385:D398">
      <formula1>INDIRECT($AB8)</formula1>
    </dataValidation>
    <dataValidation type="list" allowBlank="1" showInputMessage="1" showErrorMessage="1" sqref="G268:G276 G574:G582 G40:G48 G24:G32 G168:G176 G72:G80 G608:G616 G404:G412 G438:G446 G472:G480 G56:G64 G104:G112 G88:G96 G136:G144 G589:G602 G540:G548 G152:G160 G487:G500 G657:G670 G200:G208 G234:G242 G419:G432 G184:G192 G506:G514 G120:G128 G249:G262 G302:G310 G370:G378 G283:G296 G215:G228 G555:G568 G8:G16 G336:G344 G317:G330 G351:G364 G521:G534 G453:G466 G623:G636 G642:G650 G385:G398">
      <formula1>INDIRECT($AC8)</formula1>
    </dataValidation>
    <dataValidation type="list" allowBlank="1" showInputMessage="1" showErrorMessage="1" sqref="K8:K16 K623:K636 K40:K48 K72:K80 K283:K296 K104:K112 K136:K144 K168:K176 K200:K208 K234:K242 K268:K276 K302:K310 K336:K344 K317:K330 K370:K378 K351:K364 K419:K432 K453:K466 K487:K500 K521:K534 K555:K568 K589:K602 K608:K616 K404:K412 K438:K446 K472:K480 K506:K514 K540:K548 K574:K582 K24:K32 K385:K398 K56:K64 K88:K96 K120:K128 K152:K160 K184:K192 K215:K228 K249:K262">
      <formula1>INDIRECT($AD8)</formula1>
    </dataValidation>
    <dataValidation type="list" allowBlank="1" showInputMessage="1" showErrorMessage="1" sqref="N8:N16 N623:N636 N40:N48 N72:N80 N283:N296 N104:N112 N136:N144 N168:N176 N200:N208 N234:N242 N268:N276 N302:N310 N336:N344 N317:N330 N370:N378 N351:N364 N419:N432 N453:N466 N487:N500 N521:N534 N555:N568 N589:N602 N608:N616 N404:N412 N438:N446 N472:N480 N506:N514 N540:N548 N574:N582 N24:N32 N385:N398 N56:N64 N88:N96 N120:N128 N152:N160 N184:N192 N215:N228 N249:N262">
      <formula1>INDIRECT($AE8)</formula1>
    </dataValidation>
    <dataValidation type="whole" allowBlank="1" showInputMessage="1" showErrorMessage="1" sqref="L607:M607 L135:M135 E151:F151 E87:F87 L23:M23 E39:F39 E71:F71 L7:M7 E183:F183 E135:F135 E55:F55 E7:F7 E103:F103 L71:M71 L39:M39 E23:F23 L103:M103 E335:F335 L55:M55 E119:F119 E369:F369 L87:M87 L335:M335 E301:F301 L301:M301 L119:M119 E267:F267 L151:M151 L267:M267 L369:M369 E233:F233 L233:M233 L183:M183 E199:F199 E167:F167 L199:M199 L167:M167 E539:F539 E505:F505 E471:F471 E437:F437 L403:M403 E607:F607 E573:F573 E641:F641 L573:M573 E403:F403 L437:M437 L471:M471 L505:M505 L539:M539">
      <formula1>0</formula1>
      <formula2>20</formula2>
    </dataValidation>
    <dataValidation type="whole" allowBlank="1" showInputMessage="1" showErrorMessage="1" sqref="L608:M616 E24:F32 L72:M80 L8:M16 L24:M32 E40:F48 E152:F160 E88:F96 E184:F192 L40:M48 L120:M128 E336:F344 L56:M64 E120:F128 E104:F112 E370:F378 L136:M144 L370:M378 L336:M344 L88:M96 E268:F276 L268:M276 L152:M160 E234:F242 E72:F80 E302:F310 L302:M310 L184:M192 L234:M242 E168:F176 E200:F208 E56:F64 L200:M208 L168:M176 L104:M112 E136:F144 E8:F16 E642:F650 L574:M582 E608:F616 E404:F412 L404:M412 E438:F446 L438:M446 E472:F480 L472:M480 E506:F514 L506:M514 E540:F548 L540:M548 E574:F582">
      <formula1>0</formula1>
      <formula2>150</formula2>
    </dataValidation>
    <dataValidation type="list" allowBlank="1" showInputMessage="1" showErrorMessage="1" sqref="E419:F432 E453:F466 E623:F636 L419:M432 L453:M466 E589:F602 E487:F500 L623:M636 E521:F534 L487:M500 E555:F568 L521:M534 L589:M602 L555:M568 E657:F670 L385:M398 E215:F228 L215:M228 E249:F262 L249:M262 E283:F296 L283:M296 E317:F330 L317:M330 E351:F364 L351:M364 E385:F398">
      <formula1>$W$218:$W$219</formula1>
    </dataValidation>
  </dataValidations>
  <pageMargins left="0.31496062992125984" right="0.31496062992125984" top="0.51181102362204722" bottom="0.51181102362204722" header="0.51181102362204722" footer="0.51181102362204722"/>
  <pageSetup paperSize="9" scale="80" orientation="landscape" horizontalDpi="300" verticalDpi="300" r:id="rId1"/>
  <headerFooter alignWithMargins="0"/>
  <rowBreaks count="19" manualBreakCount="19">
    <brk id="36" max="15" man="1"/>
    <brk id="68" max="15" man="1"/>
    <brk id="100" max="15" man="1"/>
    <brk id="132" max="15" man="1"/>
    <brk id="164" max="15" man="1"/>
    <brk id="196" max="15" man="1"/>
    <brk id="230" max="15" man="1"/>
    <brk id="264" max="15" man="1"/>
    <brk id="298" max="15" man="1"/>
    <brk id="332" max="15" man="1"/>
    <brk id="366" max="15" man="1"/>
    <brk id="400" max="15" man="1"/>
    <brk id="434" max="15" man="1"/>
    <brk id="468" max="15" man="1"/>
    <brk id="502" max="15" man="1"/>
    <brk id="536" max="15" man="1"/>
    <brk id="570" max="15" man="1"/>
    <brk id="604" max="15" man="1"/>
    <brk id="638" max="15" man="1"/>
  </rowBreaks>
  <drawing r:id="rId2"/>
  <picture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8">
    <pageSetUpPr autoPageBreaks="0"/>
  </sheetPr>
  <dimension ref="A1:Z309"/>
  <sheetViews>
    <sheetView showGridLines="0" showRowColHeaders="0" zoomScaleNormal="100" workbookViewId="0">
      <pane ySplit="5" topLeftCell="A6" activePane="bottomLeft" state="frozen"/>
      <selection activeCell="A453" sqref="A453:A486"/>
      <selection pane="bottomLeft"/>
    </sheetView>
  </sheetViews>
  <sheetFormatPr defaultRowHeight="15" x14ac:dyDescent="0.3"/>
  <cols>
    <col min="1" max="1" width="1.42578125" style="564" customWidth="1"/>
    <col min="2" max="2" width="3" style="10" customWidth="1"/>
    <col min="3" max="3" width="3.28515625" style="244" hidden="1" customWidth="1"/>
    <col min="4" max="4" width="3.28515625" style="243" hidden="1" customWidth="1"/>
    <col min="5" max="6" width="9.140625" style="243" hidden="1" customWidth="1"/>
    <col min="7" max="7" width="3.28515625" style="243" hidden="1" customWidth="1"/>
    <col min="8" max="8" width="3.28515625" style="244" hidden="1" customWidth="1"/>
    <col min="9" max="9" width="11.42578125" style="248" customWidth="1"/>
    <col min="10" max="10" width="28.5703125" style="621" customWidth="1"/>
    <col min="11" max="11" width="20.140625" style="621" customWidth="1"/>
    <col min="12" max="12" width="14.140625" style="621" customWidth="1"/>
    <col min="13" max="13" width="18.5703125" style="621" customWidth="1"/>
    <col min="14" max="16" width="8.85546875" style="621" customWidth="1"/>
    <col min="17" max="17" width="3.28515625" style="133" customWidth="1"/>
    <col min="18" max="18" width="49.85546875" style="134" customWidth="1"/>
    <col min="19" max="19" width="3" style="10" customWidth="1"/>
    <col min="20" max="16384" width="9.140625" style="10"/>
  </cols>
  <sheetData>
    <row r="1" spans="1:26" s="561" customFormat="1" ht="9.75" customHeight="1" x14ac:dyDescent="0.2">
      <c r="G1" s="562"/>
      <c r="J1" s="619"/>
      <c r="K1" s="619"/>
      <c r="L1" s="619"/>
      <c r="M1" s="619"/>
      <c r="N1" s="619"/>
      <c r="O1" s="619"/>
      <c r="P1" s="619"/>
    </row>
    <row r="2" spans="1:26" s="561" customFormat="1" ht="9.75" customHeight="1" x14ac:dyDescent="0.2">
      <c r="G2" s="562"/>
      <c r="J2" s="619"/>
      <c r="K2" s="619"/>
      <c r="L2" s="619"/>
      <c r="M2" s="619"/>
      <c r="N2" s="619"/>
      <c r="O2" s="619"/>
      <c r="P2" s="619"/>
    </row>
    <row r="3" spans="1:26" s="561" customFormat="1" ht="9" customHeight="1" thickBot="1" x14ac:dyDescent="0.25">
      <c r="A3" s="563"/>
      <c r="B3" s="563"/>
      <c r="C3" s="563"/>
      <c r="D3" s="563"/>
      <c r="E3" s="563"/>
      <c r="F3" s="563"/>
      <c r="G3" s="562"/>
      <c r="J3" s="619"/>
      <c r="K3" s="619"/>
      <c r="L3" s="619"/>
      <c r="M3" s="619"/>
      <c r="N3" s="619"/>
      <c r="O3" s="619"/>
      <c r="P3" s="619"/>
    </row>
    <row r="4" spans="1:26" s="565" customFormat="1" ht="12" customHeight="1" thickTop="1" x14ac:dyDescent="0.2">
      <c r="B4" s="567" t="s">
        <v>683</v>
      </c>
      <c r="G4" s="566"/>
      <c r="J4" s="620"/>
      <c r="K4" s="620"/>
      <c r="L4" s="620"/>
      <c r="M4" s="620"/>
      <c r="N4" s="620"/>
      <c r="O4" s="620"/>
      <c r="P4" s="620"/>
    </row>
    <row r="5" spans="1:26" s="569" customFormat="1" ht="9.75" customHeight="1" x14ac:dyDescent="0.2">
      <c r="A5" s="568"/>
      <c r="I5" s="573"/>
      <c r="J5" s="573" t="s">
        <v>1258</v>
      </c>
      <c r="K5" s="574" t="s">
        <v>504</v>
      </c>
      <c r="L5" s="574" t="s">
        <v>505</v>
      </c>
      <c r="M5" s="574" t="s">
        <v>506</v>
      </c>
      <c r="N5" s="575" t="s">
        <v>1252</v>
      </c>
      <c r="O5" s="575" t="s">
        <v>1253</v>
      </c>
      <c r="P5" s="575" t="s">
        <v>1254</v>
      </c>
      <c r="Q5" s="575"/>
      <c r="R5" s="575" t="s">
        <v>1255</v>
      </c>
      <c r="S5" s="571"/>
      <c r="T5" s="571"/>
      <c r="U5" s="571"/>
      <c r="V5" s="571"/>
      <c r="W5" s="571"/>
      <c r="Y5" s="571"/>
      <c r="Z5" s="571"/>
    </row>
    <row r="6" spans="1:26" ht="12.75" customHeight="1" x14ac:dyDescent="0.3">
      <c r="E6" s="245" t="b">
        <v>1</v>
      </c>
    </row>
    <row r="7" spans="1:26" x14ac:dyDescent="0.3">
      <c r="E7" s="243">
        <v>1</v>
      </c>
      <c r="F7" s="243">
        <f>LARGE(Csapatok!$G$7:$G$965,E7)</f>
        <v>9.4600000000001683E-2</v>
      </c>
      <c r="I7" s="519" t="str">
        <f t="shared" ref="I7:I70" si="0">IF(OR(F7&lt;1,ROUNDDOWN(F7,0)=ROUNDDOWN(F6,0)),"",CONCATENATE(ROUNDDOWN(F7,0)," GÓL   "))</f>
        <v/>
      </c>
      <c r="J7" s="296" t="str">
        <f t="shared" ref="J7:J70" si="1">IF($F7&lt;1,"",CONCATENATE(" ",VLOOKUP($F7,nevek,4,FALSE)," ",VLOOKUP($F7,nevek,3,FALSE)))</f>
        <v/>
      </c>
      <c r="K7" s="296" t="str">
        <f t="shared" ref="K7:K70" si="2">IF($F7&lt;1,"",VLOOKUP($F7,nevek,2,FALSE))</f>
        <v/>
      </c>
      <c r="L7" s="296" t="str">
        <f t="shared" ref="L7:L70" si="3">IF($F7&lt;1,"",VLOOKUP($F7,nevek,6,FALSE))</f>
        <v/>
      </c>
      <c r="M7" s="296" t="str">
        <f t="shared" ref="M7:M70" si="4">IF($F7&lt;1,"",VLOOKUP($F7,nevek,7,FALSE))</f>
        <v/>
      </c>
      <c r="N7" s="622" t="str">
        <f t="shared" ref="N7:N70" si="5">IF($F7&lt;1,"",VLOOKUP($F7,nevek,10,FALSE))</f>
        <v/>
      </c>
      <c r="O7" s="623" t="str">
        <f t="shared" ref="O7:O70" si="6">IF($F7&lt;1,"",VLOOKUP($F7,nevek,11,FALSE))</f>
        <v/>
      </c>
      <c r="P7" s="624" t="str">
        <f t="shared" ref="P7:P70" si="7">IF($F7&lt;1,"",VLOOKUP($F7,nevek,12,FALSE))</f>
        <v/>
      </c>
      <c r="Q7" s="10"/>
      <c r="R7" s="250"/>
    </row>
    <row r="8" spans="1:26" x14ac:dyDescent="0.3">
      <c r="E8" s="243">
        <f>E7+1</f>
        <v>2</v>
      </c>
      <c r="F8" s="243">
        <f>LARGE(Csapatok!$G$7:$G$965,E8)</f>
        <v>9.450000000000168E-2</v>
      </c>
      <c r="I8" s="519" t="str">
        <f t="shared" si="0"/>
        <v/>
      </c>
      <c r="J8" s="625" t="str">
        <f t="shared" si="1"/>
        <v/>
      </c>
      <c r="K8" s="626" t="str">
        <f t="shared" si="2"/>
        <v/>
      </c>
      <c r="L8" s="626" t="str">
        <f t="shared" si="3"/>
        <v/>
      </c>
      <c r="M8" s="626" t="str">
        <f t="shared" si="4"/>
        <v/>
      </c>
      <c r="N8" s="627" t="str">
        <f t="shared" si="5"/>
        <v/>
      </c>
      <c r="O8" s="628" t="str">
        <f t="shared" si="6"/>
        <v/>
      </c>
      <c r="P8" s="629" t="str">
        <f t="shared" si="7"/>
        <v/>
      </c>
      <c r="Q8" s="10"/>
      <c r="R8" s="251"/>
    </row>
    <row r="9" spans="1:26" x14ac:dyDescent="0.3">
      <c r="E9" s="243">
        <f t="shared" ref="E9:E72" si="8">E8+1</f>
        <v>3</v>
      </c>
      <c r="F9" s="243">
        <f>LARGE(Csapatok!$G$7:$G$965,E9)</f>
        <v>9.4400000000001677E-2</v>
      </c>
      <c r="I9" s="519" t="str">
        <f t="shared" si="0"/>
        <v/>
      </c>
      <c r="J9" s="625" t="str">
        <f t="shared" si="1"/>
        <v/>
      </c>
      <c r="K9" s="626" t="str">
        <f t="shared" si="2"/>
        <v/>
      </c>
      <c r="L9" s="626" t="str">
        <f t="shared" si="3"/>
        <v/>
      </c>
      <c r="M9" s="626" t="str">
        <f t="shared" si="4"/>
        <v/>
      </c>
      <c r="N9" s="627" t="str">
        <f t="shared" si="5"/>
        <v/>
      </c>
      <c r="O9" s="628" t="str">
        <f t="shared" si="6"/>
        <v/>
      </c>
      <c r="P9" s="629" t="str">
        <f t="shared" si="7"/>
        <v/>
      </c>
      <c r="Q9" s="10"/>
      <c r="R9" s="251"/>
    </row>
    <row r="10" spans="1:26" x14ac:dyDescent="0.3">
      <c r="E10" s="243">
        <f t="shared" si="8"/>
        <v>4</v>
      </c>
      <c r="F10" s="243">
        <f>LARGE(Csapatok!$G$7:$G$965,E10)</f>
        <v>9.4300000000001674E-2</v>
      </c>
      <c r="I10" s="519" t="str">
        <f t="shared" si="0"/>
        <v/>
      </c>
      <c r="J10" s="625" t="str">
        <f t="shared" si="1"/>
        <v/>
      </c>
      <c r="K10" s="626" t="str">
        <f t="shared" si="2"/>
        <v/>
      </c>
      <c r="L10" s="626" t="str">
        <f t="shared" si="3"/>
        <v/>
      </c>
      <c r="M10" s="626" t="str">
        <f t="shared" si="4"/>
        <v/>
      </c>
      <c r="N10" s="627" t="str">
        <f t="shared" si="5"/>
        <v/>
      </c>
      <c r="O10" s="628" t="str">
        <f t="shared" si="6"/>
        <v/>
      </c>
      <c r="P10" s="629" t="str">
        <f t="shared" si="7"/>
        <v/>
      </c>
      <c r="Q10" s="10"/>
      <c r="R10" s="251"/>
    </row>
    <row r="11" spans="1:26" x14ac:dyDescent="0.3">
      <c r="E11" s="243">
        <f t="shared" si="8"/>
        <v>5</v>
      </c>
      <c r="F11" s="243">
        <f>LARGE(Csapatok!$G$7:$G$965,E11)</f>
        <v>9.4200000000001671E-2</v>
      </c>
      <c r="I11" s="519" t="str">
        <f t="shared" si="0"/>
        <v/>
      </c>
      <c r="J11" s="625" t="str">
        <f t="shared" si="1"/>
        <v/>
      </c>
      <c r="K11" s="626" t="str">
        <f t="shared" si="2"/>
        <v/>
      </c>
      <c r="L11" s="626" t="str">
        <f t="shared" si="3"/>
        <v/>
      </c>
      <c r="M11" s="626" t="str">
        <f t="shared" si="4"/>
        <v/>
      </c>
      <c r="N11" s="627" t="str">
        <f t="shared" si="5"/>
        <v/>
      </c>
      <c r="O11" s="628" t="str">
        <f t="shared" si="6"/>
        <v/>
      </c>
      <c r="P11" s="629" t="str">
        <f t="shared" si="7"/>
        <v/>
      </c>
      <c r="Q11" s="10"/>
      <c r="R11" s="251"/>
    </row>
    <row r="12" spans="1:26" x14ac:dyDescent="0.3">
      <c r="E12" s="243">
        <f t="shared" si="8"/>
        <v>6</v>
      </c>
      <c r="F12" s="243">
        <f>LARGE(Csapatok!$G$7:$G$965,E12)</f>
        <v>9.4100000000001668E-2</v>
      </c>
      <c r="I12" s="519" t="str">
        <f t="shared" si="0"/>
        <v/>
      </c>
      <c r="J12" s="625" t="str">
        <f t="shared" si="1"/>
        <v/>
      </c>
      <c r="K12" s="626" t="str">
        <f t="shared" si="2"/>
        <v/>
      </c>
      <c r="L12" s="626" t="str">
        <f t="shared" si="3"/>
        <v/>
      </c>
      <c r="M12" s="626" t="str">
        <f t="shared" si="4"/>
        <v/>
      </c>
      <c r="N12" s="627" t="str">
        <f t="shared" si="5"/>
        <v/>
      </c>
      <c r="O12" s="628" t="str">
        <f t="shared" si="6"/>
        <v/>
      </c>
      <c r="P12" s="629" t="str">
        <f t="shared" si="7"/>
        <v/>
      </c>
      <c r="Q12" s="10"/>
      <c r="R12" s="251"/>
    </row>
    <row r="13" spans="1:26" x14ac:dyDescent="0.3">
      <c r="E13" s="243">
        <f t="shared" si="8"/>
        <v>7</v>
      </c>
      <c r="F13" s="243">
        <f>LARGE(Csapatok!$G$7:$G$965,E13)</f>
        <v>9.4000000000001666E-2</v>
      </c>
      <c r="I13" s="519" t="str">
        <f t="shared" si="0"/>
        <v/>
      </c>
      <c r="J13" s="625" t="str">
        <f t="shared" si="1"/>
        <v/>
      </c>
      <c r="K13" s="626" t="str">
        <f t="shared" si="2"/>
        <v/>
      </c>
      <c r="L13" s="626" t="str">
        <f t="shared" si="3"/>
        <v/>
      </c>
      <c r="M13" s="626" t="str">
        <f t="shared" si="4"/>
        <v/>
      </c>
      <c r="N13" s="627" t="str">
        <f t="shared" si="5"/>
        <v/>
      </c>
      <c r="O13" s="628" t="str">
        <f t="shared" si="6"/>
        <v/>
      </c>
      <c r="P13" s="629" t="str">
        <f t="shared" si="7"/>
        <v/>
      </c>
      <c r="Q13" s="10"/>
      <c r="R13" s="251"/>
    </row>
    <row r="14" spans="1:26" x14ac:dyDescent="0.3">
      <c r="E14" s="243">
        <f t="shared" si="8"/>
        <v>8</v>
      </c>
      <c r="F14" s="243">
        <f>LARGE(Csapatok!$G$7:$G$965,E14)</f>
        <v>9.3900000000001663E-2</v>
      </c>
      <c r="I14" s="519" t="str">
        <f t="shared" si="0"/>
        <v/>
      </c>
      <c r="J14" s="625" t="str">
        <f t="shared" si="1"/>
        <v/>
      </c>
      <c r="K14" s="626" t="str">
        <f t="shared" si="2"/>
        <v/>
      </c>
      <c r="L14" s="626" t="str">
        <f t="shared" si="3"/>
        <v/>
      </c>
      <c r="M14" s="626" t="str">
        <f t="shared" si="4"/>
        <v/>
      </c>
      <c r="N14" s="627" t="str">
        <f t="shared" si="5"/>
        <v/>
      </c>
      <c r="O14" s="628" t="str">
        <f t="shared" si="6"/>
        <v/>
      </c>
      <c r="P14" s="629" t="str">
        <f t="shared" si="7"/>
        <v/>
      </c>
      <c r="Q14" s="10"/>
      <c r="R14" s="251"/>
    </row>
    <row r="15" spans="1:26" x14ac:dyDescent="0.3">
      <c r="E15" s="243">
        <f t="shared" si="8"/>
        <v>9</v>
      </c>
      <c r="F15" s="243">
        <f>LARGE(Csapatok!$G$7:$G$965,E15)</f>
        <v>9.380000000000166E-2</v>
      </c>
      <c r="I15" s="519" t="str">
        <f t="shared" si="0"/>
        <v/>
      </c>
      <c r="J15" s="625" t="str">
        <f t="shared" si="1"/>
        <v/>
      </c>
      <c r="K15" s="626" t="str">
        <f t="shared" si="2"/>
        <v/>
      </c>
      <c r="L15" s="626" t="str">
        <f t="shared" si="3"/>
        <v/>
      </c>
      <c r="M15" s="626" t="str">
        <f t="shared" si="4"/>
        <v/>
      </c>
      <c r="N15" s="627" t="str">
        <f t="shared" si="5"/>
        <v/>
      </c>
      <c r="O15" s="628" t="str">
        <f t="shared" si="6"/>
        <v/>
      </c>
      <c r="P15" s="629" t="str">
        <f t="shared" si="7"/>
        <v/>
      </c>
      <c r="Q15" s="10"/>
      <c r="R15" s="251"/>
    </row>
    <row r="16" spans="1:26" x14ac:dyDescent="0.3">
      <c r="E16" s="243">
        <f t="shared" si="8"/>
        <v>10</v>
      </c>
      <c r="F16" s="243">
        <f>LARGE(Csapatok!$G$7:$G$965,E16)</f>
        <v>9.3700000000001657E-2</v>
      </c>
      <c r="I16" s="519" t="str">
        <f t="shared" si="0"/>
        <v/>
      </c>
      <c r="J16" s="625" t="str">
        <f t="shared" si="1"/>
        <v/>
      </c>
      <c r="K16" s="626" t="str">
        <f t="shared" si="2"/>
        <v/>
      </c>
      <c r="L16" s="626" t="str">
        <f t="shared" si="3"/>
        <v/>
      </c>
      <c r="M16" s="626" t="str">
        <f t="shared" si="4"/>
        <v/>
      </c>
      <c r="N16" s="627" t="str">
        <f t="shared" si="5"/>
        <v/>
      </c>
      <c r="O16" s="628" t="str">
        <f t="shared" si="6"/>
        <v/>
      </c>
      <c r="P16" s="629" t="str">
        <f t="shared" si="7"/>
        <v/>
      </c>
      <c r="Q16" s="10"/>
      <c r="R16" s="251"/>
    </row>
    <row r="17" spans="5:18" x14ac:dyDescent="0.3">
      <c r="E17" s="243">
        <f t="shared" si="8"/>
        <v>11</v>
      </c>
      <c r="F17" s="243">
        <f>LARGE(Csapatok!$G$7:$G$965,E17)</f>
        <v>9.3600000000001654E-2</v>
      </c>
      <c r="I17" s="519" t="str">
        <f t="shared" si="0"/>
        <v/>
      </c>
      <c r="J17" s="625" t="str">
        <f t="shared" si="1"/>
        <v/>
      </c>
      <c r="K17" s="626" t="str">
        <f t="shared" si="2"/>
        <v/>
      </c>
      <c r="L17" s="626" t="str">
        <f t="shared" si="3"/>
        <v/>
      </c>
      <c r="M17" s="626" t="str">
        <f t="shared" si="4"/>
        <v/>
      </c>
      <c r="N17" s="627" t="str">
        <f t="shared" si="5"/>
        <v/>
      </c>
      <c r="O17" s="628" t="str">
        <f t="shared" si="6"/>
        <v/>
      </c>
      <c r="P17" s="629" t="str">
        <f t="shared" si="7"/>
        <v/>
      </c>
      <c r="Q17" s="10"/>
      <c r="R17" s="251"/>
    </row>
    <row r="18" spans="5:18" x14ac:dyDescent="0.3">
      <c r="E18" s="243">
        <f t="shared" si="8"/>
        <v>12</v>
      </c>
      <c r="F18" s="243">
        <f>LARGE(Csapatok!$G$7:$G$965,E18)</f>
        <v>9.3500000000001651E-2</v>
      </c>
      <c r="I18" s="519" t="str">
        <f t="shared" si="0"/>
        <v/>
      </c>
      <c r="J18" s="625" t="str">
        <f t="shared" si="1"/>
        <v/>
      </c>
      <c r="K18" s="626" t="str">
        <f t="shared" si="2"/>
        <v/>
      </c>
      <c r="L18" s="626" t="str">
        <f t="shared" si="3"/>
        <v/>
      </c>
      <c r="M18" s="626" t="str">
        <f t="shared" si="4"/>
        <v/>
      </c>
      <c r="N18" s="627" t="str">
        <f t="shared" si="5"/>
        <v/>
      </c>
      <c r="O18" s="628" t="str">
        <f t="shared" si="6"/>
        <v/>
      </c>
      <c r="P18" s="629" t="str">
        <f t="shared" si="7"/>
        <v/>
      </c>
      <c r="Q18" s="10"/>
      <c r="R18" s="251"/>
    </row>
    <row r="19" spans="5:18" x14ac:dyDescent="0.3">
      <c r="E19" s="243">
        <f t="shared" si="8"/>
        <v>13</v>
      </c>
      <c r="F19" s="243">
        <f>LARGE(Csapatok!$G$7:$G$965,E19)</f>
        <v>9.3400000000001648E-2</v>
      </c>
      <c r="I19" s="519" t="str">
        <f t="shared" si="0"/>
        <v/>
      </c>
      <c r="J19" s="625" t="str">
        <f t="shared" si="1"/>
        <v/>
      </c>
      <c r="K19" s="626" t="str">
        <f t="shared" si="2"/>
        <v/>
      </c>
      <c r="L19" s="626" t="str">
        <f t="shared" si="3"/>
        <v/>
      </c>
      <c r="M19" s="626" t="str">
        <f t="shared" si="4"/>
        <v/>
      </c>
      <c r="N19" s="627" t="str">
        <f t="shared" si="5"/>
        <v/>
      </c>
      <c r="O19" s="628" t="str">
        <f t="shared" si="6"/>
        <v/>
      </c>
      <c r="P19" s="629" t="str">
        <f t="shared" si="7"/>
        <v/>
      </c>
      <c r="Q19" s="10"/>
      <c r="R19" s="251"/>
    </row>
    <row r="20" spans="5:18" x14ac:dyDescent="0.3">
      <c r="E20" s="243">
        <f t="shared" si="8"/>
        <v>14</v>
      </c>
      <c r="F20" s="243">
        <f>LARGE(Csapatok!$G$7:$G$965,E20)</f>
        <v>9.3300000000001646E-2</v>
      </c>
      <c r="I20" s="519" t="str">
        <f t="shared" si="0"/>
        <v/>
      </c>
      <c r="J20" s="625" t="str">
        <f t="shared" si="1"/>
        <v/>
      </c>
      <c r="K20" s="626" t="str">
        <f t="shared" si="2"/>
        <v/>
      </c>
      <c r="L20" s="626" t="str">
        <f t="shared" si="3"/>
        <v/>
      </c>
      <c r="M20" s="626" t="str">
        <f t="shared" si="4"/>
        <v/>
      </c>
      <c r="N20" s="627" t="str">
        <f t="shared" si="5"/>
        <v/>
      </c>
      <c r="O20" s="628" t="str">
        <f t="shared" si="6"/>
        <v/>
      </c>
      <c r="P20" s="629" t="str">
        <f t="shared" si="7"/>
        <v/>
      </c>
      <c r="Q20" s="10"/>
      <c r="R20" s="251"/>
    </row>
    <row r="21" spans="5:18" x14ac:dyDescent="0.3">
      <c r="E21" s="243">
        <f t="shared" si="8"/>
        <v>15</v>
      </c>
      <c r="F21" s="243">
        <f>LARGE(Csapatok!$G$7:$G$965,E21)</f>
        <v>9.3200000000001643E-2</v>
      </c>
      <c r="I21" s="519" t="str">
        <f t="shared" si="0"/>
        <v/>
      </c>
      <c r="J21" s="625" t="str">
        <f t="shared" si="1"/>
        <v/>
      </c>
      <c r="K21" s="626" t="str">
        <f t="shared" si="2"/>
        <v/>
      </c>
      <c r="L21" s="626" t="str">
        <f t="shared" si="3"/>
        <v/>
      </c>
      <c r="M21" s="626" t="str">
        <f t="shared" si="4"/>
        <v/>
      </c>
      <c r="N21" s="627" t="str">
        <f t="shared" si="5"/>
        <v/>
      </c>
      <c r="O21" s="628" t="str">
        <f t="shared" si="6"/>
        <v/>
      </c>
      <c r="P21" s="629" t="str">
        <f t="shared" si="7"/>
        <v/>
      </c>
      <c r="Q21" s="10"/>
      <c r="R21" s="251"/>
    </row>
    <row r="22" spans="5:18" x14ac:dyDescent="0.3">
      <c r="E22" s="243">
        <f t="shared" si="8"/>
        <v>16</v>
      </c>
      <c r="F22" s="243">
        <f>LARGE(Csapatok!$G$7:$G$965,E22)</f>
        <v>9.310000000000164E-2</v>
      </c>
      <c r="I22" s="519" t="str">
        <f t="shared" si="0"/>
        <v/>
      </c>
      <c r="J22" s="625" t="str">
        <f t="shared" si="1"/>
        <v/>
      </c>
      <c r="K22" s="626" t="str">
        <f t="shared" si="2"/>
        <v/>
      </c>
      <c r="L22" s="626" t="str">
        <f t="shared" si="3"/>
        <v/>
      </c>
      <c r="M22" s="626" t="str">
        <f t="shared" si="4"/>
        <v/>
      </c>
      <c r="N22" s="627" t="str">
        <f t="shared" si="5"/>
        <v/>
      </c>
      <c r="O22" s="628" t="str">
        <f t="shared" si="6"/>
        <v/>
      </c>
      <c r="P22" s="629" t="str">
        <f t="shared" si="7"/>
        <v/>
      </c>
      <c r="Q22" s="10"/>
      <c r="R22" s="251"/>
    </row>
    <row r="23" spans="5:18" x14ac:dyDescent="0.3">
      <c r="E23" s="243">
        <f t="shared" si="8"/>
        <v>17</v>
      </c>
      <c r="F23" s="243">
        <f>LARGE(Csapatok!$G$7:$G$965,E23)</f>
        <v>9.3000000000001637E-2</v>
      </c>
      <c r="I23" s="519" t="str">
        <f t="shared" si="0"/>
        <v/>
      </c>
      <c r="J23" s="625" t="str">
        <f t="shared" si="1"/>
        <v/>
      </c>
      <c r="K23" s="626" t="str">
        <f t="shared" si="2"/>
        <v/>
      </c>
      <c r="L23" s="626" t="str">
        <f t="shared" si="3"/>
        <v/>
      </c>
      <c r="M23" s="626" t="str">
        <f t="shared" si="4"/>
        <v/>
      </c>
      <c r="N23" s="627" t="str">
        <f t="shared" si="5"/>
        <v/>
      </c>
      <c r="O23" s="628" t="str">
        <f t="shared" si="6"/>
        <v/>
      </c>
      <c r="P23" s="629" t="str">
        <f t="shared" si="7"/>
        <v/>
      </c>
      <c r="Q23" s="10"/>
      <c r="R23" s="251"/>
    </row>
    <row r="24" spans="5:18" x14ac:dyDescent="0.3">
      <c r="E24" s="243">
        <f t="shared" si="8"/>
        <v>18</v>
      </c>
      <c r="F24" s="243">
        <f>LARGE(Csapatok!$G$7:$G$965,E24)</f>
        <v>9.2900000000001634E-2</v>
      </c>
      <c r="I24" s="519" t="str">
        <f t="shared" si="0"/>
        <v/>
      </c>
      <c r="J24" s="625" t="str">
        <f t="shared" si="1"/>
        <v/>
      </c>
      <c r="K24" s="626" t="str">
        <f t="shared" si="2"/>
        <v/>
      </c>
      <c r="L24" s="626" t="str">
        <f t="shared" si="3"/>
        <v/>
      </c>
      <c r="M24" s="626" t="str">
        <f t="shared" si="4"/>
        <v/>
      </c>
      <c r="N24" s="627" t="str">
        <f t="shared" si="5"/>
        <v/>
      </c>
      <c r="O24" s="628" t="str">
        <f t="shared" si="6"/>
        <v/>
      </c>
      <c r="P24" s="629" t="str">
        <f t="shared" si="7"/>
        <v/>
      </c>
      <c r="Q24" s="10"/>
      <c r="R24" s="251"/>
    </row>
    <row r="25" spans="5:18" x14ac:dyDescent="0.3">
      <c r="E25" s="243">
        <f t="shared" si="8"/>
        <v>19</v>
      </c>
      <c r="F25" s="243">
        <f>LARGE(Csapatok!$G$7:$G$965,E25)</f>
        <v>9.2800000000001631E-2</v>
      </c>
      <c r="I25" s="519" t="str">
        <f t="shared" si="0"/>
        <v/>
      </c>
      <c r="J25" s="625" t="str">
        <f t="shared" si="1"/>
        <v/>
      </c>
      <c r="K25" s="626" t="str">
        <f t="shared" si="2"/>
        <v/>
      </c>
      <c r="L25" s="626" t="str">
        <f t="shared" si="3"/>
        <v/>
      </c>
      <c r="M25" s="626" t="str">
        <f t="shared" si="4"/>
        <v/>
      </c>
      <c r="N25" s="627" t="str">
        <f t="shared" si="5"/>
        <v/>
      </c>
      <c r="O25" s="628" t="str">
        <f t="shared" si="6"/>
        <v/>
      </c>
      <c r="P25" s="629" t="str">
        <f t="shared" si="7"/>
        <v/>
      </c>
      <c r="Q25" s="10"/>
      <c r="R25" s="251"/>
    </row>
    <row r="26" spans="5:18" x14ac:dyDescent="0.3">
      <c r="E26" s="243">
        <f t="shared" si="8"/>
        <v>20</v>
      </c>
      <c r="F26" s="243">
        <f>LARGE(Csapatok!$G$7:$G$965,E26)</f>
        <v>9.2700000000001628E-2</v>
      </c>
      <c r="I26" s="519" t="str">
        <f t="shared" si="0"/>
        <v/>
      </c>
      <c r="J26" s="625" t="str">
        <f t="shared" si="1"/>
        <v/>
      </c>
      <c r="K26" s="626" t="str">
        <f t="shared" si="2"/>
        <v/>
      </c>
      <c r="L26" s="626" t="str">
        <f t="shared" si="3"/>
        <v/>
      </c>
      <c r="M26" s="626" t="str">
        <f t="shared" si="4"/>
        <v/>
      </c>
      <c r="N26" s="627" t="str">
        <f t="shared" si="5"/>
        <v/>
      </c>
      <c r="O26" s="628" t="str">
        <f t="shared" si="6"/>
        <v/>
      </c>
      <c r="P26" s="629" t="str">
        <f t="shared" si="7"/>
        <v/>
      </c>
      <c r="Q26" s="10"/>
      <c r="R26" s="251"/>
    </row>
    <row r="27" spans="5:18" x14ac:dyDescent="0.3">
      <c r="E27" s="243">
        <f t="shared" si="8"/>
        <v>21</v>
      </c>
      <c r="F27" s="243">
        <f>LARGE(Csapatok!$G$7:$G$965,E27)</f>
        <v>9.2600000000001625E-2</v>
      </c>
      <c r="I27" s="519" t="str">
        <f t="shared" si="0"/>
        <v/>
      </c>
      <c r="J27" s="625" t="str">
        <f t="shared" si="1"/>
        <v/>
      </c>
      <c r="K27" s="626" t="str">
        <f t="shared" si="2"/>
        <v/>
      </c>
      <c r="L27" s="626" t="str">
        <f t="shared" si="3"/>
        <v/>
      </c>
      <c r="M27" s="626" t="str">
        <f t="shared" si="4"/>
        <v/>
      </c>
      <c r="N27" s="627" t="str">
        <f t="shared" si="5"/>
        <v/>
      </c>
      <c r="O27" s="628" t="str">
        <f t="shared" si="6"/>
        <v/>
      </c>
      <c r="P27" s="629" t="str">
        <f t="shared" si="7"/>
        <v/>
      </c>
      <c r="Q27" s="10"/>
      <c r="R27" s="251"/>
    </row>
    <row r="28" spans="5:18" x14ac:dyDescent="0.3">
      <c r="E28" s="243">
        <f t="shared" si="8"/>
        <v>22</v>
      </c>
      <c r="F28" s="243">
        <f>LARGE(Csapatok!$G$7:$G$965,E28)</f>
        <v>9.2500000000001623E-2</v>
      </c>
      <c r="I28" s="519" t="str">
        <f t="shared" si="0"/>
        <v/>
      </c>
      <c r="J28" s="625" t="str">
        <f t="shared" si="1"/>
        <v/>
      </c>
      <c r="K28" s="626" t="str">
        <f t="shared" si="2"/>
        <v/>
      </c>
      <c r="L28" s="626" t="str">
        <f t="shared" si="3"/>
        <v/>
      </c>
      <c r="M28" s="626" t="str">
        <f t="shared" si="4"/>
        <v/>
      </c>
      <c r="N28" s="627" t="str">
        <f t="shared" si="5"/>
        <v/>
      </c>
      <c r="O28" s="628" t="str">
        <f t="shared" si="6"/>
        <v/>
      </c>
      <c r="P28" s="629" t="str">
        <f t="shared" si="7"/>
        <v/>
      </c>
      <c r="Q28" s="10"/>
      <c r="R28" s="251"/>
    </row>
    <row r="29" spans="5:18" x14ac:dyDescent="0.3">
      <c r="E29" s="243">
        <f t="shared" si="8"/>
        <v>23</v>
      </c>
      <c r="F29" s="243">
        <f>LARGE(Csapatok!$G$7:$G$965,E29)</f>
        <v>9.240000000000162E-2</v>
      </c>
      <c r="I29" s="519" t="str">
        <f t="shared" si="0"/>
        <v/>
      </c>
      <c r="J29" s="625" t="str">
        <f t="shared" si="1"/>
        <v/>
      </c>
      <c r="K29" s="626" t="str">
        <f t="shared" si="2"/>
        <v/>
      </c>
      <c r="L29" s="626" t="str">
        <f t="shared" si="3"/>
        <v/>
      </c>
      <c r="M29" s="626" t="str">
        <f t="shared" si="4"/>
        <v/>
      </c>
      <c r="N29" s="627" t="str">
        <f t="shared" si="5"/>
        <v/>
      </c>
      <c r="O29" s="628" t="str">
        <f t="shared" si="6"/>
        <v/>
      </c>
      <c r="P29" s="629" t="str">
        <f t="shared" si="7"/>
        <v/>
      </c>
      <c r="Q29" s="10"/>
      <c r="R29" s="251"/>
    </row>
    <row r="30" spans="5:18" x14ac:dyDescent="0.3">
      <c r="E30" s="243">
        <f t="shared" si="8"/>
        <v>24</v>
      </c>
      <c r="F30" s="243">
        <f>LARGE(Csapatok!$G$7:$G$965,E30)</f>
        <v>9.2300000000001617E-2</v>
      </c>
      <c r="I30" s="519" t="str">
        <f t="shared" si="0"/>
        <v/>
      </c>
      <c r="J30" s="625" t="str">
        <f t="shared" si="1"/>
        <v/>
      </c>
      <c r="K30" s="626" t="str">
        <f t="shared" si="2"/>
        <v/>
      </c>
      <c r="L30" s="626" t="str">
        <f t="shared" si="3"/>
        <v/>
      </c>
      <c r="M30" s="626" t="str">
        <f t="shared" si="4"/>
        <v/>
      </c>
      <c r="N30" s="627" t="str">
        <f t="shared" si="5"/>
        <v/>
      </c>
      <c r="O30" s="628" t="str">
        <f t="shared" si="6"/>
        <v/>
      </c>
      <c r="P30" s="629" t="str">
        <f t="shared" si="7"/>
        <v/>
      </c>
      <c r="Q30" s="10"/>
      <c r="R30" s="251"/>
    </row>
    <row r="31" spans="5:18" x14ac:dyDescent="0.3">
      <c r="E31" s="243">
        <f t="shared" si="8"/>
        <v>25</v>
      </c>
      <c r="F31" s="243">
        <f>LARGE(Csapatok!$G$7:$G$965,E31)</f>
        <v>9.2200000000001614E-2</v>
      </c>
      <c r="I31" s="519" t="str">
        <f t="shared" si="0"/>
        <v/>
      </c>
      <c r="J31" s="625" t="str">
        <f t="shared" si="1"/>
        <v/>
      </c>
      <c r="K31" s="626" t="str">
        <f t="shared" si="2"/>
        <v/>
      </c>
      <c r="L31" s="626" t="str">
        <f t="shared" si="3"/>
        <v/>
      </c>
      <c r="M31" s="626" t="str">
        <f t="shared" si="4"/>
        <v/>
      </c>
      <c r="N31" s="627" t="str">
        <f t="shared" si="5"/>
        <v/>
      </c>
      <c r="O31" s="628" t="str">
        <f t="shared" si="6"/>
        <v/>
      </c>
      <c r="P31" s="629" t="str">
        <f t="shared" si="7"/>
        <v/>
      </c>
      <c r="Q31" s="10"/>
      <c r="R31" s="251"/>
    </row>
    <row r="32" spans="5:18" x14ac:dyDescent="0.3">
      <c r="E32" s="243">
        <f t="shared" si="8"/>
        <v>26</v>
      </c>
      <c r="F32" s="243">
        <f>LARGE(Csapatok!$G$7:$G$965,E32)</f>
        <v>9.2100000000001611E-2</v>
      </c>
      <c r="I32" s="519" t="str">
        <f t="shared" si="0"/>
        <v/>
      </c>
      <c r="J32" s="625" t="str">
        <f t="shared" si="1"/>
        <v/>
      </c>
      <c r="K32" s="626" t="str">
        <f t="shared" si="2"/>
        <v/>
      </c>
      <c r="L32" s="626" t="str">
        <f t="shared" si="3"/>
        <v/>
      </c>
      <c r="M32" s="626" t="str">
        <f t="shared" si="4"/>
        <v/>
      </c>
      <c r="N32" s="627" t="str">
        <f t="shared" si="5"/>
        <v/>
      </c>
      <c r="O32" s="628" t="str">
        <f t="shared" si="6"/>
        <v/>
      </c>
      <c r="P32" s="629" t="str">
        <f t="shared" si="7"/>
        <v/>
      </c>
      <c r="Q32" s="10"/>
      <c r="R32" s="251"/>
    </row>
    <row r="33" spans="5:18" x14ac:dyDescent="0.3">
      <c r="E33" s="243">
        <f t="shared" si="8"/>
        <v>27</v>
      </c>
      <c r="F33" s="243">
        <f>LARGE(Csapatok!$G$7:$G$965,E33)</f>
        <v>9.0600000000001568E-2</v>
      </c>
      <c r="I33" s="519" t="str">
        <f t="shared" si="0"/>
        <v/>
      </c>
      <c r="J33" s="625" t="str">
        <f t="shared" si="1"/>
        <v/>
      </c>
      <c r="K33" s="626" t="str">
        <f t="shared" si="2"/>
        <v/>
      </c>
      <c r="L33" s="626" t="str">
        <f t="shared" si="3"/>
        <v/>
      </c>
      <c r="M33" s="626" t="str">
        <f t="shared" si="4"/>
        <v/>
      </c>
      <c r="N33" s="627" t="str">
        <f t="shared" si="5"/>
        <v/>
      </c>
      <c r="O33" s="628" t="str">
        <f t="shared" si="6"/>
        <v/>
      </c>
      <c r="P33" s="629" t="str">
        <f t="shared" si="7"/>
        <v/>
      </c>
      <c r="Q33" s="10"/>
      <c r="R33" s="251"/>
    </row>
    <row r="34" spans="5:18" x14ac:dyDescent="0.3">
      <c r="E34" s="243">
        <f t="shared" si="8"/>
        <v>28</v>
      </c>
      <c r="F34" s="243">
        <f>LARGE(Csapatok!$G$7:$G$965,E34)</f>
        <v>9.0500000000001565E-2</v>
      </c>
      <c r="I34" s="519" t="str">
        <f t="shared" si="0"/>
        <v/>
      </c>
      <c r="J34" s="625" t="str">
        <f t="shared" si="1"/>
        <v/>
      </c>
      <c r="K34" s="626" t="str">
        <f t="shared" si="2"/>
        <v/>
      </c>
      <c r="L34" s="626" t="str">
        <f t="shared" si="3"/>
        <v/>
      </c>
      <c r="M34" s="626" t="str">
        <f t="shared" si="4"/>
        <v/>
      </c>
      <c r="N34" s="627" t="str">
        <f t="shared" si="5"/>
        <v/>
      </c>
      <c r="O34" s="628" t="str">
        <f t="shared" si="6"/>
        <v/>
      </c>
      <c r="P34" s="629" t="str">
        <f t="shared" si="7"/>
        <v/>
      </c>
      <c r="Q34" s="10"/>
      <c r="R34" s="251"/>
    </row>
    <row r="35" spans="5:18" x14ac:dyDescent="0.3">
      <c r="E35" s="243">
        <f t="shared" si="8"/>
        <v>29</v>
      </c>
      <c r="F35" s="243">
        <f>LARGE(Csapatok!$G$7:$G$965,E35)</f>
        <v>9.0400000000001562E-2</v>
      </c>
      <c r="I35" s="519" t="str">
        <f t="shared" si="0"/>
        <v/>
      </c>
      <c r="J35" s="625" t="str">
        <f t="shared" si="1"/>
        <v/>
      </c>
      <c r="K35" s="626" t="str">
        <f t="shared" si="2"/>
        <v/>
      </c>
      <c r="L35" s="626" t="str">
        <f t="shared" si="3"/>
        <v/>
      </c>
      <c r="M35" s="626" t="str">
        <f t="shared" si="4"/>
        <v/>
      </c>
      <c r="N35" s="627" t="str">
        <f t="shared" si="5"/>
        <v/>
      </c>
      <c r="O35" s="628" t="str">
        <f t="shared" si="6"/>
        <v/>
      </c>
      <c r="P35" s="629" t="str">
        <f t="shared" si="7"/>
        <v/>
      </c>
      <c r="Q35" s="10"/>
      <c r="R35" s="251"/>
    </row>
    <row r="36" spans="5:18" x14ac:dyDescent="0.3">
      <c r="E36" s="243">
        <f t="shared" si="8"/>
        <v>30</v>
      </c>
      <c r="F36" s="243">
        <f>LARGE(Csapatok!$G$7:$G$965,E36)</f>
        <v>9.030000000000156E-2</v>
      </c>
      <c r="I36" s="519" t="str">
        <f t="shared" si="0"/>
        <v/>
      </c>
      <c r="J36" s="625" t="str">
        <f t="shared" si="1"/>
        <v/>
      </c>
      <c r="K36" s="626" t="str">
        <f t="shared" si="2"/>
        <v/>
      </c>
      <c r="L36" s="626" t="str">
        <f t="shared" si="3"/>
        <v/>
      </c>
      <c r="M36" s="626" t="str">
        <f t="shared" si="4"/>
        <v/>
      </c>
      <c r="N36" s="627" t="str">
        <f t="shared" si="5"/>
        <v/>
      </c>
      <c r="O36" s="628" t="str">
        <f t="shared" si="6"/>
        <v/>
      </c>
      <c r="P36" s="629" t="str">
        <f t="shared" si="7"/>
        <v/>
      </c>
      <c r="Q36" s="10"/>
      <c r="R36" s="251"/>
    </row>
    <row r="37" spans="5:18" x14ac:dyDescent="0.3">
      <c r="E37" s="243">
        <f t="shared" si="8"/>
        <v>31</v>
      </c>
      <c r="F37" s="243">
        <f>LARGE(Csapatok!$G$7:$G$965,E37)</f>
        <v>9.0200000000001557E-2</v>
      </c>
      <c r="I37" s="519" t="str">
        <f t="shared" si="0"/>
        <v/>
      </c>
      <c r="J37" s="625" t="str">
        <f t="shared" si="1"/>
        <v/>
      </c>
      <c r="K37" s="626" t="str">
        <f t="shared" si="2"/>
        <v/>
      </c>
      <c r="L37" s="626" t="str">
        <f t="shared" si="3"/>
        <v/>
      </c>
      <c r="M37" s="626" t="str">
        <f t="shared" si="4"/>
        <v/>
      </c>
      <c r="N37" s="627" t="str">
        <f t="shared" si="5"/>
        <v/>
      </c>
      <c r="O37" s="628" t="str">
        <f t="shared" si="6"/>
        <v/>
      </c>
      <c r="P37" s="629" t="str">
        <f t="shared" si="7"/>
        <v/>
      </c>
      <c r="Q37" s="10"/>
      <c r="R37" s="251"/>
    </row>
    <row r="38" spans="5:18" x14ac:dyDescent="0.3">
      <c r="E38" s="243">
        <f t="shared" si="8"/>
        <v>32</v>
      </c>
      <c r="F38" s="243">
        <f>LARGE(Csapatok!$G$7:$G$965,E38)</f>
        <v>9.0100000000001554E-2</v>
      </c>
      <c r="I38" s="519" t="str">
        <f t="shared" si="0"/>
        <v/>
      </c>
      <c r="J38" s="625" t="str">
        <f t="shared" si="1"/>
        <v/>
      </c>
      <c r="K38" s="626" t="str">
        <f t="shared" si="2"/>
        <v/>
      </c>
      <c r="L38" s="626" t="str">
        <f t="shared" si="3"/>
        <v/>
      </c>
      <c r="M38" s="626" t="str">
        <f t="shared" si="4"/>
        <v/>
      </c>
      <c r="N38" s="627" t="str">
        <f t="shared" si="5"/>
        <v/>
      </c>
      <c r="O38" s="628" t="str">
        <f t="shared" si="6"/>
        <v/>
      </c>
      <c r="P38" s="629" t="str">
        <f t="shared" si="7"/>
        <v/>
      </c>
      <c r="Q38" s="10"/>
      <c r="R38" s="251"/>
    </row>
    <row r="39" spans="5:18" x14ac:dyDescent="0.3">
      <c r="E39" s="243">
        <f t="shared" si="8"/>
        <v>33</v>
      </c>
      <c r="F39" s="243">
        <f>LARGE(Csapatok!$G$7:$G$965,E39)</f>
        <v>9.0000000000001551E-2</v>
      </c>
      <c r="I39" s="519" t="str">
        <f t="shared" si="0"/>
        <v/>
      </c>
      <c r="J39" s="625" t="str">
        <f t="shared" si="1"/>
        <v/>
      </c>
      <c r="K39" s="626" t="str">
        <f t="shared" si="2"/>
        <v/>
      </c>
      <c r="L39" s="626" t="str">
        <f t="shared" si="3"/>
        <v/>
      </c>
      <c r="M39" s="626" t="str">
        <f t="shared" si="4"/>
        <v/>
      </c>
      <c r="N39" s="627" t="str">
        <f t="shared" si="5"/>
        <v/>
      </c>
      <c r="O39" s="628" t="str">
        <f t="shared" si="6"/>
        <v/>
      </c>
      <c r="P39" s="629" t="str">
        <f t="shared" si="7"/>
        <v/>
      </c>
      <c r="Q39" s="10"/>
      <c r="R39" s="251"/>
    </row>
    <row r="40" spans="5:18" x14ac:dyDescent="0.3">
      <c r="E40" s="243">
        <f t="shared" si="8"/>
        <v>34</v>
      </c>
      <c r="F40" s="243">
        <f>LARGE(Csapatok!$G$7:$G$965,E40)</f>
        <v>8.9900000000001548E-2</v>
      </c>
      <c r="I40" s="519" t="str">
        <f t="shared" si="0"/>
        <v/>
      </c>
      <c r="J40" s="625" t="str">
        <f t="shared" si="1"/>
        <v/>
      </c>
      <c r="K40" s="626" t="str">
        <f t="shared" si="2"/>
        <v/>
      </c>
      <c r="L40" s="626" t="str">
        <f t="shared" si="3"/>
        <v/>
      </c>
      <c r="M40" s="626" t="str">
        <f t="shared" si="4"/>
        <v/>
      </c>
      <c r="N40" s="627" t="str">
        <f t="shared" si="5"/>
        <v/>
      </c>
      <c r="O40" s="628" t="str">
        <f t="shared" si="6"/>
        <v/>
      </c>
      <c r="P40" s="629" t="str">
        <f t="shared" si="7"/>
        <v/>
      </c>
      <c r="Q40" s="10"/>
      <c r="R40" s="251"/>
    </row>
    <row r="41" spans="5:18" x14ac:dyDescent="0.3">
      <c r="E41" s="243">
        <f t="shared" si="8"/>
        <v>35</v>
      </c>
      <c r="F41" s="243">
        <f>LARGE(Csapatok!$G$7:$G$965,E41)</f>
        <v>8.9800000000001545E-2</v>
      </c>
      <c r="I41" s="519" t="str">
        <f t="shared" si="0"/>
        <v/>
      </c>
      <c r="J41" s="625" t="str">
        <f t="shared" si="1"/>
        <v/>
      </c>
      <c r="K41" s="626" t="str">
        <f t="shared" si="2"/>
        <v/>
      </c>
      <c r="L41" s="626" t="str">
        <f t="shared" si="3"/>
        <v/>
      </c>
      <c r="M41" s="626" t="str">
        <f t="shared" si="4"/>
        <v/>
      </c>
      <c r="N41" s="627" t="str">
        <f t="shared" si="5"/>
        <v/>
      </c>
      <c r="O41" s="628" t="str">
        <f t="shared" si="6"/>
        <v/>
      </c>
      <c r="P41" s="629" t="str">
        <f t="shared" si="7"/>
        <v/>
      </c>
      <c r="Q41" s="10"/>
      <c r="R41" s="251"/>
    </row>
    <row r="42" spans="5:18" x14ac:dyDescent="0.3">
      <c r="E42" s="243">
        <f t="shared" si="8"/>
        <v>36</v>
      </c>
      <c r="F42" s="243">
        <f>LARGE(Csapatok!$G$7:$G$965,E42)</f>
        <v>8.9700000000001542E-2</v>
      </c>
      <c r="I42" s="519" t="str">
        <f t="shared" si="0"/>
        <v/>
      </c>
      <c r="J42" s="625" t="str">
        <f t="shared" si="1"/>
        <v/>
      </c>
      <c r="K42" s="626" t="str">
        <f t="shared" si="2"/>
        <v/>
      </c>
      <c r="L42" s="626" t="str">
        <f t="shared" si="3"/>
        <v/>
      </c>
      <c r="M42" s="626" t="str">
        <f t="shared" si="4"/>
        <v/>
      </c>
      <c r="N42" s="627" t="str">
        <f t="shared" si="5"/>
        <v/>
      </c>
      <c r="O42" s="628" t="str">
        <f t="shared" si="6"/>
        <v/>
      </c>
      <c r="P42" s="629" t="str">
        <f t="shared" si="7"/>
        <v/>
      </c>
      <c r="Q42" s="10"/>
      <c r="R42" s="251"/>
    </row>
    <row r="43" spans="5:18" x14ac:dyDescent="0.3">
      <c r="E43" s="243">
        <f t="shared" si="8"/>
        <v>37</v>
      </c>
      <c r="F43" s="243">
        <f>LARGE(Csapatok!$G$7:$G$965,E43)</f>
        <v>8.960000000000154E-2</v>
      </c>
      <c r="I43" s="519" t="str">
        <f t="shared" si="0"/>
        <v/>
      </c>
      <c r="J43" s="625" t="str">
        <f t="shared" si="1"/>
        <v/>
      </c>
      <c r="K43" s="626" t="str">
        <f t="shared" si="2"/>
        <v/>
      </c>
      <c r="L43" s="626" t="str">
        <f t="shared" si="3"/>
        <v/>
      </c>
      <c r="M43" s="626" t="str">
        <f t="shared" si="4"/>
        <v/>
      </c>
      <c r="N43" s="627" t="str">
        <f t="shared" si="5"/>
        <v/>
      </c>
      <c r="O43" s="628" t="str">
        <f t="shared" si="6"/>
        <v/>
      </c>
      <c r="P43" s="629" t="str">
        <f t="shared" si="7"/>
        <v/>
      </c>
      <c r="Q43" s="10"/>
      <c r="R43" s="251"/>
    </row>
    <row r="44" spans="5:18" x14ac:dyDescent="0.3">
      <c r="E44" s="243">
        <f t="shared" si="8"/>
        <v>38</v>
      </c>
      <c r="F44" s="243">
        <f>LARGE(Csapatok!$G$7:$G$965,E44)</f>
        <v>8.9500000000001537E-2</v>
      </c>
      <c r="I44" s="519" t="str">
        <f t="shared" si="0"/>
        <v/>
      </c>
      <c r="J44" s="625" t="str">
        <f t="shared" si="1"/>
        <v/>
      </c>
      <c r="K44" s="626" t="str">
        <f t="shared" si="2"/>
        <v/>
      </c>
      <c r="L44" s="626" t="str">
        <f t="shared" si="3"/>
        <v/>
      </c>
      <c r="M44" s="626" t="str">
        <f t="shared" si="4"/>
        <v/>
      </c>
      <c r="N44" s="627" t="str">
        <f t="shared" si="5"/>
        <v/>
      </c>
      <c r="O44" s="628" t="str">
        <f t="shared" si="6"/>
        <v/>
      </c>
      <c r="P44" s="629" t="str">
        <f t="shared" si="7"/>
        <v/>
      </c>
      <c r="Q44" s="10"/>
      <c r="R44" s="251"/>
    </row>
    <row r="45" spans="5:18" x14ac:dyDescent="0.3">
      <c r="E45" s="243">
        <f t="shared" si="8"/>
        <v>39</v>
      </c>
      <c r="F45" s="243">
        <f>LARGE(Csapatok!$G$7:$G$965,E45)</f>
        <v>8.9400000000001534E-2</v>
      </c>
      <c r="I45" s="519" t="str">
        <f t="shared" si="0"/>
        <v/>
      </c>
      <c r="J45" s="625" t="str">
        <f t="shared" si="1"/>
        <v/>
      </c>
      <c r="K45" s="626" t="str">
        <f t="shared" si="2"/>
        <v/>
      </c>
      <c r="L45" s="626" t="str">
        <f t="shared" si="3"/>
        <v/>
      </c>
      <c r="M45" s="626" t="str">
        <f t="shared" si="4"/>
        <v/>
      </c>
      <c r="N45" s="627" t="str">
        <f t="shared" si="5"/>
        <v/>
      </c>
      <c r="O45" s="628" t="str">
        <f t="shared" si="6"/>
        <v/>
      </c>
      <c r="P45" s="629" t="str">
        <f t="shared" si="7"/>
        <v/>
      </c>
      <c r="Q45" s="10"/>
      <c r="R45" s="251"/>
    </row>
    <row r="46" spans="5:18" x14ac:dyDescent="0.3">
      <c r="E46" s="243">
        <f t="shared" si="8"/>
        <v>40</v>
      </c>
      <c r="F46" s="243">
        <f>LARGE(Csapatok!$G$7:$G$965,E46)</f>
        <v>8.9300000000001531E-2</v>
      </c>
      <c r="I46" s="519" t="str">
        <f t="shared" si="0"/>
        <v/>
      </c>
      <c r="J46" s="625" t="str">
        <f t="shared" si="1"/>
        <v/>
      </c>
      <c r="K46" s="626" t="str">
        <f t="shared" si="2"/>
        <v/>
      </c>
      <c r="L46" s="626" t="str">
        <f t="shared" si="3"/>
        <v/>
      </c>
      <c r="M46" s="626" t="str">
        <f t="shared" si="4"/>
        <v/>
      </c>
      <c r="N46" s="627" t="str">
        <f t="shared" si="5"/>
        <v/>
      </c>
      <c r="O46" s="628" t="str">
        <f t="shared" si="6"/>
        <v/>
      </c>
      <c r="P46" s="629" t="str">
        <f t="shared" si="7"/>
        <v/>
      </c>
      <c r="Q46" s="10"/>
      <c r="R46" s="251"/>
    </row>
    <row r="47" spans="5:18" x14ac:dyDescent="0.3">
      <c r="E47" s="243">
        <f t="shared" si="8"/>
        <v>41</v>
      </c>
      <c r="F47" s="243">
        <f>LARGE(Csapatok!$G$7:$G$965,E47)</f>
        <v>8.9200000000001528E-2</v>
      </c>
      <c r="I47" s="519" t="str">
        <f t="shared" si="0"/>
        <v/>
      </c>
      <c r="J47" s="625" t="str">
        <f t="shared" si="1"/>
        <v/>
      </c>
      <c r="K47" s="626" t="str">
        <f t="shared" si="2"/>
        <v/>
      </c>
      <c r="L47" s="626" t="str">
        <f t="shared" si="3"/>
        <v/>
      </c>
      <c r="M47" s="626" t="str">
        <f t="shared" si="4"/>
        <v/>
      </c>
      <c r="N47" s="627" t="str">
        <f t="shared" si="5"/>
        <v/>
      </c>
      <c r="O47" s="628" t="str">
        <f t="shared" si="6"/>
        <v/>
      </c>
      <c r="P47" s="629" t="str">
        <f t="shared" si="7"/>
        <v/>
      </c>
      <c r="Q47" s="10"/>
      <c r="R47" s="251"/>
    </row>
    <row r="48" spans="5:18" x14ac:dyDescent="0.3">
      <c r="E48" s="243">
        <f t="shared" si="8"/>
        <v>42</v>
      </c>
      <c r="F48" s="243">
        <f>LARGE(Csapatok!$G$7:$G$965,E48)</f>
        <v>8.9100000000001525E-2</v>
      </c>
      <c r="I48" s="519" t="str">
        <f t="shared" si="0"/>
        <v/>
      </c>
      <c r="J48" s="625" t="str">
        <f t="shared" si="1"/>
        <v/>
      </c>
      <c r="K48" s="626" t="str">
        <f t="shared" si="2"/>
        <v/>
      </c>
      <c r="L48" s="626" t="str">
        <f t="shared" si="3"/>
        <v/>
      </c>
      <c r="M48" s="626" t="str">
        <f t="shared" si="4"/>
        <v/>
      </c>
      <c r="N48" s="627" t="str">
        <f t="shared" si="5"/>
        <v/>
      </c>
      <c r="O48" s="628" t="str">
        <f t="shared" si="6"/>
        <v/>
      </c>
      <c r="P48" s="629" t="str">
        <f t="shared" si="7"/>
        <v/>
      </c>
      <c r="Q48" s="10"/>
      <c r="R48" s="251"/>
    </row>
    <row r="49" spans="5:18" x14ac:dyDescent="0.3">
      <c r="E49" s="243">
        <f t="shared" si="8"/>
        <v>43</v>
      </c>
      <c r="F49" s="243">
        <f>LARGE(Csapatok!$G$7:$G$965,E49)</f>
        <v>8.9000000000001522E-2</v>
      </c>
      <c r="I49" s="519" t="str">
        <f t="shared" si="0"/>
        <v/>
      </c>
      <c r="J49" s="625" t="str">
        <f t="shared" si="1"/>
        <v/>
      </c>
      <c r="K49" s="626" t="str">
        <f t="shared" si="2"/>
        <v/>
      </c>
      <c r="L49" s="626" t="str">
        <f t="shared" si="3"/>
        <v/>
      </c>
      <c r="M49" s="626" t="str">
        <f t="shared" si="4"/>
        <v/>
      </c>
      <c r="N49" s="627" t="str">
        <f t="shared" si="5"/>
        <v/>
      </c>
      <c r="O49" s="628" t="str">
        <f t="shared" si="6"/>
        <v/>
      </c>
      <c r="P49" s="629" t="str">
        <f t="shared" si="7"/>
        <v/>
      </c>
      <c r="Q49" s="10"/>
      <c r="R49" s="251"/>
    </row>
    <row r="50" spans="5:18" x14ac:dyDescent="0.3">
      <c r="E50" s="243">
        <f t="shared" si="8"/>
        <v>44</v>
      </c>
      <c r="F50" s="243">
        <f>LARGE(Csapatok!$G$7:$G$965,E50)</f>
        <v>8.8900000000001519E-2</v>
      </c>
      <c r="I50" s="519" t="str">
        <f t="shared" si="0"/>
        <v/>
      </c>
      <c r="J50" s="625" t="str">
        <f t="shared" si="1"/>
        <v/>
      </c>
      <c r="K50" s="626" t="str">
        <f t="shared" si="2"/>
        <v/>
      </c>
      <c r="L50" s="626" t="str">
        <f t="shared" si="3"/>
        <v/>
      </c>
      <c r="M50" s="626" t="str">
        <f t="shared" si="4"/>
        <v/>
      </c>
      <c r="N50" s="627" t="str">
        <f t="shared" si="5"/>
        <v/>
      </c>
      <c r="O50" s="628" t="str">
        <f t="shared" si="6"/>
        <v/>
      </c>
      <c r="P50" s="629" t="str">
        <f t="shared" si="7"/>
        <v/>
      </c>
      <c r="Q50" s="10"/>
      <c r="R50" s="251"/>
    </row>
    <row r="51" spans="5:18" x14ac:dyDescent="0.3">
      <c r="E51" s="243">
        <f t="shared" si="8"/>
        <v>45</v>
      </c>
      <c r="F51" s="243">
        <f>LARGE(Csapatok!$G$7:$G$965,E51)</f>
        <v>8.8800000000001517E-2</v>
      </c>
      <c r="I51" s="519" t="str">
        <f t="shared" si="0"/>
        <v/>
      </c>
      <c r="J51" s="625" t="str">
        <f t="shared" si="1"/>
        <v/>
      </c>
      <c r="K51" s="626" t="str">
        <f t="shared" si="2"/>
        <v/>
      </c>
      <c r="L51" s="626" t="str">
        <f t="shared" si="3"/>
        <v/>
      </c>
      <c r="M51" s="626" t="str">
        <f t="shared" si="4"/>
        <v/>
      </c>
      <c r="N51" s="627" t="str">
        <f t="shared" si="5"/>
        <v/>
      </c>
      <c r="O51" s="628" t="str">
        <f t="shared" si="6"/>
        <v/>
      </c>
      <c r="P51" s="629" t="str">
        <f t="shared" si="7"/>
        <v/>
      </c>
      <c r="Q51" s="10"/>
      <c r="R51" s="251"/>
    </row>
    <row r="52" spans="5:18" x14ac:dyDescent="0.3">
      <c r="E52" s="243">
        <f t="shared" si="8"/>
        <v>46</v>
      </c>
      <c r="F52" s="243">
        <f>LARGE(Csapatok!$G$7:$G$965,E52)</f>
        <v>8.8700000000001514E-2</v>
      </c>
      <c r="I52" s="519" t="str">
        <f t="shared" si="0"/>
        <v/>
      </c>
      <c r="J52" s="625" t="str">
        <f t="shared" si="1"/>
        <v/>
      </c>
      <c r="K52" s="626" t="str">
        <f t="shared" si="2"/>
        <v/>
      </c>
      <c r="L52" s="626" t="str">
        <f t="shared" si="3"/>
        <v/>
      </c>
      <c r="M52" s="626" t="str">
        <f t="shared" si="4"/>
        <v/>
      </c>
      <c r="N52" s="627" t="str">
        <f t="shared" si="5"/>
        <v/>
      </c>
      <c r="O52" s="628" t="str">
        <f t="shared" si="6"/>
        <v/>
      </c>
      <c r="P52" s="629" t="str">
        <f t="shared" si="7"/>
        <v/>
      </c>
      <c r="Q52" s="10"/>
      <c r="R52" s="251"/>
    </row>
    <row r="53" spans="5:18" x14ac:dyDescent="0.3">
      <c r="E53" s="243">
        <f t="shared" si="8"/>
        <v>47</v>
      </c>
      <c r="F53" s="243">
        <f>LARGE(Csapatok!$G$7:$G$965,E53)</f>
        <v>8.8600000000001511E-2</v>
      </c>
      <c r="I53" s="519" t="str">
        <f t="shared" si="0"/>
        <v/>
      </c>
      <c r="J53" s="625" t="str">
        <f t="shared" si="1"/>
        <v/>
      </c>
      <c r="K53" s="626" t="str">
        <f t="shared" si="2"/>
        <v/>
      </c>
      <c r="L53" s="626" t="str">
        <f t="shared" si="3"/>
        <v/>
      </c>
      <c r="M53" s="626" t="str">
        <f t="shared" si="4"/>
        <v/>
      </c>
      <c r="N53" s="627" t="str">
        <f t="shared" si="5"/>
        <v/>
      </c>
      <c r="O53" s="628" t="str">
        <f t="shared" si="6"/>
        <v/>
      </c>
      <c r="P53" s="629" t="str">
        <f t="shared" si="7"/>
        <v/>
      </c>
      <c r="Q53" s="10"/>
      <c r="R53" s="251"/>
    </row>
    <row r="54" spans="5:18" x14ac:dyDescent="0.3">
      <c r="E54" s="243">
        <f t="shared" si="8"/>
        <v>48</v>
      </c>
      <c r="F54" s="243">
        <f>LARGE(Csapatok!$G$7:$G$965,E54)</f>
        <v>8.8500000000001508E-2</v>
      </c>
      <c r="I54" s="519" t="str">
        <f t="shared" si="0"/>
        <v/>
      </c>
      <c r="J54" s="625" t="str">
        <f t="shared" si="1"/>
        <v/>
      </c>
      <c r="K54" s="626" t="str">
        <f t="shared" si="2"/>
        <v/>
      </c>
      <c r="L54" s="626" t="str">
        <f t="shared" si="3"/>
        <v/>
      </c>
      <c r="M54" s="626" t="str">
        <f t="shared" si="4"/>
        <v/>
      </c>
      <c r="N54" s="627" t="str">
        <f t="shared" si="5"/>
        <v/>
      </c>
      <c r="O54" s="628" t="str">
        <f t="shared" si="6"/>
        <v/>
      </c>
      <c r="P54" s="629" t="str">
        <f t="shared" si="7"/>
        <v/>
      </c>
      <c r="Q54" s="10"/>
      <c r="R54" s="251"/>
    </row>
    <row r="55" spans="5:18" x14ac:dyDescent="0.3">
      <c r="E55" s="243">
        <f t="shared" si="8"/>
        <v>49</v>
      </c>
      <c r="F55" s="243">
        <f>LARGE(Csapatok!$G$7:$G$965,E55)</f>
        <v>8.8400000000001505E-2</v>
      </c>
      <c r="I55" s="519" t="str">
        <f t="shared" si="0"/>
        <v/>
      </c>
      <c r="J55" s="625" t="str">
        <f t="shared" si="1"/>
        <v/>
      </c>
      <c r="K55" s="626" t="str">
        <f t="shared" si="2"/>
        <v/>
      </c>
      <c r="L55" s="626" t="str">
        <f t="shared" si="3"/>
        <v/>
      </c>
      <c r="M55" s="626" t="str">
        <f t="shared" si="4"/>
        <v/>
      </c>
      <c r="N55" s="627" t="str">
        <f t="shared" si="5"/>
        <v/>
      </c>
      <c r="O55" s="628" t="str">
        <f t="shared" si="6"/>
        <v/>
      </c>
      <c r="P55" s="629" t="str">
        <f t="shared" si="7"/>
        <v/>
      </c>
      <c r="Q55" s="10"/>
      <c r="R55" s="251"/>
    </row>
    <row r="56" spans="5:18" x14ac:dyDescent="0.3">
      <c r="E56" s="243">
        <f t="shared" si="8"/>
        <v>50</v>
      </c>
      <c r="F56" s="243">
        <f>LARGE(Csapatok!$G$7:$G$965,E56)</f>
        <v>8.8300000000001502E-2</v>
      </c>
      <c r="I56" s="519" t="str">
        <f t="shared" si="0"/>
        <v/>
      </c>
      <c r="J56" s="625" t="str">
        <f t="shared" si="1"/>
        <v/>
      </c>
      <c r="K56" s="626" t="str">
        <f t="shared" si="2"/>
        <v/>
      </c>
      <c r="L56" s="626" t="str">
        <f t="shared" si="3"/>
        <v/>
      </c>
      <c r="M56" s="626" t="str">
        <f t="shared" si="4"/>
        <v/>
      </c>
      <c r="N56" s="627" t="str">
        <f t="shared" si="5"/>
        <v/>
      </c>
      <c r="O56" s="628" t="str">
        <f t="shared" si="6"/>
        <v/>
      </c>
      <c r="P56" s="629" t="str">
        <f t="shared" si="7"/>
        <v/>
      </c>
      <c r="Q56" s="10"/>
      <c r="R56" s="251"/>
    </row>
    <row r="57" spans="5:18" x14ac:dyDescent="0.3">
      <c r="E57" s="243">
        <f t="shared" si="8"/>
        <v>51</v>
      </c>
      <c r="F57" s="243">
        <f>LARGE(Csapatok!$G$7:$G$965,E57)</f>
        <v>8.8200000000001499E-2</v>
      </c>
      <c r="I57" s="519" t="str">
        <f t="shared" si="0"/>
        <v/>
      </c>
      <c r="J57" s="625" t="str">
        <f t="shared" si="1"/>
        <v/>
      </c>
      <c r="K57" s="626" t="str">
        <f t="shared" si="2"/>
        <v/>
      </c>
      <c r="L57" s="626" t="str">
        <f t="shared" si="3"/>
        <v/>
      </c>
      <c r="M57" s="626" t="str">
        <f t="shared" si="4"/>
        <v/>
      </c>
      <c r="N57" s="627" t="str">
        <f t="shared" si="5"/>
        <v/>
      </c>
      <c r="O57" s="628" t="str">
        <f t="shared" si="6"/>
        <v/>
      </c>
      <c r="P57" s="629" t="str">
        <f t="shared" si="7"/>
        <v/>
      </c>
      <c r="Q57" s="10"/>
      <c r="R57" s="251"/>
    </row>
    <row r="58" spans="5:18" x14ac:dyDescent="0.3">
      <c r="E58" s="243">
        <f t="shared" si="8"/>
        <v>52</v>
      </c>
      <c r="F58" s="243">
        <f>LARGE(Csapatok!$G$7:$G$965,E58)</f>
        <v>8.8100000000001497E-2</v>
      </c>
      <c r="I58" s="519" t="str">
        <f t="shared" si="0"/>
        <v/>
      </c>
      <c r="J58" s="625" t="str">
        <f t="shared" si="1"/>
        <v/>
      </c>
      <c r="K58" s="626" t="str">
        <f t="shared" si="2"/>
        <v/>
      </c>
      <c r="L58" s="626" t="str">
        <f t="shared" si="3"/>
        <v/>
      </c>
      <c r="M58" s="626" t="str">
        <f t="shared" si="4"/>
        <v/>
      </c>
      <c r="N58" s="627" t="str">
        <f t="shared" si="5"/>
        <v/>
      </c>
      <c r="O58" s="628" t="str">
        <f t="shared" si="6"/>
        <v/>
      </c>
      <c r="P58" s="629" t="str">
        <f t="shared" si="7"/>
        <v/>
      </c>
      <c r="Q58" s="10"/>
      <c r="R58" s="251"/>
    </row>
    <row r="59" spans="5:18" x14ac:dyDescent="0.3">
      <c r="E59" s="243">
        <f t="shared" si="8"/>
        <v>53</v>
      </c>
      <c r="F59" s="243">
        <f>LARGE(Csapatok!$G$7:$G$965,E59)</f>
        <v>8.6600000000001454E-2</v>
      </c>
      <c r="I59" s="519" t="str">
        <f t="shared" si="0"/>
        <v/>
      </c>
      <c r="J59" s="625" t="str">
        <f t="shared" si="1"/>
        <v/>
      </c>
      <c r="K59" s="626" t="str">
        <f t="shared" si="2"/>
        <v/>
      </c>
      <c r="L59" s="626" t="str">
        <f t="shared" si="3"/>
        <v/>
      </c>
      <c r="M59" s="626" t="str">
        <f t="shared" si="4"/>
        <v/>
      </c>
      <c r="N59" s="627" t="str">
        <f t="shared" si="5"/>
        <v/>
      </c>
      <c r="O59" s="628" t="str">
        <f t="shared" si="6"/>
        <v/>
      </c>
      <c r="P59" s="629" t="str">
        <f t="shared" si="7"/>
        <v/>
      </c>
      <c r="Q59" s="10"/>
      <c r="R59" s="251"/>
    </row>
    <row r="60" spans="5:18" x14ac:dyDescent="0.3">
      <c r="E60" s="243">
        <f t="shared" si="8"/>
        <v>54</v>
      </c>
      <c r="F60" s="243">
        <f>LARGE(Csapatok!$G$7:$G$965,E60)</f>
        <v>8.6500000000001451E-2</v>
      </c>
      <c r="I60" s="519" t="str">
        <f t="shared" si="0"/>
        <v/>
      </c>
      <c r="J60" s="625" t="str">
        <f t="shared" si="1"/>
        <v/>
      </c>
      <c r="K60" s="626" t="str">
        <f t="shared" si="2"/>
        <v/>
      </c>
      <c r="L60" s="626" t="str">
        <f t="shared" si="3"/>
        <v/>
      </c>
      <c r="M60" s="626" t="str">
        <f t="shared" si="4"/>
        <v/>
      </c>
      <c r="N60" s="627" t="str">
        <f t="shared" si="5"/>
        <v/>
      </c>
      <c r="O60" s="628" t="str">
        <f t="shared" si="6"/>
        <v/>
      </c>
      <c r="P60" s="629" t="str">
        <f t="shared" si="7"/>
        <v/>
      </c>
      <c r="Q60" s="10"/>
      <c r="R60" s="251"/>
    </row>
    <row r="61" spans="5:18" x14ac:dyDescent="0.3">
      <c r="E61" s="243">
        <f t="shared" si="8"/>
        <v>55</v>
      </c>
      <c r="F61" s="243">
        <f>LARGE(Csapatok!$G$7:$G$965,E61)</f>
        <v>8.6400000000001448E-2</v>
      </c>
      <c r="I61" s="519" t="str">
        <f t="shared" si="0"/>
        <v/>
      </c>
      <c r="J61" s="625" t="str">
        <f t="shared" si="1"/>
        <v/>
      </c>
      <c r="K61" s="626" t="str">
        <f t="shared" si="2"/>
        <v/>
      </c>
      <c r="L61" s="626" t="str">
        <f t="shared" si="3"/>
        <v/>
      </c>
      <c r="M61" s="626" t="str">
        <f t="shared" si="4"/>
        <v/>
      </c>
      <c r="N61" s="627" t="str">
        <f t="shared" si="5"/>
        <v/>
      </c>
      <c r="O61" s="628" t="str">
        <f t="shared" si="6"/>
        <v/>
      </c>
      <c r="P61" s="629" t="str">
        <f t="shared" si="7"/>
        <v/>
      </c>
      <c r="Q61" s="10"/>
      <c r="R61" s="251"/>
    </row>
    <row r="62" spans="5:18" x14ac:dyDescent="0.3">
      <c r="E62" s="243">
        <f t="shared" si="8"/>
        <v>56</v>
      </c>
      <c r="F62" s="243">
        <f>LARGE(Csapatok!$G$7:$G$965,E62)</f>
        <v>8.6300000000001445E-2</v>
      </c>
      <c r="I62" s="519" t="str">
        <f t="shared" si="0"/>
        <v/>
      </c>
      <c r="J62" s="625" t="str">
        <f t="shared" si="1"/>
        <v/>
      </c>
      <c r="K62" s="626" t="str">
        <f t="shared" si="2"/>
        <v/>
      </c>
      <c r="L62" s="626" t="str">
        <f t="shared" si="3"/>
        <v/>
      </c>
      <c r="M62" s="626" t="str">
        <f t="shared" si="4"/>
        <v/>
      </c>
      <c r="N62" s="627" t="str">
        <f t="shared" si="5"/>
        <v/>
      </c>
      <c r="O62" s="628" t="str">
        <f t="shared" si="6"/>
        <v/>
      </c>
      <c r="P62" s="629" t="str">
        <f t="shared" si="7"/>
        <v/>
      </c>
      <c r="Q62" s="10"/>
      <c r="R62" s="251"/>
    </row>
    <row r="63" spans="5:18" x14ac:dyDescent="0.3">
      <c r="E63" s="243">
        <f t="shared" si="8"/>
        <v>57</v>
      </c>
      <c r="F63" s="243">
        <f>LARGE(Csapatok!$G$7:$G$965,E63)</f>
        <v>8.6200000000001442E-2</v>
      </c>
      <c r="I63" s="519" t="str">
        <f t="shared" si="0"/>
        <v/>
      </c>
      <c r="J63" s="625" t="str">
        <f t="shared" si="1"/>
        <v/>
      </c>
      <c r="K63" s="626" t="str">
        <f t="shared" si="2"/>
        <v/>
      </c>
      <c r="L63" s="626" t="str">
        <f t="shared" si="3"/>
        <v/>
      </c>
      <c r="M63" s="626" t="str">
        <f t="shared" si="4"/>
        <v/>
      </c>
      <c r="N63" s="627" t="str">
        <f t="shared" si="5"/>
        <v/>
      </c>
      <c r="O63" s="628" t="str">
        <f t="shared" si="6"/>
        <v/>
      </c>
      <c r="P63" s="629" t="str">
        <f t="shared" si="7"/>
        <v/>
      </c>
      <c r="Q63" s="10"/>
      <c r="R63" s="251"/>
    </row>
    <row r="64" spans="5:18" x14ac:dyDescent="0.3">
      <c r="E64" s="243">
        <f t="shared" si="8"/>
        <v>58</v>
      </c>
      <c r="F64" s="243">
        <f>LARGE(Csapatok!$G$7:$G$965,E64)</f>
        <v>8.6100000000001439E-2</v>
      </c>
      <c r="I64" s="519" t="str">
        <f t="shared" si="0"/>
        <v/>
      </c>
      <c r="J64" s="625" t="str">
        <f t="shared" si="1"/>
        <v/>
      </c>
      <c r="K64" s="626" t="str">
        <f t="shared" si="2"/>
        <v/>
      </c>
      <c r="L64" s="626" t="str">
        <f t="shared" si="3"/>
        <v/>
      </c>
      <c r="M64" s="626" t="str">
        <f t="shared" si="4"/>
        <v/>
      </c>
      <c r="N64" s="627" t="str">
        <f t="shared" si="5"/>
        <v/>
      </c>
      <c r="O64" s="628" t="str">
        <f t="shared" si="6"/>
        <v/>
      </c>
      <c r="P64" s="629" t="str">
        <f t="shared" si="7"/>
        <v/>
      </c>
      <c r="Q64" s="10"/>
      <c r="R64" s="251"/>
    </row>
    <row r="65" spans="5:18" x14ac:dyDescent="0.3">
      <c r="E65" s="243">
        <f t="shared" si="8"/>
        <v>59</v>
      </c>
      <c r="F65" s="243">
        <f>LARGE(Csapatok!$G$7:$G$965,E65)</f>
        <v>8.6000000000001436E-2</v>
      </c>
      <c r="I65" s="519" t="str">
        <f t="shared" si="0"/>
        <v/>
      </c>
      <c r="J65" s="625" t="str">
        <f t="shared" si="1"/>
        <v/>
      </c>
      <c r="K65" s="626" t="str">
        <f t="shared" si="2"/>
        <v/>
      </c>
      <c r="L65" s="626" t="str">
        <f t="shared" si="3"/>
        <v/>
      </c>
      <c r="M65" s="626" t="str">
        <f t="shared" si="4"/>
        <v/>
      </c>
      <c r="N65" s="627" t="str">
        <f t="shared" si="5"/>
        <v/>
      </c>
      <c r="O65" s="628" t="str">
        <f t="shared" si="6"/>
        <v/>
      </c>
      <c r="P65" s="629" t="str">
        <f t="shared" si="7"/>
        <v/>
      </c>
      <c r="Q65" s="10"/>
      <c r="R65" s="251"/>
    </row>
    <row r="66" spans="5:18" x14ac:dyDescent="0.3">
      <c r="E66" s="243">
        <f t="shared" si="8"/>
        <v>60</v>
      </c>
      <c r="F66" s="243">
        <f>LARGE(Csapatok!$G$7:$G$965,E66)</f>
        <v>8.5900000000001434E-2</v>
      </c>
      <c r="I66" s="519" t="str">
        <f t="shared" si="0"/>
        <v/>
      </c>
      <c r="J66" s="625" t="str">
        <f t="shared" si="1"/>
        <v/>
      </c>
      <c r="K66" s="626" t="str">
        <f t="shared" si="2"/>
        <v/>
      </c>
      <c r="L66" s="626" t="str">
        <f t="shared" si="3"/>
        <v/>
      </c>
      <c r="M66" s="626" t="str">
        <f t="shared" si="4"/>
        <v/>
      </c>
      <c r="N66" s="627" t="str">
        <f t="shared" si="5"/>
        <v/>
      </c>
      <c r="O66" s="628" t="str">
        <f t="shared" si="6"/>
        <v/>
      </c>
      <c r="P66" s="629" t="str">
        <f t="shared" si="7"/>
        <v/>
      </c>
      <c r="Q66" s="10"/>
      <c r="R66" s="251"/>
    </row>
    <row r="67" spans="5:18" x14ac:dyDescent="0.3">
      <c r="E67" s="243">
        <f t="shared" si="8"/>
        <v>61</v>
      </c>
      <c r="F67" s="243">
        <f>LARGE(Csapatok!$G$7:$G$965,E67)</f>
        <v>8.5800000000001431E-2</v>
      </c>
      <c r="I67" s="519" t="str">
        <f t="shared" si="0"/>
        <v/>
      </c>
      <c r="J67" s="625" t="str">
        <f t="shared" si="1"/>
        <v/>
      </c>
      <c r="K67" s="626" t="str">
        <f t="shared" si="2"/>
        <v/>
      </c>
      <c r="L67" s="626" t="str">
        <f t="shared" si="3"/>
        <v/>
      </c>
      <c r="M67" s="626" t="str">
        <f t="shared" si="4"/>
        <v/>
      </c>
      <c r="N67" s="627" t="str">
        <f t="shared" si="5"/>
        <v/>
      </c>
      <c r="O67" s="628" t="str">
        <f t="shared" si="6"/>
        <v/>
      </c>
      <c r="P67" s="629" t="str">
        <f t="shared" si="7"/>
        <v/>
      </c>
      <c r="Q67" s="10"/>
      <c r="R67" s="251"/>
    </row>
    <row r="68" spans="5:18" x14ac:dyDescent="0.3">
      <c r="E68" s="243">
        <f t="shared" si="8"/>
        <v>62</v>
      </c>
      <c r="F68" s="243">
        <f>LARGE(Csapatok!$G$7:$G$965,E68)</f>
        <v>8.5700000000001428E-2</v>
      </c>
      <c r="I68" s="519" t="str">
        <f t="shared" si="0"/>
        <v/>
      </c>
      <c r="J68" s="625" t="str">
        <f t="shared" si="1"/>
        <v/>
      </c>
      <c r="K68" s="626" t="str">
        <f t="shared" si="2"/>
        <v/>
      </c>
      <c r="L68" s="626" t="str">
        <f t="shared" si="3"/>
        <v/>
      </c>
      <c r="M68" s="626" t="str">
        <f t="shared" si="4"/>
        <v/>
      </c>
      <c r="N68" s="627" t="str">
        <f t="shared" si="5"/>
        <v/>
      </c>
      <c r="O68" s="628" t="str">
        <f t="shared" si="6"/>
        <v/>
      </c>
      <c r="P68" s="629" t="str">
        <f t="shared" si="7"/>
        <v/>
      </c>
      <c r="Q68" s="10"/>
      <c r="R68" s="251"/>
    </row>
    <row r="69" spans="5:18" x14ac:dyDescent="0.3">
      <c r="E69" s="243">
        <f t="shared" si="8"/>
        <v>63</v>
      </c>
      <c r="F69" s="243">
        <f>LARGE(Csapatok!$G$7:$G$965,E69)</f>
        <v>8.5600000000001425E-2</v>
      </c>
      <c r="I69" s="519" t="str">
        <f t="shared" si="0"/>
        <v/>
      </c>
      <c r="J69" s="625" t="str">
        <f t="shared" si="1"/>
        <v/>
      </c>
      <c r="K69" s="626" t="str">
        <f t="shared" si="2"/>
        <v/>
      </c>
      <c r="L69" s="626" t="str">
        <f t="shared" si="3"/>
        <v/>
      </c>
      <c r="M69" s="626" t="str">
        <f t="shared" si="4"/>
        <v/>
      </c>
      <c r="N69" s="627" t="str">
        <f t="shared" si="5"/>
        <v/>
      </c>
      <c r="O69" s="628" t="str">
        <f t="shared" si="6"/>
        <v/>
      </c>
      <c r="P69" s="629" t="str">
        <f t="shared" si="7"/>
        <v/>
      </c>
      <c r="Q69" s="10"/>
      <c r="R69" s="251"/>
    </row>
    <row r="70" spans="5:18" x14ac:dyDescent="0.3">
      <c r="E70" s="243">
        <f t="shared" si="8"/>
        <v>64</v>
      </c>
      <c r="F70" s="243">
        <f>LARGE(Csapatok!$G$7:$G$965,E70)</f>
        <v>8.5500000000001422E-2</v>
      </c>
      <c r="I70" s="519" t="str">
        <f t="shared" si="0"/>
        <v/>
      </c>
      <c r="J70" s="625" t="str">
        <f t="shared" si="1"/>
        <v/>
      </c>
      <c r="K70" s="626" t="str">
        <f t="shared" si="2"/>
        <v/>
      </c>
      <c r="L70" s="626" t="str">
        <f t="shared" si="3"/>
        <v/>
      </c>
      <c r="M70" s="626" t="str">
        <f t="shared" si="4"/>
        <v/>
      </c>
      <c r="N70" s="627" t="str">
        <f t="shared" si="5"/>
        <v/>
      </c>
      <c r="O70" s="628" t="str">
        <f t="shared" si="6"/>
        <v/>
      </c>
      <c r="P70" s="629" t="str">
        <f t="shared" si="7"/>
        <v/>
      </c>
      <c r="Q70" s="10"/>
      <c r="R70" s="251"/>
    </row>
    <row r="71" spans="5:18" x14ac:dyDescent="0.3">
      <c r="E71" s="243">
        <f t="shared" si="8"/>
        <v>65</v>
      </c>
      <c r="F71" s="243">
        <f>LARGE(Csapatok!$G$7:$G$965,E71)</f>
        <v>8.5400000000001419E-2</v>
      </c>
      <c r="I71" s="519" t="str">
        <f t="shared" ref="I71:I134" si="9">IF(OR(F71&lt;1,ROUNDDOWN(F71,0)=ROUNDDOWN(F70,0)),"",CONCATENATE(ROUNDDOWN(F71,0)," GÓL   "))</f>
        <v/>
      </c>
      <c r="J71" s="625" t="str">
        <f t="shared" ref="J71:J134" si="10">IF($F71&lt;1,"",CONCATENATE(" ",VLOOKUP($F71,nevek,4,FALSE)," ",VLOOKUP($F71,nevek,3,FALSE)))</f>
        <v/>
      </c>
      <c r="K71" s="626" t="str">
        <f t="shared" ref="K71:K134" si="11">IF($F71&lt;1,"",VLOOKUP($F71,nevek,2,FALSE))</f>
        <v/>
      </c>
      <c r="L71" s="626" t="str">
        <f t="shared" ref="L71:L134" si="12">IF($F71&lt;1,"",VLOOKUP($F71,nevek,6,FALSE))</f>
        <v/>
      </c>
      <c r="M71" s="626" t="str">
        <f t="shared" ref="M71:M134" si="13">IF($F71&lt;1,"",VLOOKUP($F71,nevek,7,FALSE))</f>
        <v/>
      </c>
      <c r="N71" s="627" t="str">
        <f t="shared" ref="N71:N134" si="14">IF($F71&lt;1,"",VLOOKUP($F71,nevek,10,FALSE))</f>
        <v/>
      </c>
      <c r="O71" s="628" t="str">
        <f t="shared" ref="O71:O134" si="15">IF($F71&lt;1,"",VLOOKUP($F71,nevek,11,FALSE))</f>
        <v/>
      </c>
      <c r="P71" s="629" t="str">
        <f t="shared" ref="P71:P134" si="16">IF($F71&lt;1,"",VLOOKUP($F71,nevek,12,FALSE))</f>
        <v/>
      </c>
      <c r="Q71" s="10"/>
      <c r="R71" s="251"/>
    </row>
    <row r="72" spans="5:18" x14ac:dyDescent="0.3">
      <c r="E72" s="243">
        <f t="shared" si="8"/>
        <v>66</v>
      </c>
      <c r="F72" s="243">
        <f>LARGE(Csapatok!$G$7:$G$965,E72)</f>
        <v>8.5300000000001416E-2</v>
      </c>
      <c r="I72" s="519" t="str">
        <f t="shared" si="9"/>
        <v/>
      </c>
      <c r="J72" s="625" t="str">
        <f t="shared" si="10"/>
        <v/>
      </c>
      <c r="K72" s="626" t="str">
        <f t="shared" si="11"/>
        <v/>
      </c>
      <c r="L72" s="626" t="str">
        <f t="shared" si="12"/>
        <v/>
      </c>
      <c r="M72" s="626" t="str">
        <f t="shared" si="13"/>
        <v/>
      </c>
      <c r="N72" s="627" t="str">
        <f t="shared" si="14"/>
        <v/>
      </c>
      <c r="O72" s="628" t="str">
        <f t="shared" si="15"/>
        <v/>
      </c>
      <c r="P72" s="629" t="str">
        <f t="shared" si="16"/>
        <v/>
      </c>
      <c r="Q72" s="10"/>
      <c r="R72" s="251"/>
    </row>
    <row r="73" spans="5:18" x14ac:dyDescent="0.3">
      <c r="E73" s="243">
        <f t="shared" ref="E73:E136" si="17">E72+1</f>
        <v>67</v>
      </c>
      <c r="F73" s="243">
        <f>LARGE(Csapatok!$G$7:$G$965,E73)</f>
        <v>8.5200000000001413E-2</v>
      </c>
      <c r="I73" s="519" t="str">
        <f t="shared" si="9"/>
        <v/>
      </c>
      <c r="J73" s="625" t="str">
        <f t="shared" si="10"/>
        <v/>
      </c>
      <c r="K73" s="626" t="str">
        <f t="shared" si="11"/>
        <v/>
      </c>
      <c r="L73" s="626" t="str">
        <f t="shared" si="12"/>
        <v/>
      </c>
      <c r="M73" s="626" t="str">
        <f t="shared" si="13"/>
        <v/>
      </c>
      <c r="N73" s="627" t="str">
        <f t="shared" si="14"/>
        <v/>
      </c>
      <c r="O73" s="628" t="str">
        <f t="shared" si="15"/>
        <v/>
      </c>
      <c r="P73" s="629" t="str">
        <f t="shared" si="16"/>
        <v/>
      </c>
      <c r="Q73" s="10"/>
      <c r="R73" s="251"/>
    </row>
    <row r="74" spans="5:18" x14ac:dyDescent="0.3">
      <c r="E74" s="243">
        <f t="shared" si="17"/>
        <v>68</v>
      </c>
      <c r="F74" s="243">
        <f>LARGE(Csapatok!$G$7:$G$965,E74)</f>
        <v>8.5100000000001411E-2</v>
      </c>
      <c r="I74" s="519" t="str">
        <f t="shared" si="9"/>
        <v/>
      </c>
      <c r="J74" s="625" t="str">
        <f t="shared" si="10"/>
        <v/>
      </c>
      <c r="K74" s="626" t="str">
        <f t="shared" si="11"/>
        <v/>
      </c>
      <c r="L74" s="626" t="str">
        <f t="shared" si="12"/>
        <v/>
      </c>
      <c r="M74" s="626" t="str">
        <f t="shared" si="13"/>
        <v/>
      </c>
      <c r="N74" s="627" t="str">
        <f t="shared" si="14"/>
        <v/>
      </c>
      <c r="O74" s="628" t="str">
        <f t="shared" si="15"/>
        <v/>
      </c>
      <c r="P74" s="629" t="str">
        <f t="shared" si="16"/>
        <v/>
      </c>
      <c r="Q74" s="10"/>
      <c r="R74" s="251"/>
    </row>
    <row r="75" spans="5:18" x14ac:dyDescent="0.3">
      <c r="E75" s="243">
        <f t="shared" si="17"/>
        <v>69</v>
      </c>
      <c r="F75" s="243">
        <f>LARGE(Csapatok!$G$7:$G$965,E75)</f>
        <v>8.5000000000001408E-2</v>
      </c>
      <c r="I75" s="519" t="str">
        <f t="shared" si="9"/>
        <v/>
      </c>
      <c r="J75" s="625" t="str">
        <f t="shared" si="10"/>
        <v/>
      </c>
      <c r="K75" s="626" t="str">
        <f t="shared" si="11"/>
        <v/>
      </c>
      <c r="L75" s="626" t="str">
        <f t="shared" si="12"/>
        <v/>
      </c>
      <c r="M75" s="626" t="str">
        <f t="shared" si="13"/>
        <v/>
      </c>
      <c r="N75" s="627" t="str">
        <f t="shared" si="14"/>
        <v/>
      </c>
      <c r="O75" s="628" t="str">
        <f t="shared" si="15"/>
        <v/>
      </c>
      <c r="P75" s="629" t="str">
        <f t="shared" si="16"/>
        <v/>
      </c>
      <c r="Q75" s="10"/>
      <c r="R75" s="251"/>
    </row>
    <row r="76" spans="5:18" x14ac:dyDescent="0.3">
      <c r="E76" s="243">
        <f t="shared" si="17"/>
        <v>70</v>
      </c>
      <c r="F76" s="243">
        <f>LARGE(Csapatok!$G$7:$G$965,E76)</f>
        <v>8.4900000000001405E-2</v>
      </c>
      <c r="I76" s="519" t="str">
        <f t="shared" si="9"/>
        <v/>
      </c>
      <c r="J76" s="625" t="str">
        <f t="shared" si="10"/>
        <v/>
      </c>
      <c r="K76" s="626" t="str">
        <f t="shared" si="11"/>
        <v/>
      </c>
      <c r="L76" s="626" t="str">
        <f t="shared" si="12"/>
        <v/>
      </c>
      <c r="M76" s="626" t="str">
        <f t="shared" si="13"/>
        <v/>
      </c>
      <c r="N76" s="627" t="str">
        <f t="shared" si="14"/>
        <v/>
      </c>
      <c r="O76" s="628" t="str">
        <f t="shared" si="15"/>
        <v/>
      </c>
      <c r="P76" s="629" t="str">
        <f t="shared" si="16"/>
        <v/>
      </c>
      <c r="Q76" s="10"/>
      <c r="R76" s="251"/>
    </row>
    <row r="77" spans="5:18" x14ac:dyDescent="0.3">
      <c r="E77" s="243">
        <f t="shared" si="17"/>
        <v>71</v>
      </c>
      <c r="F77" s="243">
        <f>LARGE(Csapatok!$G$7:$G$965,E77)</f>
        <v>8.4800000000001402E-2</v>
      </c>
      <c r="I77" s="519" t="str">
        <f t="shared" si="9"/>
        <v/>
      </c>
      <c r="J77" s="625" t="str">
        <f t="shared" si="10"/>
        <v/>
      </c>
      <c r="K77" s="626" t="str">
        <f t="shared" si="11"/>
        <v/>
      </c>
      <c r="L77" s="626" t="str">
        <f t="shared" si="12"/>
        <v/>
      </c>
      <c r="M77" s="626" t="str">
        <f t="shared" si="13"/>
        <v/>
      </c>
      <c r="N77" s="627" t="str">
        <f t="shared" si="14"/>
        <v/>
      </c>
      <c r="O77" s="628" t="str">
        <f t="shared" si="15"/>
        <v/>
      </c>
      <c r="P77" s="629" t="str">
        <f t="shared" si="16"/>
        <v/>
      </c>
      <c r="Q77" s="10"/>
      <c r="R77" s="251"/>
    </row>
    <row r="78" spans="5:18" x14ac:dyDescent="0.3">
      <c r="E78" s="243">
        <f t="shared" si="17"/>
        <v>72</v>
      </c>
      <c r="F78" s="243">
        <f>LARGE(Csapatok!$G$7:$G$965,E78)</f>
        <v>8.4700000000001399E-2</v>
      </c>
      <c r="I78" s="519" t="str">
        <f t="shared" si="9"/>
        <v/>
      </c>
      <c r="J78" s="625" t="str">
        <f t="shared" si="10"/>
        <v/>
      </c>
      <c r="K78" s="626" t="str">
        <f t="shared" si="11"/>
        <v/>
      </c>
      <c r="L78" s="626" t="str">
        <f t="shared" si="12"/>
        <v/>
      </c>
      <c r="M78" s="626" t="str">
        <f t="shared" si="13"/>
        <v/>
      </c>
      <c r="N78" s="627" t="str">
        <f t="shared" si="14"/>
        <v/>
      </c>
      <c r="O78" s="628" t="str">
        <f t="shared" si="15"/>
        <v/>
      </c>
      <c r="P78" s="629" t="str">
        <f t="shared" si="16"/>
        <v/>
      </c>
      <c r="Q78" s="10"/>
      <c r="R78" s="251"/>
    </row>
    <row r="79" spans="5:18" x14ac:dyDescent="0.3">
      <c r="E79" s="243">
        <f t="shared" si="17"/>
        <v>73</v>
      </c>
      <c r="F79" s="243">
        <f>LARGE(Csapatok!$G$7:$G$965,E79)</f>
        <v>8.4600000000001396E-2</v>
      </c>
      <c r="I79" s="519" t="str">
        <f t="shared" si="9"/>
        <v/>
      </c>
      <c r="J79" s="625" t="str">
        <f t="shared" si="10"/>
        <v/>
      </c>
      <c r="K79" s="626" t="str">
        <f t="shared" si="11"/>
        <v/>
      </c>
      <c r="L79" s="626" t="str">
        <f t="shared" si="12"/>
        <v/>
      </c>
      <c r="M79" s="626" t="str">
        <f t="shared" si="13"/>
        <v/>
      </c>
      <c r="N79" s="627" t="str">
        <f t="shared" si="14"/>
        <v/>
      </c>
      <c r="O79" s="628" t="str">
        <f t="shared" si="15"/>
        <v/>
      </c>
      <c r="P79" s="629" t="str">
        <f t="shared" si="16"/>
        <v/>
      </c>
      <c r="Q79" s="10"/>
      <c r="R79" s="251"/>
    </row>
    <row r="80" spans="5:18" x14ac:dyDescent="0.3">
      <c r="E80" s="243">
        <f t="shared" si="17"/>
        <v>74</v>
      </c>
      <c r="F80" s="243">
        <f>LARGE(Csapatok!$G$7:$G$965,E80)</f>
        <v>8.4500000000001393E-2</v>
      </c>
      <c r="I80" s="519" t="str">
        <f t="shared" si="9"/>
        <v/>
      </c>
      <c r="J80" s="625" t="str">
        <f t="shared" si="10"/>
        <v/>
      </c>
      <c r="K80" s="626" t="str">
        <f t="shared" si="11"/>
        <v/>
      </c>
      <c r="L80" s="626" t="str">
        <f t="shared" si="12"/>
        <v/>
      </c>
      <c r="M80" s="626" t="str">
        <f t="shared" si="13"/>
        <v/>
      </c>
      <c r="N80" s="627" t="str">
        <f t="shared" si="14"/>
        <v/>
      </c>
      <c r="O80" s="628" t="str">
        <f t="shared" si="15"/>
        <v/>
      </c>
      <c r="P80" s="629" t="str">
        <f t="shared" si="16"/>
        <v/>
      </c>
      <c r="Q80" s="10"/>
      <c r="R80" s="251"/>
    </row>
    <row r="81" spans="5:18" x14ac:dyDescent="0.3">
      <c r="E81" s="243">
        <f t="shared" si="17"/>
        <v>75</v>
      </c>
      <c r="F81" s="243">
        <f>LARGE(Csapatok!$G$7:$G$965,E81)</f>
        <v>8.4400000000001391E-2</v>
      </c>
      <c r="I81" s="519" t="str">
        <f t="shared" si="9"/>
        <v/>
      </c>
      <c r="J81" s="625" t="str">
        <f t="shared" si="10"/>
        <v/>
      </c>
      <c r="K81" s="626" t="str">
        <f t="shared" si="11"/>
        <v/>
      </c>
      <c r="L81" s="626" t="str">
        <f t="shared" si="12"/>
        <v/>
      </c>
      <c r="M81" s="626" t="str">
        <f t="shared" si="13"/>
        <v/>
      </c>
      <c r="N81" s="627" t="str">
        <f t="shared" si="14"/>
        <v/>
      </c>
      <c r="O81" s="628" t="str">
        <f t="shared" si="15"/>
        <v/>
      </c>
      <c r="P81" s="629" t="str">
        <f t="shared" si="16"/>
        <v/>
      </c>
      <c r="Q81" s="10"/>
      <c r="R81" s="251"/>
    </row>
    <row r="82" spans="5:18" x14ac:dyDescent="0.3">
      <c r="E82" s="243">
        <f t="shared" si="17"/>
        <v>76</v>
      </c>
      <c r="F82" s="243">
        <f>LARGE(Csapatok!$G$7:$G$965,E82)</f>
        <v>8.4300000000001388E-2</v>
      </c>
      <c r="I82" s="519" t="str">
        <f t="shared" si="9"/>
        <v/>
      </c>
      <c r="J82" s="625" t="str">
        <f t="shared" si="10"/>
        <v/>
      </c>
      <c r="K82" s="626" t="str">
        <f t="shared" si="11"/>
        <v/>
      </c>
      <c r="L82" s="626" t="str">
        <f t="shared" si="12"/>
        <v/>
      </c>
      <c r="M82" s="626" t="str">
        <f t="shared" si="13"/>
        <v/>
      </c>
      <c r="N82" s="627" t="str">
        <f t="shared" si="14"/>
        <v/>
      </c>
      <c r="O82" s="628" t="str">
        <f t="shared" si="15"/>
        <v/>
      </c>
      <c r="P82" s="629" t="str">
        <f t="shared" si="16"/>
        <v/>
      </c>
      <c r="Q82" s="10"/>
      <c r="R82" s="251"/>
    </row>
    <row r="83" spans="5:18" x14ac:dyDescent="0.3">
      <c r="E83" s="243">
        <f t="shared" si="17"/>
        <v>77</v>
      </c>
      <c r="F83" s="243">
        <f>LARGE(Csapatok!$G$7:$G$965,E83)</f>
        <v>8.4200000000001385E-2</v>
      </c>
      <c r="I83" s="519" t="str">
        <f t="shared" si="9"/>
        <v/>
      </c>
      <c r="J83" s="625" t="str">
        <f t="shared" si="10"/>
        <v/>
      </c>
      <c r="K83" s="626" t="str">
        <f t="shared" si="11"/>
        <v/>
      </c>
      <c r="L83" s="626" t="str">
        <f t="shared" si="12"/>
        <v/>
      </c>
      <c r="M83" s="626" t="str">
        <f t="shared" si="13"/>
        <v/>
      </c>
      <c r="N83" s="627" t="str">
        <f t="shared" si="14"/>
        <v/>
      </c>
      <c r="O83" s="628" t="str">
        <f t="shared" si="15"/>
        <v/>
      </c>
      <c r="P83" s="629" t="str">
        <f t="shared" si="16"/>
        <v/>
      </c>
      <c r="Q83" s="10"/>
      <c r="R83" s="251"/>
    </row>
    <row r="84" spans="5:18" x14ac:dyDescent="0.3">
      <c r="E84" s="243">
        <f t="shared" si="17"/>
        <v>78</v>
      </c>
      <c r="F84" s="243">
        <f>LARGE(Csapatok!$G$7:$G$965,E84)</f>
        <v>8.4100000000001382E-2</v>
      </c>
      <c r="I84" s="519" t="str">
        <f t="shared" si="9"/>
        <v/>
      </c>
      <c r="J84" s="625" t="str">
        <f t="shared" si="10"/>
        <v/>
      </c>
      <c r="K84" s="626" t="str">
        <f t="shared" si="11"/>
        <v/>
      </c>
      <c r="L84" s="626" t="str">
        <f t="shared" si="12"/>
        <v/>
      </c>
      <c r="M84" s="626" t="str">
        <f t="shared" si="13"/>
        <v/>
      </c>
      <c r="N84" s="627" t="str">
        <f t="shared" si="14"/>
        <v/>
      </c>
      <c r="O84" s="628" t="str">
        <f t="shared" si="15"/>
        <v/>
      </c>
      <c r="P84" s="629" t="str">
        <f t="shared" si="16"/>
        <v/>
      </c>
      <c r="Q84" s="10"/>
      <c r="R84" s="251"/>
    </row>
    <row r="85" spans="5:18" x14ac:dyDescent="0.3">
      <c r="E85" s="243">
        <f t="shared" si="17"/>
        <v>79</v>
      </c>
      <c r="F85" s="243">
        <f>LARGE(Csapatok!$G$7:$G$965,E85)</f>
        <v>8.2600000000001339E-2</v>
      </c>
      <c r="I85" s="519" t="str">
        <f t="shared" si="9"/>
        <v/>
      </c>
      <c r="J85" s="625" t="str">
        <f t="shared" si="10"/>
        <v/>
      </c>
      <c r="K85" s="626" t="str">
        <f t="shared" si="11"/>
        <v/>
      </c>
      <c r="L85" s="626" t="str">
        <f t="shared" si="12"/>
        <v/>
      </c>
      <c r="M85" s="626" t="str">
        <f t="shared" si="13"/>
        <v/>
      </c>
      <c r="N85" s="627" t="str">
        <f t="shared" si="14"/>
        <v/>
      </c>
      <c r="O85" s="628" t="str">
        <f t="shared" si="15"/>
        <v/>
      </c>
      <c r="P85" s="629" t="str">
        <f t="shared" si="16"/>
        <v/>
      </c>
      <c r="Q85" s="10"/>
      <c r="R85" s="251"/>
    </row>
    <row r="86" spans="5:18" x14ac:dyDescent="0.3">
      <c r="E86" s="243">
        <f t="shared" si="17"/>
        <v>80</v>
      </c>
      <c r="F86" s="243">
        <f>LARGE(Csapatok!$G$7:$G$965,E86)</f>
        <v>8.2500000000001336E-2</v>
      </c>
      <c r="I86" s="519" t="str">
        <f t="shared" si="9"/>
        <v/>
      </c>
      <c r="J86" s="625" t="str">
        <f t="shared" si="10"/>
        <v/>
      </c>
      <c r="K86" s="626" t="str">
        <f t="shared" si="11"/>
        <v/>
      </c>
      <c r="L86" s="626" t="str">
        <f t="shared" si="12"/>
        <v/>
      </c>
      <c r="M86" s="626" t="str">
        <f t="shared" si="13"/>
        <v/>
      </c>
      <c r="N86" s="627" t="str">
        <f t="shared" si="14"/>
        <v/>
      </c>
      <c r="O86" s="628" t="str">
        <f t="shared" si="15"/>
        <v/>
      </c>
      <c r="P86" s="629" t="str">
        <f t="shared" si="16"/>
        <v/>
      </c>
      <c r="Q86" s="10"/>
      <c r="R86" s="251"/>
    </row>
    <row r="87" spans="5:18" x14ac:dyDescent="0.3">
      <c r="E87" s="243">
        <f t="shared" si="17"/>
        <v>81</v>
      </c>
      <c r="F87" s="243">
        <f>LARGE(Csapatok!$G$7:$G$965,E87)</f>
        <v>8.2400000000001333E-2</v>
      </c>
      <c r="I87" s="519" t="str">
        <f t="shared" si="9"/>
        <v/>
      </c>
      <c r="J87" s="625" t="str">
        <f t="shared" si="10"/>
        <v/>
      </c>
      <c r="K87" s="626" t="str">
        <f t="shared" si="11"/>
        <v/>
      </c>
      <c r="L87" s="626" t="str">
        <f t="shared" si="12"/>
        <v/>
      </c>
      <c r="M87" s="626" t="str">
        <f t="shared" si="13"/>
        <v/>
      </c>
      <c r="N87" s="627" t="str">
        <f t="shared" si="14"/>
        <v/>
      </c>
      <c r="O87" s="628" t="str">
        <f t="shared" si="15"/>
        <v/>
      </c>
      <c r="P87" s="629" t="str">
        <f t="shared" si="16"/>
        <v/>
      </c>
      <c r="Q87" s="10"/>
      <c r="R87" s="251"/>
    </row>
    <row r="88" spans="5:18" x14ac:dyDescent="0.3">
      <c r="E88" s="243">
        <f t="shared" si="17"/>
        <v>82</v>
      </c>
      <c r="F88" s="243">
        <f>LARGE(Csapatok!$G$7:$G$965,E88)</f>
        <v>8.230000000000133E-2</v>
      </c>
      <c r="I88" s="519" t="str">
        <f t="shared" si="9"/>
        <v/>
      </c>
      <c r="J88" s="625" t="str">
        <f t="shared" si="10"/>
        <v/>
      </c>
      <c r="K88" s="626" t="str">
        <f t="shared" si="11"/>
        <v/>
      </c>
      <c r="L88" s="626" t="str">
        <f t="shared" si="12"/>
        <v/>
      </c>
      <c r="M88" s="626" t="str">
        <f t="shared" si="13"/>
        <v/>
      </c>
      <c r="N88" s="627" t="str">
        <f t="shared" si="14"/>
        <v/>
      </c>
      <c r="O88" s="628" t="str">
        <f t="shared" si="15"/>
        <v/>
      </c>
      <c r="P88" s="629" t="str">
        <f t="shared" si="16"/>
        <v/>
      </c>
      <c r="Q88" s="10"/>
      <c r="R88" s="251"/>
    </row>
    <row r="89" spans="5:18" x14ac:dyDescent="0.3">
      <c r="E89" s="243">
        <f t="shared" si="17"/>
        <v>83</v>
      </c>
      <c r="F89" s="243">
        <f>LARGE(Csapatok!$G$7:$G$965,E89)</f>
        <v>8.2200000000001328E-2</v>
      </c>
      <c r="I89" s="519" t="str">
        <f t="shared" si="9"/>
        <v/>
      </c>
      <c r="J89" s="625" t="str">
        <f t="shared" si="10"/>
        <v/>
      </c>
      <c r="K89" s="626" t="str">
        <f t="shared" si="11"/>
        <v/>
      </c>
      <c r="L89" s="626" t="str">
        <f t="shared" si="12"/>
        <v/>
      </c>
      <c r="M89" s="626" t="str">
        <f t="shared" si="13"/>
        <v/>
      </c>
      <c r="N89" s="627" t="str">
        <f t="shared" si="14"/>
        <v/>
      </c>
      <c r="O89" s="628" t="str">
        <f t="shared" si="15"/>
        <v/>
      </c>
      <c r="P89" s="629" t="str">
        <f t="shared" si="16"/>
        <v/>
      </c>
      <c r="Q89" s="10"/>
      <c r="R89" s="251"/>
    </row>
    <row r="90" spans="5:18" x14ac:dyDescent="0.3">
      <c r="E90" s="243">
        <f t="shared" si="17"/>
        <v>84</v>
      </c>
      <c r="F90" s="243">
        <f>LARGE(Csapatok!$G$7:$G$965,E90)</f>
        <v>8.2100000000001325E-2</v>
      </c>
      <c r="I90" s="519" t="str">
        <f t="shared" si="9"/>
        <v/>
      </c>
      <c r="J90" s="625" t="str">
        <f t="shared" si="10"/>
        <v/>
      </c>
      <c r="K90" s="626" t="str">
        <f t="shared" si="11"/>
        <v/>
      </c>
      <c r="L90" s="626" t="str">
        <f t="shared" si="12"/>
        <v/>
      </c>
      <c r="M90" s="626" t="str">
        <f t="shared" si="13"/>
        <v/>
      </c>
      <c r="N90" s="627" t="str">
        <f t="shared" si="14"/>
        <v/>
      </c>
      <c r="O90" s="628" t="str">
        <f t="shared" si="15"/>
        <v/>
      </c>
      <c r="P90" s="629" t="str">
        <f t="shared" si="16"/>
        <v/>
      </c>
      <c r="Q90" s="10"/>
      <c r="R90" s="251"/>
    </row>
    <row r="91" spans="5:18" x14ac:dyDescent="0.3">
      <c r="E91" s="243">
        <f t="shared" si="17"/>
        <v>85</v>
      </c>
      <c r="F91" s="243">
        <f>LARGE(Csapatok!$G$7:$G$965,E91)</f>
        <v>8.2000000000001322E-2</v>
      </c>
      <c r="I91" s="519" t="str">
        <f t="shared" si="9"/>
        <v/>
      </c>
      <c r="J91" s="625" t="str">
        <f t="shared" si="10"/>
        <v/>
      </c>
      <c r="K91" s="626" t="str">
        <f t="shared" si="11"/>
        <v/>
      </c>
      <c r="L91" s="626" t="str">
        <f t="shared" si="12"/>
        <v/>
      </c>
      <c r="M91" s="626" t="str">
        <f t="shared" si="13"/>
        <v/>
      </c>
      <c r="N91" s="627" t="str">
        <f t="shared" si="14"/>
        <v/>
      </c>
      <c r="O91" s="628" t="str">
        <f t="shared" si="15"/>
        <v/>
      </c>
      <c r="P91" s="629" t="str">
        <f t="shared" si="16"/>
        <v/>
      </c>
      <c r="Q91" s="10"/>
      <c r="R91" s="251"/>
    </row>
    <row r="92" spans="5:18" x14ac:dyDescent="0.3">
      <c r="E92" s="243">
        <f t="shared" si="17"/>
        <v>86</v>
      </c>
      <c r="F92" s="243">
        <f>LARGE(Csapatok!$G$7:$G$965,E92)</f>
        <v>8.1900000000001319E-2</v>
      </c>
      <c r="I92" s="519" t="str">
        <f t="shared" si="9"/>
        <v/>
      </c>
      <c r="J92" s="625" t="str">
        <f t="shared" si="10"/>
        <v/>
      </c>
      <c r="K92" s="626" t="str">
        <f t="shared" si="11"/>
        <v/>
      </c>
      <c r="L92" s="626" t="str">
        <f t="shared" si="12"/>
        <v/>
      </c>
      <c r="M92" s="626" t="str">
        <f t="shared" si="13"/>
        <v/>
      </c>
      <c r="N92" s="627" t="str">
        <f t="shared" si="14"/>
        <v/>
      </c>
      <c r="O92" s="628" t="str">
        <f t="shared" si="15"/>
        <v/>
      </c>
      <c r="P92" s="629" t="str">
        <f t="shared" si="16"/>
        <v/>
      </c>
      <c r="Q92" s="10"/>
      <c r="R92" s="251"/>
    </row>
    <row r="93" spans="5:18" x14ac:dyDescent="0.3">
      <c r="E93" s="243">
        <f t="shared" si="17"/>
        <v>87</v>
      </c>
      <c r="F93" s="243">
        <f>LARGE(Csapatok!$G$7:$G$965,E93)</f>
        <v>8.1800000000001316E-2</v>
      </c>
      <c r="I93" s="519" t="str">
        <f t="shared" si="9"/>
        <v/>
      </c>
      <c r="J93" s="625" t="str">
        <f t="shared" si="10"/>
        <v/>
      </c>
      <c r="K93" s="626" t="str">
        <f t="shared" si="11"/>
        <v/>
      </c>
      <c r="L93" s="626" t="str">
        <f t="shared" si="12"/>
        <v/>
      </c>
      <c r="M93" s="626" t="str">
        <f t="shared" si="13"/>
        <v/>
      </c>
      <c r="N93" s="627" t="str">
        <f t="shared" si="14"/>
        <v/>
      </c>
      <c r="O93" s="628" t="str">
        <f t="shared" si="15"/>
        <v/>
      </c>
      <c r="P93" s="629" t="str">
        <f t="shared" si="16"/>
        <v/>
      </c>
      <c r="Q93" s="10"/>
      <c r="R93" s="251"/>
    </row>
    <row r="94" spans="5:18" x14ac:dyDescent="0.3">
      <c r="E94" s="243">
        <f t="shared" si="17"/>
        <v>88</v>
      </c>
      <c r="F94" s="243">
        <f>LARGE(Csapatok!$G$7:$G$965,E94)</f>
        <v>8.1700000000001313E-2</v>
      </c>
      <c r="I94" s="519" t="str">
        <f t="shared" si="9"/>
        <v/>
      </c>
      <c r="J94" s="625" t="str">
        <f t="shared" si="10"/>
        <v/>
      </c>
      <c r="K94" s="626" t="str">
        <f t="shared" si="11"/>
        <v/>
      </c>
      <c r="L94" s="626" t="str">
        <f t="shared" si="12"/>
        <v/>
      </c>
      <c r="M94" s="626" t="str">
        <f t="shared" si="13"/>
        <v/>
      </c>
      <c r="N94" s="627" t="str">
        <f t="shared" si="14"/>
        <v/>
      </c>
      <c r="O94" s="628" t="str">
        <f t="shared" si="15"/>
        <v/>
      </c>
      <c r="P94" s="629" t="str">
        <f t="shared" si="16"/>
        <v/>
      </c>
      <c r="Q94" s="10"/>
      <c r="R94" s="251"/>
    </row>
    <row r="95" spans="5:18" x14ac:dyDescent="0.3">
      <c r="E95" s="243">
        <f t="shared" si="17"/>
        <v>89</v>
      </c>
      <c r="F95" s="243">
        <f>LARGE(Csapatok!$G$7:$G$965,E95)</f>
        <v>8.160000000000131E-2</v>
      </c>
      <c r="I95" s="519" t="str">
        <f t="shared" si="9"/>
        <v/>
      </c>
      <c r="J95" s="625" t="str">
        <f t="shared" si="10"/>
        <v/>
      </c>
      <c r="K95" s="626" t="str">
        <f t="shared" si="11"/>
        <v/>
      </c>
      <c r="L95" s="626" t="str">
        <f t="shared" si="12"/>
        <v/>
      </c>
      <c r="M95" s="626" t="str">
        <f t="shared" si="13"/>
        <v/>
      </c>
      <c r="N95" s="627" t="str">
        <f t="shared" si="14"/>
        <v/>
      </c>
      <c r="O95" s="628" t="str">
        <f t="shared" si="15"/>
        <v/>
      </c>
      <c r="P95" s="629" t="str">
        <f t="shared" si="16"/>
        <v/>
      </c>
      <c r="Q95" s="10"/>
      <c r="R95" s="251"/>
    </row>
    <row r="96" spans="5:18" x14ac:dyDescent="0.3">
      <c r="E96" s="243">
        <f t="shared" si="17"/>
        <v>90</v>
      </c>
      <c r="F96" s="243">
        <f>LARGE(Csapatok!$G$7:$G$965,E96)</f>
        <v>8.1500000000001308E-2</v>
      </c>
      <c r="I96" s="519" t="str">
        <f t="shared" si="9"/>
        <v/>
      </c>
      <c r="J96" s="625" t="str">
        <f t="shared" si="10"/>
        <v/>
      </c>
      <c r="K96" s="626" t="str">
        <f t="shared" si="11"/>
        <v/>
      </c>
      <c r="L96" s="626" t="str">
        <f t="shared" si="12"/>
        <v/>
      </c>
      <c r="M96" s="626" t="str">
        <f t="shared" si="13"/>
        <v/>
      </c>
      <c r="N96" s="627" t="str">
        <f t="shared" si="14"/>
        <v/>
      </c>
      <c r="O96" s="628" t="str">
        <f t="shared" si="15"/>
        <v/>
      </c>
      <c r="P96" s="629" t="str">
        <f t="shared" si="16"/>
        <v/>
      </c>
      <c r="Q96" s="10"/>
      <c r="R96" s="251"/>
    </row>
    <row r="97" spans="5:18" x14ac:dyDescent="0.3">
      <c r="E97" s="243">
        <f t="shared" si="17"/>
        <v>91</v>
      </c>
      <c r="F97" s="243">
        <f>LARGE(Csapatok!$G$7:$G$965,E97)</f>
        <v>8.1400000000001305E-2</v>
      </c>
      <c r="I97" s="519" t="str">
        <f t="shared" si="9"/>
        <v/>
      </c>
      <c r="J97" s="625" t="str">
        <f t="shared" si="10"/>
        <v/>
      </c>
      <c r="K97" s="626" t="str">
        <f t="shared" si="11"/>
        <v/>
      </c>
      <c r="L97" s="626" t="str">
        <f t="shared" si="12"/>
        <v/>
      </c>
      <c r="M97" s="626" t="str">
        <f t="shared" si="13"/>
        <v/>
      </c>
      <c r="N97" s="627" t="str">
        <f t="shared" si="14"/>
        <v/>
      </c>
      <c r="O97" s="628" t="str">
        <f t="shared" si="15"/>
        <v/>
      </c>
      <c r="P97" s="629" t="str">
        <f t="shared" si="16"/>
        <v/>
      </c>
      <c r="Q97" s="10"/>
      <c r="R97" s="251"/>
    </row>
    <row r="98" spans="5:18" x14ac:dyDescent="0.3">
      <c r="E98" s="243">
        <f t="shared" si="17"/>
        <v>92</v>
      </c>
      <c r="F98" s="243">
        <f>LARGE(Csapatok!$G$7:$G$965,E98)</f>
        <v>8.1300000000001302E-2</v>
      </c>
      <c r="I98" s="519" t="str">
        <f t="shared" si="9"/>
        <v/>
      </c>
      <c r="J98" s="625" t="str">
        <f t="shared" si="10"/>
        <v/>
      </c>
      <c r="K98" s="626" t="str">
        <f t="shared" si="11"/>
        <v/>
      </c>
      <c r="L98" s="626" t="str">
        <f t="shared" si="12"/>
        <v/>
      </c>
      <c r="M98" s="626" t="str">
        <f t="shared" si="13"/>
        <v/>
      </c>
      <c r="N98" s="627" t="str">
        <f t="shared" si="14"/>
        <v/>
      </c>
      <c r="O98" s="628" t="str">
        <f t="shared" si="15"/>
        <v/>
      </c>
      <c r="P98" s="629" t="str">
        <f t="shared" si="16"/>
        <v/>
      </c>
      <c r="Q98" s="10"/>
      <c r="R98" s="251"/>
    </row>
    <row r="99" spans="5:18" x14ac:dyDescent="0.3">
      <c r="E99" s="243">
        <f t="shared" si="17"/>
        <v>93</v>
      </c>
      <c r="F99" s="243">
        <f>LARGE(Csapatok!$G$7:$G$965,E99)</f>
        <v>8.1200000000001299E-2</v>
      </c>
      <c r="I99" s="519" t="str">
        <f t="shared" si="9"/>
        <v/>
      </c>
      <c r="J99" s="625" t="str">
        <f t="shared" si="10"/>
        <v/>
      </c>
      <c r="K99" s="626" t="str">
        <f t="shared" si="11"/>
        <v/>
      </c>
      <c r="L99" s="626" t="str">
        <f t="shared" si="12"/>
        <v/>
      </c>
      <c r="M99" s="626" t="str">
        <f t="shared" si="13"/>
        <v/>
      </c>
      <c r="N99" s="627" t="str">
        <f t="shared" si="14"/>
        <v/>
      </c>
      <c r="O99" s="628" t="str">
        <f t="shared" si="15"/>
        <v/>
      </c>
      <c r="P99" s="629" t="str">
        <f t="shared" si="16"/>
        <v/>
      </c>
      <c r="Q99" s="10"/>
      <c r="R99" s="251"/>
    </row>
    <row r="100" spans="5:18" x14ac:dyDescent="0.3">
      <c r="E100" s="243">
        <f t="shared" si="17"/>
        <v>94</v>
      </c>
      <c r="F100" s="243">
        <f>LARGE(Csapatok!$G$7:$G$965,E100)</f>
        <v>8.1100000000001296E-2</v>
      </c>
      <c r="I100" s="519" t="str">
        <f t="shared" si="9"/>
        <v/>
      </c>
      <c r="J100" s="625" t="str">
        <f t="shared" si="10"/>
        <v/>
      </c>
      <c r="K100" s="626" t="str">
        <f t="shared" si="11"/>
        <v/>
      </c>
      <c r="L100" s="626" t="str">
        <f t="shared" si="12"/>
        <v/>
      </c>
      <c r="M100" s="626" t="str">
        <f t="shared" si="13"/>
        <v/>
      </c>
      <c r="N100" s="627" t="str">
        <f t="shared" si="14"/>
        <v/>
      </c>
      <c r="O100" s="628" t="str">
        <f t="shared" si="15"/>
        <v/>
      </c>
      <c r="P100" s="629" t="str">
        <f t="shared" si="16"/>
        <v/>
      </c>
      <c r="Q100" s="10"/>
      <c r="R100" s="251"/>
    </row>
    <row r="101" spans="5:18" x14ac:dyDescent="0.3">
      <c r="E101" s="243">
        <f t="shared" si="17"/>
        <v>95</v>
      </c>
      <c r="F101" s="243">
        <f>LARGE(Csapatok!$G$7:$G$965,E101)</f>
        <v>8.1000000000001293E-2</v>
      </c>
      <c r="I101" s="519" t="str">
        <f t="shared" si="9"/>
        <v/>
      </c>
      <c r="J101" s="625" t="str">
        <f t="shared" si="10"/>
        <v/>
      </c>
      <c r="K101" s="626" t="str">
        <f t="shared" si="11"/>
        <v/>
      </c>
      <c r="L101" s="626" t="str">
        <f t="shared" si="12"/>
        <v/>
      </c>
      <c r="M101" s="626" t="str">
        <f t="shared" si="13"/>
        <v/>
      </c>
      <c r="N101" s="627" t="str">
        <f t="shared" si="14"/>
        <v/>
      </c>
      <c r="O101" s="628" t="str">
        <f t="shared" si="15"/>
        <v/>
      </c>
      <c r="P101" s="629" t="str">
        <f t="shared" si="16"/>
        <v/>
      </c>
      <c r="Q101" s="10"/>
      <c r="R101" s="251"/>
    </row>
    <row r="102" spans="5:18" x14ac:dyDescent="0.3">
      <c r="E102" s="243">
        <f t="shared" si="17"/>
        <v>96</v>
      </c>
      <c r="F102" s="243">
        <f>LARGE(Csapatok!$G$7:$G$965,E102)</f>
        <v>8.090000000000129E-2</v>
      </c>
      <c r="I102" s="519" t="str">
        <f t="shared" si="9"/>
        <v/>
      </c>
      <c r="J102" s="625" t="str">
        <f t="shared" si="10"/>
        <v/>
      </c>
      <c r="K102" s="626" t="str">
        <f t="shared" si="11"/>
        <v/>
      </c>
      <c r="L102" s="626" t="str">
        <f t="shared" si="12"/>
        <v/>
      </c>
      <c r="M102" s="626" t="str">
        <f t="shared" si="13"/>
        <v/>
      </c>
      <c r="N102" s="627" t="str">
        <f t="shared" si="14"/>
        <v/>
      </c>
      <c r="O102" s="628" t="str">
        <f t="shared" si="15"/>
        <v/>
      </c>
      <c r="P102" s="629" t="str">
        <f t="shared" si="16"/>
        <v/>
      </c>
      <c r="Q102" s="10"/>
      <c r="R102" s="251"/>
    </row>
    <row r="103" spans="5:18" x14ac:dyDescent="0.3">
      <c r="E103" s="243">
        <f t="shared" si="17"/>
        <v>97</v>
      </c>
      <c r="F103" s="243">
        <f>LARGE(Csapatok!$G$7:$G$965,E103)</f>
        <v>8.0800000000001287E-2</v>
      </c>
      <c r="I103" s="519" t="str">
        <f t="shared" si="9"/>
        <v/>
      </c>
      <c r="J103" s="625" t="str">
        <f t="shared" si="10"/>
        <v/>
      </c>
      <c r="K103" s="626" t="str">
        <f t="shared" si="11"/>
        <v/>
      </c>
      <c r="L103" s="626" t="str">
        <f t="shared" si="12"/>
        <v/>
      </c>
      <c r="M103" s="626" t="str">
        <f t="shared" si="13"/>
        <v/>
      </c>
      <c r="N103" s="627" t="str">
        <f t="shared" si="14"/>
        <v/>
      </c>
      <c r="O103" s="628" t="str">
        <f t="shared" si="15"/>
        <v/>
      </c>
      <c r="P103" s="629" t="str">
        <f t="shared" si="16"/>
        <v/>
      </c>
      <c r="Q103" s="10"/>
      <c r="R103" s="251"/>
    </row>
    <row r="104" spans="5:18" x14ac:dyDescent="0.3">
      <c r="E104" s="243">
        <f t="shared" si="17"/>
        <v>98</v>
      </c>
      <c r="F104" s="243">
        <f>LARGE(Csapatok!$G$7:$G$965,E104)</f>
        <v>8.0700000000001285E-2</v>
      </c>
      <c r="I104" s="519" t="str">
        <f t="shared" si="9"/>
        <v/>
      </c>
      <c r="J104" s="625" t="str">
        <f t="shared" si="10"/>
        <v/>
      </c>
      <c r="K104" s="626" t="str">
        <f t="shared" si="11"/>
        <v/>
      </c>
      <c r="L104" s="626" t="str">
        <f t="shared" si="12"/>
        <v/>
      </c>
      <c r="M104" s="626" t="str">
        <f t="shared" si="13"/>
        <v/>
      </c>
      <c r="N104" s="627" t="str">
        <f t="shared" si="14"/>
        <v/>
      </c>
      <c r="O104" s="628" t="str">
        <f t="shared" si="15"/>
        <v/>
      </c>
      <c r="P104" s="629" t="str">
        <f t="shared" si="16"/>
        <v/>
      </c>
      <c r="Q104" s="10"/>
      <c r="R104" s="251"/>
    </row>
    <row r="105" spans="5:18" x14ac:dyDescent="0.3">
      <c r="E105" s="243">
        <f t="shared" si="17"/>
        <v>99</v>
      </c>
      <c r="F105" s="243">
        <f>LARGE(Csapatok!$G$7:$G$965,E105)</f>
        <v>8.0600000000001282E-2</v>
      </c>
      <c r="I105" s="519" t="str">
        <f t="shared" si="9"/>
        <v/>
      </c>
      <c r="J105" s="625" t="str">
        <f t="shared" si="10"/>
        <v/>
      </c>
      <c r="K105" s="626" t="str">
        <f t="shared" si="11"/>
        <v/>
      </c>
      <c r="L105" s="626" t="str">
        <f t="shared" si="12"/>
        <v/>
      </c>
      <c r="M105" s="626" t="str">
        <f t="shared" si="13"/>
        <v/>
      </c>
      <c r="N105" s="627" t="str">
        <f t="shared" si="14"/>
        <v/>
      </c>
      <c r="O105" s="628" t="str">
        <f t="shared" si="15"/>
        <v/>
      </c>
      <c r="P105" s="629" t="str">
        <f t="shared" si="16"/>
        <v/>
      </c>
      <c r="Q105" s="10"/>
      <c r="R105" s="251"/>
    </row>
    <row r="106" spans="5:18" x14ac:dyDescent="0.3">
      <c r="E106" s="243">
        <f t="shared" si="17"/>
        <v>100</v>
      </c>
      <c r="F106" s="243">
        <f>LARGE(Csapatok!$G$7:$G$965,E106)</f>
        <v>8.0500000000001279E-2</v>
      </c>
      <c r="I106" s="519" t="str">
        <f t="shared" si="9"/>
        <v/>
      </c>
      <c r="J106" s="625" t="str">
        <f t="shared" si="10"/>
        <v/>
      </c>
      <c r="K106" s="626" t="str">
        <f t="shared" si="11"/>
        <v/>
      </c>
      <c r="L106" s="626" t="str">
        <f t="shared" si="12"/>
        <v/>
      </c>
      <c r="M106" s="626" t="str">
        <f t="shared" si="13"/>
        <v/>
      </c>
      <c r="N106" s="627" t="str">
        <f t="shared" si="14"/>
        <v/>
      </c>
      <c r="O106" s="628" t="str">
        <f t="shared" si="15"/>
        <v/>
      </c>
      <c r="P106" s="629" t="str">
        <f t="shared" si="16"/>
        <v/>
      </c>
      <c r="Q106" s="10"/>
      <c r="R106" s="251"/>
    </row>
    <row r="107" spans="5:18" x14ac:dyDescent="0.3">
      <c r="E107" s="243">
        <f t="shared" si="17"/>
        <v>101</v>
      </c>
      <c r="F107" s="243">
        <f>LARGE(Csapatok!$G$7:$G$965,E107)</f>
        <v>8.0400000000001276E-2</v>
      </c>
      <c r="I107" s="519" t="str">
        <f t="shared" si="9"/>
        <v/>
      </c>
      <c r="J107" s="625" t="str">
        <f t="shared" si="10"/>
        <v/>
      </c>
      <c r="K107" s="626" t="str">
        <f t="shared" si="11"/>
        <v/>
      </c>
      <c r="L107" s="626" t="str">
        <f t="shared" si="12"/>
        <v/>
      </c>
      <c r="M107" s="626" t="str">
        <f t="shared" si="13"/>
        <v/>
      </c>
      <c r="N107" s="627" t="str">
        <f t="shared" si="14"/>
        <v/>
      </c>
      <c r="O107" s="628" t="str">
        <f t="shared" si="15"/>
        <v/>
      </c>
      <c r="P107" s="629" t="str">
        <f t="shared" si="16"/>
        <v/>
      </c>
      <c r="Q107" s="10"/>
      <c r="R107" s="251"/>
    </row>
    <row r="108" spans="5:18" x14ac:dyDescent="0.3">
      <c r="E108" s="243">
        <f t="shared" si="17"/>
        <v>102</v>
      </c>
      <c r="F108" s="243">
        <f>LARGE(Csapatok!$G$7:$G$965,E108)</f>
        <v>8.0300000000001273E-2</v>
      </c>
      <c r="I108" s="519" t="str">
        <f t="shared" si="9"/>
        <v/>
      </c>
      <c r="J108" s="625" t="str">
        <f t="shared" si="10"/>
        <v/>
      </c>
      <c r="K108" s="626" t="str">
        <f t="shared" si="11"/>
        <v/>
      </c>
      <c r="L108" s="626" t="str">
        <f t="shared" si="12"/>
        <v/>
      </c>
      <c r="M108" s="626" t="str">
        <f t="shared" si="13"/>
        <v/>
      </c>
      <c r="N108" s="627" t="str">
        <f t="shared" si="14"/>
        <v/>
      </c>
      <c r="O108" s="628" t="str">
        <f t="shared" si="15"/>
        <v/>
      </c>
      <c r="P108" s="629" t="str">
        <f t="shared" si="16"/>
        <v/>
      </c>
      <c r="Q108" s="10"/>
      <c r="R108" s="251"/>
    </row>
    <row r="109" spans="5:18" x14ac:dyDescent="0.3">
      <c r="E109" s="243">
        <f t="shared" si="17"/>
        <v>103</v>
      </c>
      <c r="F109" s="243">
        <f>LARGE(Csapatok!$G$7:$G$965,E109)</f>
        <v>8.020000000000127E-2</v>
      </c>
      <c r="I109" s="519" t="str">
        <f t="shared" si="9"/>
        <v/>
      </c>
      <c r="J109" s="625" t="str">
        <f t="shared" si="10"/>
        <v/>
      </c>
      <c r="K109" s="626" t="str">
        <f t="shared" si="11"/>
        <v/>
      </c>
      <c r="L109" s="626" t="str">
        <f t="shared" si="12"/>
        <v/>
      </c>
      <c r="M109" s="626" t="str">
        <f t="shared" si="13"/>
        <v/>
      </c>
      <c r="N109" s="627" t="str">
        <f t="shared" si="14"/>
        <v/>
      </c>
      <c r="O109" s="628" t="str">
        <f t="shared" si="15"/>
        <v/>
      </c>
      <c r="P109" s="629" t="str">
        <f t="shared" si="16"/>
        <v/>
      </c>
      <c r="Q109" s="10"/>
      <c r="R109" s="251"/>
    </row>
    <row r="110" spans="5:18" x14ac:dyDescent="0.3">
      <c r="E110" s="243">
        <f t="shared" si="17"/>
        <v>104</v>
      </c>
      <c r="F110" s="243">
        <f>LARGE(Csapatok!$G$7:$G$965,E110)</f>
        <v>8.0100000000001267E-2</v>
      </c>
      <c r="I110" s="519" t="str">
        <f t="shared" si="9"/>
        <v/>
      </c>
      <c r="J110" s="625" t="str">
        <f t="shared" si="10"/>
        <v/>
      </c>
      <c r="K110" s="626" t="str">
        <f t="shared" si="11"/>
        <v/>
      </c>
      <c r="L110" s="626" t="str">
        <f t="shared" si="12"/>
        <v/>
      </c>
      <c r="M110" s="626" t="str">
        <f t="shared" si="13"/>
        <v/>
      </c>
      <c r="N110" s="627" t="str">
        <f t="shared" si="14"/>
        <v/>
      </c>
      <c r="O110" s="628" t="str">
        <f t="shared" si="15"/>
        <v/>
      </c>
      <c r="P110" s="629" t="str">
        <f t="shared" si="16"/>
        <v/>
      </c>
      <c r="Q110" s="10"/>
      <c r="R110" s="251"/>
    </row>
    <row r="111" spans="5:18" x14ac:dyDescent="0.3">
      <c r="E111" s="243">
        <f t="shared" si="17"/>
        <v>105</v>
      </c>
      <c r="F111" s="243">
        <f>LARGE(Csapatok!$G$7:$G$965,E111)</f>
        <v>7.8600000000001224E-2</v>
      </c>
      <c r="I111" s="519" t="str">
        <f t="shared" si="9"/>
        <v/>
      </c>
      <c r="J111" s="625" t="str">
        <f t="shared" si="10"/>
        <v/>
      </c>
      <c r="K111" s="626" t="str">
        <f t="shared" si="11"/>
        <v/>
      </c>
      <c r="L111" s="626" t="str">
        <f t="shared" si="12"/>
        <v/>
      </c>
      <c r="M111" s="626" t="str">
        <f t="shared" si="13"/>
        <v/>
      </c>
      <c r="N111" s="627" t="str">
        <f t="shared" si="14"/>
        <v/>
      </c>
      <c r="O111" s="628" t="str">
        <f t="shared" si="15"/>
        <v/>
      </c>
      <c r="P111" s="629" t="str">
        <f t="shared" si="16"/>
        <v/>
      </c>
      <c r="Q111" s="10"/>
      <c r="R111" s="251"/>
    </row>
    <row r="112" spans="5:18" x14ac:dyDescent="0.3">
      <c r="E112" s="243">
        <f t="shared" si="17"/>
        <v>106</v>
      </c>
      <c r="F112" s="243">
        <f>LARGE(Csapatok!$G$7:$G$965,E112)</f>
        <v>7.8500000000001222E-2</v>
      </c>
      <c r="I112" s="519" t="str">
        <f t="shared" si="9"/>
        <v/>
      </c>
      <c r="J112" s="625" t="str">
        <f t="shared" si="10"/>
        <v/>
      </c>
      <c r="K112" s="626" t="str">
        <f t="shared" si="11"/>
        <v/>
      </c>
      <c r="L112" s="626" t="str">
        <f t="shared" si="12"/>
        <v/>
      </c>
      <c r="M112" s="626" t="str">
        <f t="shared" si="13"/>
        <v/>
      </c>
      <c r="N112" s="627" t="str">
        <f t="shared" si="14"/>
        <v/>
      </c>
      <c r="O112" s="628" t="str">
        <f t="shared" si="15"/>
        <v/>
      </c>
      <c r="P112" s="629" t="str">
        <f t="shared" si="16"/>
        <v/>
      </c>
      <c r="Q112" s="10"/>
      <c r="R112" s="251"/>
    </row>
    <row r="113" spans="1:18" x14ac:dyDescent="0.3">
      <c r="E113" s="243">
        <f t="shared" si="17"/>
        <v>107</v>
      </c>
      <c r="F113" s="243">
        <f>LARGE(Csapatok!$G$7:$G$965,E113)</f>
        <v>7.8400000000001219E-2</v>
      </c>
      <c r="I113" s="519" t="str">
        <f t="shared" si="9"/>
        <v/>
      </c>
      <c r="J113" s="625" t="str">
        <f t="shared" si="10"/>
        <v/>
      </c>
      <c r="K113" s="626" t="str">
        <f t="shared" si="11"/>
        <v/>
      </c>
      <c r="L113" s="626" t="str">
        <f t="shared" si="12"/>
        <v/>
      </c>
      <c r="M113" s="626" t="str">
        <f t="shared" si="13"/>
        <v/>
      </c>
      <c r="N113" s="627" t="str">
        <f t="shared" si="14"/>
        <v/>
      </c>
      <c r="O113" s="628" t="str">
        <f t="shared" si="15"/>
        <v/>
      </c>
      <c r="P113" s="629" t="str">
        <f t="shared" si="16"/>
        <v/>
      </c>
      <c r="Q113" s="10"/>
      <c r="R113" s="251"/>
    </row>
    <row r="114" spans="1:18" x14ac:dyDescent="0.3">
      <c r="E114" s="243">
        <f t="shared" si="17"/>
        <v>108</v>
      </c>
      <c r="F114" s="243">
        <f>LARGE(Csapatok!$G$7:$G$965,E114)</f>
        <v>7.8300000000001216E-2</v>
      </c>
      <c r="I114" s="519" t="str">
        <f t="shared" si="9"/>
        <v/>
      </c>
      <c r="J114" s="625" t="str">
        <f t="shared" si="10"/>
        <v/>
      </c>
      <c r="K114" s="626" t="str">
        <f t="shared" si="11"/>
        <v/>
      </c>
      <c r="L114" s="626" t="str">
        <f t="shared" si="12"/>
        <v/>
      </c>
      <c r="M114" s="626" t="str">
        <f t="shared" si="13"/>
        <v/>
      </c>
      <c r="N114" s="627" t="str">
        <f t="shared" si="14"/>
        <v/>
      </c>
      <c r="O114" s="628" t="str">
        <f t="shared" si="15"/>
        <v/>
      </c>
      <c r="P114" s="629" t="str">
        <f t="shared" si="16"/>
        <v/>
      </c>
      <c r="Q114" s="10"/>
      <c r="R114" s="251"/>
    </row>
    <row r="115" spans="1:18" x14ac:dyDescent="0.3">
      <c r="A115" s="2"/>
      <c r="E115" s="243">
        <f t="shared" si="17"/>
        <v>109</v>
      </c>
      <c r="F115" s="243">
        <f>LARGE(Csapatok!$G$7:$G$965,E115)</f>
        <v>7.8200000000001213E-2</v>
      </c>
      <c r="I115" s="519" t="str">
        <f t="shared" si="9"/>
        <v/>
      </c>
      <c r="J115" s="625" t="str">
        <f t="shared" si="10"/>
        <v/>
      </c>
      <c r="K115" s="626" t="str">
        <f t="shared" si="11"/>
        <v/>
      </c>
      <c r="L115" s="626" t="str">
        <f t="shared" si="12"/>
        <v/>
      </c>
      <c r="M115" s="626" t="str">
        <f t="shared" si="13"/>
        <v/>
      </c>
      <c r="N115" s="627" t="str">
        <f t="shared" si="14"/>
        <v/>
      </c>
      <c r="O115" s="628" t="str">
        <f t="shared" si="15"/>
        <v/>
      </c>
      <c r="P115" s="629" t="str">
        <f t="shared" si="16"/>
        <v/>
      </c>
      <c r="Q115" s="10"/>
      <c r="R115" s="251"/>
    </row>
    <row r="116" spans="1:18" x14ac:dyDescent="0.3">
      <c r="A116" s="2"/>
      <c r="E116" s="243">
        <f t="shared" si="17"/>
        <v>110</v>
      </c>
      <c r="F116" s="243">
        <f>LARGE(Csapatok!$G$7:$G$965,E116)</f>
        <v>7.810000000000121E-2</v>
      </c>
      <c r="I116" s="519" t="str">
        <f t="shared" si="9"/>
        <v/>
      </c>
      <c r="J116" s="625" t="str">
        <f t="shared" si="10"/>
        <v/>
      </c>
      <c r="K116" s="626" t="str">
        <f t="shared" si="11"/>
        <v/>
      </c>
      <c r="L116" s="626" t="str">
        <f t="shared" si="12"/>
        <v/>
      </c>
      <c r="M116" s="626" t="str">
        <f t="shared" si="13"/>
        <v/>
      </c>
      <c r="N116" s="627" t="str">
        <f t="shared" si="14"/>
        <v/>
      </c>
      <c r="O116" s="628" t="str">
        <f t="shared" si="15"/>
        <v/>
      </c>
      <c r="P116" s="629" t="str">
        <f t="shared" si="16"/>
        <v/>
      </c>
      <c r="Q116" s="10"/>
      <c r="R116" s="251"/>
    </row>
    <row r="117" spans="1:18" x14ac:dyDescent="0.3">
      <c r="E117" s="243">
        <f t="shared" si="17"/>
        <v>111</v>
      </c>
      <c r="F117" s="243">
        <f>LARGE(Csapatok!$G$7:$G$965,E117)</f>
        <v>7.8000000000001207E-2</v>
      </c>
      <c r="I117" s="519" t="str">
        <f t="shared" si="9"/>
        <v/>
      </c>
      <c r="J117" s="625" t="str">
        <f t="shared" si="10"/>
        <v/>
      </c>
      <c r="K117" s="626" t="str">
        <f t="shared" si="11"/>
        <v/>
      </c>
      <c r="L117" s="626" t="str">
        <f t="shared" si="12"/>
        <v/>
      </c>
      <c r="M117" s="626" t="str">
        <f t="shared" si="13"/>
        <v/>
      </c>
      <c r="N117" s="627" t="str">
        <f t="shared" si="14"/>
        <v/>
      </c>
      <c r="O117" s="628" t="str">
        <f t="shared" si="15"/>
        <v/>
      </c>
      <c r="P117" s="629" t="str">
        <f t="shared" si="16"/>
        <v/>
      </c>
      <c r="Q117" s="10"/>
      <c r="R117" s="251"/>
    </row>
    <row r="118" spans="1:18" x14ac:dyDescent="0.3">
      <c r="E118" s="243">
        <f t="shared" si="17"/>
        <v>112</v>
      </c>
      <c r="F118" s="243">
        <f>LARGE(Csapatok!$G$7:$G$965,E118)</f>
        <v>7.7900000000001204E-2</v>
      </c>
      <c r="I118" s="519" t="str">
        <f t="shared" si="9"/>
        <v/>
      </c>
      <c r="J118" s="625" t="str">
        <f t="shared" si="10"/>
        <v/>
      </c>
      <c r="K118" s="626" t="str">
        <f t="shared" si="11"/>
        <v/>
      </c>
      <c r="L118" s="626" t="str">
        <f t="shared" si="12"/>
        <v/>
      </c>
      <c r="M118" s="626" t="str">
        <f t="shared" si="13"/>
        <v/>
      </c>
      <c r="N118" s="627" t="str">
        <f t="shared" si="14"/>
        <v/>
      </c>
      <c r="O118" s="628" t="str">
        <f t="shared" si="15"/>
        <v/>
      </c>
      <c r="P118" s="629" t="str">
        <f t="shared" si="16"/>
        <v/>
      </c>
      <c r="Q118" s="10"/>
      <c r="R118" s="251"/>
    </row>
    <row r="119" spans="1:18" x14ac:dyDescent="0.3">
      <c r="E119" s="243">
        <f t="shared" si="17"/>
        <v>113</v>
      </c>
      <c r="F119" s="243">
        <f>LARGE(Csapatok!$G$7:$G$965,E119)</f>
        <v>7.7800000000001202E-2</v>
      </c>
      <c r="I119" s="519" t="str">
        <f t="shared" si="9"/>
        <v/>
      </c>
      <c r="J119" s="625" t="str">
        <f t="shared" si="10"/>
        <v/>
      </c>
      <c r="K119" s="626" t="str">
        <f t="shared" si="11"/>
        <v/>
      </c>
      <c r="L119" s="626" t="str">
        <f t="shared" si="12"/>
        <v/>
      </c>
      <c r="M119" s="626" t="str">
        <f t="shared" si="13"/>
        <v/>
      </c>
      <c r="N119" s="627" t="str">
        <f t="shared" si="14"/>
        <v/>
      </c>
      <c r="O119" s="628" t="str">
        <f t="shared" si="15"/>
        <v/>
      </c>
      <c r="P119" s="629" t="str">
        <f t="shared" si="16"/>
        <v/>
      </c>
      <c r="Q119" s="10"/>
      <c r="R119" s="251"/>
    </row>
    <row r="120" spans="1:18" x14ac:dyDescent="0.3">
      <c r="E120" s="243">
        <f t="shared" si="17"/>
        <v>114</v>
      </c>
      <c r="F120" s="243">
        <f>LARGE(Csapatok!$G$7:$G$965,E120)</f>
        <v>7.7700000000001199E-2</v>
      </c>
      <c r="I120" s="519" t="str">
        <f t="shared" si="9"/>
        <v/>
      </c>
      <c r="J120" s="625" t="str">
        <f t="shared" si="10"/>
        <v/>
      </c>
      <c r="K120" s="626" t="str">
        <f t="shared" si="11"/>
        <v/>
      </c>
      <c r="L120" s="626" t="str">
        <f t="shared" si="12"/>
        <v/>
      </c>
      <c r="M120" s="626" t="str">
        <f t="shared" si="13"/>
        <v/>
      </c>
      <c r="N120" s="627" t="str">
        <f t="shared" si="14"/>
        <v/>
      </c>
      <c r="O120" s="628" t="str">
        <f t="shared" si="15"/>
        <v/>
      </c>
      <c r="P120" s="629" t="str">
        <f t="shared" si="16"/>
        <v/>
      </c>
      <c r="Q120" s="10"/>
      <c r="R120" s="251"/>
    </row>
    <row r="121" spans="1:18" x14ac:dyDescent="0.3">
      <c r="E121" s="243">
        <f t="shared" si="17"/>
        <v>115</v>
      </c>
      <c r="F121" s="243">
        <f>LARGE(Csapatok!$G$7:$G$965,E121)</f>
        <v>7.7600000000001196E-2</v>
      </c>
      <c r="I121" s="519" t="str">
        <f t="shared" si="9"/>
        <v/>
      </c>
      <c r="J121" s="625" t="str">
        <f t="shared" si="10"/>
        <v/>
      </c>
      <c r="K121" s="626" t="str">
        <f t="shared" si="11"/>
        <v/>
      </c>
      <c r="L121" s="626" t="str">
        <f t="shared" si="12"/>
        <v/>
      </c>
      <c r="M121" s="626" t="str">
        <f t="shared" si="13"/>
        <v/>
      </c>
      <c r="N121" s="627" t="str">
        <f t="shared" si="14"/>
        <v/>
      </c>
      <c r="O121" s="628" t="str">
        <f t="shared" si="15"/>
        <v/>
      </c>
      <c r="P121" s="629" t="str">
        <f t="shared" si="16"/>
        <v/>
      </c>
      <c r="Q121" s="10"/>
      <c r="R121" s="251"/>
    </row>
    <row r="122" spans="1:18" x14ac:dyDescent="0.3">
      <c r="E122" s="243">
        <f t="shared" si="17"/>
        <v>116</v>
      </c>
      <c r="F122" s="243">
        <f>LARGE(Csapatok!$G$7:$G$965,E122)</f>
        <v>7.7500000000001193E-2</v>
      </c>
      <c r="I122" s="519" t="str">
        <f t="shared" si="9"/>
        <v/>
      </c>
      <c r="J122" s="625" t="str">
        <f t="shared" si="10"/>
        <v/>
      </c>
      <c r="K122" s="626" t="str">
        <f t="shared" si="11"/>
        <v/>
      </c>
      <c r="L122" s="626" t="str">
        <f t="shared" si="12"/>
        <v/>
      </c>
      <c r="M122" s="626" t="str">
        <f t="shared" si="13"/>
        <v/>
      </c>
      <c r="N122" s="627" t="str">
        <f t="shared" si="14"/>
        <v/>
      </c>
      <c r="O122" s="628" t="str">
        <f t="shared" si="15"/>
        <v/>
      </c>
      <c r="P122" s="629" t="str">
        <f t="shared" si="16"/>
        <v/>
      </c>
      <c r="Q122" s="10"/>
      <c r="R122" s="251"/>
    </row>
    <row r="123" spans="1:18" x14ac:dyDescent="0.3">
      <c r="E123" s="243">
        <f t="shared" si="17"/>
        <v>117</v>
      </c>
      <c r="F123" s="243">
        <f>LARGE(Csapatok!$G$7:$G$965,E123)</f>
        <v>7.740000000000119E-2</v>
      </c>
      <c r="I123" s="519" t="str">
        <f t="shared" si="9"/>
        <v/>
      </c>
      <c r="J123" s="625" t="str">
        <f t="shared" si="10"/>
        <v/>
      </c>
      <c r="K123" s="626" t="str">
        <f t="shared" si="11"/>
        <v/>
      </c>
      <c r="L123" s="626" t="str">
        <f t="shared" si="12"/>
        <v/>
      </c>
      <c r="M123" s="626" t="str">
        <f t="shared" si="13"/>
        <v/>
      </c>
      <c r="N123" s="627" t="str">
        <f t="shared" si="14"/>
        <v/>
      </c>
      <c r="O123" s="628" t="str">
        <f t="shared" si="15"/>
        <v/>
      </c>
      <c r="P123" s="629" t="str">
        <f t="shared" si="16"/>
        <v/>
      </c>
      <c r="Q123" s="10"/>
      <c r="R123" s="251"/>
    </row>
    <row r="124" spans="1:18" x14ac:dyDescent="0.3">
      <c r="E124" s="243">
        <f t="shared" si="17"/>
        <v>118</v>
      </c>
      <c r="F124" s="243">
        <f>LARGE(Csapatok!$G$7:$G$965,E124)</f>
        <v>7.7300000000001187E-2</v>
      </c>
      <c r="I124" s="519" t="str">
        <f t="shared" si="9"/>
        <v/>
      </c>
      <c r="J124" s="625" t="str">
        <f t="shared" si="10"/>
        <v/>
      </c>
      <c r="K124" s="626" t="str">
        <f t="shared" si="11"/>
        <v/>
      </c>
      <c r="L124" s="626" t="str">
        <f t="shared" si="12"/>
        <v/>
      </c>
      <c r="M124" s="626" t="str">
        <f t="shared" si="13"/>
        <v/>
      </c>
      <c r="N124" s="627" t="str">
        <f t="shared" si="14"/>
        <v/>
      </c>
      <c r="O124" s="628" t="str">
        <f t="shared" si="15"/>
        <v/>
      </c>
      <c r="P124" s="629" t="str">
        <f t="shared" si="16"/>
        <v/>
      </c>
      <c r="Q124" s="10"/>
      <c r="R124" s="251"/>
    </row>
    <row r="125" spans="1:18" x14ac:dyDescent="0.3">
      <c r="E125" s="243">
        <f t="shared" si="17"/>
        <v>119</v>
      </c>
      <c r="F125" s="243">
        <f>LARGE(Csapatok!$G$7:$G$965,E125)</f>
        <v>7.7200000000001184E-2</v>
      </c>
      <c r="I125" s="519" t="str">
        <f t="shared" si="9"/>
        <v/>
      </c>
      <c r="J125" s="625" t="str">
        <f t="shared" si="10"/>
        <v/>
      </c>
      <c r="K125" s="626" t="str">
        <f t="shared" si="11"/>
        <v/>
      </c>
      <c r="L125" s="626" t="str">
        <f t="shared" si="12"/>
        <v/>
      </c>
      <c r="M125" s="626" t="str">
        <f t="shared" si="13"/>
        <v/>
      </c>
      <c r="N125" s="627" t="str">
        <f t="shared" si="14"/>
        <v/>
      </c>
      <c r="O125" s="628" t="str">
        <f t="shared" si="15"/>
        <v/>
      </c>
      <c r="P125" s="629" t="str">
        <f t="shared" si="16"/>
        <v/>
      </c>
      <c r="Q125" s="10"/>
      <c r="R125" s="251"/>
    </row>
    <row r="126" spans="1:18" x14ac:dyDescent="0.3">
      <c r="E126" s="243">
        <f t="shared" si="17"/>
        <v>120</v>
      </c>
      <c r="F126" s="243">
        <f>LARGE(Csapatok!$G$7:$G$965,E126)</f>
        <v>7.7100000000001181E-2</v>
      </c>
      <c r="I126" s="519" t="str">
        <f t="shared" si="9"/>
        <v/>
      </c>
      <c r="J126" s="625" t="str">
        <f t="shared" si="10"/>
        <v/>
      </c>
      <c r="K126" s="626" t="str">
        <f t="shared" si="11"/>
        <v/>
      </c>
      <c r="L126" s="626" t="str">
        <f t="shared" si="12"/>
        <v/>
      </c>
      <c r="M126" s="626" t="str">
        <f t="shared" si="13"/>
        <v/>
      </c>
      <c r="N126" s="627" t="str">
        <f t="shared" si="14"/>
        <v/>
      </c>
      <c r="O126" s="628" t="str">
        <f t="shared" si="15"/>
        <v/>
      </c>
      <c r="P126" s="629" t="str">
        <f t="shared" si="16"/>
        <v/>
      </c>
      <c r="Q126" s="10"/>
      <c r="R126" s="251"/>
    </row>
    <row r="127" spans="1:18" x14ac:dyDescent="0.3">
      <c r="E127" s="243">
        <f t="shared" si="17"/>
        <v>121</v>
      </c>
      <c r="F127" s="243">
        <f>LARGE(Csapatok!$G$7:$G$965,E127)</f>
        <v>7.7000000000001179E-2</v>
      </c>
      <c r="I127" s="519" t="str">
        <f t="shared" si="9"/>
        <v/>
      </c>
      <c r="J127" s="625" t="str">
        <f t="shared" si="10"/>
        <v/>
      </c>
      <c r="K127" s="626" t="str">
        <f t="shared" si="11"/>
        <v/>
      </c>
      <c r="L127" s="626" t="str">
        <f t="shared" si="12"/>
        <v/>
      </c>
      <c r="M127" s="626" t="str">
        <f t="shared" si="13"/>
        <v/>
      </c>
      <c r="N127" s="627" t="str">
        <f t="shared" si="14"/>
        <v/>
      </c>
      <c r="O127" s="628" t="str">
        <f t="shared" si="15"/>
        <v/>
      </c>
      <c r="P127" s="629" t="str">
        <f t="shared" si="16"/>
        <v/>
      </c>
      <c r="Q127" s="10"/>
      <c r="R127" s="251"/>
    </row>
    <row r="128" spans="1:18" x14ac:dyDescent="0.3">
      <c r="E128" s="243">
        <f t="shared" si="17"/>
        <v>122</v>
      </c>
      <c r="F128" s="243">
        <f>LARGE(Csapatok!$G$7:$G$965,E128)</f>
        <v>7.6900000000001176E-2</v>
      </c>
      <c r="I128" s="519" t="str">
        <f t="shared" si="9"/>
        <v/>
      </c>
      <c r="J128" s="625" t="str">
        <f t="shared" si="10"/>
        <v/>
      </c>
      <c r="K128" s="626" t="str">
        <f t="shared" si="11"/>
        <v/>
      </c>
      <c r="L128" s="626" t="str">
        <f t="shared" si="12"/>
        <v/>
      </c>
      <c r="M128" s="626" t="str">
        <f t="shared" si="13"/>
        <v/>
      </c>
      <c r="N128" s="627" t="str">
        <f t="shared" si="14"/>
        <v/>
      </c>
      <c r="O128" s="628" t="str">
        <f t="shared" si="15"/>
        <v/>
      </c>
      <c r="P128" s="629" t="str">
        <f t="shared" si="16"/>
        <v/>
      </c>
      <c r="Q128" s="10"/>
      <c r="R128" s="251"/>
    </row>
    <row r="129" spans="1:18" x14ac:dyDescent="0.3">
      <c r="E129" s="243">
        <f t="shared" si="17"/>
        <v>123</v>
      </c>
      <c r="F129" s="243">
        <f>LARGE(Csapatok!$G$7:$G$965,E129)</f>
        <v>7.6800000000001173E-2</v>
      </c>
      <c r="I129" s="519" t="str">
        <f t="shared" si="9"/>
        <v/>
      </c>
      <c r="J129" s="625" t="str">
        <f t="shared" si="10"/>
        <v/>
      </c>
      <c r="K129" s="626" t="str">
        <f t="shared" si="11"/>
        <v/>
      </c>
      <c r="L129" s="626" t="str">
        <f t="shared" si="12"/>
        <v/>
      </c>
      <c r="M129" s="626" t="str">
        <f t="shared" si="13"/>
        <v/>
      </c>
      <c r="N129" s="627" t="str">
        <f t="shared" si="14"/>
        <v/>
      </c>
      <c r="O129" s="628" t="str">
        <f t="shared" si="15"/>
        <v/>
      </c>
      <c r="P129" s="629" t="str">
        <f t="shared" si="16"/>
        <v/>
      </c>
      <c r="Q129" s="10"/>
      <c r="R129" s="251"/>
    </row>
    <row r="130" spans="1:18" x14ac:dyDescent="0.3">
      <c r="E130" s="243">
        <f t="shared" si="17"/>
        <v>124</v>
      </c>
      <c r="F130" s="243">
        <f>LARGE(Csapatok!$G$7:$G$965,E130)</f>
        <v>7.670000000000117E-2</v>
      </c>
      <c r="I130" s="519" t="str">
        <f t="shared" si="9"/>
        <v/>
      </c>
      <c r="J130" s="625" t="str">
        <f t="shared" si="10"/>
        <v/>
      </c>
      <c r="K130" s="626" t="str">
        <f t="shared" si="11"/>
        <v/>
      </c>
      <c r="L130" s="626" t="str">
        <f t="shared" si="12"/>
        <v/>
      </c>
      <c r="M130" s="626" t="str">
        <f t="shared" si="13"/>
        <v/>
      </c>
      <c r="N130" s="627" t="str">
        <f t="shared" si="14"/>
        <v/>
      </c>
      <c r="O130" s="628" t="str">
        <f t="shared" si="15"/>
        <v/>
      </c>
      <c r="P130" s="629" t="str">
        <f t="shared" si="16"/>
        <v/>
      </c>
      <c r="Q130" s="10"/>
      <c r="R130" s="251"/>
    </row>
    <row r="131" spans="1:18" x14ac:dyDescent="0.3">
      <c r="E131" s="243">
        <f t="shared" si="17"/>
        <v>125</v>
      </c>
      <c r="F131" s="243">
        <f>LARGE(Csapatok!$G$7:$G$965,E131)</f>
        <v>7.6600000000001167E-2</v>
      </c>
      <c r="I131" s="519" t="str">
        <f t="shared" si="9"/>
        <v/>
      </c>
      <c r="J131" s="625" t="str">
        <f t="shared" si="10"/>
        <v/>
      </c>
      <c r="K131" s="626" t="str">
        <f t="shared" si="11"/>
        <v/>
      </c>
      <c r="L131" s="626" t="str">
        <f t="shared" si="12"/>
        <v/>
      </c>
      <c r="M131" s="626" t="str">
        <f t="shared" si="13"/>
        <v/>
      </c>
      <c r="N131" s="627" t="str">
        <f t="shared" si="14"/>
        <v/>
      </c>
      <c r="O131" s="628" t="str">
        <f t="shared" si="15"/>
        <v/>
      </c>
      <c r="P131" s="629" t="str">
        <f t="shared" si="16"/>
        <v/>
      </c>
      <c r="Q131" s="10"/>
      <c r="R131" s="251"/>
    </row>
    <row r="132" spans="1:18" x14ac:dyDescent="0.3">
      <c r="E132" s="243">
        <f t="shared" si="17"/>
        <v>126</v>
      </c>
      <c r="F132" s="243">
        <f>LARGE(Csapatok!$G$7:$G$965,E132)</f>
        <v>7.6500000000001164E-2</v>
      </c>
      <c r="I132" s="519" t="str">
        <f t="shared" si="9"/>
        <v/>
      </c>
      <c r="J132" s="625" t="str">
        <f t="shared" si="10"/>
        <v/>
      </c>
      <c r="K132" s="626" t="str">
        <f t="shared" si="11"/>
        <v/>
      </c>
      <c r="L132" s="626" t="str">
        <f t="shared" si="12"/>
        <v/>
      </c>
      <c r="M132" s="626" t="str">
        <f t="shared" si="13"/>
        <v/>
      </c>
      <c r="N132" s="627" t="str">
        <f t="shared" si="14"/>
        <v/>
      </c>
      <c r="O132" s="628" t="str">
        <f t="shared" si="15"/>
        <v/>
      </c>
      <c r="P132" s="629" t="str">
        <f t="shared" si="16"/>
        <v/>
      </c>
      <c r="Q132" s="10"/>
      <c r="R132" s="251"/>
    </row>
    <row r="133" spans="1:18" x14ac:dyDescent="0.3">
      <c r="E133" s="243">
        <f t="shared" si="17"/>
        <v>127</v>
      </c>
      <c r="F133" s="243">
        <f>LARGE(Csapatok!$G$7:$G$965,E133)</f>
        <v>7.6400000000001161E-2</v>
      </c>
      <c r="I133" s="519" t="str">
        <f t="shared" si="9"/>
        <v/>
      </c>
      <c r="J133" s="625" t="str">
        <f t="shared" si="10"/>
        <v/>
      </c>
      <c r="K133" s="626" t="str">
        <f t="shared" si="11"/>
        <v/>
      </c>
      <c r="L133" s="626" t="str">
        <f t="shared" si="12"/>
        <v/>
      </c>
      <c r="M133" s="626" t="str">
        <f t="shared" si="13"/>
        <v/>
      </c>
      <c r="N133" s="627" t="str">
        <f t="shared" si="14"/>
        <v/>
      </c>
      <c r="O133" s="628" t="str">
        <f t="shared" si="15"/>
        <v/>
      </c>
      <c r="P133" s="629" t="str">
        <f t="shared" si="16"/>
        <v/>
      </c>
      <c r="Q133" s="10"/>
      <c r="R133" s="251"/>
    </row>
    <row r="134" spans="1:18" x14ac:dyDescent="0.3">
      <c r="E134" s="243">
        <f t="shared" si="17"/>
        <v>128</v>
      </c>
      <c r="F134" s="243">
        <f>LARGE(Csapatok!$G$7:$G$965,E134)</f>
        <v>7.6300000000001159E-2</v>
      </c>
      <c r="I134" s="519" t="str">
        <f t="shared" si="9"/>
        <v/>
      </c>
      <c r="J134" s="625" t="str">
        <f t="shared" si="10"/>
        <v/>
      </c>
      <c r="K134" s="626" t="str">
        <f t="shared" si="11"/>
        <v/>
      </c>
      <c r="L134" s="626" t="str">
        <f t="shared" si="12"/>
        <v/>
      </c>
      <c r="M134" s="626" t="str">
        <f t="shared" si="13"/>
        <v/>
      </c>
      <c r="N134" s="627" t="str">
        <f t="shared" si="14"/>
        <v/>
      </c>
      <c r="O134" s="628" t="str">
        <f t="shared" si="15"/>
        <v/>
      </c>
      <c r="P134" s="629" t="str">
        <f t="shared" si="16"/>
        <v/>
      </c>
      <c r="Q134" s="10"/>
      <c r="R134" s="251"/>
    </row>
    <row r="135" spans="1:18" x14ac:dyDescent="0.3">
      <c r="E135" s="243">
        <f t="shared" si="17"/>
        <v>129</v>
      </c>
      <c r="F135" s="243">
        <f>LARGE(Csapatok!$G$7:$G$965,E135)</f>
        <v>7.6200000000001156E-2</v>
      </c>
      <c r="I135" s="519" t="str">
        <f t="shared" ref="I135:I198" si="18">IF(OR(F135&lt;1,ROUNDDOWN(F135,0)=ROUNDDOWN(F134,0)),"",CONCATENATE(ROUNDDOWN(F135,0)," GÓL   "))</f>
        <v/>
      </c>
      <c r="J135" s="625" t="str">
        <f t="shared" ref="J135:J198" si="19">IF($F135&lt;1,"",CONCATENATE(" ",VLOOKUP($F135,nevek,4,FALSE)," ",VLOOKUP($F135,nevek,3,FALSE)))</f>
        <v/>
      </c>
      <c r="K135" s="626" t="str">
        <f t="shared" ref="K135:K198" si="20">IF($F135&lt;1,"",VLOOKUP($F135,nevek,2,FALSE))</f>
        <v/>
      </c>
      <c r="L135" s="626" t="str">
        <f t="shared" ref="L135:L198" si="21">IF($F135&lt;1,"",VLOOKUP($F135,nevek,6,FALSE))</f>
        <v/>
      </c>
      <c r="M135" s="626" t="str">
        <f t="shared" ref="M135:M198" si="22">IF($F135&lt;1,"",VLOOKUP($F135,nevek,7,FALSE))</f>
        <v/>
      </c>
      <c r="N135" s="627" t="str">
        <f t="shared" ref="N135:N198" si="23">IF($F135&lt;1,"",VLOOKUP($F135,nevek,10,FALSE))</f>
        <v/>
      </c>
      <c r="O135" s="628" t="str">
        <f t="shared" ref="O135:O198" si="24">IF($F135&lt;1,"",VLOOKUP($F135,nevek,11,FALSE))</f>
        <v/>
      </c>
      <c r="P135" s="629" t="str">
        <f t="shared" ref="P135:P198" si="25">IF($F135&lt;1,"",VLOOKUP($F135,nevek,12,FALSE))</f>
        <v/>
      </c>
      <c r="Q135" s="10"/>
      <c r="R135" s="251"/>
    </row>
    <row r="136" spans="1:18" x14ac:dyDescent="0.3">
      <c r="E136" s="243">
        <f t="shared" si="17"/>
        <v>130</v>
      </c>
      <c r="F136" s="243">
        <f>LARGE(Csapatok!$G$7:$G$965,E136)</f>
        <v>7.6100000000001153E-2</v>
      </c>
      <c r="I136" s="519" t="str">
        <f t="shared" si="18"/>
        <v/>
      </c>
      <c r="J136" s="625" t="str">
        <f t="shared" si="19"/>
        <v/>
      </c>
      <c r="K136" s="626" t="str">
        <f t="shared" si="20"/>
        <v/>
      </c>
      <c r="L136" s="626" t="str">
        <f t="shared" si="21"/>
        <v/>
      </c>
      <c r="M136" s="626" t="str">
        <f t="shared" si="22"/>
        <v/>
      </c>
      <c r="N136" s="627" t="str">
        <f t="shared" si="23"/>
        <v/>
      </c>
      <c r="O136" s="628" t="str">
        <f t="shared" si="24"/>
        <v/>
      </c>
      <c r="P136" s="629" t="str">
        <f t="shared" si="25"/>
        <v/>
      </c>
      <c r="Q136" s="10"/>
      <c r="R136" s="251"/>
    </row>
    <row r="137" spans="1:18" x14ac:dyDescent="0.3">
      <c r="E137" s="243">
        <f t="shared" ref="E137:E200" si="26">E136+1</f>
        <v>131</v>
      </c>
      <c r="F137" s="243">
        <f>LARGE(Csapatok!$G$7:$G$965,E137)</f>
        <v>7.460000000000111E-2</v>
      </c>
      <c r="I137" s="519" t="str">
        <f t="shared" si="18"/>
        <v/>
      </c>
      <c r="J137" s="625" t="str">
        <f t="shared" si="19"/>
        <v/>
      </c>
      <c r="K137" s="626" t="str">
        <f t="shared" si="20"/>
        <v/>
      </c>
      <c r="L137" s="626" t="str">
        <f t="shared" si="21"/>
        <v/>
      </c>
      <c r="M137" s="626" t="str">
        <f t="shared" si="22"/>
        <v/>
      </c>
      <c r="N137" s="627" t="str">
        <f t="shared" si="23"/>
        <v/>
      </c>
      <c r="O137" s="628" t="str">
        <f t="shared" si="24"/>
        <v/>
      </c>
      <c r="P137" s="629" t="str">
        <f t="shared" si="25"/>
        <v/>
      </c>
      <c r="Q137" s="10"/>
      <c r="R137" s="251"/>
    </row>
    <row r="138" spans="1:18" x14ac:dyDescent="0.3">
      <c r="E138" s="243">
        <f t="shared" si="26"/>
        <v>132</v>
      </c>
      <c r="F138" s="243">
        <f>LARGE(Csapatok!$G$7:$G$965,E138)</f>
        <v>7.4500000000001107E-2</v>
      </c>
      <c r="I138" s="519" t="str">
        <f t="shared" si="18"/>
        <v/>
      </c>
      <c r="J138" s="625" t="str">
        <f t="shared" si="19"/>
        <v/>
      </c>
      <c r="K138" s="626" t="str">
        <f t="shared" si="20"/>
        <v/>
      </c>
      <c r="L138" s="626" t="str">
        <f t="shared" si="21"/>
        <v/>
      </c>
      <c r="M138" s="626" t="str">
        <f t="shared" si="22"/>
        <v/>
      </c>
      <c r="N138" s="627" t="str">
        <f t="shared" si="23"/>
        <v/>
      </c>
      <c r="O138" s="628" t="str">
        <f t="shared" si="24"/>
        <v/>
      </c>
      <c r="P138" s="629" t="str">
        <f t="shared" si="25"/>
        <v/>
      </c>
      <c r="Q138" s="10"/>
      <c r="R138" s="251"/>
    </row>
    <row r="139" spans="1:18" x14ac:dyDescent="0.3">
      <c r="E139" s="243">
        <f t="shared" si="26"/>
        <v>133</v>
      </c>
      <c r="F139" s="243">
        <f>LARGE(Csapatok!$G$7:$G$965,E139)</f>
        <v>7.4400000000001104E-2</v>
      </c>
      <c r="I139" s="519" t="str">
        <f t="shared" si="18"/>
        <v/>
      </c>
      <c r="J139" s="625" t="str">
        <f t="shared" si="19"/>
        <v/>
      </c>
      <c r="K139" s="626" t="str">
        <f t="shared" si="20"/>
        <v/>
      </c>
      <c r="L139" s="626" t="str">
        <f t="shared" si="21"/>
        <v/>
      </c>
      <c r="M139" s="626" t="str">
        <f t="shared" si="22"/>
        <v/>
      </c>
      <c r="N139" s="627" t="str">
        <f t="shared" si="23"/>
        <v/>
      </c>
      <c r="O139" s="628" t="str">
        <f t="shared" si="24"/>
        <v/>
      </c>
      <c r="P139" s="629" t="str">
        <f t="shared" si="25"/>
        <v/>
      </c>
      <c r="Q139" s="10"/>
      <c r="R139" s="251"/>
    </row>
    <row r="140" spans="1:18" x14ac:dyDescent="0.3">
      <c r="A140" s="765"/>
      <c r="E140" s="243">
        <f t="shared" si="26"/>
        <v>134</v>
      </c>
      <c r="F140" s="243">
        <f>LARGE(Csapatok!$G$7:$G$965,E140)</f>
        <v>7.4300000000001101E-2</v>
      </c>
      <c r="I140" s="519" t="str">
        <f t="shared" si="18"/>
        <v/>
      </c>
      <c r="J140" s="625" t="str">
        <f t="shared" si="19"/>
        <v/>
      </c>
      <c r="K140" s="626" t="str">
        <f t="shared" si="20"/>
        <v/>
      </c>
      <c r="L140" s="626" t="str">
        <f t="shared" si="21"/>
        <v/>
      </c>
      <c r="M140" s="626" t="str">
        <f t="shared" si="22"/>
        <v/>
      </c>
      <c r="N140" s="627" t="str">
        <f t="shared" si="23"/>
        <v/>
      </c>
      <c r="O140" s="628" t="str">
        <f t="shared" si="24"/>
        <v/>
      </c>
      <c r="P140" s="629" t="str">
        <f t="shared" si="25"/>
        <v/>
      </c>
      <c r="Q140" s="10"/>
      <c r="R140" s="251"/>
    </row>
    <row r="141" spans="1:18" x14ac:dyDescent="0.3">
      <c r="A141" s="765"/>
      <c r="E141" s="243">
        <f t="shared" si="26"/>
        <v>135</v>
      </c>
      <c r="F141" s="243">
        <f>LARGE(Csapatok!$G$7:$G$965,E141)</f>
        <v>7.4200000000001098E-2</v>
      </c>
      <c r="I141" s="519" t="str">
        <f t="shared" si="18"/>
        <v/>
      </c>
      <c r="J141" s="625" t="str">
        <f t="shared" si="19"/>
        <v/>
      </c>
      <c r="K141" s="626" t="str">
        <f t="shared" si="20"/>
        <v/>
      </c>
      <c r="L141" s="626" t="str">
        <f t="shared" si="21"/>
        <v/>
      </c>
      <c r="M141" s="626" t="str">
        <f t="shared" si="22"/>
        <v/>
      </c>
      <c r="N141" s="627" t="str">
        <f t="shared" si="23"/>
        <v/>
      </c>
      <c r="O141" s="628" t="str">
        <f t="shared" si="24"/>
        <v/>
      </c>
      <c r="P141" s="629" t="str">
        <f t="shared" si="25"/>
        <v/>
      </c>
      <c r="Q141" s="10"/>
      <c r="R141" s="251"/>
    </row>
    <row r="142" spans="1:18" x14ac:dyDescent="0.3">
      <c r="A142" s="765"/>
      <c r="E142" s="243">
        <f t="shared" si="26"/>
        <v>136</v>
      </c>
      <c r="F142" s="243">
        <f>LARGE(Csapatok!$G$7:$G$965,E142)</f>
        <v>7.4100000000001096E-2</v>
      </c>
      <c r="I142" s="519" t="str">
        <f t="shared" si="18"/>
        <v/>
      </c>
      <c r="J142" s="625" t="str">
        <f t="shared" si="19"/>
        <v/>
      </c>
      <c r="K142" s="626" t="str">
        <f t="shared" si="20"/>
        <v/>
      </c>
      <c r="L142" s="626" t="str">
        <f t="shared" si="21"/>
        <v/>
      </c>
      <c r="M142" s="626" t="str">
        <f t="shared" si="22"/>
        <v/>
      </c>
      <c r="N142" s="627" t="str">
        <f t="shared" si="23"/>
        <v/>
      </c>
      <c r="O142" s="628" t="str">
        <f t="shared" si="24"/>
        <v/>
      </c>
      <c r="P142" s="629" t="str">
        <f t="shared" si="25"/>
        <v/>
      </c>
      <c r="Q142" s="10"/>
      <c r="R142" s="251"/>
    </row>
    <row r="143" spans="1:18" x14ac:dyDescent="0.3">
      <c r="A143" s="765"/>
      <c r="E143" s="243">
        <f t="shared" si="26"/>
        <v>137</v>
      </c>
      <c r="F143" s="243">
        <f>LARGE(Csapatok!$G$7:$G$965,E143)</f>
        <v>7.4000000000001093E-2</v>
      </c>
      <c r="I143" s="519" t="str">
        <f t="shared" si="18"/>
        <v/>
      </c>
      <c r="J143" s="625" t="str">
        <f t="shared" si="19"/>
        <v/>
      </c>
      <c r="K143" s="626" t="str">
        <f t="shared" si="20"/>
        <v/>
      </c>
      <c r="L143" s="626" t="str">
        <f t="shared" si="21"/>
        <v/>
      </c>
      <c r="M143" s="626" t="str">
        <f t="shared" si="22"/>
        <v/>
      </c>
      <c r="N143" s="627" t="str">
        <f t="shared" si="23"/>
        <v/>
      </c>
      <c r="O143" s="628" t="str">
        <f t="shared" si="24"/>
        <v/>
      </c>
      <c r="P143" s="629" t="str">
        <f t="shared" si="25"/>
        <v/>
      </c>
      <c r="Q143" s="10"/>
      <c r="R143" s="251"/>
    </row>
    <row r="144" spans="1:18" x14ac:dyDescent="0.3">
      <c r="A144" s="765"/>
      <c r="E144" s="243">
        <f t="shared" si="26"/>
        <v>138</v>
      </c>
      <c r="F144" s="243">
        <f>LARGE(Csapatok!$G$7:$G$965,E144)</f>
        <v>7.390000000000109E-2</v>
      </c>
      <c r="I144" s="519" t="str">
        <f t="shared" si="18"/>
        <v/>
      </c>
      <c r="J144" s="625" t="str">
        <f t="shared" si="19"/>
        <v/>
      </c>
      <c r="K144" s="626" t="str">
        <f t="shared" si="20"/>
        <v/>
      </c>
      <c r="L144" s="626" t="str">
        <f t="shared" si="21"/>
        <v/>
      </c>
      <c r="M144" s="626" t="str">
        <f t="shared" si="22"/>
        <v/>
      </c>
      <c r="N144" s="627" t="str">
        <f t="shared" si="23"/>
        <v/>
      </c>
      <c r="O144" s="628" t="str">
        <f t="shared" si="24"/>
        <v/>
      </c>
      <c r="P144" s="629" t="str">
        <f t="shared" si="25"/>
        <v/>
      </c>
      <c r="Q144" s="10"/>
      <c r="R144" s="251"/>
    </row>
    <row r="145" spans="1:18" x14ac:dyDescent="0.3">
      <c r="A145" s="765"/>
      <c r="E145" s="243">
        <f t="shared" si="26"/>
        <v>139</v>
      </c>
      <c r="F145" s="243">
        <f>LARGE(Csapatok!$G$7:$G$965,E145)</f>
        <v>7.3800000000001087E-2</v>
      </c>
      <c r="I145" s="519" t="str">
        <f t="shared" si="18"/>
        <v/>
      </c>
      <c r="J145" s="625" t="str">
        <f t="shared" si="19"/>
        <v/>
      </c>
      <c r="K145" s="626" t="str">
        <f t="shared" si="20"/>
        <v/>
      </c>
      <c r="L145" s="626" t="str">
        <f t="shared" si="21"/>
        <v/>
      </c>
      <c r="M145" s="626" t="str">
        <f t="shared" si="22"/>
        <v/>
      </c>
      <c r="N145" s="627" t="str">
        <f t="shared" si="23"/>
        <v/>
      </c>
      <c r="O145" s="628" t="str">
        <f t="shared" si="24"/>
        <v/>
      </c>
      <c r="P145" s="629" t="str">
        <f t="shared" si="25"/>
        <v/>
      </c>
      <c r="Q145" s="10"/>
      <c r="R145" s="251"/>
    </row>
    <row r="146" spans="1:18" x14ac:dyDescent="0.3">
      <c r="A146" s="765"/>
      <c r="E146" s="243">
        <f t="shared" si="26"/>
        <v>140</v>
      </c>
      <c r="F146" s="243">
        <f>LARGE(Csapatok!$G$7:$G$965,E146)</f>
        <v>7.3700000000001084E-2</v>
      </c>
      <c r="I146" s="519" t="str">
        <f t="shared" si="18"/>
        <v/>
      </c>
      <c r="J146" s="625" t="str">
        <f t="shared" si="19"/>
        <v/>
      </c>
      <c r="K146" s="626" t="str">
        <f t="shared" si="20"/>
        <v/>
      </c>
      <c r="L146" s="626" t="str">
        <f t="shared" si="21"/>
        <v/>
      </c>
      <c r="M146" s="626" t="str">
        <f t="shared" si="22"/>
        <v/>
      </c>
      <c r="N146" s="627" t="str">
        <f t="shared" si="23"/>
        <v/>
      </c>
      <c r="O146" s="628" t="str">
        <f t="shared" si="24"/>
        <v/>
      </c>
      <c r="P146" s="629" t="str">
        <f t="shared" si="25"/>
        <v/>
      </c>
      <c r="Q146" s="10"/>
      <c r="R146" s="251"/>
    </row>
    <row r="147" spans="1:18" x14ac:dyDescent="0.3">
      <c r="A147" s="765"/>
      <c r="E147" s="243">
        <f t="shared" si="26"/>
        <v>141</v>
      </c>
      <c r="F147" s="243">
        <f>LARGE(Csapatok!$G$7:$G$965,E147)</f>
        <v>7.3600000000001081E-2</v>
      </c>
      <c r="I147" s="519" t="str">
        <f t="shared" si="18"/>
        <v/>
      </c>
      <c r="J147" s="625" t="str">
        <f t="shared" si="19"/>
        <v/>
      </c>
      <c r="K147" s="626" t="str">
        <f t="shared" si="20"/>
        <v/>
      </c>
      <c r="L147" s="626" t="str">
        <f t="shared" si="21"/>
        <v/>
      </c>
      <c r="M147" s="626" t="str">
        <f t="shared" si="22"/>
        <v/>
      </c>
      <c r="N147" s="627" t="str">
        <f t="shared" si="23"/>
        <v/>
      </c>
      <c r="O147" s="628" t="str">
        <f t="shared" si="24"/>
        <v/>
      </c>
      <c r="P147" s="629" t="str">
        <f t="shared" si="25"/>
        <v/>
      </c>
      <c r="Q147" s="10"/>
      <c r="R147" s="251"/>
    </row>
    <row r="148" spans="1:18" x14ac:dyDescent="0.3">
      <c r="A148" s="765"/>
      <c r="E148" s="243">
        <f t="shared" si="26"/>
        <v>142</v>
      </c>
      <c r="F148" s="243">
        <f>LARGE(Csapatok!$G$7:$G$965,E148)</f>
        <v>7.3500000000001078E-2</v>
      </c>
      <c r="I148" s="519" t="str">
        <f t="shared" si="18"/>
        <v/>
      </c>
      <c r="J148" s="625" t="str">
        <f t="shared" si="19"/>
        <v/>
      </c>
      <c r="K148" s="626" t="str">
        <f t="shared" si="20"/>
        <v/>
      </c>
      <c r="L148" s="626" t="str">
        <f t="shared" si="21"/>
        <v/>
      </c>
      <c r="M148" s="626" t="str">
        <f t="shared" si="22"/>
        <v/>
      </c>
      <c r="N148" s="627" t="str">
        <f t="shared" si="23"/>
        <v/>
      </c>
      <c r="O148" s="628" t="str">
        <f t="shared" si="24"/>
        <v/>
      </c>
      <c r="P148" s="629" t="str">
        <f t="shared" si="25"/>
        <v/>
      </c>
      <c r="Q148" s="10"/>
      <c r="R148" s="251"/>
    </row>
    <row r="149" spans="1:18" x14ac:dyDescent="0.3">
      <c r="A149" s="765"/>
      <c r="E149" s="243">
        <f t="shared" si="26"/>
        <v>143</v>
      </c>
      <c r="F149" s="243">
        <f>LARGE(Csapatok!$G$7:$G$965,E149)</f>
        <v>7.3400000000001075E-2</v>
      </c>
      <c r="I149" s="519" t="str">
        <f t="shared" si="18"/>
        <v/>
      </c>
      <c r="J149" s="625" t="str">
        <f t="shared" si="19"/>
        <v/>
      </c>
      <c r="K149" s="626" t="str">
        <f t="shared" si="20"/>
        <v/>
      </c>
      <c r="L149" s="626" t="str">
        <f t="shared" si="21"/>
        <v/>
      </c>
      <c r="M149" s="626" t="str">
        <f t="shared" si="22"/>
        <v/>
      </c>
      <c r="N149" s="627" t="str">
        <f t="shared" si="23"/>
        <v/>
      </c>
      <c r="O149" s="628" t="str">
        <f t="shared" si="24"/>
        <v/>
      </c>
      <c r="P149" s="629" t="str">
        <f t="shared" si="25"/>
        <v/>
      </c>
      <c r="Q149" s="10"/>
      <c r="R149" s="251"/>
    </row>
    <row r="150" spans="1:18" x14ac:dyDescent="0.3">
      <c r="A150" s="765"/>
      <c r="E150" s="243">
        <f t="shared" si="26"/>
        <v>144</v>
      </c>
      <c r="F150" s="243">
        <f>LARGE(Csapatok!$G$7:$G$965,E150)</f>
        <v>7.3300000000001073E-2</v>
      </c>
      <c r="I150" s="519" t="str">
        <f t="shared" si="18"/>
        <v/>
      </c>
      <c r="J150" s="625" t="str">
        <f t="shared" si="19"/>
        <v/>
      </c>
      <c r="K150" s="626" t="str">
        <f t="shared" si="20"/>
        <v/>
      </c>
      <c r="L150" s="626" t="str">
        <f t="shared" si="21"/>
        <v/>
      </c>
      <c r="M150" s="626" t="str">
        <f t="shared" si="22"/>
        <v/>
      </c>
      <c r="N150" s="627" t="str">
        <f t="shared" si="23"/>
        <v/>
      </c>
      <c r="O150" s="628" t="str">
        <f t="shared" si="24"/>
        <v/>
      </c>
      <c r="P150" s="629" t="str">
        <f t="shared" si="25"/>
        <v/>
      </c>
      <c r="Q150" s="10"/>
      <c r="R150" s="251"/>
    </row>
    <row r="151" spans="1:18" x14ac:dyDescent="0.3">
      <c r="A151" s="765"/>
      <c r="E151" s="243">
        <f t="shared" si="26"/>
        <v>145</v>
      </c>
      <c r="F151" s="243">
        <f>LARGE(Csapatok!$G$7:$G$965,E151)</f>
        <v>7.320000000000107E-2</v>
      </c>
      <c r="I151" s="519" t="str">
        <f t="shared" si="18"/>
        <v/>
      </c>
      <c r="J151" s="625" t="str">
        <f t="shared" si="19"/>
        <v/>
      </c>
      <c r="K151" s="626" t="str">
        <f t="shared" si="20"/>
        <v/>
      </c>
      <c r="L151" s="626" t="str">
        <f t="shared" si="21"/>
        <v/>
      </c>
      <c r="M151" s="626" t="str">
        <f t="shared" si="22"/>
        <v/>
      </c>
      <c r="N151" s="627" t="str">
        <f t="shared" si="23"/>
        <v/>
      </c>
      <c r="O151" s="628" t="str">
        <f t="shared" si="24"/>
        <v/>
      </c>
      <c r="P151" s="629" t="str">
        <f t="shared" si="25"/>
        <v/>
      </c>
      <c r="Q151" s="10"/>
      <c r="R151" s="251"/>
    </row>
    <row r="152" spans="1:18" x14ac:dyDescent="0.3">
      <c r="A152" s="765"/>
      <c r="E152" s="243">
        <f t="shared" si="26"/>
        <v>146</v>
      </c>
      <c r="F152" s="243">
        <f>LARGE(Csapatok!$G$7:$G$965,E152)</f>
        <v>7.3100000000001067E-2</v>
      </c>
      <c r="I152" s="519" t="str">
        <f t="shared" si="18"/>
        <v/>
      </c>
      <c r="J152" s="625" t="str">
        <f t="shared" si="19"/>
        <v/>
      </c>
      <c r="K152" s="626" t="str">
        <f t="shared" si="20"/>
        <v/>
      </c>
      <c r="L152" s="626" t="str">
        <f t="shared" si="21"/>
        <v/>
      </c>
      <c r="M152" s="626" t="str">
        <f t="shared" si="22"/>
        <v/>
      </c>
      <c r="N152" s="627" t="str">
        <f t="shared" si="23"/>
        <v/>
      </c>
      <c r="O152" s="628" t="str">
        <f t="shared" si="24"/>
        <v/>
      </c>
      <c r="P152" s="629" t="str">
        <f t="shared" si="25"/>
        <v/>
      </c>
      <c r="Q152" s="10"/>
      <c r="R152" s="251"/>
    </row>
    <row r="153" spans="1:18" x14ac:dyDescent="0.3">
      <c r="A153" s="765"/>
      <c r="E153" s="243">
        <f t="shared" si="26"/>
        <v>147</v>
      </c>
      <c r="F153" s="243">
        <f>LARGE(Csapatok!$G$7:$G$965,E153)</f>
        <v>7.3000000000001064E-2</v>
      </c>
      <c r="I153" s="519" t="str">
        <f t="shared" si="18"/>
        <v/>
      </c>
      <c r="J153" s="625" t="str">
        <f t="shared" si="19"/>
        <v/>
      </c>
      <c r="K153" s="626" t="str">
        <f t="shared" si="20"/>
        <v/>
      </c>
      <c r="L153" s="626" t="str">
        <f t="shared" si="21"/>
        <v/>
      </c>
      <c r="M153" s="626" t="str">
        <f t="shared" si="22"/>
        <v/>
      </c>
      <c r="N153" s="627" t="str">
        <f t="shared" si="23"/>
        <v/>
      </c>
      <c r="O153" s="628" t="str">
        <f t="shared" si="24"/>
        <v/>
      </c>
      <c r="P153" s="629" t="str">
        <f t="shared" si="25"/>
        <v/>
      </c>
      <c r="Q153" s="10"/>
      <c r="R153" s="251"/>
    </row>
    <row r="154" spans="1:18" x14ac:dyDescent="0.3">
      <c r="A154" s="765"/>
      <c r="E154" s="243">
        <f t="shared" si="26"/>
        <v>148</v>
      </c>
      <c r="F154" s="243">
        <f>LARGE(Csapatok!$G$7:$G$965,E154)</f>
        <v>7.2900000000001061E-2</v>
      </c>
      <c r="I154" s="519" t="str">
        <f t="shared" si="18"/>
        <v/>
      </c>
      <c r="J154" s="625" t="str">
        <f t="shared" si="19"/>
        <v/>
      </c>
      <c r="K154" s="626" t="str">
        <f t="shared" si="20"/>
        <v/>
      </c>
      <c r="L154" s="626" t="str">
        <f t="shared" si="21"/>
        <v/>
      </c>
      <c r="M154" s="626" t="str">
        <f t="shared" si="22"/>
        <v/>
      </c>
      <c r="N154" s="627" t="str">
        <f t="shared" si="23"/>
        <v/>
      </c>
      <c r="O154" s="628" t="str">
        <f t="shared" si="24"/>
        <v/>
      </c>
      <c r="P154" s="629" t="str">
        <f t="shared" si="25"/>
        <v/>
      </c>
      <c r="Q154" s="10"/>
      <c r="R154" s="251"/>
    </row>
    <row r="155" spans="1:18" x14ac:dyDescent="0.3">
      <c r="A155" s="765"/>
      <c r="E155" s="243">
        <f t="shared" si="26"/>
        <v>149</v>
      </c>
      <c r="F155" s="243">
        <f>LARGE(Csapatok!$G$7:$G$965,E155)</f>
        <v>7.2800000000001058E-2</v>
      </c>
      <c r="I155" s="519" t="str">
        <f t="shared" si="18"/>
        <v/>
      </c>
      <c r="J155" s="625" t="str">
        <f t="shared" si="19"/>
        <v/>
      </c>
      <c r="K155" s="626" t="str">
        <f t="shared" si="20"/>
        <v/>
      </c>
      <c r="L155" s="626" t="str">
        <f t="shared" si="21"/>
        <v/>
      </c>
      <c r="M155" s="626" t="str">
        <f t="shared" si="22"/>
        <v/>
      </c>
      <c r="N155" s="627" t="str">
        <f t="shared" si="23"/>
        <v/>
      </c>
      <c r="O155" s="628" t="str">
        <f t="shared" si="24"/>
        <v/>
      </c>
      <c r="P155" s="629" t="str">
        <f t="shared" si="25"/>
        <v/>
      </c>
      <c r="Q155" s="10"/>
      <c r="R155" s="251"/>
    </row>
    <row r="156" spans="1:18" x14ac:dyDescent="0.3">
      <c r="A156" s="765"/>
      <c r="E156" s="243">
        <f t="shared" si="26"/>
        <v>150</v>
      </c>
      <c r="F156" s="243">
        <f>LARGE(Csapatok!$G$7:$G$965,E156)</f>
        <v>7.2700000000001055E-2</v>
      </c>
      <c r="I156" s="519" t="str">
        <f t="shared" si="18"/>
        <v/>
      </c>
      <c r="J156" s="625" t="str">
        <f t="shared" si="19"/>
        <v/>
      </c>
      <c r="K156" s="626" t="str">
        <f t="shared" si="20"/>
        <v/>
      </c>
      <c r="L156" s="626" t="str">
        <f t="shared" si="21"/>
        <v/>
      </c>
      <c r="M156" s="626" t="str">
        <f t="shared" si="22"/>
        <v/>
      </c>
      <c r="N156" s="627" t="str">
        <f t="shared" si="23"/>
        <v/>
      </c>
      <c r="O156" s="628" t="str">
        <f t="shared" si="24"/>
        <v/>
      </c>
      <c r="P156" s="629" t="str">
        <f t="shared" si="25"/>
        <v/>
      </c>
      <c r="Q156" s="10"/>
      <c r="R156" s="251"/>
    </row>
    <row r="157" spans="1:18" x14ac:dyDescent="0.3">
      <c r="A157" s="765"/>
      <c r="E157" s="243">
        <f t="shared" si="26"/>
        <v>151</v>
      </c>
      <c r="F157" s="243">
        <f>LARGE(Csapatok!$G$7:$G$965,E157)</f>
        <v>7.2600000000001053E-2</v>
      </c>
      <c r="I157" s="519" t="str">
        <f t="shared" si="18"/>
        <v/>
      </c>
      <c r="J157" s="625" t="str">
        <f t="shared" si="19"/>
        <v/>
      </c>
      <c r="K157" s="626" t="str">
        <f t="shared" si="20"/>
        <v/>
      </c>
      <c r="L157" s="626" t="str">
        <f t="shared" si="21"/>
        <v/>
      </c>
      <c r="M157" s="626" t="str">
        <f t="shared" si="22"/>
        <v/>
      </c>
      <c r="N157" s="627" t="str">
        <f t="shared" si="23"/>
        <v/>
      </c>
      <c r="O157" s="628" t="str">
        <f t="shared" si="24"/>
        <v/>
      </c>
      <c r="P157" s="629" t="str">
        <f t="shared" si="25"/>
        <v/>
      </c>
      <c r="Q157" s="10"/>
      <c r="R157" s="251"/>
    </row>
    <row r="158" spans="1:18" x14ac:dyDescent="0.3">
      <c r="A158" s="765"/>
      <c r="E158" s="243">
        <f t="shared" si="26"/>
        <v>152</v>
      </c>
      <c r="F158" s="243">
        <f>LARGE(Csapatok!$G$7:$G$965,E158)</f>
        <v>7.250000000000105E-2</v>
      </c>
      <c r="I158" s="519" t="str">
        <f t="shared" si="18"/>
        <v/>
      </c>
      <c r="J158" s="625" t="str">
        <f t="shared" si="19"/>
        <v/>
      </c>
      <c r="K158" s="626" t="str">
        <f t="shared" si="20"/>
        <v/>
      </c>
      <c r="L158" s="626" t="str">
        <f t="shared" si="21"/>
        <v/>
      </c>
      <c r="M158" s="626" t="str">
        <f t="shared" si="22"/>
        <v/>
      </c>
      <c r="N158" s="627" t="str">
        <f t="shared" si="23"/>
        <v/>
      </c>
      <c r="O158" s="628" t="str">
        <f t="shared" si="24"/>
        <v/>
      </c>
      <c r="P158" s="629" t="str">
        <f t="shared" si="25"/>
        <v/>
      </c>
      <c r="Q158" s="10"/>
      <c r="R158" s="251"/>
    </row>
    <row r="159" spans="1:18" x14ac:dyDescent="0.3">
      <c r="A159" s="765"/>
      <c r="E159" s="243">
        <f t="shared" si="26"/>
        <v>153</v>
      </c>
      <c r="F159" s="243">
        <f>LARGE(Csapatok!$G$7:$G$965,E159)</f>
        <v>7.2400000000001047E-2</v>
      </c>
      <c r="I159" s="519" t="str">
        <f t="shared" si="18"/>
        <v/>
      </c>
      <c r="J159" s="625" t="str">
        <f t="shared" si="19"/>
        <v/>
      </c>
      <c r="K159" s="626" t="str">
        <f t="shared" si="20"/>
        <v/>
      </c>
      <c r="L159" s="626" t="str">
        <f t="shared" si="21"/>
        <v/>
      </c>
      <c r="M159" s="626" t="str">
        <f t="shared" si="22"/>
        <v/>
      </c>
      <c r="N159" s="627" t="str">
        <f t="shared" si="23"/>
        <v/>
      </c>
      <c r="O159" s="628" t="str">
        <f t="shared" si="24"/>
        <v/>
      </c>
      <c r="P159" s="629" t="str">
        <f t="shared" si="25"/>
        <v/>
      </c>
      <c r="Q159" s="10"/>
      <c r="R159" s="251"/>
    </row>
    <row r="160" spans="1:18" x14ac:dyDescent="0.3">
      <c r="A160" s="765"/>
      <c r="E160" s="243">
        <f t="shared" si="26"/>
        <v>154</v>
      </c>
      <c r="F160" s="243">
        <f>LARGE(Csapatok!$G$7:$G$965,E160)</f>
        <v>7.2300000000001044E-2</v>
      </c>
      <c r="I160" s="519" t="str">
        <f t="shared" si="18"/>
        <v/>
      </c>
      <c r="J160" s="625" t="str">
        <f t="shared" si="19"/>
        <v/>
      </c>
      <c r="K160" s="626" t="str">
        <f t="shared" si="20"/>
        <v/>
      </c>
      <c r="L160" s="626" t="str">
        <f t="shared" si="21"/>
        <v/>
      </c>
      <c r="M160" s="626" t="str">
        <f t="shared" si="22"/>
        <v/>
      </c>
      <c r="N160" s="627" t="str">
        <f t="shared" si="23"/>
        <v/>
      </c>
      <c r="O160" s="628" t="str">
        <f t="shared" si="24"/>
        <v/>
      </c>
      <c r="P160" s="629" t="str">
        <f t="shared" si="25"/>
        <v/>
      </c>
      <c r="Q160" s="10"/>
      <c r="R160" s="251"/>
    </row>
    <row r="161" spans="1:18" x14ac:dyDescent="0.3">
      <c r="A161" s="765"/>
      <c r="E161" s="243">
        <f t="shared" si="26"/>
        <v>155</v>
      </c>
      <c r="F161" s="243">
        <f>LARGE(Csapatok!$G$7:$G$965,E161)</f>
        <v>7.2200000000001041E-2</v>
      </c>
      <c r="I161" s="519" t="str">
        <f t="shared" si="18"/>
        <v/>
      </c>
      <c r="J161" s="625" t="str">
        <f t="shared" si="19"/>
        <v/>
      </c>
      <c r="K161" s="626" t="str">
        <f t="shared" si="20"/>
        <v/>
      </c>
      <c r="L161" s="626" t="str">
        <f t="shared" si="21"/>
        <v/>
      </c>
      <c r="M161" s="626" t="str">
        <f t="shared" si="22"/>
        <v/>
      </c>
      <c r="N161" s="627" t="str">
        <f t="shared" si="23"/>
        <v/>
      </c>
      <c r="O161" s="628" t="str">
        <f t="shared" si="24"/>
        <v/>
      </c>
      <c r="P161" s="629" t="str">
        <f t="shared" si="25"/>
        <v/>
      </c>
      <c r="Q161" s="10"/>
      <c r="R161" s="251"/>
    </row>
    <row r="162" spans="1:18" x14ac:dyDescent="0.3">
      <c r="A162" s="765"/>
      <c r="E162" s="243">
        <f t="shared" si="26"/>
        <v>156</v>
      </c>
      <c r="F162" s="243">
        <f>LARGE(Csapatok!$G$7:$G$965,E162)</f>
        <v>7.2100000000001038E-2</v>
      </c>
      <c r="I162" s="519" t="str">
        <f t="shared" si="18"/>
        <v/>
      </c>
      <c r="J162" s="625" t="str">
        <f t="shared" si="19"/>
        <v/>
      </c>
      <c r="K162" s="626" t="str">
        <f t="shared" si="20"/>
        <v/>
      </c>
      <c r="L162" s="626" t="str">
        <f t="shared" si="21"/>
        <v/>
      </c>
      <c r="M162" s="626" t="str">
        <f t="shared" si="22"/>
        <v/>
      </c>
      <c r="N162" s="627" t="str">
        <f t="shared" si="23"/>
        <v/>
      </c>
      <c r="O162" s="628" t="str">
        <f t="shared" si="24"/>
        <v/>
      </c>
      <c r="P162" s="629" t="str">
        <f t="shared" si="25"/>
        <v/>
      </c>
      <c r="Q162" s="10"/>
      <c r="R162" s="251"/>
    </row>
    <row r="163" spans="1:18" x14ac:dyDescent="0.3">
      <c r="E163" s="243">
        <f t="shared" si="26"/>
        <v>157</v>
      </c>
      <c r="F163" s="243">
        <f>LARGE(Csapatok!$G$7:$G$965,E163)</f>
        <v>7.0600000000000995E-2</v>
      </c>
      <c r="I163" s="519" t="str">
        <f t="shared" si="18"/>
        <v/>
      </c>
      <c r="J163" s="625" t="str">
        <f t="shared" si="19"/>
        <v/>
      </c>
      <c r="K163" s="626" t="str">
        <f t="shared" si="20"/>
        <v/>
      </c>
      <c r="L163" s="626" t="str">
        <f t="shared" si="21"/>
        <v/>
      </c>
      <c r="M163" s="626" t="str">
        <f t="shared" si="22"/>
        <v/>
      </c>
      <c r="N163" s="627" t="str">
        <f t="shared" si="23"/>
        <v/>
      </c>
      <c r="O163" s="628" t="str">
        <f t="shared" si="24"/>
        <v/>
      </c>
      <c r="P163" s="629" t="str">
        <f t="shared" si="25"/>
        <v/>
      </c>
      <c r="Q163" s="10"/>
      <c r="R163" s="251"/>
    </row>
    <row r="164" spans="1:18" x14ac:dyDescent="0.3">
      <c r="E164" s="243">
        <f t="shared" si="26"/>
        <v>158</v>
      </c>
      <c r="F164" s="243">
        <f>LARGE(Csapatok!$G$7:$G$965,E164)</f>
        <v>7.0500000000000992E-2</v>
      </c>
      <c r="I164" s="519" t="str">
        <f t="shared" si="18"/>
        <v/>
      </c>
      <c r="J164" s="625" t="str">
        <f t="shared" si="19"/>
        <v/>
      </c>
      <c r="K164" s="626" t="str">
        <f t="shared" si="20"/>
        <v/>
      </c>
      <c r="L164" s="626" t="str">
        <f t="shared" si="21"/>
        <v/>
      </c>
      <c r="M164" s="626" t="str">
        <f t="shared" si="22"/>
        <v/>
      </c>
      <c r="N164" s="627" t="str">
        <f t="shared" si="23"/>
        <v/>
      </c>
      <c r="O164" s="628" t="str">
        <f t="shared" si="24"/>
        <v/>
      </c>
      <c r="P164" s="629" t="str">
        <f t="shared" si="25"/>
        <v/>
      </c>
      <c r="Q164" s="10"/>
      <c r="R164" s="251"/>
    </row>
    <row r="165" spans="1:18" x14ac:dyDescent="0.3">
      <c r="E165" s="243">
        <f t="shared" si="26"/>
        <v>159</v>
      </c>
      <c r="F165" s="243">
        <f>LARGE(Csapatok!$G$7:$G$965,E165)</f>
        <v>7.040000000000099E-2</v>
      </c>
      <c r="I165" s="519" t="str">
        <f t="shared" si="18"/>
        <v/>
      </c>
      <c r="J165" s="625" t="str">
        <f t="shared" si="19"/>
        <v/>
      </c>
      <c r="K165" s="626" t="str">
        <f t="shared" si="20"/>
        <v/>
      </c>
      <c r="L165" s="626" t="str">
        <f t="shared" si="21"/>
        <v/>
      </c>
      <c r="M165" s="626" t="str">
        <f t="shared" si="22"/>
        <v/>
      </c>
      <c r="N165" s="627" t="str">
        <f t="shared" si="23"/>
        <v/>
      </c>
      <c r="O165" s="628" t="str">
        <f t="shared" si="24"/>
        <v/>
      </c>
      <c r="P165" s="629" t="str">
        <f t="shared" si="25"/>
        <v/>
      </c>
      <c r="Q165" s="10"/>
      <c r="R165" s="251"/>
    </row>
    <row r="166" spans="1:18" x14ac:dyDescent="0.3">
      <c r="E166" s="243">
        <f t="shared" si="26"/>
        <v>160</v>
      </c>
      <c r="F166" s="243">
        <f>LARGE(Csapatok!$G$7:$G$965,E166)</f>
        <v>7.0300000000000987E-2</v>
      </c>
      <c r="I166" s="519" t="str">
        <f t="shared" si="18"/>
        <v/>
      </c>
      <c r="J166" s="625" t="str">
        <f t="shared" si="19"/>
        <v/>
      </c>
      <c r="K166" s="626" t="str">
        <f t="shared" si="20"/>
        <v/>
      </c>
      <c r="L166" s="626" t="str">
        <f t="shared" si="21"/>
        <v/>
      </c>
      <c r="M166" s="626" t="str">
        <f t="shared" si="22"/>
        <v/>
      </c>
      <c r="N166" s="627" t="str">
        <f t="shared" si="23"/>
        <v/>
      </c>
      <c r="O166" s="628" t="str">
        <f t="shared" si="24"/>
        <v/>
      </c>
      <c r="P166" s="629" t="str">
        <f t="shared" si="25"/>
        <v/>
      </c>
      <c r="Q166" s="10"/>
      <c r="R166" s="251"/>
    </row>
    <row r="167" spans="1:18" x14ac:dyDescent="0.3">
      <c r="E167" s="243">
        <f t="shared" si="26"/>
        <v>161</v>
      </c>
      <c r="F167" s="243">
        <f>LARGE(Csapatok!$G$7:$G$965,E167)</f>
        <v>7.0200000000000984E-2</v>
      </c>
      <c r="I167" s="519" t="str">
        <f t="shared" si="18"/>
        <v/>
      </c>
      <c r="J167" s="625" t="str">
        <f t="shared" si="19"/>
        <v/>
      </c>
      <c r="K167" s="626" t="str">
        <f t="shared" si="20"/>
        <v/>
      </c>
      <c r="L167" s="626" t="str">
        <f t="shared" si="21"/>
        <v/>
      </c>
      <c r="M167" s="626" t="str">
        <f t="shared" si="22"/>
        <v/>
      </c>
      <c r="N167" s="627" t="str">
        <f t="shared" si="23"/>
        <v/>
      </c>
      <c r="O167" s="628" t="str">
        <f t="shared" si="24"/>
        <v/>
      </c>
      <c r="P167" s="629" t="str">
        <f t="shared" si="25"/>
        <v/>
      </c>
      <c r="Q167" s="10"/>
      <c r="R167" s="251"/>
    </row>
    <row r="168" spans="1:18" x14ac:dyDescent="0.3">
      <c r="E168" s="243">
        <f t="shared" si="26"/>
        <v>162</v>
      </c>
      <c r="F168" s="243">
        <f>LARGE(Csapatok!$G$7:$G$965,E168)</f>
        <v>7.0100000000000981E-2</v>
      </c>
      <c r="I168" s="519" t="str">
        <f t="shared" si="18"/>
        <v/>
      </c>
      <c r="J168" s="625" t="str">
        <f t="shared" si="19"/>
        <v/>
      </c>
      <c r="K168" s="626" t="str">
        <f t="shared" si="20"/>
        <v/>
      </c>
      <c r="L168" s="626" t="str">
        <f t="shared" si="21"/>
        <v/>
      </c>
      <c r="M168" s="626" t="str">
        <f t="shared" si="22"/>
        <v/>
      </c>
      <c r="N168" s="627" t="str">
        <f t="shared" si="23"/>
        <v/>
      </c>
      <c r="O168" s="628" t="str">
        <f t="shared" si="24"/>
        <v/>
      </c>
      <c r="P168" s="629" t="str">
        <f t="shared" si="25"/>
        <v/>
      </c>
      <c r="Q168" s="10"/>
      <c r="R168" s="251"/>
    </row>
    <row r="169" spans="1:18" x14ac:dyDescent="0.3">
      <c r="E169" s="243">
        <f t="shared" si="26"/>
        <v>163</v>
      </c>
      <c r="F169" s="243">
        <f>LARGE(Csapatok!$G$7:$G$965,E169)</f>
        <v>7.0000000000000978E-2</v>
      </c>
      <c r="I169" s="519" t="str">
        <f t="shared" si="18"/>
        <v/>
      </c>
      <c r="J169" s="625" t="str">
        <f t="shared" si="19"/>
        <v/>
      </c>
      <c r="K169" s="626" t="str">
        <f t="shared" si="20"/>
        <v/>
      </c>
      <c r="L169" s="626" t="str">
        <f t="shared" si="21"/>
        <v/>
      </c>
      <c r="M169" s="626" t="str">
        <f t="shared" si="22"/>
        <v/>
      </c>
      <c r="N169" s="627" t="str">
        <f t="shared" si="23"/>
        <v/>
      </c>
      <c r="O169" s="628" t="str">
        <f t="shared" si="24"/>
        <v/>
      </c>
      <c r="P169" s="629" t="str">
        <f t="shared" si="25"/>
        <v/>
      </c>
      <c r="Q169" s="10"/>
      <c r="R169" s="251"/>
    </row>
    <row r="170" spans="1:18" x14ac:dyDescent="0.3">
      <c r="E170" s="243">
        <f t="shared" si="26"/>
        <v>164</v>
      </c>
      <c r="F170" s="243">
        <f>LARGE(Csapatok!$G$7:$G$965,E170)</f>
        <v>6.9900000000000975E-2</v>
      </c>
      <c r="I170" s="519" t="str">
        <f t="shared" si="18"/>
        <v/>
      </c>
      <c r="J170" s="625" t="str">
        <f t="shared" si="19"/>
        <v/>
      </c>
      <c r="K170" s="626" t="str">
        <f t="shared" si="20"/>
        <v/>
      </c>
      <c r="L170" s="626" t="str">
        <f t="shared" si="21"/>
        <v/>
      </c>
      <c r="M170" s="626" t="str">
        <f t="shared" si="22"/>
        <v/>
      </c>
      <c r="N170" s="627" t="str">
        <f t="shared" si="23"/>
        <v/>
      </c>
      <c r="O170" s="628" t="str">
        <f t="shared" si="24"/>
        <v/>
      </c>
      <c r="P170" s="629" t="str">
        <f t="shared" si="25"/>
        <v/>
      </c>
      <c r="Q170" s="10"/>
      <c r="R170" s="251"/>
    </row>
    <row r="171" spans="1:18" x14ac:dyDescent="0.3">
      <c r="E171" s="243">
        <f t="shared" si="26"/>
        <v>165</v>
      </c>
      <c r="F171" s="243">
        <f>LARGE(Csapatok!$G$7:$G$965,E171)</f>
        <v>6.9800000000000972E-2</v>
      </c>
      <c r="I171" s="519" t="str">
        <f t="shared" si="18"/>
        <v/>
      </c>
      <c r="J171" s="625" t="str">
        <f t="shared" si="19"/>
        <v/>
      </c>
      <c r="K171" s="626" t="str">
        <f t="shared" si="20"/>
        <v/>
      </c>
      <c r="L171" s="626" t="str">
        <f t="shared" si="21"/>
        <v/>
      </c>
      <c r="M171" s="626" t="str">
        <f t="shared" si="22"/>
        <v/>
      </c>
      <c r="N171" s="627" t="str">
        <f t="shared" si="23"/>
        <v/>
      </c>
      <c r="O171" s="628" t="str">
        <f t="shared" si="24"/>
        <v/>
      </c>
      <c r="P171" s="629" t="str">
        <f t="shared" si="25"/>
        <v/>
      </c>
      <c r="Q171" s="10"/>
      <c r="R171" s="251"/>
    </row>
    <row r="172" spans="1:18" x14ac:dyDescent="0.3">
      <c r="E172" s="243">
        <f t="shared" si="26"/>
        <v>166</v>
      </c>
      <c r="F172" s="243">
        <f>LARGE(Csapatok!$G$7:$G$965,E172)</f>
        <v>6.970000000000097E-2</v>
      </c>
      <c r="I172" s="519" t="str">
        <f t="shared" si="18"/>
        <v/>
      </c>
      <c r="J172" s="625" t="str">
        <f t="shared" si="19"/>
        <v/>
      </c>
      <c r="K172" s="626" t="str">
        <f t="shared" si="20"/>
        <v/>
      </c>
      <c r="L172" s="626" t="str">
        <f t="shared" si="21"/>
        <v/>
      </c>
      <c r="M172" s="626" t="str">
        <f t="shared" si="22"/>
        <v/>
      </c>
      <c r="N172" s="627" t="str">
        <f t="shared" si="23"/>
        <v/>
      </c>
      <c r="O172" s="628" t="str">
        <f t="shared" si="24"/>
        <v/>
      </c>
      <c r="P172" s="629" t="str">
        <f t="shared" si="25"/>
        <v/>
      </c>
      <c r="Q172" s="10"/>
      <c r="R172" s="251"/>
    </row>
    <row r="173" spans="1:18" x14ac:dyDescent="0.3">
      <c r="E173" s="243">
        <f t="shared" si="26"/>
        <v>167</v>
      </c>
      <c r="F173" s="243">
        <f>LARGE(Csapatok!$G$7:$G$965,E173)</f>
        <v>6.9600000000000967E-2</v>
      </c>
      <c r="I173" s="519" t="str">
        <f t="shared" si="18"/>
        <v/>
      </c>
      <c r="J173" s="625" t="str">
        <f t="shared" si="19"/>
        <v/>
      </c>
      <c r="K173" s="626" t="str">
        <f t="shared" si="20"/>
        <v/>
      </c>
      <c r="L173" s="626" t="str">
        <f t="shared" si="21"/>
        <v/>
      </c>
      <c r="M173" s="626" t="str">
        <f t="shared" si="22"/>
        <v/>
      </c>
      <c r="N173" s="627" t="str">
        <f t="shared" si="23"/>
        <v/>
      </c>
      <c r="O173" s="628" t="str">
        <f t="shared" si="24"/>
        <v/>
      </c>
      <c r="P173" s="629" t="str">
        <f t="shared" si="25"/>
        <v/>
      </c>
      <c r="Q173" s="10"/>
      <c r="R173" s="251"/>
    </row>
    <row r="174" spans="1:18" x14ac:dyDescent="0.3">
      <c r="E174" s="243">
        <f t="shared" si="26"/>
        <v>168</v>
      </c>
      <c r="F174" s="243">
        <f>LARGE(Csapatok!$G$7:$G$965,E174)</f>
        <v>6.9500000000000964E-2</v>
      </c>
      <c r="I174" s="519" t="str">
        <f t="shared" si="18"/>
        <v/>
      </c>
      <c r="J174" s="625" t="str">
        <f t="shared" si="19"/>
        <v/>
      </c>
      <c r="K174" s="626" t="str">
        <f t="shared" si="20"/>
        <v/>
      </c>
      <c r="L174" s="626" t="str">
        <f t="shared" si="21"/>
        <v/>
      </c>
      <c r="M174" s="626" t="str">
        <f t="shared" si="22"/>
        <v/>
      </c>
      <c r="N174" s="627" t="str">
        <f t="shared" si="23"/>
        <v/>
      </c>
      <c r="O174" s="628" t="str">
        <f t="shared" si="24"/>
        <v/>
      </c>
      <c r="P174" s="629" t="str">
        <f t="shared" si="25"/>
        <v/>
      </c>
      <c r="Q174" s="10"/>
      <c r="R174" s="251"/>
    </row>
    <row r="175" spans="1:18" x14ac:dyDescent="0.3">
      <c r="E175" s="243">
        <f t="shared" si="26"/>
        <v>169</v>
      </c>
      <c r="F175" s="243">
        <f>LARGE(Csapatok!$G$7:$G$965,E175)</f>
        <v>6.9400000000000961E-2</v>
      </c>
      <c r="I175" s="519" t="str">
        <f t="shared" si="18"/>
        <v/>
      </c>
      <c r="J175" s="625" t="str">
        <f t="shared" si="19"/>
        <v/>
      </c>
      <c r="K175" s="626" t="str">
        <f t="shared" si="20"/>
        <v/>
      </c>
      <c r="L175" s="626" t="str">
        <f t="shared" si="21"/>
        <v/>
      </c>
      <c r="M175" s="626" t="str">
        <f t="shared" si="22"/>
        <v/>
      </c>
      <c r="N175" s="627" t="str">
        <f t="shared" si="23"/>
        <v/>
      </c>
      <c r="O175" s="628" t="str">
        <f t="shared" si="24"/>
        <v/>
      </c>
      <c r="P175" s="629" t="str">
        <f t="shared" si="25"/>
        <v/>
      </c>
      <c r="Q175" s="10"/>
      <c r="R175" s="251"/>
    </row>
    <row r="176" spans="1:18" x14ac:dyDescent="0.3">
      <c r="E176" s="243">
        <f t="shared" si="26"/>
        <v>170</v>
      </c>
      <c r="F176" s="243">
        <f>LARGE(Csapatok!$G$7:$G$965,E176)</f>
        <v>6.9300000000000958E-2</v>
      </c>
      <c r="I176" s="519" t="str">
        <f t="shared" si="18"/>
        <v/>
      </c>
      <c r="J176" s="625" t="str">
        <f t="shared" si="19"/>
        <v/>
      </c>
      <c r="K176" s="626" t="str">
        <f t="shared" si="20"/>
        <v/>
      </c>
      <c r="L176" s="626" t="str">
        <f t="shared" si="21"/>
        <v/>
      </c>
      <c r="M176" s="626" t="str">
        <f t="shared" si="22"/>
        <v/>
      </c>
      <c r="N176" s="627" t="str">
        <f t="shared" si="23"/>
        <v/>
      </c>
      <c r="O176" s="628" t="str">
        <f t="shared" si="24"/>
        <v/>
      </c>
      <c r="P176" s="629" t="str">
        <f t="shared" si="25"/>
        <v/>
      </c>
      <c r="Q176" s="10"/>
      <c r="R176" s="251"/>
    </row>
    <row r="177" spans="5:18" x14ac:dyDescent="0.3">
      <c r="E177" s="243">
        <f t="shared" si="26"/>
        <v>171</v>
      </c>
      <c r="F177" s="243">
        <f>LARGE(Csapatok!$G$7:$G$965,E177)</f>
        <v>6.9200000000000955E-2</v>
      </c>
      <c r="I177" s="519" t="str">
        <f t="shared" si="18"/>
        <v/>
      </c>
      <c r="J177" s="625" t="str">
        <f t="shared" si="19"/>
        <v/>
      </c>
      <c r="K177" s="626" t="str">
        <f t="shared" si="20"/>
        <v/>
      </c>
      <c r="L177" s="626" t="str">
        <f t="shared" si="21"/>
        <v/>
      </c>
      <c r="M177" s="626" t="str">
        <f t="shared" si="22"/>
        <v/>
      </c>
      <c r="N177" s="627" t="str">
        <f t="shared" si="23"/>
        <v/>
      </c>
      <c r="O177" s="628" t="str">
        <f t="shared" si="24"/>
        <v/>
      </c>
      <c r="P177" s="629" t="str">
        <f t="shared" si="25"/>
        <v/>
      </c>
      <c r="Q177" s="10"/>
      <c r="R177" s="251"/>
    </row>
    <row r="178" spans="5:18" x14ac:dyDescent="0.3">
      <c r="E178" s="243">
        <f t="shared" si="26"/>
        <v>172</v>
      </c>
      <c r="F178" s="243">
        <f>LARGE(Csapatok!$G$7:$G$965,E178)</f>
        <v>6.9100000000000952E-2</v>
      </c>
      <c r="I178" s="519" t="str">
        <f t="shared" si="18"/>
        <v/>
      </c>
      <c r="J178" s="625" t="str">
        <f t="shared" si="19"/>
        <v/>
      </c>
      <c r="K178" s="626" t="str">
        <f t="shared" si="20"/>
        <v/>
      </c>
      <c r="L178" s="626" t="str">
        <f t="shared" si="21"/>
        <v/>
      </c>
      <c r="M178" s="626" t="str">
        <f t="shared" si="22"/>
        <v/>
      </c>
      <c r="N178" s="627" t="str">
        <f t="shared" si="23"/>
        <v/>
      </c>
      <c r="O178" s="628" t="str">
        <f t="shared" si="24"/>
        <v/>
      </c>
      <c r="P178" s="629" t="str">
        <f t="shared" si="25"/>
        <v/>
      </c>
      <c r="Q178" s="10"/>
      <c r="R178" s="251"/>
    </row>
    <row r="179" spans="5:18" x14ac:dyDescent="0.3">
      <c r="E179" s="243">
        <f t="shared" si="26"/>
        <v>173</v>
      </c>
      <c r="F179" s="243">
        <f>LARGE(Csapatok!$G$7:$G$965,E179)</f>
        <v>6.9000000000000949E-2</v>
      </c>
      <c r="I179" s="519" t="str">
        <f t="shared" si="18"/>
        <v/>
      </c>
      <c r="J179" s="625" t="str">
        <f t="shared" si="19"/>
        <v/>
      </c>
      <c r="K179" s="626" t="str">
        <f t="shared" si="20"/>
        <v/>
      </c>
      <c r="L179" s="626" t="str">
        <f t="shared" si="21"/>
        <v/>
      </c>
      <c r="M179" s="626" t="str">
        <f t="shared" si="22"/>
        <v/>
      </c>
      <c r="N179" s="627" t="str">
        <f t="shared" si="23"/>
        <v/>
      </c>
      <c r="O179" s="628" t="str">
        <f t="shared" si="24"/>
        <v/>
      </c>
      <c r="P179" s="629" t="str">
        <f t="shared" si="25"/>
        <v/>
      </c>
      <c r="Q179" s="10"/>
      <c r="R179" s="251"/>
    </row>
    <row r="180" spans="5:18" x14ac:dyDescent="0.3">
      <c r="E180" s="243">
        <f t="shared" si="26"/>
        <v>174</v>
      </c>
      <c r="F180" s="243">
        <f>LARGE(Csapatok!$G$7:$G$965,E180)</f>
        <v>6.8900000000000947E-2</v>
      </c>
      <c r="I180" s="519" t="str">
        <f t="shared" si="18"/>
        <v/>
      </c>
      <c r="J180" s="625" t="str">
        <f t="shared" si="19"/>
        <v/>
      </c>
      <c r="K180" s="626" t="str">
        <f t="shared" si="20"/>
        <v/>
      </c>
      <c r="L180" s="626" t="str">
        <f t="shared" si="21"/>
        <v/>
      </c>
      <c r="M180" s="626" t="str">
        <f t="shared" si="22"/>
        <v/>
      </c>
      <c r="N180" s="627" t="str">
        <f t="shared" si="23"/>
        <v/>
      </c>
      <c r="O180" s="628" t="str">
        <f t="shared" si="24"/>
        <v/>
      </c>
      <c r="P180" s="629" t="str">
        <f t="shared" si="25"/>
        <v/>
      </c>
      <c r="Q180" s="10"/>
      <c r="R180" s="251"/>
    </row>
    <row r="181" spans="5:18" x14ac:dyDescent="0.3">
      <c r="E181" s="243">
        <f t="shared" si="26"/>
        <v>175</v>
      </c>
      <c r="F181" s="243">
        <f>LARGE(Csapatok!$G$7:$G$965,E181)</f>
        <v>6.8800000000000944E-2</v>
      </c>
      <c r="I181" s="519" t="str">
        <f t="shared" si="18"/>
        <v/>
      </c>
      <c r="J181" s="625" t="str">
        <f t="shared" si="19"/>
        <v/>
      </c>
      <c r="K181" s="626" t="str">
        <f t="shared" si="20"/>
        <v/>
      </c>
      <c r="L181" s="626" t="str">
        <f t="shared" si="21"/>
        <v/>
      </c>
      <c r="M181" s="626" t="str">
        <f t="shared" si="22"/>
        <v/>
      </c>
      <c r="N181" s="627" t="str">
        <f t="shared" si="23"/>
        <v/>
      </c>
      <c r="O181" s="628" t="str">
        <f t="shared" si="24"/>
        <v/>
      </c>
      <c r="P181" s="629" t="str">
        <f t="shared" si="25"/>
        <v/>
      </c>
      <c r="Q181" s="10"/>
      <c r="R181" s="251"/>
    </row>
    <row r="182" spans="5:18" x14ac:dyDescent="0.3">
      <c r="E182" s="243">
        <f t="shared" si="26"/>
        <v>176</v>
      </c>
      <c r="F182" s="243">
        <f>LARGE(Csapatok!$G$7:$G$965,E182)</f>
        <v>6.8700000000000941E-2</v>
      </c>
      <c r="I182" s="519" t="str">
        <f t="shared" si="18"/>
        <v/>
      </c>
      <c r="J182" s="625" t="str">
        <f t="shared" si="19"/>
        <v/>
      </c>
      <c r="K182" s="626" t="str">
        <f t="shared" si="20"/>
        <v/>
      </c>
      <c r="L182" s="626" t="str">
        <f t="shared" si="21"/>
        <v/>
      </c>
      <c r="M182" s="626" t="str">
        <f t="shared" si="22"/>
        <v/>
      </c>
      <c r="N182" s="627" t="str">
        <f t="shared" si="23"/>
        <v/>
      </c>
      <c r="O182" s="628" t="str">
        <f t="shared" si="24"/>
        <v/>
      </c>
      <c r="P182" s="629" t="str">
        <f t="shared" si="25"/>
        <v/>
      </c>
      <c r="Q182" s="10"/>
      <c r="R182" s="251"/>
    </row>
    <row r="183" spans="5:18" x14ac:dyDescent="0.3">
      <c r="E183" s="243">
        <f t="shared" si="26"/>
        <v>177</v>
      </c>
      <c r="F183" s="243">
        <f>LARGE(Csapatok!$G$7:$G$965,E183)</f>
        <v>6.8600000000000938E-2</v>
      </c>
      <c r="I183" s="519" t="str">
        <f t="shared" si="18"/>
        <v/>
      </c>
      <c r="J183" s="625" t="str">
        <f t="shared" si="19"/>
        <v/>
      </c>
      <c r="K183" s="626" t="str">
        <f t="shared" si="20"/>
        <v/>
      </c>
      <c r="L183" s="626" t="str">
        <f t="shared" si="21"/>
        <v/>
      </c>
      <c r="M183" s="626" t="str">
        <f t="shared" si="22"/>
        <v/>
      </c>
      <c r="N183" s="627" t="str">
        <f t="shared" si="23"/>
        <v/>
      </c>
      <c r="O183" s="628" t="str">
        <f t="shared" si="24"/>
        <v/>
      </c>
      <c r="P183" s="629" t="str">
        <f t="shared" si="25"/>
        <v/>
      </c>
      <c r="Q183" s="10"/>
      <c r="R183" s="251"/>
    </row>
    <row r="184" spans="5:18" x14ac:dyDescent="0.3">
      <c r="E184" s="243">
        <f t="shared" si="26"/>
        <v>178</v>
      </c>
      <c r="F184" s="243">
        <f>LARGE(Csapatok!$G$7:$G$965,E184)</f>
        <v>6.8500000000000935E-2</v>
      </c>
      <c r="I184" s="519" t="str">
        <f t="shared" si="18"/>
        <v/>
      </c>
      <c r="J184" s="625" t="str">
        <f t="shared" si="19"/>
        <v/>
      </c>
      <c r="K184" s="626" t="str">
        <f t="shared" si="20"/>
        <v/>
      </c>
      <c r="L184" s="626" t="str">
        <f t="shared" si="21"/>
        <v/>
      </c>
      <c r="M184" s="626" t="str">
        <f t="shared" si="22"/>
        <v/>
      </c>
      <c r="N184" s="627" t="str">
        <f t="shared" si="23"/>
        <v/>
      </c>
      <c r="O184" s="628" t="str">
        <f t="shared" si="24"/>
        <v/>
      </c>
      <c r="P184" s="629" t="str">
        <f t="shared" si="25"/>
        <v/>
      </c>
      <c r="Q184" s="10"/>
      <c r="R184" s="251"/>
    </row>
    <row r="185" spans="5:18" x14ac:dyDescent="0.3">
      <c r="E185" s="243">
        <f t="shared" si="26"/>
        <v>179</v>
      </c>
      <c r="F185" s="243">
        <f>LARGE(Csapatok!$G$7:$G$965,E185)</f>
        <v>6.8400000000000932E-2</v>
      </c>
      <c r="I185" s="519" t="str">
        <f t="shared" si="18"/>
        <v/>
      </c>
      <c r="J185" s="625" t="str">
        <f t="shared" si="19"/>
        <v/>
      </c>
      <c r="K185" s="626" t="str">
        <f t="shared" si="20"/>
        <v/>
      </c>
      <c r="L185" s="626" t="str">
        <f t="shared" si="21"/>
        <v/>
      </c>
      <c r="M185" s="626" t="str">
        <f t="shared" si="22"/>
        <v/>
      </c>
      <c r="N185" s="627" t="str">
        <f t="shared" si="23"/>
        <v/>
      </c>
      <c r="O185" s="628" t="str">
        <f t="shared" si="24"/>
        <v/>
      </c>
      <c r="P185" s="629" t="str">
        <f t="shared" si="25"/>
        <v/>
      </c>
      <c r="Q185" s="10"/>
      <c r="R185" s="251"/>
    </row>
    <row r="186" spans="5:18" x14ac:dyDescent="0.3">
      <c r="E186" s="243">
        <f t="shared" si="26"/>
        <v>180</v>
      </c>
      <c r="F186" s="243">
        <f>LARGE(Csapatok!$G$7:$G$965,E186)</f>
        <v>6.8300000000000929E-2</v>
      </c>
      <c r="I186" s="519" t="str">
        <f t="shared" si="18"/>
        <v/>
      </c>
      <c r="J186" s="625" t="str">
        <f t="shared" si="19"/>
        <v/>
      </c>
      <c r="K186" s="626" t="str">
        <f t="shared" si="20"/>
        <v/>
      </c>
      <c r="L186" s="626" t="str">
        <f t="shared" si="21"/>
        <v/>
      </c>
      <c r="M186" s="626" t="str">
        <f t="shared" si="22"/>
        <v/>
      </c>
      <c r="N186" s="627" t="str">
        <f t="shared" si="23"/>
        <v/>
      </c>
      <c r="O186" s="628" t="str">
        <f t="shared" si="24"/>
        <v/>
      </c>
      <c r="P186" s="629" t="str">
        <f t="shared" si="25"/>
        <v/>
      </c>
      <c r="Q186" s="10"/>
      <c r="R186" s="251"/>
    </row>
    <row r="187" spans="5:18" x14ac:dyDescent="0.3">
      <c r="E187" s="243">
        <f t="shared" si="26"/>
        <v>181</v>
      </c>
      <c r="F187" s="243">
        <f>LARGE(Csapatok!$G$7:$G$965,E187)</f>
        <v>6.8200000000000927E-2</v>
      </c>
      <c r="I187" s="519" t="str">
        <f t="shared" si="18"/>
        <v/>
      </c>
      <c r="J187" s="625" t="str">
        <f t="shared" si="19"/>
        <v/>
      </c>
      <c r="K187" s="626" t="str">
        <f t="shared" si="20"/>
        <v/>
      </c>
      <c r="L187" s="626" t="str">
        <f t="shared" si="21"/>
        <v/>
      </c>
      <c r="M187" s="626" t="str">
        <f t="shared" si="22"/>
        <v/>
      </c>
      <c r="N187" s="627" t="str">
        <f t="shared" si="23"/>
        <v/>
      </c>
      <c r="O187" s="628" t="str">
        <f t="shared" si="24"/>
        <v/>
      </c>
      <c r="P187" s="629" t="str">
        <f t="shared" si="25"/>
        <v/>
      </c>
      <c r="Q187" s="10"/>
      <c r="R187" s="251"/>
    </row>
    <row r="188" spans="5:18" x14ac:dyDescent="0.3">
      <c r="E188" s="243">
        <f t="shared" si="26"/>
        <v>182</v>
      </c>
      <c r="F188" s="243">
        <f>LARGE(Csapatok!$G$7:$G$965,E188)</f>
        <v>6.8100000000000924E-2</v>
      </c>
      <c r="I188" s="519" t="str">
        <f t="shared" si="18"/>
        <v/>
      </c>
      <c r="J188" s="625" t="str">
        <f t="shared" si="19"/>
        <v/>
      </c>
      <c r="K188" s="626" t="str">
        <f t="shared" si="20"/>
        <v/>
      </c>
      <c r="L188" s="626" t="str">
        <f t="shared" si="21"/>
        <v/>
      </c>
      <c r="M188" s="626" t="str">
        <f t="shared" si="22"/>
        <v/>
      </c>
      <c r="N188" s="627" t="str">
        <f t="shared" si="23"/>
        <v/>
      </c>
      <c r="O188" s="628" t="str">
        <f t="shared" si="24"/>
        <v/>
      </c>
      <c r="P188" s="629" t="str">
        <f t="shared" si="25"/>
        <v/>
      </c>
      <c r="Q188" s="10"/>
      <c r="R188" s="251"/>
    </row>
    <row r="189" spans="5:18" x14ac:dyDescent="0.3">
      <c r="E189" s="243">
        <f t="shared" si="26"/>
        <v>183</v>
      </c>
      <c r="F189" s="243">
        <f>LARGE(Csapatok!$G$7:$G$965,E189)</f>
        <v>6.6400000000000875E-2</v>
      </c>
      <c r="I189" s="519" t="str">
        <f t="shared" si="18"/>
        <v/>
      </c>
      <c r="J189" s="625" t="str">
        <f t="shared" si="19"/>
        <v/>
      </c>
      <c r="K189" s="626" t="str">
        <f t="shared" si="20"/>
        <v/>
      </c>
      <c r="L189" s="626" t="str">
        <f t="shared" si="21"/>
        <v/>
      </c>
      <c r="M189" s="626" t="str">
        <f t="shared" si="22"/>
        <v/>
      </c>
      <c r="N189" s="627" t="str">
        <f t="shared" si="23"/>
        <v/>
      </c>
      <c r="O189" s="628" t="str">
        <f t="shared" si="24"/>
        <v/>
      </c>
      <c r="P189" s="629" t="str">
        <f t="shared" si="25"/>
        <v/>
      </c>
      <c r="Q189" s="10"/>
      <c r="R189" s="251"/>
    </row>
    <row r="190" spans="5:18" x14ac:dyDescent="0.3">
      <c r="E190" s="243">
        <f t="shared" si="26"/>
        <v>184</v>
      </c>
      <c r="F190" s="243">
        <f>LARGE(Csapatok!$G$7:$G$965,E190)</f>
        <v>6.6300000000000872E-2</v>
      </c>
      <c r="I190" s="519" t="str">
        <f t="shared" si="18"/>
        <v/>
      </c>
      <c r="J190" s="625" t="str">
        <f t="shared" si="19"/>
        <v/>
      </c>
      <c r="K190" s="626" t="str">
        <f t="shared" si="20"/>
        <v/>
      </c>
      <c r="L190" s="626" t="str">
        <f t="shared" si="21"/>
        <v/>
      </c>
      <c r="M190" s="626" t="str">
        <f t="shared" si="22"/>
        <v/>
      </c>
      <c r="N190" s="627" t="str">
        <f t="shared" si="23"/>
        <v/>
      </c>
      <c r="O190" s="628" t="str">
        <f t="shared" si="24"/>
        <v/>
      </c>
      <c r="P190" s="629" t="str">
        <f t="shared" si="25"/>
        <v/>
      </c>
      <c r="Q190" s="10"/>
      <c r="R190" s="251"/>
    </row>
    <row r="191" spans="5:18" x14ac:dyDescent="0.3">
      <c r="E191" s="243">
        <f t="shared" si="26"/>
        <v>185</v>
      </c>
      <c r="F191" s="243">
        <f>LARGE(Csapatok!$G$7:$G$965,E191)</f>
        <v>6.6200000000000869E-2</v>
      </c>
      <c r="I191" s="519" t="str">
        <f t="shared" si="18"/>
        <v/>
      </c>
      <c r="J191" s="625" t="str">
        <f t="shared" si="19"/>
        <v/>
      </c>
      <c r="K191" s="626" t="str">
        <f t="shared" si="20"/>
        <v/>
      </c>
      <c r="L191" s="626" t="str">
        <f t="shared" si="21"/>
        <v/>
      </c>
      <c r="M191" s="626" t="str">
        <f t="shared" si="22"/>
        <v/>
      </c>
      <c r="N191" s="627" t="str">
        <f t="shared" si="23"/>
        <v/>
      </c>
      <c r="O191" s="628" t="str">
        <f t="shared" si="24"/>
        <v/>
      </c>
      <c r="P191" s="629" t="str">
        <f t="shared" si="25"/>
        <v/>
      </c>
      <c r="Q191" s="10"/>
      <c r="R191" s="251"/>
    </row>
    <row r="192" spans="5:18" x14ac:dyDescent="0.3">
      <c r="E192" s="243">
        <f t="shared" si="26"/>
        <v>186</v>
      </c>
      <c r="F192" s="243">
        <f>LARGE(Csapatok!$G$7:$G$965,E192)</f>
        <v>6.6100000000000866E-2</v>
      </c>
      <c r="I192" s="519" t="str">
        <f t="shared" si="18"/>
        <v/>
      </c>
      <c r="J192" s="625" t="str">
        <f t="shared" si="19"/>
        <v/>
      </c>
      <c r="K192" s="626" t="str">
        <f t="shared" si="20"/>
        <v/>
      </c>
      <c r="L192" s="626" t="str">
        <f t="shared" si="21"/>
        <v/>
      </c>
      <c r="M192" s="626" t="str">
        <f t="shared" si="22"/>
        <v/>
      </c>
      <c r="N192" s="627" t="str">
        <f t="shared" si="23"/>
        <v/>
      </c>
      <c r="O192" s="628" t="str">
        <f t="shared" si="24"/>
        <v/>
      </c>
      <c r="P192" s="629" t="str">
        <f t="shared" si="25"/>
        <v/>
      </c>
      <c r="Q192" s="10"/>
      <c r="R192" s="251"/>
    </row>
    <row r="193" spans="5:18" x14ac:dyDescent="0.3">
      <c r="E193" s="243">
        <f t="shared" si="26"/>
        <v>187</v>
      </c>
      <c r="F193" s="243">
        <f>LARGE(Csapatok!$G$7:$G$965,E193)</f>
        <v>6.6000000000000864E-2</v>
      </c>
      <c r="I193" s="519" t="str">
        <f t="shared" si="18"/>
        <v/>
      </c>
      <c r="J193" s="625" t="str">
        <f t="shared" si="19"/>
        <v/>
      </c>
      <c r="K193" s="626" t="str">
        <f t="shared" si="20"/>
        <v/>
      </c>
      <c r="L193" s="626" t="str">
        <f t="shared" si="21"/>
        <v/>
      </c>
      <c r="M193" s="626" t="str">
        <f t="shared" si="22"/>
        <v/>
      </c>
      <c r="N193" s="627" t="str">
        <f t="shared" si="23"/>
        <v/>
      </c>
      <c r="O193" s="628" t="str">
        <f t="shared" si="24"/>
        <v/>
      </c>
      <c r="P193" s="629" t="str">
        <f t="shared" si="25"/>
        <v/>
      </c>
      <c r="Q193" s="10"/>
      <c r="R193" s="251"/>
    </row>
    <row r="194" spans="5:18" x14ac:dyDescent="0.3">
      <c r="E194" s="243">
        <f t="shared" si="26"/>
        <v>188</v>
      </c>
      <c r="F194" s="243">
        <f>LARGE(Csapatok!$G$7:$G$965,E194)</f>
        <v>6.5900000000000861E-2</v>
      </c>
      <c r="I194" s="519" t="str">
        <f t="shared" si="18"/>
        <v/>
      </c>
      <c r="J194" s="625" t="str">
        <f t="shared" si="19"/>
        <v/>
      </c>
      <c r="K194" s="626" t="str">
        <f t="shared" si="20"/>
        <v/>
      </c>
      <c r="L194" s="626" t="str">
        <f t="shared" si="21"/>
        <v/>
      </c>
      <c r="M194" s="626" t="str">
        <f t="shared" si="22"/>
        <v/>
      </c>
      <c r="N194" s="627" t="str">
        <f t="shared" si="23"/>
        <v/>
      </c>
      <c r="O194" s="628" t="str">
        <f t="shared" si="24"/>
        <v/>
      </c>
      <c r="P194" s="629" t="str">
        <f t="shared" si="25"/>
        <v/>
      </c>
      <c r="Q194" s="10"/>
      <c r="R194" s="251"/>
    </row>
    <row r="195" spans="5:18" x14ac:dyDescent="0.3">
      <c r="E195" s="243">
        <f t="shared" si="26"/>
        <v>189</v>
      </c>
      <c r="F195" s="243">
        <f>LARGE(Csapatok!$G$7:$G$965,E195)</f>
        <v>6.5800000000000858E-2</v>
      </c>
      <c r="I195" s="519" t="str">
        <f t="shared" si="18"/>
        <v/>
      </c>
      <c r="J195" s="625" t="str">
        <f t="shared" si="19"/>
        <v/>
      </c>
      <c r="K195" s="626" t="str">
        <f t="shared" si="20"/>
        <v/>
      </c>
      <c r="L195" s="626" t="str">
        <f t="shared" si="21"/>
        <v/>
      </c>
      <c r="M195" s="626" t="str">
        <f t="shared" si="22"/>
        <v/>
      </c>
      <c r="N195" s="627" t="str">
        <f t="shared" si="23"/>
        <v/>
      </c>
      <c r="O195" s="628" t="str">
        <f t="shared" si="24"/>
        <v/>
      </c>
      <c r="P195" s="629" t="str">
        <f t="shared" si="25"/>
        <v/>
      </c>
      <c r="Q195" s="10"/>
      <c r="R195" s="251"/>
    </row>
    <row r="196" spans="5:18" x14ac:dyDescent="0.3">
      <c r="E196" s="243">
        <f t="shared" si="26"/>
        <v>190</v>
      </c>
      <c r="F196" s="243">
        <f>LARGE(Csapatok!$G$7:$G$965,E196)</f>
        <v>6.5700000000000855E-2</v>
      </c>
      <c r="I196" s="519" t="str">
        <f t="shared" si="18"/>
        <v/>
      </c>
      <c r="J196" s="625" t="str">
        <f t="shared" si="19"/>
        <v/>
      </c>
      <c r="K196" s="626" t="str">
        <f t="shared" si="20"/>
        <v/>
      </c>
      <c r="L196" s="626" t="str">
        <f t="shared" si="21"/>
        <v/>
      </c>
      <c r="M196" s="626" t="str">
        <f t="shared" si="22"/>
        <v/>
      </c>
      <c r="N196" s="627" t="str">
        <f t="shared" si="23"/>
        <v/>
      </c>
      <c r="O196" s="628" t="str">
        <f t="shared" si="24"/>
        <v/>
      </c>
      <c r="P196" s="629" t="str">
        <f t="shared" si="25"/>
        <v/>
      </c>
      <c r="Q196" s="10"/>
      <c r="R196" s="251"/>
    </row>
    <row r="197" spans="5:18" x14ac:dyDescent="0.3">
      <c r="E197" s="243">
        <f t="shared" si="26"/>
        <v>191</v>
      </c>
      <c r="F197" s="243">
        <f>LARGE(Csapatok!$G$7:$G$965,E197)</f>
        <v>6.5600000000000852E-2</v>
      </c>
      <c r="I197" s="519" t="str">
        <f t="shared" si="18"/>
        <v/>
      </c>
      <c r="J197" s="625" t="str">
        <f t="shared" si="19"/>
        <v/>
      </c>
      <c r="K197" s="626" t="str">
        <f t="shared" si="20"/>
        <v/>
      </c>
      <c r="L197" s="626" t="str">
        <f t="shared" si="21"/>
        <v/>
      </c>
      <c r="M197" s="626" t="str">
        <f t="shared" si="22"/>
        <v/>
      </c>
      <c r="N197" s="627" t="str">
        <f t="shared" si="23"/>
        <v/>
      </c>
      <c r="O197" s="628" t="str">
        <f t="shared" si="24"/>
        <v/>
      </c>
      <c r="P197" s="629" t="str">
        <f t="shared" si="25"/>
        <v/>
      </c>
      <c r="Q197" s="10"/>
      <c r="R197" s="251"/>
    </row>
    <row r="198" spans="5:18" x14ac:dyDescent="0.3">
      <c r="E198" s="243">
        <f t="shared" si="26"/>
        <v>192</v>
      </c>
      <c r="F198" s="243">
        <f>LARGE(Csapatok!$G$7:$G$965,E198)</f>
        <v>6.5500000000000849E-2</v>
      </c>
      <c r="I198" s="519" t="str">
        <f t="shared" si="18"/>
        <v/>
      </c>
      <c r="J198" s="625" t="str">
        <f t="shared" si="19"/>
        <v/>
      </c>
      <c r="K198" s="626" t="str">
        <f t="shared" si="20"/>
        <v/>
      </c>
      <c r="L198" s="626" t="str">
        <f t="shared" si="21"/>
        <v/>
      </c>
      <c r="M198" s="626" t="str">
        <f t="shared" si="22"/>
        <v/>
      </c>
      <c r="N198" s="627" t="str">
        <f t="shared" si="23"/>
        <v/>
      </c>
      <c r="O198" s="628" t="str">
        <f t="shared" si="24"/>
        <v/>
      </c>
      <c r="P198" s="629" t="str">
        <f t="shared" si="25"/>
        <v/>
      </c>
      <c r="Q198" s="10"/>
      <c r="R198" s="251"/>
    </row>
    <row r="199" spans="5:18" x14ac:dyDescent="0.3">
      <c r="E199" s="243">
        <f t="shared" si="26"/>
        <v>193</v>
      </c>
      <c r="F199" s="243">
        <f>LARGE(Csapatok!$G$7:$G$965,E199)</f>
        <v>6.5400000000000846E-2</v>
      </c>
      <c r="I199" s="519" t="str">
        <f t="shared" ref="I199:I262" si="27">IF(OR(F199&lt;1,ROUNDDOWN(F199,0)=ROUNDDOWN(F198,0)),"",CONCATENATE(ROUNDDOWN(F199,0)," GÓL   "))</f>
        <v/>
      </c>
      <c r="J199" s="625" t="str">
        <f t="shared" ref="J199:J262" si="28">IF($F199&lt;1,"",CONCATENATE(" ",VLOOKUP($F199,nevek,4,FALSE)," ",VLOOKUP($F199,nevek,3,FALSE)))</f>
        <v/>
      </c>
      <c r="K199" s="626" t="str">
        <f t="shared" ref="K199:K262" si="29">IF($F199&lt;1,"",VLOOKUP($F199,nevek,2,FALSE))</f>
        <v/>
      </c>
      <c r="L199" s="626" t="str">
        <f t="shared" ref="L199:L262" si="30">IF($F199&lt;1,"",VLOOKUP($F199,nevek,6,FALSE))</f>
        <v/>
      </c>
      <c r="M199" s="626" t="str">
        <f t="shared" ref="M199:M262" si="31">IF($F199&lt;1,"",VLOOKUP($F199,nevek,7,FALSE))</f>
        <v/>
      </c>
      <c r="N199" s="627" t="str">
        <f t="shared" ref="N199:N262" si="32">IF($F199&lt;1,"",VLOOKUP($F199,nevek,10,FALSE))</f>
        <v/>
      </c>
      <c r="O199" s="628" t="str">
        <f t="shared" ref="O199:O262" si="33">IF($F199&lt;1,"",VLOOKUP($F199,nevek,11,FALSE))</f>
        <v/>
      </c>
      <c r="P199" s="629" t="str">
        <f t="shared" ref="P199:P262" si="34">IF($F199&lt;1,"",VLOOKUP($F199,nevek,12,FALSE))</f>
        <v/>
      </c>
      <c r="Q199" s="10"/>
      <c r="R199" s="251"/>
    </row>
    <row r="200" spans="5:18" x14ac:dyDescent="0.3">
      <c r="E200" s="243">
        <f t="shared" si="26"/>
        <v>194</v>
      </c>
      <c r="F200" s="243">
        <f>LARGE(Csapatok!$G$7:$G$965,E200)</f>
        <v>6.5300000000000843E-2</v>
      </c>
      <c r="I200" s="519" t="str">
        <f t="shared" si="27"/>
        <v/>
      </c>
      <c r="J200" s="625" t="str">
        <f t="shared" si="28"/>
        <v/>
      </c>
      <c r="K200" s="626" t="str">
        <f t="shared" si="29"/>
        <v/>
      </c>
      <c r="L200" s="626" t="str">
        <f t="shared" si="30"/>
        <v/>
      </c>
      <c r="M200" s="626" t="str">
        <f t="shared" si="31"/>
        <v/>
      </c>
      <c r="N200" s="627" t="str">
        <f t="shared" si="32"/>
        <v/>
      </c>
      <c r="O200" s="628" t="str">
        <f t="shared" si="33"/>
        <v/>
      </c>
      <c r="P200" s="629" t="str">
        <f t="shared" si="34"/>
        <v/>
      </c>
      <c r="Q200" s="10"/>
      <c r="R200" s="251"/>
    </row>
    <row r="201" spans="5:18" x14ac:dyDescent="0.3">
      <c r="E201" s="243">
        <f t="shared" ref="E201:E264" si="35">E200+1</f>
        <v>195</v>
      </c>
      <c r="F201" s="243">
        <f>LARGE(Csapatok!$G$7:$G$965,E201)</f>
        <v>6.5200000000000841E-2</v>
      </c>
      <c r="I201" s="519" t="str">
        <f t="shared" si="27"/>
        <v/>
      </c>
      <c r="J201" s="625" t="str">
        <f t="shared" si="28"/>
        <v/>
      </c>
      <c r="K201" s="626" t="str">
        <f t="shared" si="29"/>
        <v/>
      </c>
      <c r="L201" s="626" t="str">
        <f t="shared" si="30"/>
        <v/>
      </c>
      <c r="M201" s="626" t="str">
        <f t="shared" si="31"/>
        <v/>
      </c>
      <c r="N201" s="627" t="str">
        <f t="shared" si="32"/>
        <v/>
      </c>
      <c r="O201" s="628" t="str">
        <f t="shared" si="33"/>
        <v/>
      </c>
      <c r="P201" s="629" t="str">
        <f t="shared" si="34"/>
        <v/>
      </c>
      <c r="Q201" s="10"/>
      <c r="R201" s="251"/>
    </row>
    <row r="202" spans="5:18" x14ac:dyDescent="0.3">
      <c r="E202" s="243">
        <f t="shared" si="35"/>
        <v>196</v>
      </c>
      <c r="F202" s="243">
        <f>LARGE(Csapatok!$G$7:$G$965,E202)</f>
        <v>6.5100000000000838E-2</v>
      </c>
      <c r="I202" s="519" t="str">
        <f t="shared" si="27"/>
        <v/>
      </c>
      <c r="J202" s="625" t="str">
        <f t="shared" si="28"/>
        <v/>
      </c>
      <c r="K202" s="626" t="str">
        <f t="shared" si="29"/>
        <v/>
      </c>
      <c r="L202" s="626" t="str">
        <f t="shared" si="30"/>
        <v/>
      </c>
      <c r="M202" s="626" t="str">
        <f t="shared" si="31"/>
        <v/>
      </c>
      <c r="N202" s="627" t="str">
        <f t="shared" si="32"/>
        <v/>
      </c>
      <c r="O202" s="628" t="str">
        <f t="shared" si="33"/>
        <v/>
      </c>
      <c r="P202" s="629" t="str">
        <f t="shared" si="34"/>
        <v/>
      </c>
      <c r="Q202" s="10"/>
      <c r="R202" s="251"/>
    </row>
    <row r="203" spans="5:18" x14ac:dyDescent="0.3">
      <c r="E203" s="243">
        <f t="shared" si="35"/>
        <v>197</v>
      </c>
      <c r="F203" s="243">
        <f>LARGE(Csapatok!$G$7:$G$965,E203)</f>
        <v>6.5000000000000835E-2</v>
      </c>
      <c r="I203" s="519" t="str">
        <f t="shared" si="27"/>
        <v/>
      </c>
      <c r="J203" s="625" t="str">
        <f t="shared" si="28"/>
        <v/>
      </c>
      <c r="K203" s="626" t="str">
        <f t="shared" si="29"/>
        <v/>
      </c>
      <c r="L203" s="626" t="str">
        <f t="shared" si="30"/>
        <v/>
      </c>
      <c r="M203" s="626" t="str">
        <f t="shared" si="31"/>
        <v/>
      </c>
      <c r="N203" s="627" t="str">
        <f t="shared" si="32"/>
        <v/>
      </c>
      <c r="O203" s="628" t="str">
        <f t="shared" si="33"/>
        <v/>
      </c>
      <c r="P203" s="629" t="str">
        <f t="shared" si="34"/>
        <v/>
      </c>
      <c r="Q203" s="10"/>
      <c r="R203" s="251"/>
    </row>
    <row r="204" spans="5:18" x14ac:dyDescent="0.3">
      <c r="E204" s="243">
        <f t="shared" si="35"/>
        <v>198</v>
      </c>
      <c r="F204" s="243">
        <f>LARGE(Csapatok!$G$7:$G$965,E204)</f>
        <v>6.4900000000000832E-2</v>
      </c>
      <c r="I204" s="519" t="str">
        <f t="shared" si="27"/>
        <v/>
      </c>
      <c r="J204" s="625" t="str">
        <f t="shared" si="28"/>
        <v/>
      </c>
      <c r="K204" s="626" t="str">
        <f t="shared" si="29"/>
        <v/>
      </c>
      <c r="L204" s="626" t="str">
        <f t="shared" si="30"/>
        <v/>
      </c>
      <c r="M204" s="626" t="str">
        <f t="shared" si="31"/>
        <v/>
      </c>
      <c r="N204" s="627" t="str">
        <f t="shared" si="32"/>
        <v/>
      </c>
      <c r="O204" s="628" t="str">
        <f t="shared" si="33"/>
        <v/>
      </c>
      <c r="P204" s="629" t="str">
        <f t="shared" si="34"/>
        <v/>
      </c>
      <c r="Q204" s="10"/>
      <c r="R204" s="251"/>
    </row>
    <row r="205" spans="5:18" x14ac:dyDescent="0.3">
      <c r="E205" s="243">
        <f t="shared" si="35"/>
        <v>199</v>
      </c>
      <c r="F205" s="243">
        <f>LARGE(Csapatok!$G$7:$G$965,E205)</f>
        <v>6.4800000000000829E-2</v>
      </c>
      <c r="I205" s="519" t="str">
        <f t="shared" si="27"/>
        <v/>
      </c>
      <c r="J205" s="625" t="str">
        <f t="shared" si="28"/>
        <v/>
      </c>
      <c r="K205" s="626" t="str">
        <f t="shared" si="29"/>
        <v/>
      </c>
      <c r="L205" s="626" t="str">
        <f t="shared" si="30"/>
        <v/>
      </c>
      <c r="M205" s="626" t="str">
        <f t="shared" si="31"/>
        <v/>
      </c>
      <c r="N205" s="627" t="str">
        <f t="shared" si="32"/>
        <v/>
      </c>
      <c r="O205" s="628" t="str">
        <f t="shared" si="33"/>
        <v/>
      </c>
      <c r="P205" s="629" t="str">
        <f t="shared" si="34"/>
        <v/>
      </c>
      <c r="Q205" s="10"/>
      <c r="R205" s="251"/>
    </row>
    <row r="206" spans="5:18" x14ac:dyDescent="0.3">
      <c r="E206" s="243">
        <f t="shared" si="35"/>
        <v>200</v>
      </c>
      <c r="F206" s="243">
        <f>LARGE(Csapatok!$G$7:$G$965,E206)</f>
        <v>6.4700000000000826E-2</v>
      </c>
      <c r="I206" s="519" t="str">
        <f t="shared" si="27"/>
        <v/>
      </c>
      <c r="J206" s="625" t="str">
        <f t="shared" si="28"/>
        <v/>
      </c>
      <c r="K206" s="626" t="str">
        <f t="shared" si="29"/>
        <v/>
      </c>
      <c r="L206" s="626" t="str">
        <f t="shared" si="30"/>
        <v/>
      </c>
      <c r="M206" s="626" t="str">
        <f t="shared" si="31"/>
        <v/>
      </c>
      <c r="N206" s="627" t="str">
        <f t="shared" si="32"/>
        <v/>
      </c>
      <c r="O206" s="628" t="str">
        <f t="shared" si="33"/>
        <v/>
      </c>
      <c r="P206" s="629" t="str">
        <f t="shared" si="34"/>
        <v/>
      </c>
      <c r="Q206" s="10"/>
      <c r="R206" s="251"/>
    </row>
    <row r="207" spans="5:18" x14ac:dyDescent="0.3">
      <c r="E207" s="243">
        <f t="shared" si="35"/>
        <v>201</v>
      </c>
      <c r="F207" s="243">
        <f>LARGE(Csapatok!$G$7:$G$965,E207)</f>
        <v>6.4600000000000823E-2</v>
      </c>
      <c r="I207" s="519" t="str">
        <f t="shared" si="27"/>
        <v/>
      </c>
      <c r="J207" s="625" t="str">
        <f t="shared" si="28"/>
        <v/>
      </c>
      <c r="K207" s="626" t="str">
        <f t="shared" si="29"/>
        <v/>
      </c>
      <c r="L207" s="626" t="str">
        <f t="shared" si="30"/>
        <v/>
      </c>
      <c r="M207" s="626" t="str">
        <f t="shared" si="31"/>
        <v/>
      </c>
      <c r="N207" s="627" t="str">
        <f t="shared" si="32"/>
        <v/>
      </c>
      <c r="O207" s="628" t="str">
        <f t="shared" si="33"/>
        <v/>
      </c>
      <c r="P207" s="629" t="str">
        <f t="shared" si="34"/>
        <v/>
      </c>
      <c r="Q207" s="10"/>
      <c r="R207" s="251"/>
    </row>
    <row r="208" spans="5:18" x14ac:dyDescent="0.3">
      <c r="E208" s="243">
        <f t="shared" si="35"/>
        <v>202</v>
      </c>
      <c r="F208" s="243">
        <f>LARGE(Csapatok!$G$7:$G$965,E208)</f>
        <v>6.4500000000000821E-2</v>
      </c>
      <c r="I208" s="519" t="str">
        <f t="shared" si="27"/>
        <v/>
      </c>
      <c r="J208" s="625" t="str">
        <f t="shared" si="28"/>
        <v/>
      </c>
      <c r="K208" s="626" t="str">
        <f t="shared" si="29"/>
        <v/>
      </c>
      <c r="L208" s="626" t="str">
        <f t="shared" si="30"/>
        <v/>
      </c>
      <c r="M208" s="626" t="str">
        <f t="shared" si="31"/>
        <v/>
      </c>
      <c r="N208" s="627" t="str">
        <f t="shared" si="32"/>
        <v/>
      </c>
      <c r="O208" s="628" t="str">
        <f t="shared" si="33"/>
        <v/>
      </c>
      <c r="P208" s="629" t="str">
        <f t="shared" si="34"/>
        <v/>
      </c>
      <c r="Q208" s="10"/>
      <c r="R208" s="251"/>
    </row>
    <row r="209" spans="5:18" x14ac:dyDescent="0.3">
      <c r="E209" s="243">
        <f t="shared" si="35"/>
        <v>203</v>
      </c>
      <c r="F209" s="243">
        <f>LARGE(Csapatok!$G$7:$G$965,E209)</f>
        <v>6.4400000000000818E-2</v>
      </c>
      <c r="I209" s="519" t="str">
        <f t="shared" si="27"/>
        <v/>
      </c>
      <c r="J209" s="625" t="str">
        <f t="shared" si="28"/>
        <v/>
      </c>
      <c r="K209" s="626" t="str">
        <f t="shared" si="29"/>
        <v/>
      </c>
      <c r="L209" s="626" t="str">
        <f t="shared" si="30"/>
        <v/>
      </c>
      <c r="M209" s="626" t="str">
        <f t="shared" si="31"/>
        <v/>
      </c>
      <c r="N209" s="627" t="str">
        <f t="shared" si="32"/>
        <v/>
      </c>
      <c r="O209" s="628" t="str">
        <f t="shared" si="33"/>
        <v/>
      </c>
      <c r="P209" s="629" t="str">
        <f t="shared" si="34"/>
        <v/>
      </c>
      <c r="Q209" s="10"/>
      <c r="R209" s="251"/>
    </row>
    <row r="210" spans="5:18" x14ac:dyDescent="0.3">
      <c r="E210" s="243">
        <f t="shared" si="35"/>
        <v>204</v>
      </c>
      <c r="F210" s="243">
        <f>LARGE(Csapatok!$G$7:$G$965,E210)</f>
        <v>6.4300000000000815E-2</v>
      </c>
      <c r="I210" s="519" t="str">
        <f t="shared" si="27"/>
        <v/>
      </c>
      <c r="J210" s="625" t="str">
        <f t="shared" si="28"/>
        <v/>
      </c>
      <c r="K210" s="626" t="str">
        <f t="shared" si="29"/>
        <v/>
      </c>
      <c r="L210" s="626" t="str">
        <f t="shared" si="30"/>
        <v/>
      </c>
      <c r="M210" s="626" t="str">
        <f t="shared" si="31"/>
        <v/>
      </c>
      <c r="N210" s="627" t="str">
        <f t="shared" si="32"/>
        <v/>
      </c>
      <c r="O210" s="628" t="str">
        <f t="shared" si="33"/>
        <v/>
      </c>
      <c r="P210" s="629" t="str">
        <f t="shared" si="34"/>
        <v/>
      </c>
      <c r="Q210" s="10"/>
      <c r="R210" s="251"/>
    </row>
    <row r="211" spans="5:18" x14ac:dyDescent="0.3">
      <c r="E211" s="243">
        <f t="shared" si="35"/>
        <v>205</v>
      </c>
      <c r="F211" s="243">
        <f>LARGE(Csapatok!$G$7:$G$965,E211)</f>
        <v>6.4200000000000812E-2</v>
      </c>
      <c r="I211" s="519" t="str">
        <f t="shared" si="27"/>
        <v/>
      </c>
      <c r="J211" s="625" t="str">
        <f t="shared" si="28"/>
        <v/>
      </c>
      <c r="K211" s="626" t="str">
        <f t="shared" si="29"/>
        <v/>
      </c>
      <c r="L211" s="626" t="str">
        <f t="shared" si="30"/>
        <v/>
      </c>
      <c r="M211" s="626" t="str">
        <f t="shared" si="31"/>
        <v/>
      </c>
      <c r="N211" s="627" t="str">
        <f t="shared" si="32"/>
        <v/>
      </c>
      <c r="O211" s="628" t="str">
        <f t="shared" si="33"/>
        <v/>
      </c>
      <c r="P211" s="629" t="str">
        <f t="shared" si="34"/>
        <v/>
      </c>
      <c r="Q211" s="10"/>
      <c r="R211" s="251"/>
    </row>
    <row r="212" spans="5:18" x14ac:dyDescent="0.3">
      <c r="E212" s="243">
        <f t="shared" si="35"/>
        <v>206</v>
      </c>
      <c r="F212" s="243">
        <f>LARGE(Csapatok!$G$7:$G$965,E212)</f>
        <v>6.4100000000000809E-2</v>
      </c>
      <c r="I212" s="519" t="str">
        <f t="shared" si="27"/>
        <v/>
      </c>
      <c r="J212" s="625" t="str">
        <f t="shared" si="28"/>
        <v/>
      </c>
      <c r="K212" s="626" t="str">
        <f t="shared" si="29"/>
        <v/>
      </c>
      <c r="L212" s="626" t="str">
        <f t="shared" si="30"/>
        <v/>
      </c>
      <c r="M212" s="626" t="str">
        <f t="shared" si="31"/>
        <v/>
      </c>
      <c r="N212" s="627" t="str">
        <f t="shared" si="32"/>
        <v/>
      </c>
      <c r="O212" s="628" t="str">
        <f t="shared" si="33"/>
        <v/>
      </c>
      <c r="P212" s="629" t="str">
        <f t="shared" si="34"/>
        <v/>
      </c>
      <c r="Q212" s="10"/>
      <c r="R212" s="251"/>
    </row>
    <row r="213" spans="5:18" x14ac:dyDescent="0.3">
      <c r="E213" s="243">
        <f t="shared" si="35"/>
        <v>207</v>
      </c>
      <c r="F213" s="243">
        <f>LARGE(Csapatok!$G$7:$G$965,E213)</f>
        <v>6.2600000000000766E-2</v>
      </c>
      <c r="I213" s="519" t="str">
        <f t="shared" si="27"/>
        <v/>
      </c>
      <c r="J213" s="625" t="str">
        <f t="shared" si="28"/>
        <v/>
      </c>
      <c r="K213" s="626" t="str">
        <f t="shared" si="29"/>
        <v/>
      </c>
      <c r="L213" s="626" t="str">
        <f t="shared" si="30"/>
        <v/>
      </c>
      <c r="M213" s="626" t="str">
        <f t="shared" si="31"/>
        <v/>
      </c>
      <c r="N213" s="627" t="str">
        <f t="shared" si="32"/>
        <v/>
      </c>
      <c r="O213" s="628" t="str">
        <f t="shared" si="33"/>
        <v/>
      </c>
      <c r="P213" s="629" t="str">
        <f t="shared" si="34"/>
        <v/>
      </c>
      <c r="Q213" s="10"/>
      <c r="R213" s="251"/>
    </row>
    <row r="214" spans="5:18" x14ac:dyDescent="0.3">
      <c r="E214" s="243">
        <f t="shared" si="35"/>
        <v>208</v>
      </c>
      <c r="F214" s="243">
        <f>LARGE(Csapatok!$G$7:$G$965,E214)</f>
        <v>6.2500000000000763E-2</v>
      </c>
      <c r="I214" s="519" t="str">
        <f t="shared" si="27"/>
        <v/>
      </c>
      <c r="J214" s="625" t="str">
        <f t="shared" si="28"/>
        <v/>
      </c>
      <c r="K214" s="626" t="str">
        <f t="shared" si="29"/>
        <v/>
      </c>
      <c r="L214" s="626" t="str">
        <f t="shared" si="30"/>
        <v/>
      </c>
      <c r="M214" s="626" t="str">
        <f t="shared" si="31"/>
        <v/>
      </c>
      <c r="N214" s="627" t="str">
        <f t="shared" si="32"/>
        <v/>
      </c>
      <c r="O214" s="628" t="str">
        <f t="shared" si="33"/>
        <v/>
      </c>
      <c r="P214" s="629" t="str">
        <f t="shared" si="34"/>
        <v/>
      </c>
      <c r="Q214" s="10"/>
      <c r="R214" s="251"/>
    </row>
    <row r="215" spans="5:18" x14ac:dyDescent="0.3">
      <c r="E215" s="243">
        <f t="shared" si="35"/>
        <v>209</v>
      </c>
      <c r="F215" s="243">
        <f>LARGE(Csapatok!$G$7:$G$965,E215)</f>
        <v>6.240000000000076E-2</v>
      </c>
      <c r="I215" s="519" t="str">
        <f t="shared" si="27"/>
        <v/>
      </c>
      <c r="J215" s="625" t="str">
        <f t="shared" si="28"/>
        <v/>
      </c>
      <c r="K215" s="626" t="str">
        <f t="shared" si="29"/>
        <v/>
      </c>
      <c r="L215" s="626" t="str">
        <f t="shared" si="30"/>
        <v/>
      </c>
      <c r="M215" s="626" t="str">
        <f t="shared" si="31"/>
        <v/>
      </c>
      <c r="N215" s="627" t="str">
        <f t="shared" si="32"/>
        <v/>
      </c>
      <c r="O215" s="628" t="str">
        <f t="shared" si="33"/>
        <v/>
      </c>
      <c r="P215" s="629" t="str">
        <f t="shared" si="34"/>
        <v/>
      </c>
      <c r="Q215" s="10"/>
      <c r="R215" s="251"/>
    </row>
    <row r="216" spans="5:18" x14ac:dyDescent="0.3">
      <c r="E216" s="243">
        <f t="shared" si="35"/>
        <v>210</v>
      </c>
      <c r="F216" s="243">
        <f>LARGE(Csapatok!$G$7:$G$965,E216)</f>
        <v>6.2300000000000758E-2</v>
      </c>
      <c r="I216" s="519" t="str">
        <f t="shared" si="27"/>
        <v/>
      </c>
      <c r="J216" s="625" t="str">
        <f t="shared" si="28"/>
        <v/>
      </c>
      <c r="K216" s="626" t="str">
        <f t="shared" si="29"/>
        <v/>
      </c>
      <c r="L216" s="626" t="str">
        <f t="shared" si="30"/>
        <v/>
      </c>
      <c r="M216" s="626" t="str">
        <f t="shared" si="31"/>
        <v/>
      </c>
      <c r="N216" s="627" t="str">
        <f t="shared" si="32"/>
        <v/>
      </c>
      <c r="O216" s="628" t="str">
        <f t="shared" si="33"/>
        <v/>
      </c>
      <c r="P216" s="629" t="str">
        <f t="shared" si="34"/>
        <v/>
      </c>
      <c r="Q216" s="10"/>
      <c r="R216" s="251"/>
    </row>
    <row r="217" spans="5:18" x14ac:dyDescent="0.3">
      <c r="E217" s="243">
        <f t="shared" si="35"/>
        <v>211</v>
      </c>
      <c r="F217" s="243">
        <f>LARGE(Csapatok!$G$7:$G$965,E217)</f>
        <v>6.2200000000000755E-2</v>
      </c>
      <c r="I217" s="519" t="str">
        <f t="shared" si="27"/>
        <v/>
      </c>
      <c r="J217" s="625" t="str">
        <f t="shared" si="28"/>
        <v/>
      </c>
      <c r="K217" s="626" t="str">
        <f t="shared" si="29"/>
        <v/>
      </c>
      <c r="L217" s="626" t="str">
        <f t="shared" si="30"/>
        <v/>
      </c>
      <c r="M217" s="626" t="str">
        <f t="shared" si="31"/>
        <v/>
      </c>
      <c r="N217" s="627" t="str">
        <f t="shared" si="32"/>
        <v/>
      </c>
      <c r="O217" s="628" t="str">
        <f t="shared" si="33"/>
        <v/>
      </c>
      <c r="P217" s="629" t="str">
        <f t="shared" si="34"/>
        <v/>
      </c>
      <c r="Q217" s="10"/>
      <c r="R217" s="251"/>
    </row>
    <row r="218" spans="5:18" x14ac:dyDescent="0.3">
      <c r="E218" s="243">
        <f t="shared" si="35"/>
        <v>212</v>
      </c>
      <c r="F218" s="243">
        <f>LARGE(Csapatok!$G$7:$G$965,E218)</f>
        <v>6.2100000000000752E-2</v>
      </c>
      <c r="I218" s="519" t="str">
        <f t="shared" si="27"/>
        <v/>
      </c>
      <c r="J218" s="625" t="str">
        <f t="shared" si="28"/>
        <v/>
      </c>
      <c r="K218" s="626" t="str">
        <f t="shared" si="29"/>
        <v/>
      </c>
      <c r="L218" s="626" t="str">
        <f t="shared" si="30"/>
        <v/>
      </c>
      <c r="M218" s="626" t="str">
        <f t="shared" si="31"/>
        <v/>
      </c>
      <c r="N218" s="627" t="str">
        <f t="shared" si="32"/>
        <v/>
      </c>
      <c r="O218" s="628" t="str">
        <f t="shared" si="33"/>
        <v/>
      </c>
      <c r="P218" s="629" t="str">
        <f t="shared" si="34"/>
        <v/>
      </c>
      <c r="Q218" s="10"/>
      <c r="R218" s="251"/>
    </row>
    <row r="219" spans="5:18" x14ac:dyDescent="0.3">
      <c r="E219" s="243">
        <f t="shared" si="35"/>
        <v>213</v>
      </c>
      <c r="F219" s="243">
        <f>LARGE(Csapatok!$G$7:$G$965,E219)</f>
        <v>6.2000000000000749E-2</v>
      </c>
      <c r="I219" s="519" t="str">
        <f t="shared" si="27"/>
        <v/>
      </c>
      <c r="J219" s="625" t="str">
        <f t="shared" si="28"/>
        <v/>
      </c>
      <c r="K219" s="626" t="str">
        <f t="shared" si="29"/>
        <v/>
      </c>
      <c r="L219" s="626" t="str">
        <f t="shared" si="30"/>
        <v/>
      </c>
      <c r="M219" s="626" t="str">
        <f t="shared" si="31"/>
        <v/>
      </c>
      <c r="N219" s="627" t="str">
        <f t="shared" si="32"/>
        <v/>
      </c>
      <c r="O219" s="628" t="str">
        <f t="shared" si="33"/>
        <v/>
      </c>
      <c r="P219" s="629" t="str">
        <f t="shared" si="34"/>
        <v/>
      </c>
      <c r="Q219" s="10"/>
      <c r="R219" s="251"/>
    </row>
    <row r="220" spans="5:18" x14ac:dyDescent="0.3">
      <c r="E220" s="243">
        <f t="shared" si="35"/>
        <v>214</v>
      </c>
      <c r="F220" s="243">
        <f>LARGE(Csapatok!$G$7:$G$965,E220)</f>
        <v>6.1900000000000746E-2</v>
      </c>
      <c r="I220" s="519" t="str">
        <f t="shared" si="27"/>
        <v/>
      </c>
      <c r="J220" s="625" t="str">
        <f t="shared" si="28"/>
        <v/>
      </c>
      <c r="K220" s="626" t="str">
        <f t="shared" si="29"/>
        <v/>
      </c>
      <c r="L220" s="626" t="str">
        <f t="shared" si="30"/>
        <v/>
      </c>
      <c r="M220" s="626" t="str">
        <f t="shared" si="31"/>
        <v/>
      </c>
      <c r="N220" s="627" t="str">
        <f t="shared" si="32"/>
        <v/>
      </c>
      <c r="O220" s="628" t="str">
        <f t="shared" si="33"/>
        <v/>
      </c>
      <c r="P220" s="629" t="str">
        <f t="shared" si="34"/>
        <v/>
      </c>
      <c r="Q220" s="10"/>
      <c r="R220" s="251"/>
    </row>
    <row r="221" spans="5:18" x14ac:dyDescent="0.3">
      <c r="E221" s="243">
        <f t="shared" si="35"/>
        <v>215</v>
      </c>
      <c r="F221" s="243">
        <f>LARGE(Csapatok!$G$7:$G$965,E221)</f>
        <v>6.1800000000000743E-2</v>
      </c>
      <c r="I221" s="519" t="str">
        <f t="shared" si="27"/>
        <v/>
      </c>
      <c r="J221" s="625" t="str">
        <f t="shared" si="28"/>
        <v/>
      </c>
      <c r="K221" s="626" t="str">
        <f t="shared" si="29"/>
        <v/>
      </c>
      <c r="L221" s="626" t="str">
        <f t="shared" si="30"/>
        <v/>
      </c>
      <c r="M221" s="626" t="str">
        <f t="shared" si="31"/>
        <v/>
      </c>
      <c r="N221" s="627" t="str">
        <f t="shared" si="32"/>
        <v/>
      </c>
      <c r="O221" s="628" t="str">
        <f t="shared" si="33"/>
        <v/>
      </c>
      <c r="P221" s="629" t="str">
        <f t="shared" si="34"/>
        <v/>
      </c>
      <c r="Q221" s="10"/>
      <c r="R221" s="251"/>
    </row>
    <row r="222" spans="5:18" x14ac:dyDescent="0.3">
      <c r="E222" s="243">
        <f t="shared" si="35"/>
        <v>216</v>
      </c>
      <c r="F222" s="243">
        <f>LARGE(Csapatok!$G$7:$G$965,E222)</f>
        <v>6.170000000000074E-2</v>
      </c>
      <c r="I222" s="519" t="str">
        <f t="shared" si="27"/>
        <v/>
      </c>
      <c r="J222" s="625" t="str">
        <f t="shared" si="28"/>
        <v/>
      </c>
      <c r="K222" s="626" t="str">
        <f t="shared" si="29"/>
        <v/>
      </c>
      <c r="L222" s="626" t="str">
        <f t="shared" si="30"/>
        <v/>
      </c>
      <c r="M222" s="626" t="str">
        <f t="shared" si="31"/>
        <v/>
      </c>
      <c r="N222" s="627" t="str">
        <f t="shared" si="32"/>
        <v/>
      </c>
      <c r="O222" s="628" t="str">
        <f t="shared" si="33"/>
        <v/>
      </c>
      <c r="P222" s="629" t="str">
        <f t="shared" si="34"/>
        <v/>
      </c>
      <c r="Q222" s="10"/>
      <c r="R222" s="251"/>
    </row>
    <row r="223" spans="5:18" x14ac:dyDescent="0.3">
      <c r="E223" s="243">
        <f t="shared" si="35"/>
        <v>217</v>
      </c>
      <c r="F223" s="243">
        <f>LARGE(Csapatok!$G$7:$G$965,E223)</f>
        <v>6.1600000000000737E-2</v>
      </c>
      <c r="I223" s="519" t="str">
        <f t="shared" si="27"/>
        <v/>
      </c>
      <c r="J223" s="625" t="str">
        <f t="shared" si="28"/>
        <v/>
      </c>
      <c r="K223" s="626" t="str">
        <f t="shared" si="29"/>
        <v/>
      </c>
      <c r="L223" s="626" t="str">
        <f t="shared" si="30"/>
        <v/>
      </c>
      <c r="M223" s="626" t="str">
        <f t="shared" si="31"/>
        <v/>
      </c>
      <c r="N223" s="627" t="str">
        <f t="shared" si="32"/>
        <v/>
      </c>
      <c r="O223" s="628" t="str">
        <f t="shared" si="33"/>
        <v/>
      </c>
      <c r="P223" s="629" t="str">
        <f t="shared" si="34"/>
        <v/>
      </c>
      <c r="Q223" s="10"/>
      <c r="R223" s="251"/>
    </row>
    <row r="224" spans="5:18" x14ac:dyDescent="0.3">
      <c r="E224" s="243">
        <f t="shared" si="35"/>
        <v>218</v>
      </c>
      <c r="F224" s="243">
        <f>LARGE(Csapatok!$G$7:$G$965,E224)</f>
        <v>6.1500000000000735E-2</v>
      </c>
      <c r="I224" s="519" t="str">
        <f t="shared" si="27"/>
        <v/>
      </c>
      <c r="J224" s="625" t="str">
        <f t="shared" si="28"/>
        <v/>
      </c>
      <c r="K224" s="626" t="str">
        <f t="shared" si="29"/>
        <v/>
      </c>
      <c r="L224" s="626" t="str">
        <f t="shared" si="30"/>
        <v/>
      </c>
      <c r="M224" s="626" t="str">
        <f t="shared" si="31"/>
        <v/>
      </c>
      <c r="N224" s="627" t="str">
        <f t="shared" si="32"/>
        <v/>
      </c>
      <c r="O224" s="628" t="str">
        <f t="shared" si="33"/>
        <v/>
      </c>
      <c r="P224" s="629" t="str">
        <f t="shared" si="34"/>
        <v/>
      </c>
      <c r="Q224" s="10"/>
      <c r="R224" s="251"/>
    </row>
    <row r="225" spans="5:18" x14ac:dyDescent="0.3">
      <c r="E225" s="243">
        <f t="shared" si="35"/>
        <v>219</v>
      </c>
      <c r="F225" s="243">
        <f>LARGE(Csapatok!$G$7:$G$965,E225)</f>
        <v>6.1400000000000732E-2</v>
      </c>
      <c r="I225" s="519" t="str">
        <f t="shared" si="27"/>
        <v/>
      </c>
      <c r="J225" s="625" t="str">
        <f t="shared" si="28"/>
        <v/>
      </c>
      <c r="K225" s="626" t="str">
        <f t="shared" si="29"/>
        <v/>
      </c>
      <c r="L225" s="626" t="str">
        <f t="shared" si="30"/>
        <v/>
      </c>
      <c r="M225" s="626" t="str">
        <f t="shared" si="31"/>
        <v/>
      </c>
      <c r="N225" s="627" t="str">
        <f t="shared" si="32"/>
        <v/>
      </c>
      <c r="O225" s="628" t="str">
        <f t="shared" si="33"/>
        <v/>
      </c>
      <c r="P225" s="629" t="str">
        <f t="shared" si="34"/>
        <v/>
      </c>
      <c r="Q225" s="10"/>
      <c r="R225" s="251"/>
    </row>
    <row r="226" spans="5:18" x14ac:dyDescent="0.3">
      <c r="E226" s="243">
        <f t="shared" si="35"/>
        <v>220</v>
      </c>
      <c r="F226" s="243">
        <f>LARGE(Csapatok!$G$7:$G$965,E226)</f>
        <v>6.1300000000000729E-2</v>
      </c>
      <c r="I226" s="519" t="str">
        <f t="shared" si="27"/>
        <v/>
      </c>
      <c r="J226" s="625" t="str">
        <f t="shared" si="28"/>
        <v/>
      </c>
      <c r="K226" s="626" t="str">
        <f t="shared" si="29"/>
        <v/>
      </c>
      <c r="L226" s="626" t="str">
        <f t="shared" si="30"/>
        <v/>
      </c>
      <c r="M226" s="626" t="str">
        <f t="shared" si="31"/>
        <v/>
      </c>
      <c r="N226" s="627" t="str">
        <f t="shared" si="32"/>
        <v/>
      </c>
      <c r="O226" s="628" t="str">
        <f t="shared" si="33"/>
        <v/>
      </c>
      <c r="P226" s="629" t="str">
        <f t="shared" si="34"/>
        <v/>
      </c>
      <c r="Q226" s="10"/>
      <c r="R226" s="251"/>
    </row>
    <row r="227" spans="5:18" x14ac:dyDescent="0.3">
      <c r="E227" s="243">
        <f t="shared" si="35"/>
        <v>221</v>
      </c>
      <c r="F227" s="243">
        <f>LARGE(Csapatok!$G$7:$G$965,E227)</f>
        <v>6.1200000000000726E-2</v>
      </c>
      <c r="I227" s="519" t="str">
        <f t="shared" si="27"/>
        <v/>
      </c>
      <c r="J227" s="625" t="str">
        <f t="shared" si="28"/>
        <v/>
      </c>
      <c r="K227" s="626" t="str">
        <f t="shared" si="29"/>
        <v/>
      </c>
      <c r="L227" s="626" t="str">
        <f t="shared" si="30"/>
        <v/>
      </c>
      <c r="M227" s="626" t="str">
        <f t="shared" si="31"/>
        <v/>
      </c>
      <c r="N227" s="627" t="str">
        <f t="shared" si="32"/>
        <v/>
      </c>
      <c r="O227" s="628" t="str">
        <f t="shared" si="33"/>
        <v/>
      </c>
      <c r="P227" s="629" t="str">
        <f t="shared" si="34"/>
        <v/>
      </c>
      <c r="Q227" s="10"/>
      <c r="R227" s="251"/>
    </row>
    <row r="228" spans="5:18" x14ac:dyDescent="0.3">
      <c r="E228" s="243">
        <f t="shared" si="35"/>
        <v>222</v>
      </c>
      <c r="F228" s="243">
        <f>LARGE(Csapatok!$G$7:$G$965,E228)</f>
        <v>6.1100000000000723E-2</v>
      </c>
      <c r="I228" s="519" t="str">
        <f t="shared" si="27"/>
        <v/>
      </c>
      <c r="J228" s="625" t="str">
        <f t="shared" si="28"/>
        <v/>
      </c>
      <c r="K228" s="626" t="str">
        <f t="shared" si="29"/>
        <v/>
      </c>
      <c r="L228" s="626" t="str">
        <f t="shared" si="30"/>
        <v/>
      </c>
      <c r="M228" s="626" t="str">
        <f t="shared" si="31"/>
        <v/>
      </c>
      <c r="N228" s="627" t="str">
        <f t="shared" si="32"/>
        <v/>
      </c>
      <c r="O228" s="628" t="str">
        <f t="shared" si="33"/>
        <v/>
      </c>
      <c r="P228" s="629" t="str">
        <f t="shared" si="34"/>
        <v/>
      </c>
      <c r="Q228" s="10"/>
      <c r="R228" s="251"/>
    </row>
    <row r="229" spans="5:18" x14ac:dyDescent="0.3">
      <c r="E229" s="243">
        <f t="shared" si="35"/>
        <v>223</v>
      </c>
      <c r="F229" s="243">
        <f>LARGE(Csapatok!$G$7:$G$965,E229)</f>
        <v>6.100000000000072E-2</v>
      </c>
      <c r="I229" s="519" t="str">
        <f t="shared" si="27"/>
        <v/>
      </c>
      <c r="J229" s="625" t="str">
        <f t="shared" si="28"/>
        <v/>
      </c>
      <c r="K229" s="626" t="str">
        <f t="shared" si="29"/>
        <v/>
      </c>
      <c r="L229" s="626" t="str">
        <f t="shared" si="30"/>
        <v/>
      </c>
      <c r="M229" s="626" t="str">
        <f t="shared" si="31"/>
        <v/>
      </c>
      <c r="N229" s="627" t="str">
        <f t="shared" si="32"/>
        <v/>
      </c>
      <c r="O229" s="628" t="str">
        <f t="shared" si="33"/>
        <v/>
      </c>
      <c r="P229" s="629" t="str">
        <f t="shared" si="34"/>
        <v/>
      </c>
      <c r="Q229" s="10"/>
      <c r="R229" s="251"/>
    </row>
    <row r="230" spans="5:18" x14ac:dyDescent="0.3">
      <c r="E230" s="243">
        <f t="shared" si="35"/>
        <v>224</v>
      </c>
      <c r="F230" s="243">
        <f>LARGE(Csapatok!$G$7:$G$965,E230)</f>
        <v>6.0900000000000717E-2</v>
      </c>
      <c r="I230" s="519" t="str">
        <f t="shared" si="27"/>
        <v/>
      </c>
      <c r="J230" s="625" t="str">
        <f t="shared" si="28"/>
        <v/>
      </c>
      <c r="K230" s="626" t="str">
        <f t="shared" si="29"/>
        <v/>
      </c>
      <c r="L230" s="626" t="str">
        <f t="shared" si="30"/>
        <v/>
      </c>
      <c r="M230" s="626" t="str">
        <f t="shared" si="31"/>
        <v/>
      </c>
      <c r="N230" s="627" t="str">
        <f t="shared" si="32"/>
        <v/>
      </c>
      <c r="O230" s="628" t="str">
        <f t="shared" si="33"/>
        <v/>
      </c>
      <c r="P230" s="629" t="str">
        <f t="shared" si="34"/>
        <v/>
      </c>
      <c r="Q230" s="10"/>
      <c r="R230" s="251"/>
    </row>
    <row r="231" spans="5:18" x14ac:dyDescent="0.3">
      <c r="E231" s="243">
        <f t="shared" si="35"/>
        <v>225</v>
      </c>
      <c r="F231" s="243">
        <f>LARGE(Csapatok!$G$7:$G$965,E231)</f>
        <v>6.0800000000000715E-2</v>
      </c>
      <c r="I231" s="519" t="str">
        <f t="shared" si="27"/>
        <v/>
      </c>
      <c r="J231" s="625" t="str">
        <f t="shared" si="28"/>
        <v/>
      </c>
      <c r="K231" s="626" t="str">
        <f t="shared" si="29"/>
        <v/>
      </c>
      <c r="L231" s="626" t="str">
        <f t="shared" si="30"/>
        <v/>
      </c>
      <c r="M231" s="626" t="str">
        <f t="shared" si="31"/>
        <v/>
      </c>
      <c r="N231" s="627" t="str">
        <f t="shared" si="32"/>
        <v/>
      </c>
      <c r="O231" s="628" t="str">
        <f t="shared" si="33"/>
        <v/>
      </c>
      <c r="P231" s="629" t="str">
        <f t="shared" si="34"/>
        <v/>
      </c>
      <c r="Q231" s="10"/>
      <c r="R231" s="251"/>
    </row>
    <row r="232" spans="5:18" x14ac:dyDescent="0.3">
      <c r="E232" s="243">
        <f t="shared" si="35"/>
        <v>226</v>
      </c>
      <c r="F232" s="243">
        <f>LARGE(Csapatok!$G$7:$G$965,E232)</f>
        <v>6.0700000000000712E-2</v>
      </c>
      <c r="I232" s="519" t="str">
        <f t="shared" si="27"/>
        <v/>
      </c>
      <c r="J232" s="625" t="str">
        <f t="shared" si="28"/>
        <v/>
      </c>
      <c r="K232" s="626" t="str">
        <f t="shared" si="29"/>
        <v/>
      </c>
      <c r="L232" s="626" t="str">
        <f t="shared" si="30"/>
        <v/>
      </c>
      <c r="M232" s="626" t="str">
        <f t="shared" si="31"/>
        <v/>
      </c>
      <c r="N232" s="627" t="str">
        <f t="shared" si="32"/>
        <v/>
      </c>
      <c r="O232" s="628" t="str">
        <f t="shared" si="33"/>
        <v/>
      </c>
      <c r="P232" s="629" t="str">
        <f t="shared" si="34"/>
        <v/>
      </c>
      <c r="Q232" s="10"/>
      <c r="R232" s="251"/>
    </row>
    <row r="233" spans="5:18" x14ac:dyDescent="0.3">
      <c r="E233" s="243">
        <f t="shared" si="35"/>
        <v>227</v>
      </c>
      <c r="F233" s="243">
        <f>LARGE(Csapatok!$G$7:$G$965,E233)</f>
        <v>6.0600000000000709E-2</v>
      </c>
      <c r="I233" s="519" t="str">
        <f t="shared" si="27"/>
        <v/>
      </c>
      <c r="J233" s="625" t="str">
        <f t="shared" si="28"/>
        <v/>
      </c>
      <c r="K233" s="626" t="str">
        <f t="shared" si="29"/>
        <v/>
      </c>
      <c r="L233" s="626" t="str">
        <f t="shared" si="30"/>
        <v/>
      </c>
      <c r="M233" s="626" t="str">
        <f t="shared" si="31"/>
        <v/>
      </c>
      <c r="N233" s="627" t="str">
        <f t="shared" si="32"/>
        <v/>
      </c>
      <c r="O233" s="628" t="str">
        <f t="shared" si="33"/>
        <v/>
      </c>
      <c r="P233" s="629" t="str">
        <f t="shared" si="34"/>
        <v/>
      </c>
      <c r="Q233" s="10"/>
      <c r="R233" s="251"/>
    </row>
    <row r="234" spans="5:18" x14ac:dyDescent="0.3">
      <c r="E234" s="243">
        <f t="shared" si="35"/>
        <v>228</v>
      </c>
      <c r="F234" s="243">
        <f>LARGE(Csapatok!$G$7:$G$965,E234)</f>
        <v>6.0500000000000706E-2</v>
      </c>
      <c r="I234" s="519" t="str">
        <f t="shared" si="27"/>
        <v/>
      </c>
      <c r="J234" s="625" t="str">
        <f t="shared" si="28"/>
        <v/>
      </c>
      <c r="K234" s="626" t="str">
        <f t="shared" si="29"/>
        <v/>
      </c>
      <c r="L234" s="626" t="str">
        <f t="shared" si="30"/>
        <v/>
      </c>
      <c r="M234" s="626" t="str">
        <f t="shared" si="31"/>
        <v/>
      </c>
      <c r="N234" s="627" t="str">
        <f t="shared" si="32"/>
        <v/>
      </c>
      <c r="O234" s="628" t="str">
        <f t="shared" si="33"/>
        <v/>
      </c>
      <c r="P234" s="629" t="str">
        <f t="shared" si="34"/>
        <v/>
      </c>
      <c r="Q234" s="10"/>
      <c r="R234" s="251"/>
    </row>
    <row r="235" spans="5:18" x14ac:dyDescent="0.3">
      <c r="E235" s="243">
        <f t="shared" si="35"/>
        <v>229</v>
      </c>
      <c r="F235" s="243">
        <f>LARGE(Csapatok!$G$7:$G$965,E235)</f>
        <v>6.0400000000000703E-2</v>
      </c>
      <c r="I235" s="519" t="str">
        <f t="shared" si="27"/>
        <v/>
      </c>
      <c r="J235" s="625" t="str">
        <f t="shared" si="28"/>
        <v/>
      </c>
      <c r="K235" s="626" t="str">
        <f t="shared" si="29"/>
        <v/>
      </c>
      <c r="L235" s="626" t="str">
        <f t="shared" si="30"/>
        <v/>
      </c>
      <c r="M235" s="626" t="str">
        <f t="shared" si="31"/>
        <v/>
      </c>
      <c r="N235" s="627" t="str">
        <f t="shared" si="32"/>
        <v/>
      </c>
      <c r="O235" s="628" t="str">
        <f t="shared" si="33"/>
        <v/>
      </c>
      <c r="P235" s="629" t="str">
        <f t="shared" si="34"/>
        <v/>
      </c>
      <c r="Q235" s="10"/>
      <c r="R235" s="251"/>
    </row>
    <row r="236" spans="5:18" x14ac:dyDescent="0.3">
      <c r="E236" s="243">
        <f t="shared" si="35"/>
        <v>230</v>
      </c>
      <c r="F236" s="243">
        <f>LARGE(Csapatok!$G$7:$G$965,E236)</f>
        <v>6.03000000000007E-2</v>
      </c>
      <c r="I236" s="519" t="str">
        <f t="shared" si="27"/>
        <v/>
      </c>
      <c r="J236" s="625" t="str">
        <f t="shared" si="28"/>
        <v/>
      </c>
      <c r="K236" s="626" t="str">
        <f t="shared" si="29"/>
        <v/>
      </c>
      <c r="L236" s="626" t="str">
        <f t="shared" si="30"/>
        <v/>
      </c>
      <c r="M236" s="626" t="str">
        <f t="shared" si="31"/>
        <v/>
      </c>
      <c r="N236" s="627" t="str">
        <f t="shared" si="32"/>
        <v/>
      </c>
      <c r="O236" s="628" t="str">
        <f t="shared" si="33"/>
        <v/>
      </c>
      <c r="P236" s="629" t="str">
        <f t="shared" si="34"/>
        <v/>
      </c>
      <c r="Q236" s="10"/>
      <c r="R236" s="251"/>
    </row>
    <row r="237" spans="5:18" x14ac:dyDescent="0.3">
      <c r="E237" s="243">
        <f t="shared" si="35"/>
        <v>231</v>
      </c>
      <c r="F237" s="243">
        <f>LARGE(Csapatok!$G$7:$G$965,E237)</f>
        <v>6.0200000000000697E-2</v>
      </c>
      <c r="I237" s="519" t="str">
        <f t="shared" si="27"/>
        <v/>
      </c>
      <c r="J237" s="625" t="str">
        <f t="shared" si="28"/>
        <v/>
      </c>
      <c r="K237" s="626" t="str">
        <f t="shared" si="29"/>
        <v/>
      </c>
      <c r="L237" s="626" t="str">
        <f t="shared" si="30"/>
        <v/>
      </c>
      <c r="M237" s="626" t="str">
        <f t="shared" si="31"/>
        <v/>
      </c>
      <c r="N237" s="627" t="str">
        <f t="shared" si="32"/>
        <v/>
      </c>
      <c r="O237" s="628" t="str">
        <f t="shared" si="33"/>
        <v/>
      </c>
      <c r="P237" s="629" t="str">
        <f t="shared" si="34"/>
        <v/>
      </c>
      <c r="Q237" s="10"/>
      <c r="R237" s="251"/>
    </row>
    <row r="238" spans="5:18" x14ac:dyDescent="0.3">
      <c r="E238" s="243">
        <f t="shared" si="35"/>
        <v>232</v>
      </c>
      <c r="F238" s="243">
        <f>LARGE(Csapatok!$G$7:$G$965,E238)</f>
        <v>6.0100000000000695E-2</v>
      </c>
      <c r="I238" s="519" t="str">
        <f t="shared" si="27"/>
        <v/>
      </c>
      <c r="J238" s="625" t="str">
        <f t="shared" si="28"/>
        <v/>
      </c>
      <c r="K238" s="626" t="str">
        <f t="shared" si="29"/>
        <v/>
      </c>
      <c r="L238" s="626" t="str">
        <f t="shared" si="30"/>
        <v/>
      </c>
      <c r="M238" s="626" t="str">
        <f t="shared" si="31"/>
        <v/>
      </c>
      <c r="N238" s="627" t="str">
        <f t="shared" si="32"/>
        <v/>
      </c>
      <c r="O238" s="628" t="str">
        <f t="shared" si="33"/>
        <v/>
      </c>
      <c r="P238" s="629" t="str">
        <f t="shared" si="34"/>
        <v/>
      </c>
      <c r="Q238" s="10"/>
      <c r="R238" s="251"/>
    </row>
    <row r="239" spans="5:18" x14ac:dyDescent="0.3">
      <c r="E239" s="243">
        <f t="shared" si="35"/>
        <v>233</v>
      </c>
      <c r="F239" s="243">
        <f>LARGE(Csapatok!$G$7:$G$965,E239)</f>
        <v>5.8600000000000652E-2</v>
      </c>
      <c r="I239" s="519" t="str">
        <f t="shared" si="27"/>
        <v/>
      </c>
      <c r="J239" s="625" t="str">
        <f t="shared" si="28"/>
        <v/>
      </c>
      <c r="K239" s="626" t="str">
        <f t="shared" si="29"/>
        <v/>
      </c>
      <c r="L239" s="626" t="str">
        <f t="shared" si="30"/>
        <v/>
      </c>
      <c r="M239" s="626" t="str">
        <f t="shared" si="31"/>
        <v/>
      </c>
      <c r="N239" s="627" t="str">
        <f t="shared" si="32"/>
        <v/>
      </c>
      <c r="O239" s="628" t="str">
        <f t="shared" si="33"/>
        <v/>
      </c>
      <c r="P239" s="629" t="str">
        <f t="shared" si="34"/>
        <v/>
      </c>
      <c r="Q239" s="10"/>
      <c r="R239" s="251"/>
    </row>
    <row r="240" spans="5:18" x14ac:dyDescent="0.3">
      <c r="E240" s="243">
        <f t="shared" si="35"/>
        <v>234</v>
      </c>
      <c r="F240" s="243">
        <f>LARGE(Csapatok!$G$7:$G$965,E240)</f>
        <v>5.8500000000000649E-2</v>
      </c>
      <c r="I240" s="519" t="str">
        <f t="shared" si="27"/>
        <v/>
      </c>
      <c r="J240" s="625" t="str">
        <f t="shared" si="28"/>
        <v/>
      </c>
      <c r="K240" s="626" t="str">
        <f t="shared" si="29"/>
        <v/>
      </c>
      <c r="L240" s="626" t="str">
        <f t="shared" si="30"/>
        <v/>
      </c>
      <c r="M240" s="626" t="str">
        <f t="shared" si="31"/>
        <v/>
      </c>
      <c r="N240" s="627" t="str">
        <f t="shared" si="32"/>
        <v/>
      </c>
      <c r="O240" s="628" t="str">
        <f t="shared" si="33"/>
        <v/>
      </c>
      <c r="P240" s="629" t="str">
        <f t="shared" si="34"/>
        <v/>
      </c>
      <c r="Q240" s="10"/>
      <c r="R240" s="251"/>
    </row>
    <row r="241" spans="5:18" x14ac:dyDescent="0.3">
      <c r="E241" s="243">
        <f t="shared" si="35"/>
        <v>235</v>
      </c>
      <c r="F241" s="243">
        <f>LARGE(Csapatok!$G$7:$G$965,E241)</f>
        <v>5.8400000000000646E-2</v>
      </c>
      <c r="I241" s="519" t="str">
        <f t="shared" si="27"/>
        <v/>
      </c>
      <c r="J241" s="625" t="str">
        <f t="shared" si="28"/>
        <v/>
      </c>
      <c r="K241" s="626" t="str">
        <f t="shared" si="29"/>
        <v/>
      </c>
      <c r="L241" s="626" t="str">
        <f t="shared" si="30"/>
        <v/>
      </c>
      <c r="M241" s="626" t="str">
        <f t="shared" si="31"/>
        <v/>
      </c>
      <c r="N241" s="627" t="str">
        <f t="shared" si="32"/>
        <v/>
      </c>
      <c r="O241" s="628" t="str">
        <f t="shared" si="33"/>
        <v/>
      </c>
      <c r="P241" s="629" t="str">
        <f t="shared" si="34"/>
        <v/>
      </c>
      <c r="Q241" s="10"/>
      <c r="R241" s="251"/>
    </row>
    <row r="242" spans="5:18" x14ac:dyDescent="0.3">
      <c r="E242" s="243">
        <f t="shared" si="35"/>
        <v>236</v>
      </c>
      <c r="F242" s="243">
        <f>LARGE(Csapatok!$G$7:$G$965,E242)</f>
        <v>5.8300000000000643E-2</v>
      </c>
      <c r="I242" s="519" t="str">
        <f t="shared" si="27"/>
        <v/>
      </c>
      <c r="J242" s="625" t="str">
        <f t="shared" si="28"/>
        <v/>
      </c>
      <c r="K242" s="626" t="str">
        <f t="shared" si="29"/>
        <v/>
      </c>
      <c r="L242" s="626" t="str">
        <f t="shared" si="30"/>
        <v/>
      </c>
      <c r="M242" s="626" t="str">
        <f t="shared" si="31"/>
        <v/>
      </c>
      <c r="N242" s="627" t="str">
        <f t="shared" si="32"/>
        <v/>
      </c>
      <c r="O242" s="628" t="str">
        <f t="shared" si="33"/>
        <v/>
      </c>
      <c r="P242" s="629" t="str">
        <f t="shared" si="34"/>
        <v/>
      </c>
      <c r="Q242" s="10"/>
      <c r="R242" s="251"/>
    </row>
    <row r="243" spans="5:18" x14ac:dyDescent="0.3">
      <c r="E243" s="243">
        <f t="shared" si="35"/>
        <v>237</v>
      </c>
      <c r="F243" s="243">
        <f>LARGE(Csapatok!$G$7:$G$965,E243)</f>
        <v>5.820000000000064E-2</v>
      </c>
      <c r="I243" s="519" t="str">
        <f t="shared" si="27"/>
        <v/>
      </c>
      <c r="J243" s="625" t="str">
        <f t="shared" si="28"/>
        <v/>
      </c>
      <c r="K243" s="626" t="str">
        <f t="shared" si="29"/>
        <v/>
      </c>
      <c r="L243" s="626" t="str">
        <f t="shared" si="30"/>
        <v/>
      </c>
      <c r="M243" s="626" t="str">
        <f t="shared" si="31"/>
        <v/>
      </c>
      <c r="N243" s="627" t="str">
        <f t="shared" si="32"/>
        <v/>
      </c>
      <c r="O243" s="628" t="str">
        <f t="shared" si="33"/>
        <v/>
      </c>
      <c r="P243" s="629" t="str">
        <f t="shared" si="34"/>
        <v/>
      </c>
      <c r="Q243" s="10"/>
      <c r="R243" s="251"/>
    </row>
    <row r="244" spans="5:18" x14ac:dyDescent="0.3">
      <c r="E244" s="243">
        <f t="shared" si="35"/>
        <v>238</v>
      </c>
      <c r="F244" s="243">
        <f>LARGE(Csapatok!$G$7:$G$965,E244)</f>
        <v>5.8100000000000637E-2</v>
      </c>
      <c r="I244" s="519" t="str">
        <f t="shared" si="27"/>
        <v/>
      </c>
      <c r="J244" s="625" t="str">
        <f t="shared" si="28"/>
        <v/>
      </c>
      <c r="K244" s="626" t="str">
        <f t="shared" si="29"/>
        <v/>
      </c>
      <c r="L244" s="626" t="str">
        <f t="shared" si="30"/>
        <v/>
      </c>
      <c r="M244" s="626" t="str">
        <f t="shared" si="31"/>
        <v/>
      </c>
      <c r="N244" s="627" t="str">
        <f t="shared" si="32"/>
        <v/>
      </c>
      <c r="O244" s="628" t="str">
        <f t="shared" si="33"/>
        <v/>
      </c>
      <c r="P244" s="629" t="str">
        <f t="shared" si="34"/>
        <v/>
      </c>
      <c r="Q244" s="10"/>
      <c r="R244" s="251"/>
    </row>
    <row r="245" spans="5:18" x14ac:dyDescent="0.3">
      <c r="E245" s="243">
        <f t="shared" si="35"/>
        <v>239</v>
      </c>
      <c r="F245" s="243">
        <f>LARGE(Csapatok!$G$7:$G$965,E245)</f>
        <v>5.8000000000000634E-2</v>
      </c>
      <c r="I245" s="519" t="str">
        <f t="shared" si="27"/>
        <v/>
      </c>
      <c r="J245" s="625" t="str">
        <f t="shared" si="28"/>
        <v/>
      </c>
      <c r="K245" s="626" t="str">
        <f t="shared" si="29"/>
        <v/>
      </c>
      <c r="L245" s="626" t="str">
        <f t="shared" si="30"/>
        <v/>
      </c>
      <c r="M245" s="626" t="str">
        <f t="shared" si="31"/>
        <v/>
      </c>
      <c r="N245" s="627" t="str">
        <f t="shared" si="32"/>
        <v/>
      </c>
      <c r="O245" s="628" t="str">
        <f t="shared" si="33"/>
        <v/>
      </c>
      <c r="P245" s="629" t="str">
        <f t="shared" si="34"/>
        <v/>
      </c>
      <c r="Q245" s="10"/>
      <c r="R245" s="251"/>
    </row>
    <row r="246" spans="5:18" x14ac:dyDescent="0.3">
      <c r="E246" s="243">
        <f t="shared" si="35"/>
        <v>240</v>
      </c>
      <c r="F246" s="243">
        <f>LARGE(Csapatok!$G$7:$G$965,E246)</f>
        <v>5.7900000000000632E-2</v>
      </c>
      <c r="I246" s="519" t="str">
        <f t="shared" si="27"/>
        <v/>
      </c>
      <c r="J246" s="625" t="str">
        <f t="shared" si="28"/>
        <v/>
      </c>
      <c r="K246" s="626" t="str">
        <f t="shared" si="29"/>
        <v/>
      </c>
      <c r="L246" s="626" t="str">
        <f t="shared" si="30"/>
        <v/>
      </c>
      <c r="M246" s="626" t="str">
        <f t="shared" si="31"/>
        <v/>
      </c>
      <c r="N246" s="627" t="str">
        <f t="shared" si="32"/>
        <v/>
      </c>
      <c r="O246" s="628" t="str">
        <f t="shared" si="33"/>
        <v/>
      </c>
      <c r="P246" s="629" t="str">
        <f t="shared" si="34"/>
        <v/>
      </c>
      <c r="Q246" s="10"/>
      <c r="R246" s="251"/>
    </row>
    <row r="247" spans="5:18" x14ac:dyDescent="0.3">
      <c r="E247" s="243">
        <f t="shared" si="35"/>
        <v>241</v>
      </c>
      <c r="F247" s="243">
        <f>LARGE(Csapatok!$G$7:$G$965,E247)</f>
        <v>5.7800000000000629E-2</v>
      </c>
      <c r="I247" s="519" t="str">
        <f t="shared" si="27"/>
        <v/>
      </c>
      <c r="J247" s="625" t="str">
        <f t="shared" si="28"/>
        <v/>
      </c>
      <c r="K247" s="626" t="str">
        <f t="shared" si="29"/>
        <v/>
      </c>
      <c r="L247" s="626" t="str">
        <f t="shared" si="30"/>
        <v/>
      </c>
      <c r="M247" s="626" t="str">
        <f t="shared" si="31"/>
        <v/>
      </c>
      <c r="N247" s="627" t="str">
        <f t="shared" si="32"/>
        <v/>
      </c>
      <c r="O247" s="628" t="str">
        <f t="shared" si="33"/>
        <v/>
      </c>
      <c r="P247" s="629" t="str">
        <f t="shared" si="34"/>
        <v/>
      </c>
      <c r="Q247" s="10"/>
      <c r="R247" s="251"/>
    </row>
    <row r="248" spans="5:18" x14ac:dyDescent="0.3">
      <c r="E248" s="243">
        <f t="shared" si="35"/>
        <v>242</v>
      </c>
      <c r="F248" s="243">
        <f>LARGE(Csapatok!$G$7:$G$965,E248)</f>
        <v>5.7700000000000626E-2</v>
      </c>
      <c r="I248" s="519" t="str">
        <f t="shared" si="27"/>
        <v/>
      </c>
      <c r="J248" s="625" t="str">
        <f t="shared" si="28"/>
        <v/>
      </c>
      <c r="K248" s="626" t="str">
        <f t="shared" si="29"/>
        <v/>
      </c>
      <c r="L248" s="626" t="str">
        <f t="shared" si="30"/>
        <v/>
      </c>
      <c r="M248" s="626" t="str">
        <f t="shared" si="31"/>
        <v/>
      </c>
      <c r="N248" s="627" t="str">
        <f t="shared" si="32"/>
        <v/>
      </c>
      <c r="O248" s="628" t="str">
        <f t="shared" si="33"/>
        <v/>
      </c>
      <c r="P248" s="629" t="str">
        <f t="shared" si="34"/>
        <v/>
      </c>
      <c r="Q248" s="10"/>
      <c r="R248" s="251"/>
    </row>
    <row r="249" spans="5:18" x14ac:dyDescent="0.3">
      <c r="E249" s="243">
        <f t="shared" si="35"/>
        <v>243</v>
      </c>
      <c r="F249" s="243">
        <f>LARGE(Csapatok!$G$7:$G$965,E249)</f>
        <v>5.7600000000000623E-2</v>
      </c>
      <c r="I249" s="519" t="str">
        <f t="shared" si="27"/>
        <v/>
      </c>
      <c r="J249" s="625" t="str">
        <f t="shared" si="28"/>
        <v/>
      </c>
      <c r="K249" s="626" t="str">
        <f t="shared" si="29"/>
        <v/>
      </c>
      <c r="L249" s="626" t="str">
        <f t="shared" si="30"/>
        <v/>
      </c>
      <c r="M249" s="626" t="str">
        <f t="shared" si="31"/>
        <v/>
      </c>
      <c r="N249" s="627" t="str">
        <f t="shared" si="32"/>
        <v/>
      </c>
      <c r="O249" s="628" t="str">
        <f t="shared" si="33"/>
        <v/>
      </c>
      <c r="P249" s="629" t="str">
        <f t="shared" si="34"/>
        <v/>
      </c>
      <c r="Q249" s="10"/>
      <c r="R249" s="251"/>
    </row>
    <row r="250" spans="5:18" x14ac:dyDescent="0.3">
      <c r="E250" s="243">
        <f t="shared" si="35"/>
        <v>244</v>
      </c>
      <c r="F250" s="243">
        <f>LARGE(Csapatok!$G$7:$G$965,E250)</f>
        <v>5.750000000000062E-2</v>
      </c>
      <c r="I250" s="519" t="str">
        <f t="shared" si="27"/>
        <v/>
      </c>
      <c r="J250" s="625" t="str">
        <f t="shared" si="28"/>
        <v/>
      </c>
      <c r="K250" s="626" t="str">
        <f t="shared" si="29"/>
        <v/>
      </c>
      <c r="L250" s="626" t="str">
        <f t="shared" si="30"/>
        <v/>
      </c>
      <c r="M250" s="626" t="str">
        <f t="shared" si="31"/>
        <v/>
      </c>
      <c r="N250" s="627" t="str">
        <f t="shared" si="32"/>
        <v/>
      </c>
      <c r="O250" s="628" t="str">
        <f t="shared" si="33"/>
        <v/>
      </c>
      <c r="P250" s="629" t="str">
        <f t="shared" si="34"/>
        <v/>
      </c>
      <c r="Q250" s="10"/>
      <c r="R250" s="251"/>
    </row>
    <row r="251" spans="5:18" x14ac:dyDescent="0.3">
      <c r="E251" s="243">
        <f t="shared" si="35"/>
        <v>245</v>
      </c>
      <c r="F251" s="243">
        <f>LARGE(Csapatok!$G$7:$G$965,E251)</f>
        <v>5.7400000000000617E-2</v>
      </c>
      <c r="I251" s="519" t="str">
        <f t="shared" si="27"/>
        <v/>
      </c>
      <c r="J251" s="625" t="str">
        <f t="shared" si="28"/>
        <v/>
      </c>
      <c r="K251" s="626" t="str">
        <f t="shared" si="29"/>
        <v/>
      </c>
      <c r="L251" s="626" t="str">
        <f t="shared" si="30"/>
        <v/>
      </c>
      <c r="M251" s="626" t="str">
        <f t="shared" si="31"/>
        <v/>
      </c>
      <c r="N251" s="627" t="str">
        <f t="shared" si="32"/>
        <v/>
      </c>
      <c r="O251" s="628" t="str">
        <f t="shared" si="33"/>
        <v/>
      </c>
      <c r="P251" s="629" t="str">
        <f t="shared" si="34"/>
        <v/>
      </c>
      <c r="Q251" s="10"/>
      <c r="R251" s="251"/>
    </row>
    <row r="252" spans="5:18" x14ac:dyDescent="0.3">
      <c r="E252" s="243">
        <f t="shared" si="35"/>
        <v>246</v>
      </c>
      <c r="F252" s="243">
        <f>LARGE(Csapatok!$G$7:$G$965,E252)</f>
        <v>5.7300000000000614E-2</v>
      </c>
      <c r="I252" s="519" t="str">
        <f t="shared" si="27"/>
        <v/>
      </c>
      <c r="J252" s="625" t="str">
        <f t="shared" si="28"/>
        <v/>
      </c>
      <c r="K252" s="626" t="str">
        <f t="shared" si="29"/>
        <v/>
      </c>
      <c r="L252" s="626" t="str">
        <f t="shared" si="30"/>
        <v/>
      </c>
      <c r="M252" s="626" t="str">
        <f t="shared" si="31"/>
        <v/>
      </c>
      <c r="N252" s="627" t="str">
        <f t="shared" si="32"/>
        <v/>
      </c>
      <c r="O252" s="628" t="str">
        <f t="shared" si="33"/>
        <v/>
      </c>
      <c r="P252" s="629" t="str">
        <f t="shared" si="34"/>
        <v/>
      </c>
      <c r="Q252" s="10"/>
      <c r="R252" s="251"/>
    </row>
    <row r="253" spans="5:18" x14ac:dyDescent="0.3">
      <c r="E253" s="243">
        <f t="shared" si="35"/>
        <v>247</v>
      </c>
      <c r="F253" s="243">
        <f>LARGE(Csapatok!$G$7:$G$965,E253)</f>
        <v>5.7200000000000611E-2</v>
      </c>
      <c r="I253" s="519" t="str">
        <f t="shared" si="27"/>
        <v/>
      </c>
      <c r="J253" s="625" t="str">
        <f t="shared" si="28"/>
        <v/>
      </c>
      <c r="K253" s="626" t="str">
        <f t="shared" si="29"/>
        <v/>
      </c>
      <c r="L253" s="626" t="str">
        <f t="shared" si="30"/>
        <v/>
      </c>
      <c r="M253" s="626" t="str">
        <f t="shared" si="31"/>
        <v/>
      </c>
      <c r="N253" s="627" t="str">
        <f t="shared" si="32"/>
        <v/>
      </c>
      <c r="O253" s="628" t="str">
        <f t="shared" si="33"/>
        <v/>
      </c>
      <c r="P253" s="629" t="str">
        <f t="shared" si="34"/>
        <v/>
      </c>
      <c r="Q253" s="10"/>
      <c r="R253" s="251"/>
    </row>
    <row r="254" spans="5:18" x14ac:dyDescent="0.3">
      <c r="E254" s="243">
        <f t="shared" si="35"/>
        <v>248</v>
      </c>
      <c r="F254" s="243">
        <f>LARGE(Csapatok!$G$7:$G$965,E254)</f>
        <v>5.7100000000000609E-2</v>
      </c>
      <c r="I254" s="519" t="str">
        <f t="shared" si="27"/>
        <v/>
      </c>
      <c r="J254" s="625" t="str">
        <f t="shared" si="28"/>
        <v/>
      </c>
      <c r="K254" s="626" t="str">
        <f t="shared" si="29"/>
        <v/>
      </c>
      <c r="L254" s="626" t="str">
        <f t="shared" si="30"/>
        <v/>
      </c>
      <c r="M254" s="626" t="str">
        <f t="shared" si="31"/>
        <v/>
      </c>
      <c r="N254" s="627" t="str">
        <f t="shared" si="32"/>
        <v/>
      </c>
      <c r="O254" s="628" t="str">
        <f t="shared" si="33"/>
        <v/>
      </c>
      <c r="P254" s="629" t="str">
        <f t="shared" si="34"/>
        <v/>
      </c>
      <c r="Q254" s="10"/>
      <c r="R254" s="251"/>
    </row>
    <row r="255" spans="5:18" x14ac:dyDescent="0.3">
      <c r="E255" s="243">
        <f t="shared" si="35"/>
        <v>249</v>
      </c>
      <c r="F255" s="243">
        <f>LARGE(Csapatok!$G$7:$G$965,E255)</f>
        <v>5.7000000000000606E-2</v>
      </c>
      <c r="I255" s="519" t="str">
        <f t="shared" si="27"/>
        <v/>
      </c>
      <c r="J255" s="625" t="str">
        <f t="shared" si="28"/>
        <v/>
      </c>
      <c r="K255" s="626" t="str">
        <f t="shared" si="29"/>
        <v/>
      </c>
      <c r="L255" s="626" t="str">
        <f t="shared" si="30"/>
        <v/>
      </c>
      <c r="M255" s="626" t="str">
        <f t="shared" si="31"/>
        <v/>
      </c>
      <c r="N255" s="627" t="str">
        <f t="shared" si="32"/>
        <v/>
      </c>
      <c r="O255" s="628" t="str">
        <f t="shared" si="33"/>
        <v/>
      </c>
      <c r="P255" s="629" t="str">
        <f t="shared" si="34"/>
        <v/>
      </c>
      <c r="Q255" s="10"/>
      <c r="R255" s="251"/>
    </row>
    <row r="256" spans="5:18" x14ac:dyDescent="0.3">
      <c r="E256" s="243">
        <f t="shared" si="35"/>
        <v>250</v>
      </c>
      <c r="F256" s="243">
        <f>LARGE(Csapatok!$G$7:$G$965,E256)</f>
        <v>5.6900000000000603E-2</v>
      </c>
      <c r="I256" s="519" t="str">
        <f t="shared" si="27"/>
        <v/>
      </c>
      <c r="J256" s="625" t="str">
        <f t="shared" si="28"/>
        <v/>
      </c>
      <c r="K256" s="626" t="str">
        <f t="shared" si="29"/>
        <v/>
      </c>
      <c r="L256" s="626" t="str">
        <f t="shared" si="30"/>
        <v/>
      </c>
      <c r="M256" s="626" t="str">
        <f t="shared" si="31"/>
        <v/>
      </c>
      <c r="N256" s="627" t="str">
        <f t="shared" si="32"/>
        <v/>
      </c>
      <c r="O256" s="628" t="str">
        <f t="shared" si="33"/>
        <v/>
      </c>
      <c r="P256" s="629" t="str">
        <f t="shared" si="34"/>
        <v/>
      </c>
      <c r="Q256" s="10"/>
      <c r="R256" s="251"/>
    </row>
    <row r="257" spans="5:18" x14ac:dyDescent="0.3">
      <c r="E257" s="243">
        <f t="shared" si="35"/>
        <v>251</v>
      </c>
      <c r="F257" s="243">
        <f>LARGE(Csapatok!$G$7:$G$965,E257)</f>
        <v>5.68000000000006E-2</v>
      </c>
      <c r="I257" s="519" t="str">
        <f t="shared" si="27"/>
        <v/>
      </c>
      <c r="J257" s="625" t="str">
        <f t="shared" si="28"/>
        <v/>
      </c>
      <c r="K257" s="626" t="str">
        <f t="shared" si="29"/>
        <v/>
      </c>
      <c r="L257" s="626" t="str">
        <f t="shared" si="30"/>
        <v/>
      </c>
      <c r="M257" s="626" t="str">
        <f t="shared" si="31"/>
        <v/>
      </c>
      <c r="N257" s="627" t="str">
        <f t="shared" si="32"/>
        <v/>
      </c>
      <c r="O257" s="628" t="str">
        <f t="shared" si="33"/>
        <v/>
      </c>
      <c r="P257" s="629" t="str">
        <f t="shared" si="34"/>
        <v/>
      </c>
      <c r="Q257" s="10"/>
      <c r="R257" s="251"/>
    </row>
    <row r="258" spans="5:18" x14ac:dyDescent="0.3">
      <c r="E258" s="243">
        <f t="shared" si="35"/>
        <v>252</v>
      </c>
      <c r="F258" s="243">
        <f>LARGE(Csapatok!$G$7:$G$965,E258)</f>
        <v>5.6700000000000597E-2</v>
      </c>
      <c r="I258" s="519" t="str">
        <f t="shared" si="27"/>
        <v/>
      </c>
      <c r="J258" s="625" t="str">
        <f t="shared" si="28"/>
        <v/>
      </c>
      <c r="K258" s="626" t="str">
        <f t="shared" si="29"/>
        <v/>
      </c>
      <c r="L258" s="626" t="str">
        <f t="shared" si="30"/>
        <v/>
      </c>
      <c r="M258" s="626" t="str">
        <f t="shared" si="31"/>
        <v/>
      </c>
      <c r="N258" s="627" t="str">
        <f t="shared" si="32"/>
        <v/>
      </c>
      <c r="O258" s="628" t="str">
        <f t="shared" si="33"/>
        <v/>
      </c>
      <c r="P258" s="629" t="str">
        <f t="shared" si="34"/>
        <v/>
      </c>
      <c r="Q258" s="10"/>
      <c r="R258" s="251"/>
    </row>
    <row r="259" spans="5:18" x14ac:dyDescent="0.3">
      <c r="E259" s="243">
        <f t="shared" si="35"/>
        <v>253</v>
      </c>
      <c r="F259" s="243">
        <f>LARGE(Csapatok!$G$7:$G$965,E259)</f>
        <v>5.6600000000000594E-2</v>
      </c>
      <c r="I259" s="519" t="str">
        <f t="shared" si="27"/>
        <v/>
      </c>
      <c r="J259" s="625" t="str">
        <f t="shared" si="28"/>
        <v/>
      </c>
      <c r="K259" s="626" t="str">
        <f t="shared" si="29"/>
        <v/>
      </c>
      <c r="L259" s="626" t="str">
        <f t="shared" si="30"/>
        <v/>
      </c>
      <c r="M259" s="626" t="str">
        <f t="shared" si="31"/>
        <v/>
      </c>
      <c r="N259" s="627" t="str">
        <f t="shared" si="32"/>
        <v/>
      </c>
      <c r="O259" s="628" t="str">
        <f t="shared" si="33"/>
        <v/>
      </c>
      <c r="P259" s="629" t="str">
        <f t="shared" si="34"/>
        <v/>
      </c>
      <c r="Q259" s="10"/>
      <c r="R259" s="251"/>
    </row>
    <row r="260" spans="5:18" x14ac:dyDescent="0.3">
      <c r="E260" s="243">
        <f t="shared" si="35"/>
        <v>254</v>
      </c>
      <c r="F260" s="243">
        <f>LARGE(Csapatok!$G$7:$G$965,E260)</f>
        <v>5.6500000000000591E-2</v>
      </c>
      <c r="I260" s="519" t="str">
        <f t="shared" si="27"/>
        <v/>
      </c>
      <c r="J260" s="625" t="str">
        <f t="shared" si="28"/>
        <v/>
      </c>
      <c r="K260" s="626" t="str">
        <f t="shared" si="29"/>
        <v/>
      </c>
      <c r="L260" s="626" t="str">
        <f t="shared" si="30"/>
        <v/>
      </c>
      <c r="M260" s="626" t="str">
        <f t="shared" si="31"/>
        <v/>
      </c>
      <c r="N260" s="627" t="str">
        <f t="shared" si="32"/>
        <v/>
      </c>
      <c r="O260" s="628" t="str">
        <f t="shared" si="33"/>
        <v/>
      </c>
      <c r="P260" s="629" t="str">
        <f t="shared" si="34"/>
        <v/>
      </c>
      <c r="Q260" s="10"/>
      <c r="R260" s="251"/>
    </row>
    <row r="261" spans="5:18" x14ac:dyDescent="0.3">
      <c r="E261" s="243">
        <f t="shared" si="35"/>
        <v>255</v>
      </c>
      <c r="F261" s="243">
        <f>LARGE(Csapatok!$G$7:$G$965,E261)</f>
        <v>5.6400000000000589E-2</v>
      </c>
      <c r="I261" s="519" t="str">
        <f t="shared" si="27"/>
        <v/>
      </c>
      <c r="J261" s="625" t="str">
        <f t="shared" si="28"/>
        <v/>
      </c>
      <c r="K261" s="626" t="str">
        <f t="shared" si="29"/>
        <v/>
      </c>
      <c r="L261" s="626" t="str">
        <f t="shared" si="30"/>
        <v/>
      </c>
      <c r="M261" s="626" t="str">
        <f t="shared" si="31"/>
        <v/>
      </c>
      <c r="N261" s="627" t="str">
        <f t="shared" si="32"/>
        <v/>
      </c>
      <c r="O261" s="628" t="str">
        <f t="shared" si="33"/>
        <v/>
      </c>
      <c r="P261" s="629" t="str">
        <f t="shared" si="34"/>
        <v/>
      </c>
      <c r="Q261" s="10"/>
      <c r="R261" s="251"/>
    </row>
    <row r="262" spans="5:18" x14ac:dyDescent="0.3">
      <c r="E262" s="243">
        <f t="shared" si="35"/>
        <v>256</v>
      </c>
      <c r="F262" s="243">
        <f>LARGE(Csapatok!$G$7:$G$965,E262)</f>
        <v>5.6300000000000586E-2</v>
      </c>
      <c r="I262" s="519" t="str">
        <f t="shared" si="27"/>
        <v/>
      </c>
      <c r="J262" s="625" t="str">
        <f t="shared" si="28"/>
        <v/>
      </c>
      <c r="K262" s="626" t="str">
        <f t="shared" si="29"/>
        <v/>
      </c>
      <c r="L262" s="626" t="str">
        <f t="shared" si="30"/>
        <v/>
      </c>
      <c r="M262" s="626" t="str">
        <f t="shared" si="31"/>
        <v/>
      </c>
      <c r="N262" s="627" t="str">
        <f t="shared" si="32"/>
        <v/>
      </c>
      <c r="O262" s="628" t="str">
        <f t="shared" si="33"/>
        <v/>
      </c>
      <c r="P262" s="629" t="str">
        <f t="shared" si="34"/>
        <v/>
      </c>
      <c r="Q262" s="10"/>
      <c r="R262" s="251"/>
    </row>
    <row r="263" spans="5:18" x14ac:dyDescent="0.3">
      <c r="E263" s="243">
        <f t="shared" si="35"/>
        <v>257</v>
      </c>
      <c r="F263" s="243">
        <f>LARGE(Csapatok!$G$7:$G$965,E263)</f>
        <v>5.6200000000000583E-2</v>
      </c>
      <c r="I263" s="519" t="str">
        <f t="shared" ref="I263:I306" si="36">IF(OR(F263&lt;1,ROUNDDOWN(F263,0)=ROUNDDOWN(F262,0)),"",CONCATENATE(ROUNDDOWN(F263,0)," GÓL   "))</f>
        <v/>
      </c>
      <c r="J263" s="625" t="str">
        <f t="shared" ref="J263:J306" si="37">IF($F263&lt;1,"",CONCATENATE(" ",VLOOKUP($F263,nevek,4,FALSE)," ",VLOOKUP($F263,nevek,3,FALSE)))</f>
        <v/>
      </c>
      <c r="K263" s="626" t="str">
        <f t="shared" ref="K263:K306" si="38">IF($F263&lt;1,"",VLOOKUP($F263,nevek,2,FALSE))</f>
        <v/>
      </c>
      <c r="L263" s="626" t="str">
        <f t="shared" ref="L263:L306" si="39">IF($F263&lt;1,"",VLOOKUP($F263,nevek,6,FALSE))</f>
        <v/>
      </c>
      <c r="M263" s="626" t="str">
        <f t="shared" ref="M263:M306" si="40">IF($F263&lt;1,"",VLOOKUP($F263,nevek,7,FALSE))</f>
        <v/>
      </c>
      <c r="N263" s="627" t="str">
        <f t="shared" ref="N263:N306" si="41">IF($F263&lt;1,"",VLOOKUP($F263,nevek,10,FALSE))</f>
        <v/>
      </c>
      <c r="O263" s="628" t="str">
        <f t="shared" ref="O263:O306" si="42">IF($F263&lt;1,"",VLOOKUP($F263,nevek,11,FALSE))</f>
        <v/>
      </c>
      <c r="P263" s="629" t="str">
        <f t="shared" ref="P263:P306" si="43">IF($F263&lt;1,"",VLOOKUP($F263,nevek,12,FALSE))</f>
        <v/>
      </c>
      <c r="Q263" s="10"/>
      <c r="R263" s="251"/>
    </row>
    <row r="264" spans="5:18" x14ac:dyDescent="0.3">
      <c r="E264" s="243">
        <f t="shared" si="35"/>
        <v>258</v>
      </c>
      <c r="F264" s="243">
        <f>LARGE(Csapatok!$G$7:$G$965,E264)</f>
        <v>5.610000000000058E-2</v>
      </c>
      <c r="I264" s="519" t="str">
        <f t="shared" si="36"/>
        <v/>
      </c>
      <c r="J264" s="625" t="str">
        <f t="shared" si="37"/>
        <v/>
      </c>
      <c r="K264" s="626" t="str">
        <f t="shared" si="38"/>
        <v/>
      </c>
      <c r="L264" s="626" t="str">
        <f t="shared" si="39"/>
        <v/>
      </c>
      <c r="M264" s="626" t="str">
        <f t="shared" si="40"/>
        <v/>
      </c>
      <c r="N264" s="627" t="str">
        <f t="shared" si="41"/>
        <v/>
      </c>
      <c r="O264" s="628" t="str">
        <f t="shared" si="42"/>
        <v/>
      </c>
      <c r="P264" s="629" t="str">
        <f t="shared" si="43"/>
        <v/>
      </c>
      <c r="Q264" s="10"/>
      <c r="R264" s="251"/>
    </row>
    <row r="265" spans="5:18" x14ac:dyDescent="0.3">
      <c r="E265" s="243">
        <f t="shared" ref="E265:E306" si="44">E264+1</f>
        <v>259</v>
      </c>
      <c r="F265" s="243">
        <f>LARGE(Csapatok!$G$7:$G$965,E265)</f>
        <v>5.4600000000000537E-2</v>
      </c>
      <c r="I265" s="519" t="str">
        <f t="shared" si="36"/>
        <v/>
      </c>
      <c r="J265" s="625" t="str">
        <f t="shared" si="37"/>
        <v/>
      </c>
      <c r="K265" s="626" t="str">
        <f t="shared" si="38"/>
        <v/>
      </c>
      <c r="L265" s="626" t="str">
        <f t="shared" si="39"/>
        <v/>
      </c>
      <c r="M265" s="626" t="str">
        <f t="shared" si="40"/>
        <v/>
      </c>
      <c r="N265" s="627" t="str">
        <f t="shared" si="41"/>
        <v/>
      </c>
      <c r="O265" s="628" t="str">
        <f t="shared" si="42"/>
        <v/>
      </c>
      <c r="P265" s="629" t="str">
        <f t="shared" si="43"/>
        <v/>
      </c>
      <c r="Q265" s="10"/>
      <c r="R265" s="251"/>
    </row>
    <row r="266" spans="5:18" x14ac:dyDescent="0.3">
      <c r="E266" s="243">
        <f t="shared" si="44"/>
        <v>260</v>
      </c>
      <c r="F266" s="243">
        <f>LARGE(Csapatok!$G$7:$G$965,E266)</f>
        <v>5.4500000000000534E-2</v>
      </c>
      <c r="I266" s="519" t="str">
        <f t="shared" si="36"/>
        <v/>
      </c>
      <c r="J266" s="625" t="str">
        <f t="shared" si="37"/>
        <v/>
      </c>
      <c r="K266" s="626" t="str">
        <f t="shared" si="38"/>
        <v/>
      </c>
      <c r="L266" s="626" t="str">
        <f t="shared" si="39"/>
        <v/>
      </c>
      <c r="M266" s="626" t="str">
        <f t="shared" si="40"/>
        <v/>
      </c>
      <c r="N266" s="627" t="str">
        <f t="shared" si="41"/>
        <v/>
      </c>
      <c r="O266" s="628" t="str">
        <f t="shared" si="42"/>
        <v/>
      </c>
      <c r="P266" s="629" t="str">
        <f t="shared" si="43"/>
        <v/>
      </c>
      <c r="Q266" s="10"/>
      <c r="R266" s="251"/>
    </row>
    <row r="267" spans="5:18" x14ac:dyDescent="0.3">
      <c r="E267" s="243">
        <f t="shared" si="44"/>
        <v>261</v>
      </c>
      <c r="F267" s="243">
        <f>LARGE(Csapatok!$G$7:$G$965,E267)</f>
        <v>5.4400000000000531E-2</v>
      </c>
      <c r="I267" s="519" t="str">
        <f t="shared" si="36"/>
        <v/>
      </c>
      <c r="J267" s="625" t="str">
        <f t="shared" si="37"/>
        <v/>
      </c>
      <c r="K267" s="626" t="str">
        <f t="shared" si="38"/>
        <v/>
      </c>
      <c r="L267" s="626" t="str">
        <f t="shared" si="39"/>
        <v/>
      </c>
      <c r="M267" s="626" t="str">
        <f t="shared" si="40"/>
        <v/>
      </c>
      <c r="N267" s="627" t="str">
        <f t="shared" si="41"/>
        <v/>
      </c>
      <c r="O267" s="628" t="str">
        <f t="shared" si="42"/>
        <v/>
      </c>
      <c r="P267" s="629" t="str">
        <f t="shared" si="43"/>
        <v/>
      </c>
      <c r="Q267" s="10"/>
      <c r="R267" s="251"/>
    </row>
    <row r="268" spans="5:18" x14ac:dyDescent="0.3">
      <c r="E268" s="243">
        <f t="shared" si="44"/>
        <v>262</v>
      </c>
      <c r="F268" s="243">
        <f>LARGE(Csapatok!$G$7:$G$965,E268)</f>
        <v>5.4300000000000528E-2</v>
      </c>
      <c r="I268" s="519" t="str">
        <f t="shared" si="36"/>
        <v/>
      </c>
      <c r="J268" s="625" t="str">
        <f t="shared" si="37"/>
        <v/>
      </c>
      <c r="K268" s="626" t="str">
        <f t="shared" si="38"/>
        <v/>
      </c>
      <c r="L268" s="626" t="str">
        <f t="shared" si="39"/>
        <v/>
      </c>
      <c r="M268" s="626" t="str">
        <f t="shared" si="40"/>
        <v/>
      </c>
      <c r="N268" s="627" t="str">
        <f t="shared" si="41"/>
        <v/>
      </c>
      <c r="O268" s="628" t="str">
        <f t="shared" si="42"/>
        <v/>
      </c>
      <c r="P268" s="629" t="str">
        <f t="shared" si="43"/>
        <v/>
      </c>
      <c r="Q268" s="10"/>
      <c r="R268" s="251"/>
    </row>
    <row r="269" spans="5:18" x14ac:dyDescent="0.3">
      <c r="E269" s="243">
        <f t="shared" si="44"/>
        <v>263</v>
      </c>
      <c r="F269" s="243">
        <f>LARGE(Csapatok!$G$7:$G$965,E269)</f>
        <v>5.4200000000000526E-2</v>
      </c>
      <c r="I269" s="519" t="str">
        <f t="shared" si="36"/>
        <v/>
      </c>
      <c r="J269" s="625" t="str">
        <f t="shared" si="37"/>
        <v/>
      </c>
      <c r="K269" s="626" t="str">
        <f t="shared" si="38"/>
        <v/>
      </c>
      <c r="L269" s="626" t="str">
        <f t="shared" si="39"/>
        <v/>
      </c>
      <c r="M269" s="626" t="str">
        <f t="shared" si="40"/>
        <v/>
      </c>
      <c r="N269" s="627" t="str">
        <f t="shared" si="41"/>
        <v/>
      </c>
      <c r="O269" s="628" t="str">
        <f t="shared" si="42"/>
        <v/>
      </c>
      <c r="P269" s="629" t="str">
        <f t="shared" si="43"/>
        <v/>
      </c>
      <c r="Q269" s="10"/>
      <c r="R269" s="251"/>
    </row>
    <row r="270" spans="5:18" x14ac:dyDescent="0.3">
      <c r="E270" s="243">
        <f t="shared" si="44"/>
        <v>264</v>
      </c>
      <c r="F270" s="243">
        <f>LARGE(Csapatok!$G$7:$G$965,E270)</f>
        <v>5.4100000000000523E-2</v>
      </c>
      <c r="I270" s="519" t="str">
        <f t="shared" si="36"/>
        <v/>
      </c>
      <c r="J270" s="625" t="str">
        <f t="shared" si="37"/>
        <v/>
      </c>
      <c r="K270" s="626" t="str">
        <f t="shared" si="38"/>
        <v/>
      </c>
      <c r="L270" s="626" t="str">
        <f t="shared" si="39"/>
        <v/>
      </c>
      <c r="M270" s="626" t="str">
        <f t="shared" si="40"/>
        <v/>
      </c>
      <c r="N270" s="627" t="str">
        <f t="shared" si="41"/>
        <v/>
      </c>
      <c r="O270" s="628" t="str">
        <f t="shared" si="42"/>
        <v/>
      </c>
      <c r="P270" s="629" t="str">
        <f t="shared" si="43"/>
        <v/>
      </c>
      <c r="Q270" s="10"/>
      <c r="R270" s="251"/>
    </row>
    <row r="271" spans="5:18" x14ac:dyDescent="0.3">
      <c r="E271" s="243">
        <f t="shared" si="44"/>
        <v>265</v>
      </c>
      <c r="F271" s="243">
        <f>LARGE(Csapatok!$G$7:$G$965,E271)</f>
        <v>5.400000000000052E-2</v>
      </c>
      <c r="I271" s="519" t="str">
        <f t="shared" si="36"/>
        <v/>
      </c>
      <c r="J271" s="625" t="str">
        <f t="shared" si="37"/>
        <v/>
      </c>
      <c r="K271" s="626" t="str">
        <f t="shared" si="38"/>
        <v/>
      </c>
      <c r="L271" s="626" t="str">
        <f t="shared" si="39"/>
        <v/>
      </c>
      <c r="M271" s="626" t="str">
        <f t="shared" si="40"/>
        <v/>
      </c>
      <c r="N271" s="627" t="str">
        <f t="shared" si="41"/>
        <v/>
      </c>
      <c r="O271" s="628" t="str">
        <f t="shared" si="42"/>
        <v/>
      </c>
      <c r="P271" s="629" t="str">
        <f t="shared" si="43"/>
        <v/>
      </c>
      <c r="Q271" s="10"/>
      <c r="R271" s="251"/>
    </row>
    <row r="272" spans="5:18" x14ac:dyDescent="0.3">
      <c r="E272" s="243">
        <f t="shared" si="44"/>
        <v>266</v>
      </c>
      <c r="F272" s="243">
        <f>LARGE(Csapatok!$G$7:$G$965,E272)</f>
        <v>5.3900000000000517E-2</v>
      </c>
      <c r="I272" s="519" t="str">
        <f t="shared" si="36"/>
        <v/>
      </c>
      <c r="J272" s="625" t="str">
        <f t="shared" si="37"/>
        <v/>
      </c>
      <c r="K272" s="626" t="str">
        <f t="shared" si="38"/>
        <v/>
      </c>
      <c r="L272" s="626" t="str">
        <f t="shared" si="39"/>
        <v/>
      </c>
      <c r="M272" s="626" t="str">
        <f t="shared" si="40"/>
        <v/>
      </c>
      <c r="N272" s="627" t="str">
        <f t="shared" si="41"/>
        <v/>
      </c>
      <c r="O272" s="628" t="str">
        <f t="shared" si="42"/>
        <v/>
      </c>
      <c r="P272" s="629" t="str">
        <f t="shared" si="43"/>
        <v/>
      </c>
      <c r="Q272" s="10"/>
      <c r="R272" s="251"/>
    </row>
    <row r="273" spans="5:18" x14ac:dyDescent="0.3">
      <c r="E273" s="243">
        <f t="shared" si="44"/>
        <v>267</v>
      </c>
      <c r="F273" s="243">
        <f>LARGE(Csapatok!$G$7:$G$965,E273)</f>
        <v>5.3800000000000514E-2</v>
      </c>
      <c r="I273" s="519" t="str">
        <f t="shared" si="36"/>
        <v/>
      </c>
      <c r="J273" s="625" t="str">
        <f t="shared" si="37"/>
        <v/>
      </c>
      <c r="K273" s="626" t="str">
        <f t="shared" si="38"/>
        <v/>
      </c>
      <c r="L273" s="626" t="str">
        <f t="shared" si="39"/>
        <v/>
      </c>
      <c r="M273" s="626" t="str">
        <f t="shared" si="40"/>
        <v/>
      </c>
      <c r="N273" s="627" t="str">
        <f t="shared" si="41"/>
        <v/>
      </c>
      <c r="O273" s="628" t="str">
        <f t="shared" si="42"/>
        <v/>
      </c>
      <c r="P273" s="629" t="str">
        <f t="shared" si="43"/>
        <v/>
      </c>
      <c r="Q273" s="10"/>
      <c r="R273" s="251"/>
    </row>
    <row r="274" spans="5:18" x14ac:dyDescent="0.3">
      <c r="E274" s="243">
        <f t="shared" si="44"/>
        <v>268</v>
      </c>
      <c r="F274" s="243">
        <f>LARGE(Csapatok!$G$7:$G$965,E274)</f>
        <v>5.3700000000000511E-2</v>
      </c>
      <c r="I274" s="519" t="str">
        <f t="shared" si="36"/>
        <v/>
      </c>
      <c r="J274" s="625" t="str">
        <f t="shared" si="37"/>
        <v/>
      </c>
      <c r="K274" s="626" t="str">
        <f t="shared" si="38"/>
        <v/>
      </c>
      <c r="L274" s="626" t="str">
        <f t="shared" si="39"/>
        <v/>
      </c>
      <c r="M274" s="626" t="str">
        <f t="shared" si="40"/>
        <v/>
      </c>
      <c r="N274" s="627" t="str">
        <f t="shared" si="41"/>
        <v/>
      </c>
      <c r="O274" s="628" t="str">
        <f t="shared" si="42"/>
        <v/>
      </c>
      <c r="P274" s="629" t="str">
        <f t="shared" si="43"/>
        <v/>
      </c>
      <c r="Q274" s="10"/>
      <c r="R274" s="251"/>
    </row>
    <row r="275" spans="5:18" x14ac:dyDescent="0.3">
      <c r="E275" s="243">
        <f t="shared" si="44"/>
        <v>269</v>
      </c>
      <c r="F275" s="243">
        <f>LARGE(Csapatok!$G$7:$G$965,E275)</f>
        <v>5.3600000000000508E-2</v>
      </c>
      <c r="I275" s="519" t="str">
        <f t="shared" si="36"/>
        <v/>
      </c>
      <c r="J275" s="625" t="str">
        <f t="shared" si="37"/>
        <v/>
      </c>
      <c r="K275" s="626" t="str">
        <f t="shared" si="38"/>
        <v/>
      </c>
      <c r="L275" s="626" t="str">
        <f t="shared" si="39"/>
        <v/>
      </c>
      <c r="M275" s="626" t="str">
        <f t="shared" si="40"/>
        <v/>
      </c>
      <c r="N275" s="627" t="str">
        <f t="shared" si="41"/>
        <v/>
      </c>
      <c r="O275" s="628" t="str">
        <f t="shared" si="42"/>
        <v/>
      </c>
      <c r="P275" s="629" t="str">
        <f t="shared" si="43"/>
        <v/>
      </c>
      <c r="Q275" s="10"/>
      <c r="R275" s="251"/>
    </row>
    <row r="276" spans="5:18" x14ac:dyDescent="0.3">
      <c r="E276" s="243">
        <f t="shared" si="44"/>
        <v>270</v>
      </c>
      <c r="F276" s="243">
        <f>LARGE(Csapatok!$G$7:$G$965,E276)</f>
        <v>5.3500000000000505E-2</v>
      </c>
      <c r="I276" s="519" t="str">
        <f t="shared" si="36"/>
        <v/>
      </c>
      <c r="J276" s="625" t="str">
        <f t="shared" si="37"/>
        <v/>
      </c>
      <c r="K276" s="626" t="str">
        <f t="shared" si="38"/>
        <v/>
      </c>
      <c r="L276" s="626" t="str">
        <f t="shared" si="39"/>
        <v/>
      </c>
      <c r="M276" s="626" t="str">
        <f t="shared" si="40"/>
        <v/>
      </c>
      <c r="N276" s="627" t="str">
        <f t="shared" si="41"/>
        <v/>
      </c>
      <c r="O276" s="628" t="str">
        <f t="shared" si="42"/>
        <v/>
      </c>
      <c r="P276" s="629" t="str">
        <f t="shared" si="43"/>
        <v/>
      </c>
      <c r="Q276" s="10"/>
      <c r="R276" s="251"/>
    </row>
    <row r="277" spans="5:18" x14ac:dyDescent="0.3">
      <c r="E277" s="243">
        <f t="shared" si="44"/>
        <v>271</v>
      </c>
      <c r="F277" s="243">
        <f>LARGE(Csapatok!$G$7:$G$965,E277)</f>
        <v>5.3400000000000503E-2</v>
      </c>
      <c r="I277" s="519" t="str">
        <f t="shared" si="36"/>
        <v/>
      </c>
      <c r="J277" s="625" t="str">
        <f t="shared" si="37"/>
        <v/>
      </c>
      <c r="K277" s="626" t="str">
        <f t="shared" si="38"/>
        <v/>
      </c>
      <c r="L277" s="626" t="str">
        <f t="shared" si="39"/>
        <v/>
      </c>
      <c r="M277" s="626" t="str">
        <f t="shared" si="40"/>
        <v/>
      </c>
      <c r="N277" s="627" t="str">
        <f t="shared" si="41"/>
        <v/>
      </c>
      <c r="O277" s="628" t="str">
        <f t="shared" si="42"/>
        <v/>
      </c>
      <c r="P277" s="629" t="str">
        <f t="shared" si="43"/>
        <v/>
      </c>
      <c r="Q277" s="10"/>
      <c r="R277" s="251"/>
    </row>
    <row r="278" spans="5:18" x14ac:dyDescent="0.3">
      <c r="E278" s="243">
        <f t="shared" si="44"/>
        <v>272</v>
      </c>
      <c r="F278" s="243">
        <f>LARGE(Csapatok!$G$7:$G$965,E278)</f>
        <v>5.33000000000005E-2</v>
      </c>
      <c r="I278" s="519" t="str">
        <f t="shared" si="36"/>
        <v/>
      </c>
      <c r="J278" s="625" t="str">
        <f t="shared" si="37"/>
        <v/>
      </c>
      <c r="K278" s="626" t="str">
        <f t="shared" si="38"/>
        <v/>
      </c>
      <c r="L278" s="626" t="str">
        <f t="shared" si="39"/>
        <v/>
      </c>
      <c r="M278" s="626" t="str">
        <f t="shared" si="40"/>
        <v/>
      </c>
      <c r="N278" s="627" t="str">
        <f t="shared" si="41"/>
        <v/>
      </c>
      <c r="O278" s="628" t="str">
        <f t="shared" si="42"/>
        <v/>
      </c>
      <c r="P278" s="629" t="str">
        <f t="shared" si="43"/>
        <v/>
      </c>
      <c r="Q278" s="10"/>
      <c r="R278" s="251"/>
    </row>
    <row r="279" spans="5:18" x14ac:dyDescent="0.3">
      <c r="E279" s="243">
        <f t="shared" si="44"/>
        <v>273</v>
      </c>
      <c r="F279" s="243">
        <f>LARGE(Csapatok!$G$7:$G$965,E279)</f>
        <v>5.3200000000000497E-2</v>
      </c>
      <c r="I279" s="519" t="str">
        <f t="shared" si="36"/>
        <v/>
      </c>
      <c r="J279" s="625" t="str">
        <f t="shared" si="37"/>
        <v/>
      </c>
      <c r="K279" s="626" t="str">
        <f t="shared" si="38"/>
        <v/>
      </c>
      <c r="L279" s="626" t="str">
        <f t="shared" si="39"/>
        <v/>
      </c>
      <c r="M279" s="626" t="str">
        <f t="shared" si="40"/>
        <v/>
      </c>
      <c r="N279" s="627" t="str">
        <f t="shared" si="41"/>
        <v/>
      </c>
      <c r="O279" s="628" t="str">
        <f t="shared" si="42"/>
        <v/>
      </c>
      <c r="P279" s="629" t="str">
        <f t="shared" si="43"/>
        <v/>
      </c>
      <c r="Q279" s="10"/>
      <c r="R279" s="251"/>
    </row>
    <row r="280" spans="5:18" x14ac:dyDescent="0.3">
      <c r="E280" s="243">
        <f t="shared" si="44"/>
        <v>274</v>
      </c>
      <c r="F280" s="243">
        <f>LARGE(Csapatok!$G$7:$G$965,E280)</f>
        <v>5.3100000000000494E-2</v>
      </c>
      <c r="I280" s="519" t="str">
        <f t="shared" si="36"/>
        <v/>
      </c>
      <c r="J280" s="625" t="str">
        <f t="shared" si="37"/>
        <v/>
      </c>
      <c r="K280" s="626" t="str">
        <f t="shared" si="38"/>
        <v/>
      </c>
      <c r="L280" s="626" t="str">
        <f t="shared" si="39"/>
        <v/>
      </c>
      <c r="M280" s="626" t="str">
        <f t="shared" si="40"/>
        <v/>
      </c>
      <c r="N280" s="627" t="str">
        <f t="shared" si="41"/>
        <v/>
      </c>
      <c r="O280" s="628" t="str">
        <f t="shared" si="42"/>
        <v/>
      </c>
      <c r="P280" s="629" t="str">
        <f t="shared" si="43"/>
        <v/>
      </c>
      <c r="Q280" s="10"/>
      <c r="R280" s="251"/>
    </row>
    <row r="281" spans="5:18" x14ac:dyDescent="0.3">
      <c r="E281" s="243">
        <f t="shared" si="44"/>
        <v>275</v>
      </c>
      <c r="F281" s="243">
        <f>LARGE(Csapatok!$G$7:$G$965,E281)</f>
        <v>5.3000000000000491E-2</v>
      </c>
      <c r="I281" s="519" t="str">
        <f t="shared" si="36"/>
        <v/>
      </c>
      <c r="J281" s="625" t="str">
        <f t="shared" si="37"/>
        <v/>
      </c>
      <c r="K281" s="626" t="str">
        <f t="shared" si="38"/>
        <v/>
      </c>
      <c r="L281" s="626" t="str">
        <f t="shared" si="39"/>
        <v/>
      </c>
      <c r="M281" s="626" t="str">
        <f t="shared" si="40"/>
        <v/>
      </c>
      <c r="N281" s="627" t="str">
        <f t="shared" si="41"/>
        <v/>
      </c>
      <c r="O281" s="628" t="str">
        <f t="shared" si="42"/>
        <v/>
      </c>
      <c r="P281" s="629" t="str">
        <f t="shared" si="43"/>
        <v/>
      </c>
      <c r="Q281" s="10"/>
      <c r="R281" s="251"/>
    </row>
    <row r="282" spans="5:18" x14ac:dyDescent="0.3">
      <c r="E282" s="243">
        <f t="shared" si="44"/>
        <v>276</v>
      </c>
      <c r="F282" s="243">
        <f>LARGE(Csapatok!$G$7:$G$965,E282)</f>
        <v>5.2900000000000488E-2</v>
      </c>
      <c r="I282" s="519" t="str">
        <f t="shared" si="36"/>
        <v/>
      </c>
      <c r="J282" s="625" t="str">
        <f t="shared" si="37"/>
        <v/>
      </c>
      <c r="K282" s="626" t="str">
        <f t="shared" si="38"/>
        <v/>
      </c>
      <c r="L282" s="626" t="str">
        <f t="shared" si="39"/>
        <v/>
      </c>
      <c r="M282" s="626" t="str">
        <f t="shared" si="40"/>
        <v/>
      </c>
      <c r="N282" s="627" t="str">
        <f t="shared" si="41"/>
        <v/>
      </c>
      <c r="O282" s="628" t="str">
        <f t="shared" si="42"/>
        <v/>
      </c>
      <c r="P282" s="629" t="str">
        <f t="shared" si="43"/>
        <v/>
      </c>
      <c r="Q282" s="10"/>
      <c r="R282" s="251"/>
    </row>
    <row r="283" spans="5:18" x14ac:dyDescent="0.3">
      <c r="E283" s="243">
        <f t="shared" si="44"/>
        <v>277</v>
      </c>
      <c r="F283" s="243">
        <f>LARGE(Csapatok!$G$7:$G$965,E283)</f>
        <v>5.2800000000000485E-2</v>
      </c>
      <c r="I283" s="519" t="str">
        <f t="shared" si="36"/>
        <v/>
      </c>
      <c r="J283" s="625" t="str">
        <f t="shared" si="37"/>
        <v/>
      </c>
      <c r="K283" s="626" t="str">
        <f t="shared" si="38"/>
        <v/>
      </c>
      <c r="L283" s="626" t="str">
        <f t="shared" si="39"/>
        <v/>
      </c>
      <c r="M283" s="626" t="str">
        <f t="shared" si="40"/>
        <v/>
      </c>
      <c r="N283" s="627" t="str">
        <f t="shared" si="41"/>
        <v/>
      </c>
      <c r="O283" s="628" t="str">
        <f t="shared" si="42"/>
        <v/>
      </c>
      <c r="P283" s="629" t="str">
        <f t="shared" si="43"/>
        <v/>
      </c>
      <c r="Q283" s="10"/>
      <c r="R283" s="251"/>
    </row>
    <row r="284" spans="5:18" x14ac:dyDescent="0.3">
      <c r="E284" s="243">
        <f t="shared" si="44"/>
        <v>278</v>
      </c>
      <c r="F284" s="243">
        <f>LARGE(Csapatok!$G$7:$G$965,E284)</f>
        <v>5.2700000000000483E-2</v>
      </c>
      <c r="I284" s="519" t="str">
        <f t="shared" si="36"/>
        <v/>
      </c>
      <c r="J284" s="625" t="str">
        <f t="shared" si="37"/>
        <v/>
      </c>
      <c r="K284" s="626" t="str">
        <f t="shared" si="38"/>
        <v/>
      </c>
      <c r="L284" s="626" t="str">
        <f t="shared" si="39"/>
        <v/>
      </c>
      <c r="M284" s="626" t="str">
        <f t="shared" si="40"/>
        <v/>
      </c>
      <c r="N284" s="627" t="str">
        <f t="shared" si="41"/>
        <v/>
      </c>
      <c r="O284" s="628" t="str">
        <f t="shared" si="42"/>
        <v/>
      </c>
      <c r="P284" s="629" t="str">
        <f t="shared" si="43"/>
        <v/>
      </c>
      <c r="Q284" s="10"/>
      <c r="R284" s="251"/>
    </row>
    <row r="285" spans="5:18" x14ac:dyDescent="0.3">
      <c r="E285" s="243">
        <f t="shared" si="44"/>
        <v>279</v>
      </c>
      <c r="F285" s="243">
        <f>LARGE(Csapatok!$G$7:$G$965,E285)</f>
        <v>5.260000000000048E-2</v>
      </c>
      <c r="I285" s="519" t="str">
        <f t="shared" si="36"/>
        <v/>
      </c>
      <c r="J285" s="625" t="str">
        <f t="shared" si="37"/>
        <v/>
      </c>
      <c r="K285" s="626" t="str">
        <f t="shared" si="38"/>
        <v/>
      </c>
      <c r="L285" s="626" t="str">
        <f t="shared" si="39"/>
        <v/>
      </c>
      <c r="M285" s="626" t="str">
        <f t="shared" si="40"/>
        <v/>
      </c>
      <c r="N285" s="627" t="str">
        <f t="shared" si="41"/>
        <v/>
      </c>
      <c r="O285" s="628" t="str">
        <f t="shared" si="42"/>
        <v/>
      </c>
      <c r="P285" s="629" t="str">
        <f t="shared" si="43"/>
        <v/>
      </c>
      <c r="Q285" s="10"/>
      <c r="R285" s="251"/>
    </row>
    <row r="286" spans="5:18" x14ac:dyDescent="0.3">
      <c r="E286" s="243">
        <f t="shared" si="44"/>
        <v>280</v>
      </c>
      <c r="F286" s="243">
        <f>LARGE(Csapatok!$G$7:$G$965,E286)</f>
        <v>5.2500000000000477E-2</v>
      </c>
      <c r="I286" s="519" t="str">
        <f t="shared" si="36"/>
        <v/>
      </c>
      <c r="J286" s="625" t="str">
        <f t="shared" si="37"/>
        <v/>
      </c>
      <c r="K286" s="626" t="str">
        <f t="shared" si="38"/>
        <v/>
      </c>
      <c r="L286" s="626" t="str">
        <f t="shared" si="39"/>
        <v/>
      </c>
      <c r="M286" s="626" t="str">
        <f t="shared" si="40"/>
        <v/>
      </c>
      <c r="N286" s="627" t="str">
        <f t="shared" si="41"/>
        <v/>
      </c>
      <c r="O286" s="628" t="str">
        <f t="shared" si="42"/>
        <v/>
      </c>
      <c r="P286" s="629" t="str">
        <f t="shared" si="43"/>
        <v/>
      </c>
      <c r="Q286" s="10"/>
      <c r="R286" s="251"/>
    </row>
    <row r="287" spans="5:18" x14ac:dyDescent="0.3">
      <c r="E287" s="243">
        <f t="shared" si="44"/>
        <v>281</v>
      </c>
      <c r="F287" s="243">
        <f>LARGE(Csapatok!$G$7:$G$965,E287)</f>
        <v>5.2400000000000474E-2</v>
      </c>
      <c r="I287" s="519" t="str">
        <f t="shared" si="36"/>
        <v/>
      </c>
      <c r="J287" s="625" t="str">
        <f t="shared" si="37"/>
        <v/>
      </c>
      <c r="K287" s="626" t="str">
        <f t="shared" si="38"/>
        <v/>
      </c>
      <c r="L287" s="626" t="str">
        <f t="shared" si="39"/>
        <v/>
      </c>
      <c r="M287" s="626" t="str">
        <f t="shared" si="40"/>
        <v/>
      </c>
      <c r="N287" s="627" t="str">
        <f t="shared" si="41"/>
        <v/>
      </c>
      <c r="O287" s="628" t="str">
        <f t="shared" si="42"/>
        <v/>
      </c>
      <c r="P287" s="629" t="str">
        <f t="shared" si="43"/>
        <v/>
      </c>
      <c r="Q287" s="10"/>
      <c r="R287" s="251"/>
    </row>
    <row r="288" spans="5:18" x14ac:dyDescent="0.3">
      <c r="E288" s="243">
        <f t="shared" si="44"/>
        <v>282</v>
      </c>
      <c r="F288" s="243">
        <f>LARGE(Csapatok!$G$7:$G$965,E288)</f>
        <v>5.2300000000000471E-2</v>
      </c>
      <c r="I288" s="519" t="str">
        <f t="shared" si="36"/>
        <v/>
      </c>
      <c r="J288" s="625" t="str">
        <f t="shared" si="37"/>
        <v/>
      </c>
      <c r="K288" s="626" t="str">
        <f t="shared" si="38"/>
        <v/>
      </c>
      <c r="L288" s="626" t="str">
        <f t="shared" si="39"/>
        <v/>
      </c>
      <c r="M288" s="626" t="str">
        <f t="shared" si="40"/>
        <v/>
      </c>
      <c r="N288" s="627" t="str">
        <f t="shared" si="41"/>
        <v/>
      </c>
      <c r="O288" s="628" t="str">
        <f t="shared" si="42"/>
        <v/>
      </c>
      <c r="P288" s="629" t="str">
        <f t="shared" si="43"/>
        <v/>
      </c>
      <c r="Q288" s="10"/>
      <c r="R288" s="251"/>
    </row>
    <row r="289" spans="5:18" x14ac:dyDescent="0.3">
      <c r="E289" s="243">
        <f t="shared" si="44"/>
        <v>283</v>
      </c>
      <c r="F289" s="243">
        <f>LARGE(Csapatok!$G$7:$G$965,E289)</f>
        <v>5.2200000000000468E-2</v>
      </c>
      <c r="I289" s="519" t="str">
        <f t="shared" si="36"/>
        <v/>
      </c>
      <c r="J289" s="625" t="str">
        <f t="shared" si="37"/>
        <v/>
      </c>
      <c r="K289" s="626" t="str">
        <f t="shared" si="38"/>
        <v/>
      </c>
      <c r="L289" s="626" t="str">
        <f t="shared" si="39"/>
        <v/>
      </c>
      <c r="M289" s="626" t="str">
        <f t="shared" si="40"/>
        <v/>
      </c>
      <c r="N289" s="627" t="str">
        <f t="shared" si="41"/>
        <v/>
      </c>
      <c r="O289" s="628" t="str">
        <f t="shared" si="42"/>
        <v/>
      </c>
      <c r="P289" s="629" t="str">
        <f t="shared" si="43"/>
        <v/>
      </c>
      <c r="Q289" s="10"/>
      <c r="R289" s="251"/>
    </row>
    <row r="290" spans="5:18" x14ac:dyDescent="0.3">
      <c r="E290" s="243">
        <f t="shared" si="44"/>
        <v>284</v>
      </c>
      <c r="F290" s="243">
        <f>LARGE(Csapatok!$G$7:$G$965,E290)</f>
        <v>5.2100000000000465E-2</v>
      </c>
      <c r="I290" s="519" t="str">
        <f t="shared" si="36"/>
        <v/>
      </c>
      <c r="J290" s="625" t="str">
        <f t="shared" si="37"/>
        <v/>
      </c>
      <c r="K290" s="626" t="str">
        <f t="shared" si="38"/>
        <v/>
      </c>
      <c r="L290" s="626" t="str">
        <f t="shared" si="39"/>
        <v/>
      </c>
      <c r="M290" s="626" t="str">
        <f t="shared" si="40"/>
        <v/>
      </c>
      <c r="N290" s="627" t="str">
        <f t="shared" si="41"/>
        <v/>
      </c>
      <c r="O290" s="628" t="str">
        <f t="shared" si="42"/>
        <v/>
      </c>
      <c r="P290" s="629" t="str">
        <f t="shared" si="43"/>
        <v/>
      </c>
      <c r="Q290" s="10"/>
      <c r="R290" s="251"/>
    </row>
    <row r="291" spans="5:18" x14ac:dyDescent="0.3">
      <c r="E291" s="243">
        <f t="shared" si="44"/>
        <v>285</v>
      </c>
      <c r="F291" s="243">
        <f>LARGE(Csapatok!$G$7:$G$965,E291)</f>
        <v>5.0600000000000422E-2</v>
      </c>
      <c r="I291" s="519" t="str">
        <f t="shared" si="36"/>
        <v/>
      </c>
      <c r="J291" s="625" t="str">
        <f t="shared" si="37"/>
        <v/>
      </c>
      <c r="K291" s="626" t="str">
        <f t="shared" si="38"/>
        <v/>
      </c>
      <c r="L291" s="626" t="str">
        <f t="shared" si="39"/>
        <v/>
      </c>
      <c r="M291" s="626" t="str">
        <f t="shared" si="40"/>
        <v/>
      </c>
      <c r="N291" s="627" t="str">
        <f t="shared" si="41"/>
        <v/>
      </c>
      <c r="O291" s="628" t="str">
        <f t="shared" si="42"/>
        <v/>
      </c>
      <c r="P291" s="629" t="str">
        <f t="shared" si="43"/>
        <v/>
      </c>
      <c r="Q291" s="10"/>
      <c r="R291" s="251"/>
    </row>
    <row r="292" spans="5:18" x14ac:dyDescent="0.3">
      <c r="E292" s="243">
        <f t="shared" si="44"/>
        <v>286</v>
      </c>
      <c r="F292" s="243">
        <f>LARGE(Csapatok!$G$7:$G$965,E292)</f>
        <v>5.050000000000042E-2</v>
      </c>
      <c r="I292" s="519" t="str">
        <f t="shared" si="36"/>
        <v/>
      </c>
      <c r="J292" s="625" t="str">
        <f t="shared" si="37"/>
        <v/>
      </c>
      <c r="K292" s="626" t="str">
        <f t="shared" si="38"/>
        <v/>
      </c>
      <c r="L292" s="626" t="str">
        <f t="shared" si="39"/>
        <v/>
      </c>
      <c r="M292" s="626" t="str">
        <f t="shared" si="40"/>
        <v/>
      </c>
      <c r="N292" s="627" t="str">
        <f t="shared" si="41"/>
        <v/>
      </c>
      <c r="O292" s="628" t="str">
        <f t="shared" si="42"/>
        <v/>
      </c>
      <c r="P292" s="629" t="str">
        <f t="shared" si="43"/>
        <v/>
      </c>
      <c r="Q292" s="10"/>
      <c r="R292" s="251"/>
    </row>
    <row r="293" spans="5:18" x14ac:dyDescent="0.3">
      <c r="E293" s="243">
        <f t="shared" si="44"/>
        <v>287</v>
      </c>
      <c r="F293" s="243">
        <f>LARGE(Csapatok!$G$7:$G$965,E293)</f>
        <v>5.0400000000000417E-2</v>
      </c>
      <c r="I293" s="519" t="str">
        <f t="shared" si="36"/>
        <v/>
      </c>
      <c r="J293" s="625" t="str">
        <f t="shared" si="37"/>
        <v/>
      </c>
      <c r="K293" s="626" t="str">
        <f t="shared" si="38"/>
        <v/>
      </c>
      <c r="L293" s="626" t="str">
        <f t="shared" si="39"/>
        <v/>
      </c>
      <c r="M293" s="626" t="str">
        <f t="shared" si="40"/>
        <v/>
      </c>
      <c r="N293" s="627" t="str">
        <f t="shared" si="41"/>
        <v/>
      </c>
      <c r="O293" s="628" t="str">
        <f t="shared" si="42"/>
        <v/>
      </c>
      <c r="P293" s="629" t="str">
        <f t="shared" si="43"/>
        <v/>
      </c>
      <c r="Q293" s="10"/>
      <c r="R293" s="251"/>
    </row>
    <row r="294" spans="5:18" x14ac:dyDescent="0.3">
      <c r="E294" s="243">
        <f t="shared" si="44"/>
        <v>288</v>
      </c>
      <c r="F294" s="243">
        <f>LARGE(Csapatok!$G$7:$G$965,E294)</f>
        <v>5.0300000000000414E-2</v>
      </c>
      <c r="I294" s="519" t="str">
        <f t="shared" si="36"/>
        <v/>
      </c>
      <c r="J294" s="625" t="str">
        <f t="shared" si="37"/>
        <v/>
      </c>
      <c r="K294" s="626" t="str">
        <f t="shared" si="38"/>
        <v/>
      </c>
      <c r="L294" s="626" t="str">
        <f t="shared" si="39"/>
        <v/>
      </c>
      <c r="M294" s="626" t="str">
        <f t="shared" si="40"/>
        <v/>
      </c>
      <c r="N294" s="627" t="str">
        <f t="shared" si="41"/>
        <v/>
      </c>
      <c r="O294" s="628" t="str">
        <f t="shared" si="42"/>
        <v/>
      </c>
      <c r="P294" s="629" t="str">
        <f t="shared" si="43"/>
        <v/>
      </c>
      <c r="Q294" s="10"/>
      <c r="R294" s="251"/>
    </row>
    <row r="295" spans="5:18" x14ac:dyDescent="0.3">
      <c r="E295" s="243">
        <f t="shared" si="44"/>
        <v>289</v>
      </c>
      <c r="F295" s="243">
        <f>LARGE(Csapatok!$G$7:$G$965,E295)</f>
        <v>5.0200000000000411E-2</v>
      </c>
      <c r="I295" s="519" t="str">
        <f t="shared" si="36"/>
        <v/>
      </c>
      <c r="J295" s="625" t="str">
        <f t="shared" si="37"/>
        <v/>
      </c>
      <c r="K295" s="626" t="str">
        <f t="shared" si="38"/>
        <v/>
      </c>
      <c r="L295" s="626" t="str">
        <f t="shared" si="39"/>
        <v/>
      </c>
      <c r="M295" s="626" t="str">
        <f t="shared" si="40"/>
        <v/>
      </c>
      <c r="N295" s="627" t="str">
        <f t="shared" si="41"/>
        <v/>
      </c>
      <c r="O295" s="628" t="str">
        <f t="shared" si="42"/>
        <v/>
      </c>
      <c r="P295" s="629" t="str">
        <f t="shared" si="43"/>
        <v/>
      </c>
      <c r="Q295" s="10"/>
      <c r="R295" s="251"/>
    </row>
    <row r="296" spans="5:18" x14ac:dyDescent="0.3">
      <c r="E296" s="243">
        <f t="shared" si="44"/>
        <v>290</v>
      </c>
      <c r="F296" s="243">
        <f>LARGE(Csapatok!$G$7:$G$965,E296)</f>
        <v>5.0100000000000408E-2</v>
      </c>
      <c r="I296" s="519" t="str">
        <f t="shared" si="36"/>
        <v/>
      </c>
      <c r="J296" s="625" t="str">
        <f t="shared" si="37"/>
        <v/>
      </c>
      <c r="K296" s="626" t="str">
        <f t="shared" si="38"/>
        <v/>
      </c>
      <c r="L296" s="626" t="str">
        <f t="shared" si="39"/>
        <v/>
      </c>
      <c r="M296" s="626" t="str">
        <f t="shared" si="40"/>
        <v/>
      </c>
      <c r="N296" s="627" t="str">
        <f t="shared" si="41"/>
        <v/>
      </c>
      <c r="O296" s="628" t="str">
        <f t="shared" si="42"/>
        <v/>
      </c>
      <c r="P296" s="629" t="str">
        <f t="shared" si="43"/>
        <v/>
      </c>
      <c r="Q296" s="10"/>
      <c r="R296" s="251"/>
    </row>
    <row r="297" spans="5:18" x14ac:dyDescent="0.3">
      <c r="E297" s="243">
        <f t="shared" si="44"/>
        <v>291</v>
      </c>
      <c r="F297" s="243">
        <f>LARGE(Csapatok!$G$7:$G$965,E297)</f>
        <v>5.0000000000000405E-2</v>
      </c>
      <c r="I297" s="519" t="str">
        <f t="shared" si="36"/>
        <v/>
      </c>
      <c r="J297" s="625" t="str">
        <f t="shared" si="37"/>
        <v/>
      </c>
      <c r="K297" s="626" t="str">
        <f t="shared" si="38"/>
        <v/>
      </c>
      <c r="L297" s="626" t="str">
        <f t="shared" si="39"/>
        <v/>
      </c>
      <c r="M297" s="626" t="str">
        <f t="shared" si="40"/>
        <v/>
      </c>
      <c r="N297" s="627" t="str">
        <f t="shared" si="41"/>
        <v/>
      </c>
      <c r="O297" s="628" t="str">
        <f t="shared" si="42"/>
        <v/>
      </c>
      <c r="P297" s="629" t="str">
        <f t="shared" si="43"/>
        <v/>
      </c>
      <c r="Q297" s="10"/>
      <c r="R297" s="251"/>
    </row>
    <row r="298" spans="5:18" x14ac:dyDescent="0.3">
      <c r="E298" s="243">
        <f t="shared" si="44"/>
        <v>292</v>
      </c>
      <c r="F298" s="243">
        <f>LARGE(Csapatok!$G$7:$G$965,E298)</f>
        <v>4.9900000000000402E-2</v>
      </c>
      <c r="I298" s="519" t="str">
        <f t="shared" si="36"/>
        <v/>
      </c>
      <c r="J298" s="625" t="str">
        <f t="shared" si="37"/>
        <v/>
      </c>
      <c r="K298" s="626" t="str">
        <f t="shared" si="38"/>
        <v/>
      </c>
      <c r="L298" s="626" t="str">
        <f t="shared" si="39"/>
        <v/>
      </c>
      <c r="M298" s="626" t="str">
        <f t="shared" si="40"/>
        <v/>
      </c>
      <c r="N298" s="627" t="str">
        <f t="shared" si="41"/>
        <v/>
      </c>
      <c r="O298" s="628" t="str">
        <f t="shared" si="42"/>
        <v/>
      </c>
      <c r="P298" s="629" t="str">
        <f t="shared" si="43"/>
        <v/>
      </c>
      <c r="Q298" s="10"/>
      <c r="R298" s="251"/>
    </row>
    <row r="299" spans="5:18" x14ac:dyDescent="0.3">
      <c r="E299" s="243">
        <f t="shared" si="44"/>
        <v>293</v>
      </c>
      <c r="F299" s="243">
        <f>LARGE(Csapatok!$G$7:$G$965,E299)</f>
        <v>4.98000000000004E-2</v>
      </c>
      <c r="I299" s="519" t="str">
        <f t="shared" si="36"/>
        <v/>
      </c>
      <c r="J299" s="625" t="str">
        <f t="shared" si="37"/>
        <v/>
      </c>
      <c r="K299" s="626" t="str">
        <f t="shared" si="38"/>
        <v/>
      </c>
      <c r="L299" s="626" t="str">
        <f t="shared" si="39"/>
        <v/>
      </c>
      <c r="M299" s="626" t="str">
        <f t="shared" si="40"/>
        <v/>
      </c>
      <c r="N299" s="627" t="str">
        <f t="shared" si="41"/>
        <v/>
      </c>
      <c r="O299" s="628" t="str">
        <f t="shared" si="42"/>
        <v/>
      </c>
      <c r="P299" s="629" t="str">
        <f t="shared" si="43"/>
        <v/>
      </c>
      <c r="Q299" s="10"/>
      <c r="R299" s="251"/>
    </row>
    <row r="300" spans="5:18" x14ac:dyDescent="0.3">
      <c r="E300" s="243">
        <f t="shared" si="44"/>
        <v>294</v>
      </c>
      <c r="F300" s="243">
        <f>LARGE(Csapatok!$G$7:$G$965,E300)</f>
        <v>4.9700000000000397E-2</v>
      </c>
      <c r="I300" s="519" t="str">
        <f t="shared" si="36"/>
        <v/>
      </c>
      <c r="J300" s="625" t="str">
        <f t="shared" si="37"/>
        <v/>
      </c>
      <c r="K300" s="626" t="str">
        <f t="shared" si="38"/>
        <v/>
      </c>
      <c r="L300" s="626" t="str">
        <f t="shared" si="39"/>
        <v/>
      </c>
      <c r="M300" s="626" t="str">
        <f t="shared" si="40"/>
        <v/>
      </c>
      <c r="N300" s="627" t="str">
        <f t="shared" si="41"/>
        <v/>
      </c>
      <c r="O300" s="628" t="str">
        <f t="shared" si="42"/>
        <v/>
      </c>
      <c r="P300" s="629" t="str">
        <f t="shared" si="43"/>
        <v/>
      </c>
      <c r="Q300" s="10"/>
      <c r="R300" s="251"/>
    </row>
    <row r="301" spans="5:18" x14ac:dyDescent="0.3">
      <c r="E301" s="243">
        <f t="shared" si="44"/>
        <v>295</v>
      </c>
      <c r="F301" s="243">
        <f>LARGE(Csapatok!$G$7:$G$965,E301)</f>
        <v>4.9600000000000394E-2</v>
      </c>
      <c r="I301" s="519" t="str">
        <f t="shared" si="36"/>
        <v/>
      </c>
      <c r="J301" s="625" t="str">
        <f t="shared" si="37"/>
        <v/>
      </c>
      <c r="K301" s="626" t="str">
        <f t="shared" si="38"/>
        <v/>
      </c>
      <c r="L301" s="626" t="str">
        <f t="shared" si="39"/>
        <v/>
      </c>
      <c r="M301" s="626" t="str">
        <f t="shared" si="40"/>
        <v/>
      </c>
      <c r="N301" s="627" t="str">
        <f t="shared" si="41"/>
        <v/>
      </c>
      <c r="O301" s="628" t="str">
        <f t="shared" si="42"/>
        <v/>
      </c>
      <c r="P301" s="629" t="str">
        <f t="shared" si="43"/>
        <v/>
      </c>
      <c r="Q301" s="10"/>
      <c r="R301" s="251"/>
    </row>
    <row r="302" spans="5:18" x14ac:dyDescent="0.3">
      <c r="E302" s="243">
        <f t="shared" si="44"/>
        <v>296</v>
      </c>
      <c r="F302" s="243">
        <f>LARGE(Csapatok!$G$7:$G$965,E302)</f>
        <v>4.9500000000000391E-2</v>
      </c>
      <c r="I302" s="519" t="str">
        <f t="shared" si="36"/>
        <v/>
      </c>
      <c r="J302" s="625" t="str">
        <f t="shared" si="37"/>
        <v/>
      </c>
      <c r="K302" s="626" t="str">
        <f t="shared" si="38"/>
        <v/>
      </c>
      <c r="L302" s="626" t="str">
        <f t="shared" si="39"/>
        <v/>
      </c>
      <c r="M302" s="626" t="str">
        <f t="shared" si="40"/>
        <v/>
      </c>
      <c r="N302" s="627" t="str">
        <f t="shared" si="41"/>
        <v/>
      </c>
      <c r="O302" s="628" t="str">
        <f t="shared" si="42"/>
        <v/>
      </c>
      <c r="P302" s="629" t="str">
        <f t="shared" si="43"/>
        <v/>
      </c>
      <c r="Q302" s="10"/>
      <c r="R302" s="251"/>
    </row>
    <row r="303" spans="5:18" x14ac:dyDescent="0.3">
      <c r="E303" s="243">
        <f t="shared" si="44"/>
        <v>297</v>
      </c>
      <c r="F303" s="243">
        <f>LARGE(Csapatok!$G$7:$G$965,E303)</f>
        <v>4.9400000000000388E-2</v>
      </c>
      <c r="I303" s="519" t="str">
        <f t="shared" si="36"/>
        <v/>
      </c>
      <c r="J303" s="625" t="str">
        <f t="shared" si="37"/>
        <v/>
      </c>
      <c r="K303" s="626" t="str">
        <f t="shared" si="38"/>
        <v/>
      </c>
      <c r="L303" s="626" t="str">
        <f t="shared" si="39"/>
        <v/>
      </c>
      <c r="M303" s="626" t="str">
        <f t="shared" si="40"/>
        <v/>
      </c>
      <c r="N303" s="627" t="str">
        <f t="shared" si="41"/>
        <v/>
      </c>
      <c r="O303" s="628" t="str">
        <f t="shared" si="42"/>
        <v/>
      </c>
      <c r="P303" s="629" t="str">
        <f t="shared" si="43"/>
        <v/>
      </c>
      <c r="Q303" s="10"/>
      <c r="R303" s="251"/>
    </row>
    <row r="304" spans="5:18" x14ac:dyDescent="0.3">
      <c r="E304" s="243">
        <f t="shared" si="44"/>
        <v>298</v>
      </c>
      <c r="F304" s="243">
        <f>LARGE(Csapatok!$G$7:$G$965,E304)</f>
        <v>4.9300000000000385E-2</v>
      </c>
      <c r="I304" s="519" t="str">
        <f t="shared" si="36"/>
        <v/>
      </c>
      <c r="J304" s="625" t="str">
        <f t="shared" si="37"/>
        <v/>
      </c>
      <c r="K304" s="626" t="str">
        <f t="shared" si="38"/>
        <v/>
      </c>
      <c r="L304" s="626" t="str">
        <f t="shared" si="39"/>
        <v/>
      </c>
      <c r="M304" s="626" t="str">
        <f t="shared" si="40"/>
        <v/>
      </c>
      <c r="N304" s="627" t="str">
        <f t="shared" si="41"/>
        <v/>
      </c>
      <c r="O304" s="628" t="str">
        <f t="shared" si="42"/>
        <v/>
      </c>
      <c r="P304" s="629" t="str">
        <f t="shared" si="43"/>
        <v/>
      </c>
      <c r="Q304" s="10"/>
      <c r="R304" s="251"/>
    </row>
    <row r="305" spans="1:18" x14ac:dyDescent="0.3">
      <c r="E305" s="243">
        <f t="shared" si="44"/>
        <v>299</v>
      </c>
      <c r="F305" s="243">
        <f>LARGE(Csapatok!$G$7:$G$965,E305)</f>
        <v>4.9200000000000382E-2</v>
      </c>
      <c r="I305" s="519" t="str">
        <f t="shared" si="36"/>
        <v/>
      </c>
      <c r="J305" s="625" t="str">
        <f t="shared" si="37"/>
        <v/>
      </c>
      <c r="K305" s="626" t="str">
        <f t="shared" si="38"/>
        <v/>
      </c>
      <c r="L305" s="626" t="str">
        <f t="shared" si="39"/>
        <v/>
      </c>
      <c r="M305" s="626" t="str">
        <f t="shared" si="40"/>
        <v/>
      </c>
      <c r="N305" s="627" t="str">
        <f t="shared" si="41"/>
        <v/>
      </c>
      <c r="O305" s="628" t="str">
        <f t="shared" si="42"/>
        <v/>
      </c>
      <c r="P305" s="629" t="str">
        <f t="shared" si="43"/>
        <v/>
      </c>
      <c r="Q305" s="10"/>
      <c r="R305" s="251"/>
    </row>
    <row r="306" spans="1:18" x14ac:dyDescent="0.3">
      <c r="E306" s="243">
        <f t="shared" si="44"/>
        <v>300</v>
      </c>
      <c r="F306" s="243">
        <f>LARGE(Csapatok!$G$7:$G$965,E306)</f>
        <v>4.9100000000000379E-2</v>
      </c>
      <c r="I306" s="519" t="str">
        <f t="shared" si="36"/>
        <v/>
      </c>
      <c r="J306" s="625" t="str">
        <f t="shared" si="37"/>
        <v/>
      </c>
      <c r="K306" s="626" t="str">
        <f t="shared" si="38"/>
        <v/>
      </c>
      <c r="L306" s="626" t="str">
        <f t="shared" si="39"/>
        <v/>
      </c>
      <c r="M306" s="626" t="str">
        <f t="shared" si="40"/>
        <v/>
      </c>
      <c r="N306" s="627" t="str">
        <f t="shared" si="41"/>
        <v/>
      </c>
      <c r="O306" s="628" t="str">
        <f t="shared" si="42"/>
        <v/>
      </c>
      <c r="P306" s="629" t="str">
        <f t="shared" si="43"/>
        <v/>
      </c>
      <c r="Q306" s="10"/>
      <c r="R306" s="251"/>
    </row>
    <row r="307" spans="1:18" s="15" customFormat="1" x14ac:dyDescent="0.3">
      <c r="A307" s="564"/>
      <c r="C307" s="88"/>
      <c r="D307" s="89"/>
      <c r="E307" s="89"/>
      <c r="F307" s="89"/>
      <c r="G307" s="89"/>
      <c r="H307" s="88"/>
      <c r="I307" s="249"/>
      <c r="J307" s="296"/>
      <c r="K307" s="296"/>
      <c r="L307" s="296"/>
      <c r="M307" s="296"/>
      <c r="N307" s="296"/>
      <c r="O307" s="296"/>
      <c r="P307" s="296"/>
      <c r="Q307" s="135"/>
      <c r="R307" s="136"/>
    </row>
    <row r="308" spans="1:18" s="15" customFormat="1" x14ac:dyDescent="0.3">
      <c r="A308" s="564"/>
      <c r="C308" s="88"/>
      <c r="D308" s="89"/>
      <c r="E308" s="89"/>
      <c r="F308" s="89"/>
      <c r="G308" s="89"/>
      <c r="H308" s="88"/>
      <c r="I308" s="249"/>
      <c r="J308" s="296"/>
      <c r="K308" s="296"/>
      <c r="L308" s="296"/>
      <c r="M308" s="296"/>
      <c r="N308" s="296"/>
      <c r="O308" s="296"/>
      <c r="P308" s="296"/>
      <c r="Q308" s="135"/>
      <c r="R308" s="136"/>
    </row>
    <row r="309" spans="1:18" s="15" customFormat="1" x14ac:dyDescent="0.3">
      <c r="A309" s="564"/>
      <c r="C309" s="88"/>
      <c r="D309" s="89"/>
      <c r="E309" s="89"/>
      <c r="F309" s="89"/>
      <c r="G309" s="89"/>
      <c r="H309" s="88"/>
      <c r="I309" s="249"/>
      <c r="J309" s="296"/>
      <c r="K309" s="296"/>
      <c r="L309" s="296"/>
      <c r="M309" s="296"/>
      <c r="N309" s="296"/>
      <c r="O309" s="296"/>
      <c r="P309" s="296"/>
      <c r="Q309" s="135"/>
      <c r="R309" s="136"/>
    </row>
  </sheetData>
  <sheetProtection sheet="1" objects="1" scenarios="1"/>
  <mergeCells count="1">
    <mergeCell ref="A140:A162"/>
  </mergeCells>
  <phoneticPr fontId="2" type="noConversion"/>
  <conditionalFormatting sqref="I7:I306">
    <cfRule type="expression" dxfId="8" priority="1" stopIfTrue="1">
      <formula>F7&lt;1</formula>
    </cfRule>
    <cfRule type="expression" dxfId="7" priority="2" stopIfTrue="1">
      <formula>$I8&lt;&gt;""</formula>
    </cfRule>
  </conditionalFormatting>
  <conditionalFormatting sqref="J7:P306">
    <cfRule type="expression" dxfId="6" priority="3" stopIfTrue="1">
      <formula>$I8&lt;&gt;""</formula>
    </cfRule>
    <cfRule type="expression" dxfId="5" priority="4" stopIfTrue="1">
      <formula>$F7&lt;1</formula>
    </cfRule>
  </conditionalFormatting>
  <conditionalFormatting sqref="R7:R306">
    <cfRule type="expression" dxfId="4" priority="5" stopIfTrue="1">
      <formula>$F7&lt;1</formula>
    </cfRule>
  </conditionalFormatting>
  <pageMargins left="0.31496062992125984" right="0.31496062992125984" top="0.51181102362204722" bottom="0.51181102362204722" header="0.51181102362204722" footer="0.51181102362204722"/>
  <pageSetup paperSize="9" scale="78" orientation="landscape" r:id="rId1"/>
  <headerFooter alignWithMargins="0"/>
  <drawing r:id="rId2"/>
  <picture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9">
    <pageSetUpPr autoPageBreaks="0"/>
  </sheetPr>
  <dimension ref="A1:P154"/>
  <sheetViews>
    <sheetView showGridLines="0" showRowColHeaders="0" zoomScaleNormal="100" workbookViewId="0">
      <pane ySplit="4" topLeftCell="A130" activePane="bottomLeft" state="frozen"/>
      <selection pane="bottomLeft"/>
    </sheetView>
  </sheetViews>
  <sheetFormatPr defaultRowHeight="15" x14ac:dyDescent="0.3"/>
  <cols>
    <col min="1" max="1" width="1.42578125" style="564" customWidth="1"/>
    <col min="2" max="2" width="2.140625" style="10" customWidth="1"/>
    <col min="3" max="3" width="34.28515625" style="10" customWidth="1"/>
    <col min="4" max="5" width="3.5703125" style="10" customWidth="1"/>
    <col min="6" max="9" width="20.42578125" style="10" customWidth="1"/>
    <col min="10" max="11" width="3.5703125" style="10" customWidth="1"/>
    <col min="12" max="12" width="34.28515625" style="10" customWidth="1"/>
    <col min="13" max="13" width="5.7109375" style="10" customWidth="1"/>
    <col min="14" max="14" width="6.28515625" style="10" customWidth="1"/>
    <col min="15" max="16384" width="9.140625" style="10"/>
  </cols>
  <sheetData>
    <row r="1" spans="1:16" s="561" customFormat="1" ht="9.75" customHeight="1" x14ac:dyDescent="0.2">
      <c r="G1" s="562"/>
    </row>
    <row r="2" spans="1:16" s="561" customFormat="1" ht="9.75" customHeight="1" x14ac:dyDescent="0.2">
      <c r="G2" s="562"/>
    </row>
    <row r="3" spans="1:16" s="561" customFormat="1" ht="9" customHeight="1" thickBot="1" x14ac:dyDescent="0.25">
      <c r="A3" s="563"/>
      <c r="B3" s="563"/>
      <c r="C3" s="563"/>
      <c r="D3" s="563"/>
      <c r="E3" s="563"/>
      <c r="F3" s="563"/>
      <c r="G3" s="562"/>
    </row>
    <row r="4" spans="1:16" s="565" customFormat="1" ht="12" customHeight="1" thickTop="1" x14ac:dyDescent="0.2">
      <c r="B4" s="567" t="s">
        <v>958</v>
      </c>
      <c r="G4" s="566"/>
    </row>
    <row r="5" spans="1:16" ht="12" customHeight="1" x14ac:dyDescent="0.3">
      <c r="A5" s="765"/>
    </row>
    <row r="6" spans="1:16" s="103" customFormat="1" ht="21" customHeight="1" x14ac:dyDescent="0.3">
      <c r="A6" s="765"/>
      <c r="C6" s="104" t="str">
        <f>UPPER(Adatok!A2)</f>
        <v>TÖRÖKORSZÁG</v>
      </c>
      <c r="D6" s="105"/>
      <c r="E6" s="106"/>
      <c r="F6" s="107"/>
      <c r="G6" s="107"/>
      <c r="H6" s="107"/>
      <c r="I6" s="107"/>
      <c r="J6" s="107"/>
      <c r="K6" s="108"/>
      <c r="L6" s="109" t="str">
        <f>UPPER(Adatok!A4)</f>
        <v>WALES</v>
      </c>
      <c r="P6" s="10"/>
    </row>
    <row r="7" spans="1:16" s="15" customFormat="1" ht="33.75" customHeight="1" x14ac:dyDescent="0.3">
      <c r="A7" s="765"/>
      <c r="C7" s="290"/>
      <c r="D7" s="110"/>
      <c r="E7" s="37"/>
      <c r="F7" s="37"/>
      <c r="G7" s="37"/>
      <c r="H7" s="37"/>
      <c r="I7" s="111"/>
      <c r="J7" s="37"/>
      <c r="K7" s="112"/>
      <c r="L7" s="129"/>
      <c r="P7" s="10"/>
    </row>
    <row r="8" spans="1:16" s="119" customFormat="1" ht="12.75" customHeight="1" x14ac:dyDescent="0.3">
      <c r="A8" s="765"/>
      <c r="B8" s="114"/>
      <c r="C8" s="132" t="s">
        <v>835</v>
      </c>
      <c r="D8" s="116"/>
      <c r="E8" s="117"/>
      <c r="F8" s="115"/>
      <c r="G8" s="114"/>
      <c r="H8" s="114"/>
      <c r="I8" s="115"/>
      <c r="J8" s="117"/>
      <c r="K8" s="118"/>
      <c r="L8" s="293" t="s">
        <v>889</v>
      </c>
      <c r="P8" s="10"/>
    </row>
    <row r="9" spans="1:16" ht="12.75" customHeight="1" x14ac:dyDescent="0.3">
      <c r="A9" s="765"/>
      <c r="B9" s="15"/>
      <c r="C9" s="22" t="s">
        <v>789</v>
      </c>
      <c r="D9" s="120"/>
      <c r="E9" s="15"/>
      <c r="F9" s="22"/>
      <c r="G9" s="15"/>
      <c r="H9" s="15"/>
      <c r="I9" s="22"/>
      <c r="K9" s="121"/>
      <c r="L9" s="122">
        <v>2016</v>
      </c>
    </row>
    <row r="10" spans="1:16" ht="12.75" customHeight="1" x14ac:dyDescent="0.3">
      <c r="A10" s="765"/>
      <c r="B10" s="15"/>
      <c r="C10" s="130"/>
      <c r="D10" s="120"/>
      <c r="E10" s="15"/>
      <c r="F10" s="22"/>
      <c r="G10" s="15"/>
      <c r="H10" s="15"/>
      <c r="I10" s="123"/>
      <c r="K10" s="121"/>
      <c r="L10" s="124"/>
    </row>
    <row r="11" spans="1:16" s="119" customFormat="1" ht="12.75" customHeight="1" x14ac:dyDescent="0.3">
      <c r="A11" s="765"/>
      <c r="B11" s="114"/>
      <c r="C11" s="132" t="s">
        <v>839</v>
      </c>
      <c r="D11" s="125"/>
      <c r="E11" s="114"/>
      <c r="F11" s="115"/>
      <c r="G11" s="114"/>
      <c r="H11" s="114"/>
      <c r="I11" s="115"/>
      <c r="K11" s="126"/>
      <c r="L11" s="293" t="s">
        <v>839</v>
      </c>
      <c r="P11" s="10"/>
    </row>
    <row r="12" spans="1:16" ht="12.75" customHeight="1" x14ac:dyDescent="0.3">
      <c r="A12" s="765"/>
      <c r="B12" s="15"/>
      <c r="C12" s="22" t="s">
        <v>871</v>
      </c>
      <c r="D12" s="120"/>
      <c r="E12" s="15"/>
      <c r="F12" s="22"/>
      <c r="G12" s="15"/>
      <c r="H12" s="15"/>
      <c r="I12" s="22"/>
      <c r="K12" s="121"/>
      <c r="L12" s="122" t="s">
        <v>790</v>
      </c>
    </row>
    <row r="13" spans="1:16" ht="12.75" customHeight="1" x14ac:dyDescent="0.3">
      <c r="A13" s="765"/>
      <c r="B13" s="15"/>
      <c r="C13" s="22" t="s">
        <v>884</v>
      </c>
      <c r="D13" s="120"/>
      <c r="E13" s="15"/>
      <c r="F13" s="22"/>
      <c r="G13" s="15"/>
      <c r="H13" s="15"/>
      <c r="I13" s="22"/>
      <c r="K13" s="121"/>
      <c r="L13" s="122"/>
    </row>
    <row r="14" spans="1:16" ht="12.75" customHeight="1" x14ac:dyDescent="0.3">
      <c r="A14" s="765"/>
      <c r="B14" s="15"/>
      <c r="C14" s="22"/>
      <c r="D14" s="120"/>
      <c r="E14" s="15"/>
      <c r="F14" s="22"/>
      <c r="G14" s="15"/>
      <c r="H14" s="15"/>
      <c r="I14" s="22"/>
      <c r="K14" s="121"/>
      <c r="L14" s="122"/>
    </row>
    <row r="15" spans="1:16" ht="9" customHeight="1" x14ac:dyDescent="0.3">
      <c r="A15" s="765"/>
      <c r="C15"/>
      <c r="D15" s="120"/>
      <c r="E15" s="127"/>
      <c r="F15" s="37"/>
      <c r="G15" s="15"/>
      <c r="H15" s="15"/>
      <c r="J15" s="37"/>
      <c r="K15" s="112"/>
      <c r="L15"/>
    </row>
    <row r="16" spans="1:16" ht="9" customHeight="1" x14ac:dyDescent="0.3">
      <c r="A16" s="765"/>
      <c r="C16" s="130"/>
      <c r="D16" s="120"/>
      <c r="F16" s="15"/>
      <c r="G16" s="15"/>
      <c r="H16" s="15"/>
      <c r="K16" s="121"/>
      <c r="L16" s="128"/>
    </row>
    <row r="17" spans="1:13" s="103" customFormat="1" ht="21" customHeight="1" x14ac:dyDescent="0.2">
      <c r="A17" s="765"/>
      <c r="C17" s="104" t="str">
        <f>UPPER(Adatok!A3)</f>
        <v>OLASZORSZÁG</v>
      </c>
      <c r="D17" s="105"/>
      <c r="E17" s="106"/>
      <c r="G17" s="107"/>
      <c r="H17" s="107"/>
      <c r="K17" s="108"/>
      <c r="L17" s="109" t="str">
        <f>UPPER(Adatok!A5)</f>
        <v>SVÁJC</v>
      </c>
    </row>
    <row r="18" spans="1:13" s="15" customFormat="1" ht="33.75" customHeight="1" x14ac:dyDescent="0.3">
      <c r="A18" s="765"/>
      <c r="C18" s="290"/>
      <c r="D18" s="110"/>
      <c r="E18" s="37"/>
      <c r="G18" s="37"/>
      <c r="H18" s="37"/>
      <c r="K18" s="112"/>
      <c r="L18" s="129"/>
    </row>
    <row r="19" spans="1:13" s="119" customFormat="1" ht="12.75" customHeight="1" x14ac:dyDescent="0.3">
      <c r="A19" s="765"/>
      <c r="B19" s="114"/>
      <c r="C19" s="132" t="s">
        <v>834</v>
      </c>
      <c r="D19" s="116"/>
      <c r="E19" s="117"/>
      <c r="F19" s="114"/>
      <c r="G19" s="114"/>
      <c r="H19" s="114"/>
      <c r="K19" s="118"/>
      <c r="L19" s="293" t="s">
        <v>835</v>
      </c>
      <c r="M19" s="114"/>
    </row>
    <row r="20" spans="1:13" ht="12.75" customHeight="1" x14ac:dyDescent="0.3">
      <c r="A20" s="765"/>
      <c r="B20" s="15"/>
      <c r="C20" s="22" t="s">
        <v>896</v>
      </c>
      <c r="D20" s="120"/>
      <c r="E20" s="15"/>
      <c r="F20" s="15"/>
      <c r="G20" s="15"/>
      <c r="H20" s="15"/>
      <c r="K20" s="121"/>
      <c r="L20" s="122" t="s">
        <v>791</v>
      </c>
      <c r="M20" s="15"/>
    </row>
    <row r="21" spans="1:13" ht="12.75" customHeight="1" x14ac:dyDescent="0.3">
      <c r="A21" s="765"/>
      <c r="B21" s="15"/>
      <c r="C21" s="130" t="s">
        <v>769</v>
      </c>
      <c r="D21" s="120"/>
      <c r="E21" s="15"/>
      <c r="F21" s="15"/>
      <c r="G21" s="15"/>
      <c r="H21" s="15"/>
      <c r="K21" s="121"/>
      <c r="L21" s="124"/>
      <c r="M21" s="15"/>
    </row>
    <row r="22" spans="1:13" s="119" customFormat="1" ht="12.75" customHeight="1" x14ac:dyDescent="0.3">
      <c r="A22" s="765"/>
      <c r="B22" s="114"/>
      <c r="C22" s="132" t="s">
        <v>839</v>
      </c>
      <c r="D22" s="125"/>
      <c r="E22" s="114"/>
      <c r="F22" s="114"/>
      <c r="G22" s="114"/>
      <c r="H22" s="114"/>
      <c r="K22" s="126"/>
      <c r="L22" s="293" t="s">
        <v>839</v>
      </c>
      <c r="M22" s="114"/>
    </row>
    <row r="23" spans="1:13" ht="12.75" customHeight="1" x14ac:dyDescent="0.3">
      <c r="A23" s="765"/>
      <c r="B23" s="15"/>
      <c r="C23" s="22" t="s">
        <v>897</v>
      </c>
      <c r="D23" s="120"/>
      <c r="E23" s="15"/>
      <c r="F23" s="15"/>
      <c r="G23" s="15"/>
      <c r="H23" s="15"/>
      <c r="K23" s="121"/>
      <c r="L23" s="122" t="s">
        <v>792</v>
      </c>
      <c r="M23" s="15"/>
    </row>
    <row r="24" spans="1:13" ht="12.75" customHeight="1" x14ac:dyDescent="0.3">
      <c r="A24" s="765"/>
      <c r="B24" s="15"/>
      <c r="C24" s="22" t="s">
        <v>898</v>
      </c>
      <c r="D24" s="120"/>
      <c r="E24" s="15"/>
      <c r="F24" s="15"/>
      <c r="G24" s="15"/>
      <c r="H24" s="15"/>
      <c r="K24" s="121"/>
      <c r="L24" s="122"/>
      <c r="M24" s="15"/>
    </row>
    <row r="25" spans="1:13" ht="12.75" customHeight="1" x14ac:dyDescent="0.3">
      <c r="A25" s="765"/>
      <c r="B25" s="15"/>
      <c r="C25" s="22" t="s">
        <v>899</v>
      </c>
      <c r="D25" s="120"/>
      <c r="E25" s="15"/>
      <c r="F25" s="15"/>
      <c r="G25" s="15"/>
      <c r="H25" s="15"/>
      <c r="K25" s="121"/>
      <c r="L25" s="122"/>
      <c r="M25" s="15"/>
    </row>
    <row r="26" spans="1:13" ht="15" customHeight="1" x14ac:dyDescent="0.3">
      <c r="A26" s="765"/>
      <c r="F26" s="131"/>
    </row>
    <row r="27" spans="1:13" ht="16.5" customHeight="1" x14ac:dyDescent="0.3">
      <c r="A27" s="765"/>
    </row>
    <row r="28" spans="1:13" x14ac:dyDescent="0.3">
      <c r="A28" s="765"/>
    </row>
    <row r="29" spans="1:13" x14ac:dyDescent="0.3">
      <c r="A29" s="765"/>
    </row>
    <row r="30" spans="1:13" ht="12" customHeight="1" x14ac:dyDescent="0.3">
      <c r="A30" s="765"/>
    </row>
    <row r="31" spans="1:13" s="103" customFormat="1" ht="21" customHeight="1" x14ac:dyDescent="0.2">
      <c r="A31" s="765"/>
      <c r="C31" s="104" t="str">
        <f>UPPER(Adatok!B2)</f>
        <v>DÁNIA</v>
      </c>
      <c r="D31" s="105"/>
      <c r="E31" s="106"/>
      <c r="F31" s="107"/>
      <c r="G31" s="107"/>
      <c r="H31" s="107"/>
      <c r="I31" s="107"/>
      <c r="J31" s="107"/>
      <c r="K31" s="108"/>
      <c r="L31" s="109" t="str">
        <f>UPPER(Adatok!B4)</f>
        <v>BELGIUM</v>
      </c>
    </row>
    <row r="32" spans="1:13" s="15" customFormat="1" ht="33.75" customHeight="1" x14ac:dyDescent="0.3">
      <c r="A32" s="765"/>
      <c r="C32" s="37"/>
      <c r="D32" s="110"/>
      <c r="E32" s="37"/>
      <c r="F32" s="37"/>
      <c r="G32" s="37"/>
      <c r="H32" s="37"/>
      <c r="I32" s="111"/>
      <c r="J32" s="37"/>
      <c r="K32" s="112"/>
      <c r="L32" s="129"/>
    </row>
    <row r="33" spans="1:13" s="119" customFormat="1" ht="12.75" customHeight="1" x14ac:dyDescent="0.3">
      <c r="A33" s="765"/>
      <c r="B33" s="114"/>
      <c r="C33" s="132" t="s">
        <v>833</v>
      </c>
      <c r="D33" s="116"/>
      <c r="E33" s="117"/>
      <c r="F33" s="115"/>
      <c r="G33" s="114"/>
      <c r="H33" s="114"/>
      <c r="I33" s="115"/>
      <c r="J33" s="117"/>
      <c r="K33" s="118"/>
      <c r="L33" s="293" t="s">
        <v>890</v>
      </c>
    </row>
    <row r="34" spans="1:13" ht="12.75" customHeight="1" x14ac:dyDescent="0.3">
      <c r="A34" s="765"/>
      <c r="B34" s="15"/>
      <c r="C34" s="22" t="s">
        <v>783</v>
      </c>
      <c r="D34" s="120"/>
      <c r="E34" s="15"/>
      <c r="F34" s="22"/>
      <c r="G34" s="15"/>
      <c r="H34" s="15"/>
      <c r="I34" s="22"/>
      <c r="K34" s="121"/>
      <c r="L34" s="122" t="s">
        <v>786</v>
      </c>
    </row>
    <row r="35" spans="1:13" ht="12.75" customHeight="1" x14ac:dyDescent="0.3">
      <c r="A35" s="765"/>
      <c r="B35" s="15"/>
      <c r="C35" s="130" t="s">
        <v>886</v>
      </c>
      <c r="D35" s="120"/>
      <c r="E35" s="15"/>
      <c r="F35" s="22"/>
      <c r="G35" s="15"/>
      <c r="H35" s="15"/>
      <c r="I35" s="123"/>
      <c r="K35" s="121"/>
      <c r="L35" s="124" t="s">
        <v>787</v>
      </c>
    </row>
    <row r="36" spans="1:13" s="119" customFormat="1" ht="12.75" customHeight="1" x14ac:dyDescent="0.3">
      <c r="A36" s="765"/>
      <c r="B36" s="114"/>
      <c r="C36" s="132" t="s">
        <v>839</v>
      </c>
      <c r="D36" s="125"/>
      <c r="E36" s="114"/>
      <c r="F36" s="115"/>
      <c r="G36" s="114"/>
      <c r="H36" s="114"/>
      <c r="I36" s="115"/>
      <c r="K36" s="126"/>
      <c r="L36" s="293" t="s">
        <v>839</v>
      </c>
    </row>
    <row r="37" spans="1:13" ht="12.75" customHeight="1" x14ac:dyDescent="0.3">
      <c r="A37" s="765"/>
      <c r="B37" s="15"/>
      <c r="C37" s="22" t="s">
        <v>784</v>
      </c>
      <c r="D37" s="120"/>
      <c r="E37" s="15"/>
      <c r="F37" s="22"/>
      <c r="G37" s="15"/>
      <c r="H37" s="15"/>
      <c r="I37" s="22"/>
      <c r="K37" s="121"/>
      <c r="L37" s="122" t="s">
        <v>880</v>
      </c>
    </row>
    <row r="38" spans="1:13" ht="12.75" customHeight="1" x14ac:dyDescent="0.3">
      <c r="A38" s="765"/>
      <c r="B38" s="15"/>
      <c r="C38" s="22" t="s">
        <v>785</v>
      </c>
      <c r="D38" s="120"/>
      <c r="E38" s="15"/>
      <c r="F38" s="22"/>
      <c r="G38" s="15"/>
      <c r="H38" s="15"/>
      <c r="I38" s="22"/>
      <c r="K38" s="121"/>
      <c r="L38" s="122" t="s">
        <v>881</v>
      </c>
    </row>
    <row r="39" spans="1:13" ht="12.75" customHeight="1" x14ac:dyDescent="0.3">
      <c r="A39" s="765"/>
      <c r="B39" s="15"/>
      <c r="C39"/>
      <c r="D39" s="120"/>
      <c r="E39" s="15"/>
      <c r="F39" s="22"/>
      <c r="G39" s="15"/>
      <c r="H39" s="15"/>
      <c r="I39" s="22"/>
      <c r="K39" s="121"/>
      <c r="L39" s="122" t="s">
        <v>773</v>
      </c>
    </row>
    <row r="40" spans="1:13" ht="9" customHeight="1" x14ac:dyDescent="0.3">
      <c r="A40" s="765"/>
      <c r="D40" s="120"/>
      <c r="E40" s="127"/>
      <c r="F40" s="37"/>
      <c r="G40" s="15"/>
      <c r="H40" s="15"/>
      <c r="J40" s="37"/>
      <c r="K40" s="112"/>
      <c r="L40"/>
    </row>
    <row r="41" spans="1:13" ht="9" customHeight="1" x14ac:dyDescent="0.3">
      <c r="A41" s="765"/>
      <c r="D41" s="120"/>
      <c r="F41" s="15"/>
      <c r="G41" s="15"/>
      <c r="H41" s="15"/>
      <c r="K41" s="121"/>
      <c r="L41" s="128"/>
    </row>
    <row r="42" spans="1:13" s="103" customFormat="1" ht="21" customHeight="1" x14ac:dyDescent="0.2">
      <c r="A42" s="765"/>
      <c r="C42" s="104" t="str">
        <f>UPPER(Adatok!B3)</f>
        <v>FINNORSZÁG</v>
      </c>
      <c r="D42" s="105"/>
      <c r="E42" s="106"/>
      <c r="G42" s="107"/>
      <c r="H42" s="107"/>
      <c r="K42" s="108"/>
      <c r="L42" s="109" t="str">
        <f>UPPER(Adatok!B5)</f>
        <v>OROSZORSZÁG</v>
      </c>
    </row>
    <row r="43" spans="1:13" s="15" customFormat="1" ht="33.75" customHeight="1" x14ac:dyDescent="0.3">
      <c r="A43" s="765"/>
      <c r="C43"/>
      <c r="D43" s="110"/>
      <c r="E43" s="37"/>
      <c r="G43" s="37"/>
      <c r="H43" s="37"/>
      <c r="K43" s="112"/>
      <c r="L43" s="113"/>
    </row>
    <row r="44" spans="1:13" s="119" customFormat="1" ht="12.75" customHeight="1" x14ac:dyDescent="0.3">
      <c r="A44" s="765"/>
      <c r="B44" s="114"/>
      <c r="C44" s="132" t="s">
        <v>838</v>
      </c>
      <c r="D44" s="116"/>
      <c r="E44" s="117"/>
      <c r="F44" s="114"/>
      <c r="G44" s="114"/>
      <c r="H44" s="114"/>
      <c r="K44" s="118"/>
      <c r="L44" s="293" t="s">
        <v>837</v>
      </c>
      <c r="M44" s="114"/>
    </row>
    <row r="45" spans="1:13" ht="12.75" customHeight="1" x14ac:dyDescent="0.3">
      <c r="A45" s="765"/>
      <c r="B45" s="15"/>
      <c r="C45" s="22" t="s">
        <v>811</v>
      </c>
      <c r="D45" s="120"/>
      <c r="E45" s="15"/>
      <c r="F45" s="15"/>
      <c r="G45" s="15"/>
      <c r="H45" s="15"/>
      <c r="K45" s="121"/>
      <c r="L45" s="122" t="s">
        <v>872</v>
      </c>
      <c r="M45" s="15"/>
    </row>
    <row r="46" spans="1:13" ht="12.75" customHeight="1" x14ac:dyDescent="0.3">
      <c r="A46" s="765"/>
      <c r="B46" s="15"/>
      <c r="C46" s="130"/>
      <c r="D46" s="120"/>
      <c r="E46" s="15"/>
      <c r="F46" s="15"/>
      <c r="G46" s="15"/>
      <c r="H46" s="15"/>
      <c r="K46" s="121"/>
      <c r="L46" s="124" t="s">
        <v>788</v>
      </c>
      <c r="M46" s="15"/>
    </row>
    <row r="47" spans="1:13" s="119" customFormat="1" ht="12.75" customHeight="1" x14ac:dyDescent="0.3">
      <c r="A47" s="765"/>
      <c r="B47" s="114"/>
      <c r="C47" s="132" t="s">
        <v>839</v>
      </c>
      <c r="D47" s="125"/>
      <c r="E47" s="114"/>
      <c r="F47" s="114"/>
      <c r="G47" s="114"/>
      <c r="H47" s="114"/>
      <c r="K47" s="126"/>
      <c r="L47" s="293" t="s">
        <v>839</v>
      </c>
      <c r="M47" s="114"/>
    </row>
    <row r="48" spans="1:13" ht="12.75" customHeight="1" x14ac:dyDescent="0.3">
      <c r="A48" s="765"/>
      <c r="B48" s="15"/>
      <c r="C48" s="22" t="s">
        <v>811</v>
      </c>
      <c r="D48" s="120"/>
      <c r="E48" s="15"/>
      <c r="F48" s="15"/>
      <c r="G48" s="15"/>
      <c r="H48" s="15"/>
      <c r="K48" s="121"/>
      <c r="L48" s="122" t="s">
        <v>874</v>
      </c>
      <c r="M48" s="15"/>
    </row>
    <row r="49" spans="1:13" ht="12.75" customHeight="1" x14ac:dyDescent="0.3">
      <c r="A49" s="765"/>
      <c r="B49" s="15"/>
      <c r="C49" s="22"/>
      <c r="D49" s="120"/>
      <c r="E49" s="15"/>
      <c r="F49" s="15"/>
      <c r="G49" s="15"/>
      <c r="H49" s="15"/>
      <c r="K49" s="121"/>
      <c r="L49" s="122" t="s">
        <v>875</v>
      </c>
      <c r="M49" s="15"/>
    </row>
    <row r="50" spans="1:13" ht="12.75" customHeight="1" x14ac:dyDescent="0.3">
      <c r="A50" s="765"/>
      <c r="B50" s="15"/>
      <c r="C50" s="22"/>
      <c r="D50" s="120"/>
      <c r="E50" s="15"/>
      <c r="F50" s="15"/>
      <c r="G50" s="15"/>
      <c r="H50" s="15"/>
      <c r="K50" s="121"/>
      <c r="L50" s="122" t="s">
        <v>871</v>
      </c>
      <c r="M50" s="15"/>
    </row>
    <row r="51" spans="1:13" ht="15" customHeight="1" x14ac:dyDescent="0.3">
      <c r="A51" s="765"/>
      <c r="F51" s="131"/>
    </row>
    <row r="52" spans="1:13" ht="16.5" customHeight="1" x14ac:dyDescent="0.3">
      <c r="A52" s="765"/>
    </row>
    <row r="53" spans="1:13" x14ac:dyDescent="0.3">
      <c r="A53" s="765"/>
    </row>
    <row r="54" spans="1:13" x14ac:dyDescent="0.3">
      <c r="A54" s="765"/>
      <c r="L54" s="53"/>
    </row>
    <row r="55" spans="1:13" ht="12" customHeight="1" x14ac:dyDescent="0.3">
      <c r="A55" s="765"/>
    </row>
    <row r="56" spans="1:13" s="103" customFormat="1" ht="21" customHeight="1" x14ac:dyDescent="0.2">
      <c r="A56" s="765"/>
      <c r="C56" s="104" t="str">
        <f>UPPER(Adatok!C2)</f>
        <v>HOLLANDIA</v>
      </c>
      <c r="D56" s="105"/>
      <c r="E56" s="106"/>
      <c r="F56" s="107"/>
      <c r="G56" s="107"/>
      <c r="H56" s="107"/>
      <c r="I56" s="107"/>
      <c r="J56" s="107"/>
      <c r="K56" s="108"/>
      <c r="L56" s="109" t="str">
        <f>UPPER(Adatok!C4)</f>
        <v>AUSZTRIA</v>
      </c>
    </row>
    <row r="57" spans="1:13" s="15" customFormat="1" ht="33.75" customHeight="1" x14ac:dyDescent="0.3">
      <c r="A57" s="765"/>
      <c r="C57" s="290"/>
      <c r="D57" s="110"/>
      <c r="E57" s="37"/>
      <c r="F57" s="37"/>
      <c r="G57" s="37"/>
      <c r="H57" s="37"/>
      <c r="I57" s="111"/>
      <c r="J57" s="37"/>
      <c r="K57" s="112"/>
      <c r="L57" s="113"/>
    </row>
    <row r="58" spans="1:13" s="119" customFormat="1" ht="12.75" customHeight="1" x14ac:dyDescent="0.3">
      <c r="A58" s="765"/>
      <c r="B58" s="114"/>
      <c r="C58" s="132" t="s">
        <v>834</v>
      </c>
      <c r="D58" s="116"/>
      <c r="E58" s="117"/>
      <c r="F58" s="115"/>
      <c r="G58" s="114"/>
      <c r="H58" s="114"/>
      <c r="I58" s="115"/>
      <c r="J58" s="117"/>
      <c r="K58" s="118"/>
      <c r="L58" s="293" t="s">
        <v>831</v>
      </c>
    </row>
    <row r="59" spans="1:13" ht="12.75" customHeight="1" x14ac:dyDescent="0.3">
      <c r="A59" s="765"/>
      <c r="B59" s="15"/>
      <c r="C59" s="22" t="s">
        <v>777</v>
      </c>
      <c r="D59" s="120"/>
      <c r="E59" s="15"/>
      <c r="F59" s="22"/>
      <c r="G59" s="15"/>
      <c r="H59" s="15"/>
      <c r="I59" s="22"/>
      <c r="K59" s="121"/>
      <c r="L59" s="122" t="s">
        <v>772</v>
      </c>
    </row>
    <row r="60" spans="1:13" ht="12.75" customHeight="1" x14ac:dyDescent="0.3">
      <c r="A60" s="765"/>
      <c r="B60" s="15"/>
      <c r="C60" s="130" t="s">
        <v>778</v>
      </c>
      <c r="D60" s="120"/>
      <c r="E60" s="15"/>
      <c r="F60" s="22"/>
      <c r="G60" s="15"/>
      <c r="H60" s="15"/>
      <c r="I60" s="123"/>
      <c r="K60" s="121"/>
      <c r="L60" s="124"/>
    </row>
    <row r="61" spans="1:13" s="119" customFormat="1" ht="12.75" customHeight="1" x14ac:dyDescent="0.3">
      <c r="A61" s="765"/>
      <c r="B61" s="114"/>
      <c r="C61" s="132" t="s">
        <v>839</v>
      </c>
      <c r="D61" s="125"/>
      <c r="E61" s="114"/>
      <c r="F61" s="115"/>
      <c r="G61" s="114"/>
      <c r="H61" s="114"/>
      <c r="I61" s="115"/>
      <c r="K61" s="126"/>
      <c r="L61" s="293" t="s">
        <v>840</v>
      </c>
    </row>
    <row r="62" spans="1:13" ht="12.75" customHeight="1" x14ac:dyDescent="0.3">
      <c r="A62" s="765"/>
      <c r="B62" s="15"/>
      <c r="C62" s="22" t="s">
        <v>779</v>
      </c>
      <c r="D62" s="120"/>
      <c r="E62" s="15"/>
      <c r="F62" s="22"/>
      <c r="G62" s="15"/>
      <c r="H62" s="15"/>
      <c r="I62" s="22"/>
      <c r="K62" s="121"/>
      <c r="L62" s="122" t="s">
        <v>811</v>
      </c>
    </row>
    <row r="63" spans="1:13" ht="12.75" customHeight="1" x14ac:dyDescent="0.3">
      <c r="A63" s="765"/>
      <c r="B63" s="15"/>
      <c r="C63" s="22" t="s">
        <v>780</v>
      </c>
      <c r="D63" s="120"/>
      <c r="E63" s="15"/>
      <c r="F63" s="22"/>
      <c r="G63" s="15"/>
      <c r="H63" s="15"/>
      <c r="I63" s="22"/>
      <c r="K63" s="121"/>
      <c r="L63" s="122"/>
    </row>
    <row r="64" spans="1:13" ht="12.75" customHeight="1" x14ac:dyDescent="0.3">
      <c r="A64" s="765"/>
      <c r="B64" s="15"/>
      <c r="C64" s="22"/>
      <c r="D64" s="120"/>
      <c r="E64" s="15"/>
      <c r="F64" s="22"/>
      <c r="G64" s="15"/>
      <c r="H64" s="15"/>
      <c r="I64" s="22"/>
      <c r="K64" s="121"/>
      <c r="L64"/>
    </row>
    <row r="65" spans="1:13" ht="9" customHeight="1" x14ac:dyDescent="0.3">
      <c r="A65" s="765"/>
      <c r="C65" s="22"/>
      <c r="D65" s="120"/>
      <c r="E65" s="127"/>
      <c r="F65" s="37"/>
      <c r="G65" s="15"/>
      <c r="H65" s="15"/>
      <c r="J65" s="37"/>
      <c r="K65" s="112"/>
      <c r="L65"/>
    </row>
    <row r="66" spans="1:13" ht="9" customHeight="1" x14ac:dyDescent="0.3">
      <c r="A66" s="765"/>
      <c r="D66" s="120"/>
      <c r="F66" s="15"/>
      <c r="G66" s="15"/>
      <c r="H66" s="15"/>
      <c r="K66" s="121"/>
      <c r="L66" s="128"/>
    </row>
    <row r="67" spans="1:13" s="103" customFormat="1" ht="21" customHeight="1" x14ac:dyDescent="0.2">
      <c r="A67" s="765"/>
      <c r="C67" s="104" t="str">
        <f>UPPER(Adatok!C3)</f>
        <v>UKRAJNA</v>
      </c>
      <c r="D67" s="105"/>
      <c r="E67" s="106"/>
      <c r="G67" s="107"/>
      <c r="H67" s="107"/>
      <c r="K67" s="108"/>
      <c r="L67" s="109" t="str">
        <f>UPPER(Adatok!C5)</f>
        <v>ÉSZAK-MACEDÓNIA</v>
      </c>
    </row>
    <row r="68" spans="1:13" s="15" customFormat="1" ht="33.75" customHeight="1" x14ac:dyDescent="0.3">
      <c r="A68" s="765"/>
      <c r="C68" s="37"/>
      <c r="D68" s="110"/>
      <c r="E68" s="37"/>
      <c r="G68" s="37"/>
      <c r="H68" s="37"/>
      <c r="K68" s="112"/>
      <c r="L68" s="129"/>
    </row>
    <row r="69" spans="1:13" s="119" customFormat="1" ht="12.75" customHeight="1" x14ac:dyDescent="0.3">
      <c r="A69" s="765"/>
      <c r="B69" s="114"/>
      <c r="C69" s="132" t="s">
        <v>836</v>
      </c>
      <c r="D69" s="116"/>
      <c r="E69" s="117"/>
      <c r="F69" s="114"/>
      <c r="G69" s="114"/>
      <c r="H69" s="114"/>
      <c r="K69" s="118"/>
      <c r="L69" s="293" t="s">
        <v>838</v>
      </c>
      <c r="M69" s="114"/>
    </row>
    <row r="70" spans="1:13" ht="12.75" customHeight="1" x14ac:dyDescent="0.3">
      <c r="A70" s="765"/>
      <c r="B70" s="15"/>
      <c r="C70" s="22" t="s">
        <v>782</v>
      </c>
      <c r="D70" s="120"/>
      <c r="E70" s="15"/>
      <c r="F70" s="15"/>
      <c r="G70" s="15"/>
      <c r="H70" s="15"/>
      <c r="K70" s="121"/>
      <c r="L70" s="122" t="s">
        <v>877</v>
      </c>
      <c r="M70" s="15"/>
    </row>
    <row r="71" spans="1:13" ht="12.75" customHeight="1" x14ac:dyDescent="0.3">
      <c r="A71" s="765"/>
      <c r="B71" s="15"/>
      <c r="C71" s="130"/>
      <c r="D71" s="120"/>
      <c r="E71" s="15"/>
      <c r="F71" s="15"/>
      <c r="G71" s="15"/>
      <c r="H71" s="15"/>
      <c r="K71" s="121"/>
      <c r="L71" s="124"/>
      <c r="M71" s="15"/>
    </row>
    <row r="72" spans="1:13" s="119" customFormat="1" ht="12.75" customHeight="1" x14ac:dyDescent="0.3">
      <c r="A72" s="765"/>
      <c r="B72" s="114"/>
      <c r="C72" s="132" t="s">
        <v>839</v>
      </c>
      <c r="D72" s="125"/>
      <c r="E72" s="114"/>
      <c r="F72" s="114"/>
      <c r="G72" s="114"/>
      <c r="H72" s="114"/>
      <c r="K72" s="126"/>
      <c r="L72" s="293" t="s">
        <v>839</v>
      </c>
      <c r="M72" s="114"/>
    </row>
    <row r="73" spans="1:13" ht="12.75" customHeight="1" x14ac:dyDescent="0.3">
      <c r="A73" s="765"/>
      <c r="B73" s="15"/>
      <c r="C73" s="22" t="s">
        <v>811</v>
      </c>
      <c r="D73" s="120"/>
      <c r="E73" s="15"/>
      <c r="F73" s="15"/>
      <c r="G73" s="15"/>
      <c r="H73" s="15"/>
      <c r="K73" s="121"/>
      <c r="L73" s="122" t="s">
        <v>877</v>
      </c>
      <c r="M73" s="15"/>
    </row>
    <row r="74" spans="1:13" ht="12.75" customHeight="1" x14ac:dyDescent="0.3">
      <c r="A74" s="765"/>
      <c r="B74" s="15"/>
      <c r="C74"/>
      <c r="D74" s="120"/>
      <c r="E74" s="15"/>
      <c r="F74" s="15"/>
      <c r="G74" s="15"/>
      <c r="H74" s="15"/>
      <c r="K74" s="121"/>
      <c r="L74" s="122"/>
      <c r="M74" s="15"/>
    </row>
    <row r="75" spans="1:13" ht="12.75" customHeight="1" x14ac:dyDescent="0.3">
      <c r="A75" s="765"/>
      <c r="B75" s="15"/>
      <c r="C75" s="22"/>
      <c r="D75" s="120"/>
      <c r="E75" s="15"/>
      <c r="F75" s="15"/>
      <c r="G75" s="15"/>
      <c r="H75" s="15"/>
      <c r="K75" s="121"/>
      <c r="L75" s="122"/>
      <c r="M75" s="15"/>
    </row>
    <row r="76" spans="1:13" ht="15" customHeight="1" x14ac:dyDescent="0.3">
      <c r="A76" s="765"/>
      <c r="F76" s="131"/>
      <c r="L76"/>
    </row>
    <row r="77" spans="1:13" ht="16.5" customHeight="1" x14ac:dyDescent="0.3">
      <c r="A77" s="765"/>
    </row>
    <row r="78" spans="1:13" x14ac:dyDescent="0.3">
      <c r="A78" s="765"/>
    </row>
    <row r="79" spans="1:13" x14ac:dyDescent="0.3">
      <c r="A79" s="765"/>
    </row>
    <row r="80" spans="1:13" ht="12" customHeight="1" x14ac:dyDescent="0.3">
      <c r="A80" s="765"/>
    </row>
    <row r="81" spans="1:13" s="103" customFormat="1" ht="21" customHeight="1" x14ac:dyDescent="0.2">
      <c r="A81" s="765"/>
      <c r="C81" s="104" t="str">
        <f>UPPER(Adatok!D2)</f>
        <v>ANGLIA</v>
      </c>
      <c r="D81" s="105"/>
      <c r="E81" s="106"/>
      <c r="F81" s="107"/>
      <c r="G81" s="107"/>
      <c r="H81" s="107"/>
      <c r="I81" s="107"/>
      <c r="J81" s="107"/>
      <c r="K81" s="108"/>
      <c r="L81" s="109" t="str">
        <f>UPPER(Adatok!D4)</f>
        <v>SKÓCIA</v>
      </c>
    </row>
    <row r="82" spans="1:13" s="15" customFormat="1" ht="33.75" customHeight="1" x14ac:dyDescent="0.3">
      <c r="A82" s="765"/>
      <c r="C82" s="37"/>
      <c r="D82" s="110"/>
      <c r="E82" s="37"/>
      <c r="F82" s="37"/>
      <c r="G82" s="37"/>
      <c r="H82" s="37"/>
      <c r="I82" s="111"/>
      <c r="J82" s="37"/>
      <c r="K82" s="112"/>
      <c r="L82" s="291"/>
    </row>
    <row r="83" spans="1:13" s="119" customFormat="1" ht="12.75" customHeight="1" x14ac:dyDescent="0.3">
      <c r="A83" s="765"/>
      <c r="B83" s="114"/>
      <c r="C83" s="132" t="s">
        <v>834</v>
      </c>
      <c r="D83" s="116"/>
      <c r="E83" s="117"/>
      <c r="F83" s="115"/>
      <c r="G83" s="114"/>
      <c r="H83" s="114"/>
      <c r="I83" s="115"/>
      <c r="J83" s="117"/>
      <c r="K83" s="118"/>
      <c r="L83" s="293" t="s">
        <v>836</v>
      </c>
    </row>
    <row r="84" spans="1:13" ht="12.75" customHeight="1" x14ac:dyDescent="0.3">
      <c r="A84" s="765"/>
      <c r="B84" s="15"/>
      <c r="C84" s="22" t="s">
        <v>885</v>
      </c>
      <c r="D84" s="120"/>
      <c r="E84" s="15"/>
      <c r="F84" s="22"/>
      <c r="G84" s="15"/>
      <c r="H84" s="15"/>
      <c r="I84" s="22"/>
      <c r="K84" s="121"/>
      <c r="L84" s="122" t="s">
        <v>1327</v>
      </c>
    </row>
    <row r="85" spans="1:13" ht="12.75" customHeight="1" x14ac:dyDescent="0.3">
      <c r="A85" s="765"/>
      <c r="B85" s="15"/>
      <c r="C85" s="130" t="s">
        <v>776</v>
      </c>
      <c r="D85" s="120"/>
      <c r="E85" s="15"/>
      <c r="F85" s="22"/>
      <c r="G85" s="15"/>
      <c r="H85" s="15"/>
      <c r="I85" s="123"/>
      <c r="K85" s="121"/>
      <c r="L85"/>
    </row>
    <row r="86" spans="1:13" s="119" customFormat="1" ht="12.75" customHeight="1" x14ac:dyDescent="0.3">
      <c r="A86" s="765"/>
      <c r="B86" s="114"/>
      <c r="C86" s="132" t="s">
        <v>839</v>
      </c>
      <c r="D86" s="125"/>
      <c r="E86" s="114"/>
      <c r="F86" s="115"/>
      <c r="G86" s="114"/>
      <c r="H86" s="114"/>
      <c r="I86" s="115"/>
      <c r="K86" s="126"/>
      <c r="L86" s="293" t="s">
        <v>839</v>
      </c>
    </row>
    <row r="87" spans="1:13" ht="12.75" customHeight="1" x14ac:dyDescent="0.3">
      <c r="A87" s="765"/>
      <c r="B87" s="15"/>
      <c r="C87" s="22" t="s">
        <v>887</v>
      </c>
      <c r="D87" s="120"/>
      <c r="E87" s="15"/>
      <c r="F87" s="22"/>
      <c r="G87" s="15"/>
      <c r="H87" s="15"/>
      <c r="I87" s="22"/>
      <c r="K87" s="121"/>
      <c r="L87" s="122" t="s">
        <v>877</v>
      </c>
    </row>
    <row r="88" spans="1:13" ht="12.75" customHeight="1" x14ac:dyDescent="0.3">
      <c r="A88" s="765"/>
      <c r="B88" s="15"/>
      <c r="C88" s="22" t="s">
        <v>888</v>
      </c>
      <c r="D88" s="120"/>
      <c r="E88" s="15"/>
      <c r="F88" s="22"/>
      <c r="G88" s="15"/>
      <c r="H88" s="15"/>
      <c r="I88" s="22"/>
      <c r="K88" s="121"/>
      <c r="L88" s="122"/>
    </row>
    <row r="89" spans="1:13" ht="12.75" customHeight="1" x14ac:dyDescent="0.3">
      <c r="A89" s="765"/>
      <c r="B89" s="15"/>
      <c r="C89" s="22"/>
      <c r="D89" s="120"/>
      <c r="E89" s="15"/>
      <c r="F89" s="22"/>
      <c r="G89" s="15"/>
      <c r="H89" s="15"/>
      <c r="I89" s="22"/>
      <c r="K89" s="121"/>
      <c r="L89" s="122"/>
    </row>
    <row r="90" spans="1:13" ht="9" customHeight="1" x14ac:dyDescent="0.3">
      <c r="A90" s="765"/>
      <c r="D90" s="120"/>
      <c r="E90" s="127"/>
      <c r="F90" s="37"/>
      <c r="G90" s="15"/>
      <c r="H90" s="15"/>
      <c r="J90" s="37"/>
      <c r="K90" s="112"/>
      <c r="L90"/>
    </row>
    <row r="91" spans="1:13" ht="9" customHeight="1" x14ac:dyDescent="0.3">
      <c r="A91" s="765"/>
      <c r="C91"/>
      <c r="D91" s="120"/>
      <c r="F91" s="15"/>
      <c r="G91" s="15"/>
      <c r="H91" s="15"/>
      <c r="K91" s="121"/>
      <c r="L91"/>
    </row>
    <row r="92" spans="1:13" s="103" customFormat="1" ht="21" customHeight="1" x14ac:dyDescent="0.2">
      <c r="A92" s="765"/>
      <c r="C92" s="104" t="str">
        <f>UPPER(Adatok!D3)</f>
        <v>HORVÁTORSZÁG</v>
      </c>
      <c r="D92" s="105"/>
      <c r="E92" s="106"/>
      <c r="G92" s="107"/>
      <c r="H92" s="107"/>
      <c r="K92" s="108"/>
      <c r="L92" s="109" t="str">
        <f>UPPER(Adatok!D5)</f>
        <v>CSEHORSZÁG</v>
      </c>
    </row>
    <row r="93" spans="1:13" s="15" customFormat="1" ht="33.75" customHeight="1" x14ac:dyDescent="0.3">
      <c r="A93" s="765"/>
      <c r="C93" s="290"/>
      <c r="D93" s="110"/>
      <c r="E93" s="37"/>
      <c r="G93" s="37"/>
      <c r="H93" s="37"/>
      <c r="K93" s="112"/>
      <c r="L93" s="291"/>
    </row>
    <row r="94" spans="1:13" s="119" customFormat="1" ht="12.75" customHeight="1" x14ac:dyDescent="0.3">
      <c r="A94" s="765"/>
      <c r="B94" s="114"/>
      <c r="C94" s="132" t="s">
        <v>834</v>
      </c>
      <c r="D94" s="116"/>
      <c r="E94" s="117"/>
      <c r="F94" s="114"/>
      <c r="G94" s="114"/>
      <c r="H94" s="114"/>
      <c r="K94" s="118"/>
      <c r="L94" s="293" t="s">
        <v>834</v>
      </c>
      <c r="M94" s="114"/>
    </row>
    <row r="95" spans="1:13" ht="12.75" customHeight="1" x14ac:dyDescent="0.3">
      <c r="A95" s="765"/>
      <c r="B95" s="15"/>
      <c r="C95" s="22" t="s">
        <v>1187</v>
      </c>
      <c r="D95" s="120"/>
      <c r="E95" s="15"/>
      <c r="F95" s="15"/>
      <c r="G95" s="15"/>
      <c r="H95" s="15"/>
      <c r="K95" s="121"/>
      <c r="L95" s="122" t="s">
        <v>1186</v>
      </c>
      <c r="M95" s="15"/>
    </row>
    <row r="96" spans="1:13" ht="12.75" customHeight="1" x14ac:dyDescent="0.3">
      <c r="A96" s="765"/>
      <c r="B96" s="15"/>
      <c r="C96" s="130" t="s">
        <v>775</v>
      </c>
      <c r="D96" s="120"/>
      <c r="E96" s="15"/>
      <c r="F96" s="15"/>
      <c r="G96" s="15"/>
      <c r="H96" s="15"/>
      <c r="K96" s="121"/>
      <c r="L96" s="124" t="s">
        <v>774</v>
      </c>
      <c r="M96" s="15"/>
    </row>
    <row r="97" spans="1:13" s="119" customFormat="1" ht="12.75" customHeight="1" x14ac:dyDescent="0.3">
      <c r="A97" s="765"/>
      <c r="B97" s="114"/>
      <c r="C97" s="132" t="s">
        <v>840</v>
      </c>
      <c r="D97" s="125"/>
      <c r="E97" s="114"/>
      <c r="F97" s="114"/>
      <c r="G97" s="114"/>
      <c r="H97" s="114"/>
      <c r="K97" s="126"/>
      <c r="L97" s="293" t="s">
        <v>839</v>
      </c>
      <c r="M97" s="114"/>
    </row>
    <row r="98" spans="1:13" ht="12.75" customHeight="1" x14ac:dyDescent="0.3">
      <c r="A98" s="765"/>
      <c r="B98" s="15"/>
      <c r="C98" s="22" t="s">
        <v>882</v>
      </c>
      <c r="D98" s="120"/>
      <c r="E98" s="15"/>
      <c r="F98" s="15"/>
      <c r="G98" s="15"/>
      <c r="H98" s="15"/>
      <c r="K98" s="121"/>
      <c r="L98" s="122" t="s">
        <v>1331</v>
      </c>
      <c r="M98" s="15"/>
    </row>
    <row r="99" spans="1:13" ht="12.75" customHeight="1" x14ac:dyDescent="0.3">
      <c r="A99" s="765"/>
      <c r="B99" s="15"/>
      <c r="C99" s="22" t="s">
        <v>883</v>
      </c>
      <c r="D99" s="120"/>
      <c r="E99" s="15"/>
      <c r="F99" s="15"/>
      <c r="G99" s="15"/>
      <c r="H99" s="15"/>
      <c r="K99" s="121"/>
      <c r="L99" s="122" t="s">
        <v>876</v>
      </c>
      <c r="M99" s="15"/>
    </row>
    <row r="100" spans="1:13" ht="12.75" customHeight="1" x14ac:dyDescent="0.3">
      <c r="A100" s="765"/>
      <c r="B100" s="15"/>
      <c r="C100" s="22"/>
      <c r="D100" s="120"/>
      <c r="E100" s="15"/>
      <c r="F100" s="15"/>
      <c r="G100" s="15"/>
      <c r="H100" s="15"/>
      <c r="K100" s="121"/>
      <c r="L100" s="122" t="s">
        <v>1332</v>
      </c>
      <c r="M100" s="15"/>
    </row>
    <row r="101" spans="1:13" ht="15" customHeight="1" x14ac:dyDescent="0.3">
      <c r="A101" s="765"/>
      <c r="F101" s="131"/>
    </row>
    <row r="102" spans="1:13" ht="16.5" customHeight="1" x14ac:dyDescent="0.3">
      <c r="A102" s="765"/>
    </row>
    <row r="103" spans="1:13" x14ac:dyDescent="0.3">
      <c r="A103" s="765"/>
    </row>
    <row r="104" spans="1:13" x14ac:dyDescent="0.3">
      <c r="A104" s="765"/>
    </row>
    <row r="105" spans="1:13" ht="12" customHeight="1" x14ac:dyDescent="0.3">
      <c r="A105" s="765"/>
    </row>
    <row r="106" spans="1:13" s="103" customFormat="1" ht="21" customHeight="1" x14ac:dyDescent="0.2">
      <c r="A106" s="765"/>
      <c r="C106" s="104" t="str">
        <f>UPPER(Adatok!E2)</f>
        <v>SPANYOLORSZÁG</v>
      </c>
      <c r="D106" s="105"/>
      <c r="E106" s="106"/>
      <c r="F106" s="107"/>
      <c r="G106" s="107"/>
      <c r="H106" s="107"/>
      <c r="I106" s="107"/>
      <c r="J106" s="107"/>
      <c r="K106" s="108"/>
      <c r="L106" s="109" t="str">
        <f>UPPER(Adatok!E4)</f>
        <v>LENGYELORSZÁG</v>
      </c>
    </row>
    <row r="107" spans="1:13" s="15" customFormat="1" ht="33.75" customHeight="1" x14ac:dyDescent="0.3">
      <c r="A107" s="765"/>
      <c r="C107" s="290"/>
      <c r="D107" s="110"/>
      <c r="E107" s="37"/>
      <c r="F107" s="37"/>
      <c r="G107" s="37"/>
      <c r="H107" s="37"/>
      <c r="I107" s="111"/>
      <c r="J107" s="37"/>
      <c r="K107" s="112"/>
      <c r="L107" s="113"/>
    </row>
    <row r="108" spans="1:13" s="119" customFormat="1" ht="12.75" customHeight="1" x14ac:dyDescent="0.3">
      <c r="A108" s="765"/>
      <c r="B108" s="114"/>
      <c r="C108" s="132" t="s">
        <v>873</v>
      </c>
      <c r="D108" s="116"/>
      <c r="E108" s="117"/>
      <c r="F108" s="115"/>
      <c r="G108" s="114"/>
      <c r="H108" s="114"/>
      <c r="I108" s="115"/>
      <c r="J108" s="117"/>
      <c r="K108" s="118"/>
      <c r="L108" s="293" t="s">
        <v>831</v>
      </c>
    </row>
    <row r="109" spans="1:13" ht="12.75" customHeight="1" x14ac:dyDescent="0.3">
      <c r="A109" s="765"/>
      <c r="B109" s="15"/>
      <c r="C109" s="22" t="s">
        <v>903</v>
      </c>
      <c r="D109" s="120"/>
      <c r="E109" s="15"/>
      <c r="F109" s="22"/>
      <c r="G109" s="15"/>
      <c r="H109" s="15"/>
      <c r="I109" s="22"/>
      <c r="K109" s="121"/>
      <c r="L109" s="122" t="s">
        <v>772</v>
      </c>
    </row>
    <row r="110" spans="1:13" ht="12.75" customHeight="1" x14ac:dyDescent="0.3">
      <c r="A110" s="765"/>
      <c r="B110" s="15"/>
      <c r="C110" s="130" t="s">
        <v>769</v>
      </c>
      <c r="D110" s="120"/>
      <c r="E110" s="15"/>
      <c r="F110" s="22"/>
      <c r="G110" s="15"/>
      <c r="H110" s="15"/>
      <c r="I110" s="123"/>
      <c r="K110" s="121"/>
      <c r="L110" s="124"/>
    </row>
    <row r="111" spans="1:13" s="119" customFormat="1" ht="12.75" customHeight="1" x14ac:dyDescent="0.3">
      <c r="A111" s="765"/>
      <c r="B111" s="114"/>
      <c r="C111" s="132" t="s">
        <v>840</v>
      </c>
      <c r="D111" s="125"/>
      <c r="E111" s="114"/>
      <c r="F111" s="115"/>
      <c r="G111" s="114"/>
      <c r="H111" s="114"/>
      <c r="I111" s="115"/>
      <c r="K111" s="126"/>
      <c r="L111" s="293" t="s">
        <v>840</v>
      </c>
    </row>
    <row r="112" spans="1:13" ht="12.75" customHeight="1" x14ac:dyDescent="0.3">
      <c r="A112" s="765"/>
      <c r="B112" s="15"/>
      <c r="C112" s="22" t="s">
        <v>904</v>
      </c>
      <c r="D112" s="120"/>
      <c r="E112" s="15"/>
      <c r="F112" s="22"/>
      <c r="G112" s="15"/>
      <c r="H112" s="15"/>
      <c r="I112" s="22"/>
      <c r="K112" s="121"/>
      <c r="L112" s="122" t="s">
        <v>773</v>
      </c>
    </row>
    <row r="113" spans="1:13" ht="12.75" customHeight="1" x14ac:dyDescent="0.3">
      <c r="A113" s="765"/>
      <c r="B113" s="15"/>
      <c r="C113" s="22" t="s">
        <v>905</v>
      </c>
      <c r="D113" s="120"/>
      <c r="E113" s="15"/>
      <c r="F113" s="22"/>
      <c r="G113" s="15"/>
      <c r="H113" s="15"/>
      <c r="I113" s="22"/>
      <c r="K113" s="121"/>
      <c r="L113" s="122"/>
    </row>
    <row r="114" spans="1:13" ht="12.75" customHeight="1" x14ac:dyDescent="0.3">
      <c r="A114" s="765"/>
      <c r="B114" s="15"/>
      <c r="C114" s="22" t="s">
        <v>906</v>
      </c>
      <c r="D114" s="120"/>
      <c r="E114" s="15"/>
      <c r="F114" s="22"/>
      <c r="G114" s="15"/>
      <c r="H114" s="15"/>
      <c r="I114" s="22"/>
      <c r="K114" s="121"/>
      <c r="L114" s="122"/>
    </row>
    <row r="115" spans="1:13" ht="9" customHeight="1" x14ac:dyDescent="0.3">
      <c r="A115" s="765"/>
      <c r="D115" s="120"/>
      <c r="E115" s="127"/>
      <c r="F115" s="37"/>
      <c r="G115" s="15"/>
      <c r="H115" s="15"/>
      <c r="J115" s="37"/>
      <c r="K115" s="112"/>
      <c r="L115"/>
    </row>
    <row r="116" spans="1:13" ht="9" customHeight="1" x14ac:dyDescent="0.3">
      <c r="A116" s="765"/>
      <c r="D116" s="120"/>
      <c r="F116" s="15"/>
      <c r="G116" s="15"/>
      <c r="H116" s="15"/>
      <c r="K116" s="121"/>
      <c r="L116"/>
    </row>
    <row r="117" spans="1:13" s="103" customFormat="1" ht="21" customHeight="1" x14ac:dyDescent="0.2">
      <c r="A117" s="765"/>
      <c r="C117" s="104" t="str">
        <f>UPPER(Adatok!E3)</f>
        <v>SVÉDORSZÁG</v>
      </c>
      <c r="D117" s="105"/>
      <c r="E117" s="106"/>
      <c r="G117" s="107"/>
      <c r="H117" s="107"/>
      <c r="K117" s="108"/>
      <c r="L117" s="109" t="str">
        <f>UPPER(Adatok!E5)</f>
        <v>SZLOVÁKIA</v>
      </c>
    </row>
    <row r="118" spans="1:13" s="15" customFormat="1" ht="33.75" customHeight="1" x14ac:dyDescent="0.3">
      <c r="A118" s="765"/>
      <c r="C118" s="37"/>
      <c r="D118" s="110"/>
      <c r="E118" s="37"/>
      <c r="G118" s="37"/>
      <c r="H118" s="37"/>
      <c r="K118" s="112"/>
      <c r="L118" s="113"/>
    </row>
    <row r="119" spans="1:13" s="119" customFormat="1" ht="12.75" customHeight="1" x14ac:dyDescent="0.3">
      <c r="A119" s="765"/>
      <c r="B119" s="114"/>
      <c r="C119" s="132" t="s">
        <v>832</v>
      </c>
      <c r="D119" s="116"/>
      <c r="E119" s="117"/>
      <c r="F119" s="114"/>
      <c r="G119" s="114"/>
      <c r="H119" s="114"/>
      <c r="K119" s="118"/>
      <c r="L119" s="293" t="s">
        <v>835</v>
      </c>
      <c r="M119" s="114"/>
    </row>
    <row r="120" spans="1:13" ht="12.75" customHeight="1" x14ac:dyDescent="0.3">
      <c r="A120" s="765"/>
      <c r="B120" s="15"/>
      <c r="C120" s="22" t="s">
        <v>771</v>
      </c>
      <c r="D120" s="120"/>
      <c r="E120" s="15"/>
      <c r="F120" s="15"/>
      <c r="G120" s="15"/>
      <c r="H120" s="15"/>
      <c r="K120" s="121"/>
      <c r="L120" s="122" t="s">
        <v>1328</v>
      </c>
      <c r="M120" s="15"/>
    </row>
    <row r="121" spans="1:13" ht="12.75" customHeight="1" x14ac:dyDescent="0.3">
      <c r="A121" s="765"/>
      <c r="B121" s="15"/>
      <c r="C121" s="130"/>
      <c r="D121" s="120"/>
      <c r="E121" s="15"/>
      <c r="F121" s="15"/>
      <c r="G121" s="15"/>
      <c r="H121" s="15"/>
      <c r="K121" s="121"/>
      <c r="L121" s="124">
        <v>2016</v>
      </c>
      <c r="M121" s="15"/>
    </row>
    <row r="122" spans="1:13" s="119" customFormat="1" ht="12.75" customHeight="1" x14ac:dyDescent="0.3">
      <c r="A122" s="765"/>
      <c r="B122" s="114"/>
      <c r="C122" s="132" t="s">
        <v>839</v>
      </c>
      <c r="D122" s="125"/>
      <c r="E122" s="114"/>
      <c r="F122" s="114"/>
      <c r="G122" s="114"/>
      <c r="H122" s="114"/>
      <c r="K122" s="126"/>
      <c r="L122" s="293" t="s">
        <v>839</v>
      </c>
      <c r="M122" s="114"/>
    </row>
    <row r="123" spans="1:13" ht="12.75" customHeight="1" x14ac:dyDescent="0.3">
      <c r="A123" s="765"/>
      <c r="B123" s="15"/>
      <c r="C123" s="22" t="s">
        <v>891</v>
      </c>
      <c r="D123" s="120"/>
      <c r="E123" s="15"/>
      <c r="F123" s="15"/>
      <c r="G123" s="15"/>
      <c r="H123" s="15"/>
      <c r="K123" s="121"/>
      <c r="L123" s="122" t="s">
        <v>1329</v>
      </c>
      <c r="M123" s="15"/>
    </row>
    <row r="124" spans="1:13" ht="12.75" customHeight="1" x14ac:dyDescent="0.3">
      <c r="A124" s="765"/>
      <c r="B124" s="15"/>
      <c r="C124" s="22" t="s">
        <v>892</v>
      </c>
      <c r="D124" s="120"/>
      <c r="E124" s="15"/>
      <c r="F124" s="15"/>
      <c r="G124" s="15"/>
      <c r="H124" s="15"/>
      <c r="K124" s="121"/>
      <c r="L124" s="122" t="s">
        <v>1330</v>
      </c>
      <c r="M124" s="15"/>
    </row>
    <row r="125" spans="1:13" ht="12.75" customHeight="1" x14ac:dyDescent="0.3">
      <c r="A125" s="765"/>
      <c r="B125" s="15"/>
      <c r="C125" s="22"/>
      <c r="D125" s="120"/>
      <c r="E125" s="15"/>
      <c r="F125" s="15"/>
      <c r="G125" s="15"/>
      <c r="H125" s="15"/>
      <c r="K125" s="121"/>
      <c r="L125" s="122" t="s">
        <v>792</v>
      </c>
      <c r="M125" s="15"/>
    </row>
    <row r="126" spans="1:13" ht="15" customHeight="1" x14ac:dyDescent="0.3">
      <c r="A126" s="765"/>
      <c r="F126" s="131"/>
    </row>
    <row r="127" spans="1:13" ht="16.5" customHeight="1" x14ac:dyDescent="0.3">
      <c r="A127" s="765"/>
    </row>
    <row r="128" spans="1:13" x14ac:dyDescent="0.3">
      <c r="A128" s="765"/>
    </row>
    <row r="129" spans="1:13" x14ac:dyDescent="0.3">
      <c r="A129" s="765"/>
    </row>
    <row r="130" spans="1:13" ht="12" customHeight="1" x14ac:dyDescent="0.3">
      <c r="A130" s="765"/>
    </row>
    <row r="131" spans="1:13" s="103" customFormat="1" ht="21" customHeight="1" x14ac:dyDescent="0.2">
      <c r="A131" s="765"/>
      <c r="C131" s="104" t="str">
        <f>UPPER(Adatok!F2)</f>
        <v>MAGYARORSZÁG</v>
      </c>
      <c r="D131" s="105"/>
      <c r="E131" s="106"/>
      <c r="F131" s="107"/>
      <c r="G131" s="107"/>
      <c r="H131" s="107"/>
      <c r="I131" s="107"/>
      <c r="J131" s="107"/>
      <c r="K131" s="108"/>
      <c r="L131" s="109" t="str">
        <f>UPPER(Adatok!F4)</f>
        <v>FRANCIAORSZÁG</v>
      </c>
    </row>
    <row r="132" spans="1:13" s="15" customFormat="1" ht="33.75" customHeight="1" x14ac:dyDescent="0.3">
      <c r="A132" s="765"/>
      <c r="C132" s="37"/>
      <c r="D132" s="110"/>
      <c r="E132" s="37"/>
      <c r="F132" s="37"/>
      <c r="G132" s="37"/>
      <c r="H132" s="37"/>
      <c r="I132" s="111"/>
      <c r="J132" s="37"/>
      <c r="K132" s="112"/>
      <c r="L132" s="292"/>
    </row>
    <row r="133" spans="1:13" s="119" customFormat="1" ht="12.75" customHeight="1" x14ac:dyDescent="0.3">
      <c r="A133" s="765"/>
      <c r="B133" s="114"/>
      <c r="C133" s="132" t="s">
        <v>831</v>
      </c>
      <c r="D133" s="116"/>
      <c r="E133" s="117"/>
      <c r="F133" s="115"/>
      <c r="G133" s="114"/>
      <c r="H133" s="114"/>
      <c r="I133" s="115"/>
      <c r="J133" s="117"/>
      <c r="K133" s="118"/>
      <c r="L133" s="293" t="s">
        <v>834</v>
      </c>
    </row>
    <row r="134" spans="1:13" ht="12.75" customHeight="1" x14ac:dyDescent="0.3">
      <c r="A134" s="765"/>
      <c r="B134" s="15"/>
      <c r="C134" s="22" t="s">
        <v>1333</v>
      </c>
      <c r="D134" s="120"/>
      <c r="E134" s="15"/>
      <c r="F134" s="22"/>
      <c r="G134" s="15"/>
      <c r="H134" s="15"/>
      <c r="I134" s="22"/>
      <c r="K134" s="121"/>
      <c r="L134" s="122" t="s">
        <v>868</v>
      </c>
    </row>
    <row r="135" spans="1:13" ht="12.75" customHeight="1" x14ac:dyDescent="0.3">
      <c r="A135" s="765"/>
      <c r="B135" s="15"/>
      <c r="C135" s="130"/>
      <c r="D135" s="120"/>
      <c r="E135" s="15"/>
      <c r="F135" s="22"/>
      <c r="G135" s="15"/>
      <c r="H135" s="15"/>
      <c r="I135" s="123"/>
      <c r="K135" s="121"/>
      <c r="L135" s="124" t="s">
        <v>769</v>
      </c>
    </row>
    <row r="136" spans="1:13" s="119" customFormat="1" ht="12.75" customHeight="1" x14ac:dyDescent="0.3">
      <c r="A136" s="765"/>
      <c r="B136" s="114"/>
      <c r="C136" s="132" t="s">
        <v>839</v>
      </c>
      <c r="D136" s="125"/>
      <c r="E136" s="114"/>
      <c r="F136" s="115"/>
      <c r="G136" s="114"/>
      <c r="H136" s="114"/>
      <c r="I136" s="115"/>
      <c r="K136" s="126"/>
      <c r="L136" s="293" t="s">
        <v>839</v>
      </c>
    </row>
    <row r="137" spans="1:13" ht="12.75" customHeight="1" x14ac:dyDescent="0.3">
      <c r="A137" s="765"/>
      <c r="B137" s="15"/>
      <c r="C137" s="22" t="s">
        <v>1334</v>
      </c>
      <c r="D137" s="120"/>
      <c r="E137" s="15"/>
      <c r="F137" s="22"/>
      <c r="G137" s="15"/>
      <c r="H137" s="15"/>
      <c r="I137" s="22"/>
      <c r="K137" s="121"/>
      <c r="L137" s="122" t="s">
        <v>869</v>
      </c>
    </row>
    <row r="138" spans="1:13" ht="12.75" customHeight="1" x14ac:dyDescent="0.3">
      <c r="A138" s="765"/>
      <c r="B138" s="15"/>
      <c r="C138" s="22" t="s">
        <v>1335</v>
      </c>
      <c r="D138" s="120"/>
      <c r="E138" s="15"/>
      <c r="F138" s="22"/>
      <c r="G138" s="15"/>
      <c r="H138" s="15"/>
      <c r="I138" s="22"/>
      <c r="K138" s="121"/>
      <c r="L138" s="122" t="s">
        <v>770</v>
      </c>
    </row>
    <row r="139" spans="1:13" ht="12.75" customHeight="1" x14ac:dyDescent="0.3">
      <c r="A139" s="765"/>
      <c r="B139" s="15"/>
      <c r="C139" s="22" t="s">
        <v>792</v>
      </c>
      <c r="D139" s="120"/>
      <c r="E139" s="15"/>
      <c r="F139" s="22"/>
      <c r="G139" s="15"/>
      <c r="H139" s="15"/>
      <c r="I139" s="22"/>
      <c r="K139" s="121"/>
      <c r="L139" s="122" t="s">
        <v>870</v>
      </c>
    </row>
    <row r="140" spans="1:13" ht="9" customHeight="1" x14ac:dyDescent="0.3">
      <c r="A140" s="765"/>
      <c r="D140" s="120"/>
      <c r="E140" s="127"/>
      <c r="F140" s="37"/>
      <c r="G140" s="15"/>
      <c r="H140" s="15"/>
      <c r="J140" s="37"/>
      <c r="K140" s="112"/>
      <c r="L140"/>
    </row>
    <row r="141" spans="1:13" ht="9" customHeight="1" x14ac:dyDescent="0.3">
      <c r="A141" s="765"/>
      <c r="D141" s="120"/>
      <c r="F141" s="15"/>
      <c r="G141" s="15"/>
      <c r="H141" s="15"/>
      <c r="K141" s="121"/>
      <c r="L141"/>
    </row>
    <row r="142" spans="1:13" s="103" customFormat="1" ht="21" customHeight="1" x14ac:dyDescent="0.2">
      <c r="A142" s="765"/>
      <c r="C142" s="104" t="str">
        <f>UPPER(Adatok!F3)</f>
        <v>PORTUGÁLIA</v>
      </c>
      <c r="D142" s="105"/>
      <c r="E142" s="106"/>
      <c r="G142" s="107"/>
      <c r="H142" s="107"/>
      <c r="K142" s="108"/>
      <c r="L142" s="109" t="str">
        <f>UPPER(Adatok!F5)</f>
        <v>NÉMETORSZÁG</v>
      </c>
    </row>
    <row r="143" spans="1:13" s="15" customFormat="1" ht="33.75" customHeight="1" x14ac:dyDescent="0.3">
      <c r="A143" s="765"/>
      <c r="C143" s="37"/>
      <c r="D143" s="110"/>
      <c r="E143" s="37"/>
      <c r="G143" s="37"/>
      <c r="H143" s="37"/>
      <c r="K143" s="112"/>
      <c r="L143" s="292"/>
    </row>
    <row r="144" spans="1:13" s="119" customFormat="1" ht="12.75" customHeight="1" x14ac:dyDescent="0.3">
      <c r="A144" s="765"/>
      <c r="B144" s="114"/>
      <c r="C144" s="132" t="s">
        <v>767</v>
      </c>
      <c r="D144" s="116"/>
      <c r="E144" s="117"/>
      <c r="F144" s="114"/>
      <c r="G144" s="114"/>
      <c r="H144" s="114"/>
      <c r="K144" s="118"/>
      <c r="L144" s="293" t="s">
        <v>768</v>
      </c>
      <c r="M144" s="114"/>
    </row>
    <row r="145" spans="1:13" ht="12.75" customHeight="1" x14ac:dyDescent="0.3">
      <c r="A145" s="765"/>
      <c r="B145" s="15"/>
      <c r="C145" s="22" t="s">
        <v>900</v>
      </c>
      <c r="D145" s="120"/>
      <c r="E145" s="15"/>
      <c r="F145" s="15"/>
      <c r="G145" s="15"/>
      <c r="H145" s="15"/>
      <c r="K145" s="121"/>
      <c r="L145" s="122" t="s">
        <v>893</v>
      </c>
      <c r="M145" s="15"/>
    </row>
    <row r="146" spans="1:13" ht="12.75" customHeight="1" x14ac:dyDescent="0.3">
      <c r="A146" s="765"/>
      <c r="B146" s="15"/>
      <c r="C146" s="130" t="s">
        <v>765</v>
      </c>
      <c r="D146" s="120"/>
      <c r="E146" s="15"/>
      <c r="F146" s="15"/>
      <c r="G146" s="15"/>
      <c r="H146" s="15"/>
      <c r="K146" s="121"/>
      <c r="L146" s="124" t="s">
        <v>769</v>
      </c>
      <c r="M146" s="15"/>
    </row>
    <row r="147" spans="1:13" s="119" customFormat="1" ht="12.75" customHeight="1" x14ac:dyDescent="0.3">
      <c r="A147" s="765"/>
      <c r="B147" s="114"/>
      <c r="C147" s="132" t="s">
        <v>839</v>
      </c>
      <c r="D147" s="125"/>
      <c r="E147" s="114"/>
      <c r="F147" s="114"/>
      <c r="G147" s="114"/>
      <c r="H147" s="114"/>
      <c r="K147" s="126"/>
      <c r="L147" s="293" t="s">
        <v>839</v>
      </c>
      <c r="M147" s="114"/>
    </row>
    <row r="148" spans="1:13" ht="12.75" customHeight="1" x14ac:dyDescent="0.3">
      <c r="A148" s="765"/>
      <c r="B148" s="15"/>
      <c r="C148" s="22" t="s">
        <v>766</v>
      </c>
      <c r="D148" s="120"/>
      <c r="E148" s="15"/>
      <c r="F148" s="15"/>
      <c r="G148" s="15"/>
      <c r="H148" s="15"/>
      <c r="K148" s="121"/>
      <c r="L148" s="122" t="s">
        <v>894</v>
      </c>
      <c r="M148" s="15"/>
    </row>
    <row r="149" spans="1:13" ht="12.75" customHeight="1" x14ac:dyDescent="0.3">
      <c r="A149" s="765"/>
      <c r="B149" s="15"/>
      <c r="C149" s="22" t="s">
        <v>901</v>
      </c>
      <c r="D149" s="120"/>
      <c r="E149" s="15"/>
      <c r="F149" s="15"/>
      <c r="G149" s="15"/>
      <c r="H149" s="15"/>
      <c r="K149" s="121"/>
      <c r="L149" s="122" t="s">
        <v>895</v>
      </c>
      <c r="M149" s="15"/>
    </row>
    <row r="150" spans="1:13" ht="12.75" customHeight="1" x14ac:dyDescent="0.3">
      <c r="A150" s="765"/>
      <c r="B150" s="15"/>
      <c r="C150" s="22" t="s">
        <v>902</v>
      </c>
      <c r="D150" s="120"/>
      <c r="E150" s="15"/>
      <c r="F150" s="15"/>
      <c r="G150" s="15"/>
      <c r="H150" s="15"/>
      <c r="K150" s="121"/>
      <c r="L150" s="122" t="s">
        <v>781</v>
      </c>
      <c r="M150" s="15"/>
    </row>
    <row r="151" spans="1:13" ht="15" customHeight="1" x14ac:dyDescent="0.3">
      <c r="A151" s="765"/>
      <c r="F151" s="131"/>
    </row>
    <row r="152" spans="1:13" ht="16.5" customHeight="1" x14ac:dyDescent="0.3">
      <c r="A152" s="765"/>
    </row>
    <row r="153" spans="1:13" x14ac:dyDescent="0.3">
      <c r="A153" s="765"/>
    </row>
    <row r="154" spans="1:13" x14ac:dyDescent="0.3">
      <c r="A154" s="765"/>
    </row>
  </sheetData>
  <sheetProtection sheet="1" objects="1" scenarios="1"/>
  <mergeCells count="6">
    <mergeCell ref="A105:A129"/>
    <mergeCell ref="A130:A154"/>
    <mergeCell ref="A5:A29"/>
    <mergeCell ref="A30:A54"/>
    <mergeCell ref="A55:A79"/>
    <mergeCell ref="A80:A104"/>
  </mergeCells>
  <phoneticPr fontId="2" type="noConversion"/>
  <pageMargins left="0.31496062992125984" right="0.31496062992125984" top="0.51181102362204722" bottom="0.51181102362204722" header="0.51181102362204722" footer="0.51181102362204722"/>
  <pageSetup paperSize="9" scale="80" orientation="landscape" horizontalDpi="300" verticalDpi="300" r:id="rId1"/>
  <headerFooter alignWithMargins="0"/>
  <rowBreaks count="5" manualBreakCount="5">
    <brk id="29" max="13" man="1"/>
    <brk id="54" max="13" man="1"/>
    <brk id="79" max="13" man="1"/>
    <brk id="104" max="13" man="1"/>
    <brk id="129" max="13" man="1"/>
  </rowBreaks>
  <drawing r:id="rId2"/>
  <picture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2">
    <pageSetUpPr autoPageBreaks="0"/>
  </sheetPr>
  <dimension ref="A1:X969"/>
  <sheetViews>
    <sheetView showGridLines="0" showRowColHeaders="0" zoomScaleNormal="100" workbookViewId="0">
      <pane ySplit="5" topLeftCell="A806" activePane="bottomLeft" state="frozen"/>
      <selection pane="bottomLeft"/>
    </sheetView>
  </sheetViews>
  <sheetFormatPr defaultRowHeight="15" x14ac:dyDescent="0.3"/>
  <cols>
    <col min="1" max="1" width="1.42578125" style="564" customWidth="1"/>
    <col min="2" max="2" width="2.85546875" style="10" customWidth="1"/>
    <col min="3" max="3" width="7.140625" style="15" customWidth="1"/>
    <col min="4" max="4" width="2.85546875" style="10" customWidth="1"/>
    <col min="5" max="5" width="1.7109375" style="10" customWidth="1"/>
    <col min="6" max="6" width="8.85546875" style="485" hidden="1" customWidth="1"/>
    <col min="7" max="7" width="8.85546875" style="507" hidden="1" customWidth="1"/>
    <col min="8" max="8" width="10.7109375" style="485" hidden="1" customWidth="1"/>
    <col min="9" max="10" width="16.42578125" style="72" customWidth="1"/>
    <col min="11" max="11" width="6.42578125" style="80" customWidth="1"/>
    <col min="12" max="12" width="12.85546875" style="72" customWidth="1"/>
    <col min="13" max="13" width="20" style="80" customWidth="1"/>
    <col min="14" max="14" width="4.28515625" style="81" customWidth="1"/>
    <col min="15" max="15" width="14" style="72" customWidth="1"/>
    <col min="16" max="16" width="5.5703125" style="72" customWidth="1"/>
    <col min="17" max="17" width="7.85546875" style="72" customWidth="1"/>
    <col min="18" max="18" width="6" style="72" customWidth="1"/>
    <col min="19" max="19" width="2.85546875" style="72" customWidth="1"/>
    <col min="20" max="20" width="4.28515625" style="72" customWidth="1"/>
    <col min="21" max="21" width="4.28515625" style="73" customWidth="1"/>
    <col min="22" max="22" width="2.85546875" style="10" customWidth="1"/>
    <col min="23" max="23" width="37" style="643" customWidth="1"/>
    <col min="24" max="24" width="2.85546875" style="72" customWidth="1"/>
    <col min="25" max="16384" width="9.140625" style="10"/>
  </cols>
  <sheetData>
    <row r="1" spans="1:24" s="561" customFormat="1" ht="9.75" customHeight="1" x14ac:dyDescent="0.2">
      <c r="G1" s="562"/>
      <c r="M1" s="630"/>
      <c r="W1" s="637"/>
    </row>
    <row r="2" spans="1:24" s="561" customFormat="1" ht="9.75" customHeight="1" x14ac:dyDescent="0.2">
      <c r="G2" s="562"/>
      <c r="M2" s="630"/>
      <c r="W2" s="637"/>
    </row>
    <row r="3" spans="1:24" s="561" customFormat="1" ht="9" customHeight="1" thickBot="1" x14ac:dyDescent="0.25">
      <c r="A3" s="563"/>
      <c r="B3" s="563"/>
      <c r="C3" s="563"/>
      <c r="D3" s="563"/>
      <c r="E3" s="563"/>
      <c r="F3" s="563"/>
      <c r="G3" s="562"/>
      <c r="M3" s="630"/>
      <c r="W3" s="637"/>
    </row>
    <row r="4" spans="1:24" s="565" customFormat="1" ht="12" customHeight="1" thickTop="1" x14ac:dyDescent="0.2">
      <c r="B4" s="567" t="s">
        <v>957</v>
      </c>
      <c r="G4" s="566"/>
      <c r="M4" s="631"/>
      <c r="W4" s="638"/>
    </row>
    <row r="5" spans="1:24" s="569" customFormat="1" ht="9.75" customHeight="1" x14ac:dyDescent="0.2">
      <c r="A5" s="568"/>
      <c r="G5" s="570"/>
      <c r="I5" s="569" t="s">
        <v>1248</v>
      </c>
      <c r="J5" s="569" t="s">
        <v>1249</v>
      </c>
      <c r="K5" s="571" t="s">
        <v>479</v>
      </c>
      <c r="L5" s="572" t="s">
        <v>505</v>
      </c>
      <c r="M5" s="632" t="s">
        <v>1250</v>
      </c>
      <c r="N5" s="571" t="s">
        <v>878</v>
      </c>
      <c r="O5" s="571" t="s">
        <v>1251</v>
      </c>
      <c r="P5" s="572" t="s">
        <v>494</v>
      </c>
      <c r="Q5" s="571" t="s">
        <v>1253</v>
      </c>
      <c r="R5" s="571" t="s">
        <v>1254</v>
      </c>
      <c r="S5" s="571"/>
      <c r="T5" s="571" t="s">
        <v>1256</v>
      </c>
      <c r="U5" s="572" t="s">
        <v>1257</v>
      </c>
      <c r="W5" s="572" t="s">
        <v>1255</v>
      </c>
    </row>
    <row r="6" spans="1:24" s="23" customFormat="1" ht="5.25" customHeight="1" x14ac:dyDescent="0.2">
      <c r="A6" s="765"/>
      <c r="C6" s="21"/>
      <c r="F6" s="502"/>
      <c r="G6" s="506"/>
      <c r="H6" s="502"/>
      <c r="I6" s="55"/>
      <c r="J6" s="55"/>
      <c r="K6" s="56"/>
      <c r="L6" s="55"/>
      <c r="M6" s="56"/>
      <c r="N6" s="57"/>
      <c r="O6" s="57"/>
      <c r="P6" s="55"/>
      <c r="Q6" s="57"/>
      <c r="R6" s="57"/>
      <c r="S6" s="57"/>
      <c r="T6" s="58"/>
      <c r="U6" s="59"/>
      <c r="W6" s="639"/>
      <c r="X6" s="55"/>
    </row>
    <row r="7" spans="1:24" s="23" customFormat="1" ht="11.25" customHeight="1" x14ac:dyDescent="0.2">
      <c r="A7" s="765"/>
      <c r="C7" s="769" t="str">
        <f>UPPER(H7)&amp;"    ."</f>
        <v>TÖRÖKORSZÁG    .</v>
      </c>
      <c r="D7" s="60"/>
      <c r="F7" s="503">
        <v>1E-4</v>
      </c>
      <c r="G7" s="503">
        <f t="shared" ref="G7:G36" si="0">IF(I7="",0,T7+F7)</f>
        <v>1E-4</v>
      </c>
      <c r="H7" s="504" t="str">
        <f>Adatok!A2</f>
        <v>Törökország</v>
      </c>
      <c r="I7" s="61" t="s">
        <v>1483</v>
      </c>
      <c r="J7" s="61" t="s">
        <v>1484</v>
      </c>
      <c r="K7" s="295">
        <v>24</v>
      </c>
      <c r="L7" s="61" t="s">
        <v>703</v>
      </c>
      <c r="M7" s="633" t="s">
        <v>857</v>
      </c>
      <c r="N7" s="256" t="s">
        <v>858</v>
      </c>
      <c r="O7" s="62">
        <v>36089</v>
      </c>
      <c r="P7" s="253">
        <v>22</v>
      </c>
      <c r="Q7" s="63">
        <v>173</v>
      </c>
      <c r="R7" s="252">
        <v>68</v>
      </c>
      <c r="S7" s="64"/>
      <c r="T7" s="297">
        <f>IF(I7="","",COUNTIF(nevek.s,CONCATENATE(H7,I7)))</f>
        <v>0</v>
      </c>
      <c r="U7" s="518">
        <f>IF(I7="","",COUNTIF(nevek.s,CONCATENATE("ö",H7,I7)))</f>
        <v>0</v>
      </c>
      <c r="W7" s="3"/>
      <c r="X7" s="65"/>
    </row>
    <row r="8" spans="1:24" s="23" customFormat="1" ht="11.25" customHeight="1" x14ac:dyDescent="0.2">
      <c r="A8" s="765"/>
      <c r="C8" s="769"/>
      <c r="D8" s="60"/>
      <c r="F8" s="503">
        <f>F7+0.0001</f>
        <v>2.0000000000000001E-4</v>
      </c>
      <c r="G8" s="503">
        <f t="shared" si="0"/>
        <v>2.0000000000000001E-4</v>
      </c>
      <c r="H8" s="504" t="str">
        <f>H7</f>
        <v>Törökország</v>
      </c>
      <c r="I8" s="509" t="s">
        <v>1485</v>
      </c>
      <c r="J8" s="509" t="s">
        <v>1486</v>
      </c>
      <c r="K8" s="508">
        <v>14</v>
      </c>
      <c r="L8" s="509" t="s">
        <v>703</v>
      </c>
      <c r="M8" s="634" t="s">
        <v>857</v>
      </c>
      <c r="N8" s="510" t="s">
        <v>858</v>
      </c>
      <c r="O8" s="511">
        <v>34707</v>
      </c>
      <c r="P8" s="512">
        <v>26</v>
      </c>
      <c r="Q8" s="513">
        <v>180</v>
      </c>
      <c r="R8" s="514">
        <v>75</v>
      </c>
      <c r="S8" s="64"/>
      <c r="T8" s="297">
        <f>IF(I8="","",COUNTIF(nevek.s,CONCATENATE(H8,I8)))</f>
        <v>0</v>
      </c>
      <c r="U8" s="518">
        <f>IF(I8="","",COUNTIF(nevek.s,CONCATENATE("ö",H8,I8)))</f>
        <v>0</v>
      </c>
      <c r="W8" s="1"/>
      <c r="X8" s="65"/>
    </row>
    <row r="9" spans="1:24" s="23" customFormat="1" ht="11.25" customHeight="1" x14ac:dyDescent="0.2">
      <c r="A9" s="765"/>
      <c r="C9" s="769"/>
      <c r="D9" s="60"/>
      <c r="F9" s="503">
        <f t="shared" ref="F9:F72" si="1">F8+0.0001</f>
        <v>3.0000000000000003E-4</v>
      </c>
      <c r="G9" s="503">
        <f t="shared" si="0"/>
        <v>3.0000000000000003E-4</v>
      </c>
      <c r="H9" s="504" t="str">
        <f t="shared" ref="H9:H36" si="2">H8</f>
        <v>Törökország</v>
      </c>
      <c r="I9" s="509" t="s">
        <v>1337</v>
      </c>
      <c r="J9" s="509" t="s">
        <v>1338</v>
      </c>
      <c r="K9" s="508">
        <v>22</v>
      </c>
      <c r="L9" s="509" t="s">
        <v>1339</v>
      </c>
      <c r="M9" s="634" t="s">
        <v>1340</v>
      </c>
      <c r="N9" s="510" t="s">
        <v>501</v>
      </c>
      <c r="O9" s="511">
        <v>34648</v>
      </c>
      <c r="P9" s="512">
        <v>26</v>
      </c>
      <c r="Q9" s="513">
        <v>184</v>
      </c>
      <c r="R9" s="514">
        <v>84</v>
      </c>
      <c r="S9" s="64"/>
      <c r="T9" s="297">
        <f t="shared" ref="T9:T29" si="3">IF(I9="","",COUNTIF(nevek.s,CONCATENATE(H9,I9)))</f>
        <v>0</v>
      </c>
      <c r="U9" s="518">
        <f t="shared" ref="U9:U29" si="4">IF(I9="","",COUNTIF(nevek.s,CONCATENATE("ö",H9,I9)))</f>
        <v>0</v>
      </c>
      <c r="W9" s="1"/>
      <c r="X9" s="65"/>
    </row>
    <row r="10" spans="1:24" s="23" customFormat="1" ht="11.25" customHeight="1" x14ac:dyDescent="0.2">
      <c r="A10" s="765"/>
      <c r="C10" s="769"/>
      <c r="D10" s="60"/>
      <c r="F10" s="503">
        <f t="shared" si="1"/>
        <v>4.0000000000000002E-4</v>
      </c>
      <c r="G10" s="503">
        <f t="shared" si="0"/>
        <v>4.0000000000000002E-4</v>
      </c>
      <c r="H10" s="504" t="str">
        <f t="shared" si="2"/>
        <v>Törökország</v>
      </c>
      <c r="I10" s="509" t="s">
        <v>1487</v>
      </c>
      <c r="J10" s="509" t="s">
        <v>1488</v>
      </c>
      <c r="K10" s="508">
        <v>12</v>
      </c>
      <c r="L10" s="509" t="s">
        <v>704</v>
      </c>
      <c r="M10" s="634" t="s">
        <v>861</v>
      </c>
      <c r="N10" s="510" t="s">
        <v>858</v>
      </c>
      <c r="O10" s="511">
        <v>35899</v>
      </c>
      <c r="P10" s="512">
        <v>23</v>
      </c>
      <c r="Q10" s="513">
        <v>198</v>
      </c>
      <c r="R10" s="514">
        <v>88</v>
      </c>
      <c r="S10" s="64"/>
      <c r="T10" s="297">
        <f t="shared" si="3"/>
        <v>0</v>
      </c>
      <c r="U10" s="518">
        <f t="shared" si="4"/>
        <v>0</v>
      </c>
      <c r="W10" s="1"/>
      <c r="X10" s="65"/>
    </row>
    <row r="11" spans="1:24" s="23" customFormat="1" ht="11.25" customHeight="1" x14ac:dyDescent="0.2">
      <c r="A11" s="765"/>
      <c r="C11" s="769"/>
      <c r="D11" s="60"/>
      <c r="F11" s="503">
        <f t="shared" si="1"/>
        <v>5.0000000000000001E-4</v>
      </c>
      <c r="G11" s="503">
        <f t="shared" si="0"/>
        <v>5.0000000000000001E-4</v>
      </c>
      <c r="H11" s="504" t="str">
        <f t="shared" si="2"/>
        <v>Törökország</v>
      </c>
      <c r="I11" s="509" t="s">
        <v>1341</v>
      </c>
      <c r="J11" s="509" t="s">
        <v>1342</v>
      </c>
      <c r="K11" s="508">
        <v>23</v>
      </c>
      <c r="L11" s="509" t="s">
        <v>704</v>
      </c>
      <c r="M11" s="634" t="s">
        <v>938</v>
      </c>
      <c r="N11" s="510" t="s">
        <v>858</v>
      </c>
      <c r="O11" s="511">
        <v>35160</v>
      </c>
      <c r="P11" s="512">
        <v>25</v>
      </c>
      <c r="Q11" s="513">
        <v>188</v>
      </c>
      <c r="R11" s="514">
        <v>78</v>
      </c>
      <c r="S11" s="64"/>
      <c r="T11" s="297">
        <f t="shared" si="3"/>
        <v>0</v>
      </c>
      <c r="U11" s="518">
        <f t="shared" si="4"/>
        <v>0</v>
      </c>
      <c r="W11" s="1"/>
      <c r="X11" s="65"/>
    </row>
    <row r="12" spans="1:24" s="23" customFormat="1" ht="11.25" customHeight="1" x14ac:dyDescent="0.2">
      <c r="A12" s="765"/>
      <c r="C12" s="769"/>
      <c r="D12" s="60"/>
      <c r="F12" s="503">
        <f t="shared" si="1"/>
        <v>6.0000000000000006E-4</v>
      </c>
      <c r="G12" s="503">
        <f t="shared" si="0"/>
        <v>6.0000000000000006E-4</v>
      </c>
      <c r="H12" s="504" t="str">
        <f t="shared" si="2"/>
        <v>Törökország</v>
      </c>
      <c r="I12" s="509" t="s">
        <v>1130</v>
      </c>
      <c r="J12" s="509" t="s">
        <v>1129</v>
      </c>
      <c r="K12" s="508">
        <v>10</v>
      </c>
      <c r="L12" s="509" t="s">
        <v>703</v>
      </c>
      <c r="M12" s="634" t="s">
        <v>1081</v>
      </c>
      <c r="N12" s="510" t="s">
        <v>501</v>
      </c>
      <c r="O12" s="511">
        <v>34373</v>
      </c>
      <c r="P12" s="512">
        <v>27</v>
      </c>
      <c r="Q12" s="513">
        <v>178</v>
      </c>
      <c r="R12" s="514">
        <v>76</v>
      </c>
      <c r="S12" s="64"/>
      <c r="T12" s="297">
        <f t="shared" si="3"/>
        <v>0</v>
      </c>
      <c r="U12" s="518">
        <f t="shared" si="4"/>
        <v>0</v>
      </c>
      <c r="W12" s="1"/>
      <c r="X12" s="65"/>
    </row>
    <row r="13" spans="1:24" s="23" customFormat="1" ht="11.25" customHeight="1" x14ac:dyDescent="0.2">
      <c r="A13" s="765"/>
      <c r="C13" s="769"/>
      <c r="D13" s="60"/>
      <c r="F13" s="503">
        <f t="shared" si="1"/>
        <v>7.000000000000001E-4</v>
      </c>
      <c r="G13" s="503">
        <f t="shared" si="0"/>
        <v>7.000000000000001E-4</v>
      </c>
      <c r="H13" s="504" t="str">
        <f t="shared" si="2"/>
        <v>Törökország</v>
      </c>
      <c r="I13" s="509" t="s">
        <v>1343</v>
      </c>
      <c r="J13" s="509" t="s">
        <v>1344</v>
      </c>
      <c r="K13" s="508">
        <v>2</v>
      </c>
      <c r="L13" s="509" t="s">
        <v>1339</v>
      </c>
      <c r="M13" s="634" t="s">
        <v>1345</v>
      </c>
      <c r="N13" s="510" t="s">
        <v>502</v>
      </c>
      <c r="O13" s="511">
        <v>35478</v>
      </c>
      <c r="P13" s="512">
        <v>24</v>
      </c>
      <c r="Q13" s="513">
        <v>180</v>
      </c>
      <c r="R13" s="514">
        <v>78</v>
      </c>
      <c r="S13" s="64"/>
      <c r="T13" s="297">
        <f t="shared" si="3"/>
        <v>0</v>
      </c>
      <c r="U13" s="518">
        <f t="shared" si="4"/>
        <v>0</v>
      </c>
      <c r="W13" s="1"/>
      <c r="X13" s="65"/>
    </row>
    <row r="14" spans="1:24" s="23" customFormat="1" ht="11.25" customHeight="1" x14ac:dyDescent="0.2">
      <c r="A14" s="765"/>
      <c r="C14" s="769"/>
      <c r="D14" s="60"/>
      <c r="E14" s="66"/>
      <c r="F14" s="503">
        <f t="shared" si="1"/>
        <v>8.0000000000000015E-4</v>
      </c>
      <c r="G14" s="503">
        <f t="shared" si="0"/>
        <v>8.0000000000000015E-4</v>
      </c>
      <c r="H14" s="504" t="str">
        <f t="shared" si="2"/>
        <v>Törökország</v>
      </c>
      <c r="I14" s="509" t="s">
        <v>1346</v>
      </c>
      <c r="J14" s="509" t="s">
        <v>1347</v>
      </c>
      <c r="K14" s="508">
        <v>3</v>
      </c>
      <c r="L14" s="509" t="s">
        <v>1339</v>
      </c>
      <c r="M14" s="634" t="s">
        <v>917</v>
      </c>
      <c r="N14" s="510" t="s">
        <v>501</v>
      </c>
      <c r="O14" s="511">
        <v>35859</v>
      </c>
      <c r="P14" s="512">
        <v>23</v>
      </c>
      <c r="Q14" s="513">
        <v>190</v>
      </c>
      <c r="R14" s="514">
        <v>86</v>
      </c>
      <c r="S14" s="64"/>
      <c r="T14" s="297">
        <f t="shared" si="3"/>
        <v>0</v>
      </c>
      <c r="U14" s="518">
        <f t="shared" si="4"/>
        <v>0</v>
      </c>
      <c r="W14" s="1"/>
      <c r="X14" s="65"/>
    </row>
    <row r="15" spans="1:24" s="23" customFormat="1" ht="11.25" customHeight="1" x14ac:dyDescent="0.2">
      <c r="A15" s="765"/>
      <c r="C15" s="769"/>
      <c r="D15" s="60"/>
      <c r="F15" s="503">
        <f t="shared" si="1"/>
        <v>9.0000000000000019E-4</v>
      </c>
      <c r="G15" s="503">
        <f t="shared" si="0"/>
        <v>9.0000000000000019E-4</v>
      </c>
      <c r="H15" s="504" t="str">
        <f t="shared" si="2"/>
        <v>Törökország</v>
      </c>
      <c r="I15" s="509" t="s">
        <v>1489</v>
      </c>
      <c r="J15" s="509" t="s">
        <v>1490</v>
      </c>
      <c r="K15" s="508">
        <v>26</v>
      </c>
      <c r="L15" s="509" t="s">
        <v>703</v>
      </c>
      <c r="M15" s="634" t="s">
        <v>857</v>
      </c>
      <c r="N15" s="510" t="s">
        <v>858</v>
      </c>
      <c r="O15" s="511">
        <v>36502</v>
      </c>
      <c r="P15" s="512">
        <v>21</v>
      </c>
      <c r="Q15" s="513">
        <v>183</v>
      </c>
      <c r="R15" s="514">
        <v>76</v>
      </c>
      <c r="S15" s="64"/>
      <c r="T15" s="297">
        <f t="shared" si="3"/>
        <v>0</v>
      </c>
      <c r="U15" s="518">
        <f t="shared" si="4"/>
        <v>0</v>
      </c>
      <c r="W15" s="1"/>
      <c r="X15" s="65"/>
    </row>
    <row r="16" spans="1:24" s="23" customFormat="1" ht="11.25" customHeight="1" x14ac:dyDescent="0.2">
      <c r="A16" s="765"/>
      <c r="C16" s="769"/>
      <c r="D16" s="60"/>
      <c r="F16" s="503">
        <f t="shared" si="1"/>
        <v>1.0000000000000002E-3</v>
      </c>
      <c r="G16" s="503">
        <f t="shared" si="0"/>
        <v>1.0000000000000002E-3</v>
      </c>
      <c r="H16" s="504" t="str">
        <f t="shared" si="2"/>
        <v>Törökország</v>
      </c>
      <c r="I16" s="509" t="s">
        <v>1348</v>
      </c>
      <c r="J16" s="509" t="s">
        <v>1349</v>
      </c>
      <c r="K16" s="508">
        <v>1</v>
      </c>
      <c r="L16" s="509" t="s">
        <v>704</v>
      </c>
      <c r="M16" s="634" t="s">
        <v>1012</v>
      </c>
      <c r="N16" s="510" t="s">
        <v>858</v>
      </c>
      <c r="O16" s="511">
        <v>32568</v>
      </c>
      <c r="P16" s="512">
        <v>32</v>
      </c>
      <c r="Q16" s="513">
        <v>196</v>
      </c>
      <c r="R16" s="514">
        <v>92</v>
      </c>
      <c r="S16" s="64"/>
      <c r="T16" s="297">
        <f t="shared" si="3"/>
        <v>0</v>
      </c>
      <c r="U16" s="518">
        <f t="shared" si="4"/>
        <v>0</v>
      </c>
      <c r="W16" s="1"/>
      <c r="X16" s="65"/>
    </row>
    <row r="17" spans="1:24" s="23" customFormat="1" ht="11.25" customHeight="1" x14ac:dyDescent="0.2">
      <c r="A17" s="765"/>
      <c r="C17" s="769"/>
      <c r="D17" s="60"/>
      <c r="F17" s="503">
        <f t="shared" si="1"/>
        <v>1.1000000000000003E-3</v>
      </c>
      <c r="G17" s="503">
        <f t="shared" si="0"/>
        <v>1.1000000000000003E-3</v>
      </c>
      <c r="H17" s="504" t="str">
        <f t="shared" si="2"/>
        <v>Törökország</v>
      </c>
      <c r="I17" s="509" t="s">
        <v>1350</v>
      </c>
      <c r="J17" s="509" t="s">
        <v>1351</v>
      </c>
      <c r="K17" s="508">
        <v>15</v>
      </c>
      <c r="L17" s="509" t="s">
        <v>1339</v>
      </c>
      <c r="M17" s="634" t="s">
        <v>1352</v>
      </c>
      <c r="N17" s="510" t="s">
        <v>1270</v>
      </c>
      <c r="O17" s="511">
        <v>36610</v>
      </c>
      <c r="P17" s="512">
        <v>21</v>
      </c>
      <c r="Q17" s="513">
        <v>186</v>
      </c>
      <c r="R17" s="514">
        <v>80</v>
      </c>
      <c r="S17" s="64"/>
      <c r="T17" s="297">
        <f t="shared" si="3"/>
        <v>0</v>
      </c>
      <c r="U17" s="518">
        <f t="shared" si="4"/>
        <v>0</v>
      </c>
      <c r="W17" s="1"/>
      <c r="X17" s="65"/>
    </row>
    <row r="18" spans="1:24" s="23" customFormat="1" ht="11.25" customHeight="1" x14ac:dyDescent="0.2">
      <c r="A18" s="765"/>
      <c r="C18" s="769"/>
      <c r="D18" s="60"/>
      <c r="F18" s="503">
        <f t="shared" si="1"/>
        <v>1.2000000000000003E-3</v>
      </c>
      <c r="G18" s="503">
        <f t="shared" si="0"/>
        <v>1.2000000000000003E-3</v>
      </c>
      <c r="H18" s="504" t="str">
        <f t="shared" si="2"/>
        <v>Törökország</v>
      </c>
      <c r="I18" s="509" t="s">
        <v>1353</v>
      </c>
      <c r="J18" s="509" t="s">
        <v>1354</v>
      </c>
      <c r="K18" s="508">
        <v>21</v>
      </c>
      <c r="L18" s="509" t="s">
        <v>703</v>
      </c>
      <c r="M18" s="634" t="s">
        <v>1012</v>
      </c>
      <c r="N18" s="510" t="s">
        <v>858</v>
      </c>
      <c r="O18" s="511">
        <v>34895</v>
      </c>
      <c r="P18" s="512">
        <v>25</v>
      </c>
      <c r="Q18" s="513">
        <v>176</v>
      </c>
      <c r="R18" s="514">
        <v>71</v>
      </c>
      <c r="S18" s="64"/>
      <c r="T18" s="297">
        <f t="shared" si="3"/>
        <v>0</v>
      </c>
      <c r="U18" s="518">
        <f t="shared" si="4"/>
        <v>0</v>
      </c>
      <c r="W18" s="1"/>
      <c r="X18" s="65"/>
    </row>
    <row r="19" spans="1:24" s="23" customFormat="1" ht="11.25" customHeight="1" x14ac:dyDescent="0.2">
      <c r="A19" s="765"/>
      <c r="C19" s="769"/>
      <c r="D19" s="60"/>
      <c r="F19" s="503">
        <f t="shared" si="1"/>
        <v>1.3000000000000004E-3</v>
      </c>
      <c r="G19" s="503">
        <f t="shared" si="0"/>
        <v>1.3000000000000004E-3</v>
      </c>
      <c r="H19" s="504" t="str">
        <f t="shared" si="2"/>
        <v>Törökország</v>
      </c>
      <c r="I19" s="509" t="s">
        <v>1355</v>
      </c>
      <c r="J19" s="509" t="s">
        <v>1356</v>
      </c>
      <c r="K19" s="508">
        <v>9</v>
      </c>
      <c r="L19" s="509" t="s">
        <v>1357</v>
      </c>
      <c r="M19" s="634" t="s">
        <v>1358</v>
      </c>
      <c r="N19" s="510" t="s">
        <v>1270</v>
      </c>
      <c r="O19" s="511">
        <v>34398</v>
      </c>
      <c r="P19" s="512">
        <v>27</v>
      </c>
      <c r="Q19" s="513">
        <v>189</v>
      </c>
      <c r="R19" s="514">
        <v>83</v>
      </c>
      <c r="S19" s="64"/>
      <c r="T19" s="297">
        <f t="shared" si="3"/>
        <v>0</v>
      </c>
      <c r="U19" s="518">
        <f t="shared" si="4"/>
        <v>0</v>
      </c>
      <c r="W19" s="1"/>
      <c r="X19" s="65"/>
    </row>
    <row r="20" spans="1:24" s="23" customFormat="1" ht="11.25" customHeight="1" x14ac:dyDescent="0.2">
      <c r="A20" s="765"/>
      <c r="C20" s="769"/>
      <c r="D20" s="60"/>
      <c r="F20" s="503">
        <f t="shared" si="1"/>
        <v>1.4000000000000004E-3</v>
      </c>
      <c r="G20" s="503">
        <f t="shared" si="0"/>
        <v>1.4000000000000004E-3</v>
      </c>
      <c r="H20" s="504" t="str">
        <f t="shared" si="2"/>
        <v>Törökország</v>
      </c>
      <c r="I20" s="509" t="s">
        <v>1359</v>
      </c>
      <c r="J20" s="509" t="s">
        <v>1360</v>
      </c>
      <c r="K20" s="508">
        <v>19</v>
      </c>
      <c r="L20" s="509" t="s">
        <v>703</v>
      </c>
      <c r="M20" s="634" t="s">
        <v>1361</v>
      </c>
      <c r="N20" s="510" t="s">
        <v>867</v>
      </c>
      <c r="O20" s="511">
        <v>36889</v>
      </c>
      <c r="P20" s="512">
        <v>20</v>
      </c>
      <c r="Q20" s="513">
        <v>175</v>
      </c>
      <c r="R20" s="514">
        <v>70</v>
      </c>
      <c r="S20" s="64"/>
      <c r="T20" s="297">
        <f t="shared" si="3"/>
        <v>0</v>
      </c>
      <c r="U20" s="518">
        <f t="shared" si="4"/>
        <v>0</v>
      </c>
      <c r="W20" s="1"/>
      <c r="X20" s="65"/>
    </row>
    <row r="21" spans="1:24" s="23" customFormat="1" ht="11.25" customHeight="1" x14ac:dyDescent="0.2">
      <c r="A21" s="765"/>
      <c r="C21" s="769"/>
      <c r="D21" s="60"/>
      <c r="F21" s="503">
        <f t="shared" si="1"/>
        <v>1.5000000000000005E-3</v>
      </c>
      <c r="G21" s="503">
        <f t="shared" si="0"/>
        <v>1.5000000000000005E-3</v>
      </c>
      <c r="H21" s="504" t="str">
        <f t="shared" si="2"/>
        <v>Törökország</v>
      </c>
      <c r="I21" s="509" t="s">
        <v>1362</v>
      </c>
      <c r="J21" s="509" t="s">
        <v>1363</v>
      </c>
      <c r="K21" s="508">
        <v>13</v>
      </c>
      <c r="L21" s="509" t="s">
        <v>1339</v>
      </c>
      <c r="M21" s="634" t="s">
        <v>1364</v>
      </c>
      <c r="N21" s="510" t="s">
        <v>502</v>
      </c>
      <c r="O21" s="511">
        <v>35053</v>
      </c>
      <c r="P21" s="512">
        <v>25</v>
      </c>
      <c r="Q21" s="513">
        <v>175</v>
      </c>
      <c r="R21" s="514">
        <v>70</v>
      </c>
      <c r="S21" s="64"/>
      <c r="T21" s="297">
        <f t="shared" si="3"/>
        <v>0</v>
      </c>
      <c r="U21" s="518">
        <f t="shared" si="4"/>
        <v>0</v>
      </c>
      <c r="W21" s="1"/>
      <c r="X21" s="65"/>
    </row>
    <row r="22" spans="1:24" s="23" customFormat="1" ht="11.25" customHeight="1" x14ac:dyDescent="0.2">
      <c r="A22" s="765"/>
      <c r="C22" s="769"/>
      <c r="D22" s="60"/>
      <c r="F22" s="503">
        <f t="shared" si="1"/>
        <v>1.6000000000000005E-3</v>
      </c>
      <c r="G22" s="503">
        <f t="shared" si="0"/>
        <v>1.6000000000000005E-3</v>
      </c>
      <c r="H22" s="504" t="str">
        <f t="shared" si="2"/>
        <v>Törökország</v>
      </c>
      <c r="I22" s="509" t="s">
        <v>1491</v>
      </c>
      <c r="J22" s="509" t="s">
        <v>1492</v>
      </c>
      <c r="K22" s="508">
        <v>25</v>
      </c>
      <c r="L22" s="509" t="s">
        <v>1339</v>
      </c>
      <c r="M22" s="634" t="s">
        <v>1340</v>
      </c>
      <c r="N22" s="510" t="s">
        <v>501</v>
      </c>
      <c r="O22" s="511">
        <v>36253</v>
      </c>
      <c r="P22" s="512">
        <v>22</v>
      </c>
      <c r="Q22" s="513">
        <v>188</v>
      </c>
      <c r="R22" s="514">
        <v>74</v>
      </c>
      <c r="S22" s="64"/>
      <c r="T22" s="297">
        <f t="shared" si="3"/>
        <v>0</v>
      </c>
      <c r="U22" s="518">
        <f t="shared" si="4"/>
        <v>0</v>
      </c>
      <c r="W22" s="1"/>
      <c r="X22" s="65"/>
    </row>
    <row r="23" spans="1:24" s="23" customFormat="1" ht="11.25" customHeight="1" x14ac:dyDescent="0.2">
      <c r="A23" s="765"/>
      <c r="C23" s="769"/>
      <c r="D23" s="60"/>
      <c r="F23" s="503">
        <f t="shared" si="1"/>
        <v>1.7000000000000006E-3</v>
      </c>
      <c r="G23" s="503">
        <f t="shared" si="0"/>
        <v>1.7000000000000006E-3</v>
      </c>
      <c r="H23" s="504" t="str">
        <f t="shared" si="2"/>
        <v>Törökország</v>
      </c>
      <c r="I23" s="509" t="s">
        <v>1365</v>
      </c>
      <c r="J23" s="509" t="s">
        <v>1366</v>
      </c>
      <c r="K23" s="508">
        <v>20</v>
      </c>
      <c r="L23" s="509" t="s">
        <v>703</v>
      </c>
      <c r="M23" s="634" t="s">
        <v>938</v>
      </c>
      <c r="N23" s="510" t="s">
        <v>858</v>
      </c>
      <c r="O23" s="511">
        <v>36336</v>
      </c>
      <c r="P23" s="512">
        <v>21</v>
      </c>
      <c r="Q23" s="513">
        <v>168</v>
      </c>
      <c r="R23" s="514">
        <v>62</v>
      </c>
      <c r="S23" s="64"/>
      <c r="T23" s="297">
        <f t="shared" si="3"/>
        <v>0</v>
      </c>
      <c r="U23" s="518">
        <f t="shared" si="4"/>
        <v>0</v>
      </c>
      <c r="W23" s="1"/>
      <c r="X23" s="65"/>
    </row>
    <row r="24" spans="1:24" s="23" customFormat="1" ht="11.25" customHeight="1" x14ac:dyDescent="0.2">
      <c r="A24" s="765"/>
      <c r="C24" s="769"/>
      <c r="D24" s="60"/>
      <c r="F24" s="503">
        <f t="shared" si="1"/>
        <v>1.8000000000000006E-3</v>
      </c>
      <c r="G24" s="503">
        <f t="shared" si="0"/>
        <v>1.8000000000000006E-3</v>
      </c>
      <c r="H24" s="504" t="str">
        <f t="shared" si="2"/>
        <v>Törökország</v>
      </c>
      <c r="I24" s="509" t="s">
        <v>1367</v>
      </c>
      <c r="J24" s="509" t="s">
        <v>1368</v>
      </c>
      <c r="K24" s="508">
        <v>4</v>
      </c>
      <c r="L24" s="509" t="s">
        <v>1339</v>
      </c>
      <c r="M24" s="634" t="s">
        <v>1017</v>
      </c>
      <c r="N24" s="510" t="s">
        <v>1271</v>
      </c>
      <c r="O24" s="511">
        <v>35208</v>
      </c>
      <c r="P24" s="512">
        <v>25</v>
      </c>
      <c r="Q24" s="513">
        <v>185</v>
      </c>
      <c r="R24" s="514">
        <v>82</v>
      </c>
      <c r="S24" s="64"/>
      <c r="T24" s="297">
        <f t="shared" si="3"/>
        <v>0</v>
      </c>
      <c r="U24" s="518">
        <f t="shared" si="4"/>
        <v>0</v>
      </c>
      <c r="W24" s="1"/>
      <c r="X24" s="65"/>
    </row>
    <row r="25" spans="1:24" s="23" customFormat="1" ht="11.25" customHeight="1" x14ac:dyDescent="0.2">
      <c r="A25" s="765"/>
      <c r="C25" s="769"/>
      <c r="D25" s="60"/>
      <c r="F25" s="503">
        <f t="shared" si="1"/>
        <v>1.9000000000000006E-3</v>
      </c>
      <c r="G25" s="503">
        <f t="shared" si="0"/>
        <v>1.9000000000000006E-3</v>
      </c>
      <c r="H25" s="504" t="str">
        <f t="shared" si="2"/>
        <v>Törökország</v>
      </c>
      <c r="I25" s="509" t="s">
        <v>1369</v>
      </c>
      <c r="J25" s="509" t="s">
        <v>1370</v>
      </c>
      <c r="K25" s="508">
        <v>8</v>
      </c>
      <c r="L25" s="509" t="s">
        <v>703</v>
      </c>
      <c r="M25" s="634" t="s">
        <v>859</v>
      </c>
      <c r="N25" s="510" t="s">
        <v>858</v>
      </c>
      <c r="O25" s="511">
        <v>35206</v>
      </c>
      <c r="P25" s="512">
        <v>25</v>
      </c>
      <c r="Q25" s="513">
        <v>180</v>
      </c>
      <c r="R25" s="514">
        <v>72</v>
      </c>
      <c r="S25" s="64"/>
      <c r="T25" s="297">
        <f t="shared" si="3"/>
        <v>0</v>
      </c>
      <c r="U25" s="518">
        <f t="shared" si="4"/>
        <v>0</v>
      </c>
      <c r="W25" s="1"/>
      <c r="X25" s="65"/>
    </row>
    <row r="26" spans="1:24" s="23" customFormat="1" ht="11.25" customHeight="1" x14ac:dyDescent="0.2">
      <c r="A26" s="765"/>
      <c r="C26" s="769"/>
      <c r="D26" s="60"/>
      <c r="F26" s="503">
        <f t="shared" si="1"/>
        <v>2.0000000000000005E-3</v>
      </c>
      <c r="G26" s="503">
        <f t="shared" si="0"/>
        <v>2.0000000000000005E-3</v>
      </c>
      <c r="H26" s="504" t="str">
        <f t="shared" si="2"/>
        <v>Törökország</v>
      </c>
      <c r="I26" s="509" t="s">
        <v>594</v>
      </c>
      <c r="J26" s="509" t="s">
        <v>595</v>
      </c>
      <c r="K26" s="508">
        <v>6</v>
      </c>
      <c r="L26" s="509" t="s">
        <v>703</v>
      </c>
      <c r="M26" s="634" t="s">
        <v>861</v>
      </c>
      <c r="N26" s="510" t="s">
        <v>858</v>
      </c>
      <c r="O26" s="511">
        <v>34781</v>
      </c>
      <c r="P26" s="512">
        <v>26</v>
      </c>
      <c r="Q26" s="513">
        <v>179</v>
      </c>
      <c r="R26" s="514">
        <v>80</v>
      </c>
      <c r="S26" s="64"/>
      <c r="T26" s="297">
        <f t="shared" si="3"/>
        <v>0</v>
      </c>
      <c r="U26" s="518">
        <f t="shared" si="4"/>
        <v>0</v>
      </c>
      <c r="W26" s="1"/>
      <c r="X26" s="65"/>
    </row>
    <row r="27" spans="1:24" s="23" customFormat="1" ht="11.25" customHeight="1" x14ac:dyDescent="0.2">
      <c r="A27" s="765"/>
      <c r="C27" s="769"/>
      <c r="D27" s="60"/>
      <c r="F27" s="503">
        <f t="shared" si="1"/>
        <v>2.1000000000000003E-3</v>
      </c>
      <c r="G27" s="503">
        <f t="shared" si="0"/>
        <v>2.1000000000000003E-3</v>
      </c>
      <c r="H27" s="504" t="str">
        <f t="shared" si="2"/>
        <v>Törökország</v>
      </c>
      <c r="I27" s="509" t="s">
        <v>1371</v>
      </c>
      <c r="J27" s="509" t="s">
        <v>1372</v>
      </c>
      <c r="K27" s="508">
        <v>16</v>
      </c>
      <c r="L27" s="509" t="s">
        <v>1357</v>
      </c>
      <c r="M27" s="634" t="s">
        <v>1373</v>
      </c>
      <c r="N27" s="510" t="s">
        <v>500</v>
      </c>
      <c r="O27" s="511">
        <v>35560</v>
      </c>
      <c r="P27" s="512">
        <v>24</v>
      </c>
      <c r="Q27" s="513">
        <v>187</v>
      </c>
      <c r="R27" s="514">
        <v>78</v>
      </c>
      <c r="S27" s="64"/>
      <c r="T27" s="297">
        <f t="shared" si="3"/>
        <v>0</v>
      </c>
      <c r="U27" s="518">
        <f t="shared" si="4"/>
        <v>0</v>
      </c>
      <c r="W27" s="1"/>
      <c r="X27" s="65"/>
    </row>
    <row r="28" spans="1:24" s="23" customFormat="1" ht="11.25" customHeight="1" x14ac:dyDescent="0.2">
      <c r="A28" s="765"/>
      <c r="C28" s="769"/>
      <c r="D28" s="60"/>
      <c r="F28" s="503">
        <f t="shared" si="1"/>
        <v>2.2000000000000001E-3</v>
      </c>
      <c r="G28" s="503">
        <f t="shared" si="0"/>
        <v>2.2000000000000001E-3</v>
      </c>
      <c r="H28" s="504" t="str">
        <f t="shared" si="2"/>
        <v>Törökország</v>
      </c>
      <c r="I28" s="509" t="s">
        <v>1493</v>
      </c>
      <c r="J28" s="509" t="s">
        <v>1494</v>
      </c>
      <c r="K28" s="508">
        <v>7</v>
      </c>
      <c r="L28" s="509" t="s">
        <v>1357</v>
      </c>
      <c r="M28" s="634" t="s">
        <v>1017</v>
      </c>
      <c r="N28" s="510" t="s">
        <v>1271</v>
      </c>
      <c r="O28" s="511">
        <v>35625</v>
      </c>
      <c r="P28" s="512">
        <v>23</v>
      </c>
      <c r="Q28" s="513">
        <v>173</v>
      </c>
      <c r="R28" s="514">
        <v>66</v>
      </c>
      <c r="S28" s="64"/>
      <c r="T28" s="297">
        <f t="shared" si="3"/>
        <v>0</v>
      </c>
      <c r="U28" s="518">
        <f t="shared" si="4"/>
        <v>0</v>
      </c>
      <c r="W28" s="1"/>
      <c r="X28" s="65"/>
    </row>
    <row r="29" spans="1:24" s="23" customFormat="1" ht="11.25" customHeight="1" x14ac:dyDescent="0.2">
      <c r="A29" s="765"/>
      <c r="C29" s="769"/>
      <c r="D29" s="60"/>
      <c r="F29" s="503">
        <f t="shared" si="1"/>
        <v>2.3E-3</v>
      </c>
      <c r="G29" s="503">
        <f t="shared" si="0"/>
        <v>2.3E-3</v>
      </c>
      <c r="H29" s="504" t="str">
        <f t="shared" si="2"/>
        <v>Törökország</v>
      </c>
      <c r="I29" s="509" t="s">
        <v>1495</v>
      </c>
      <c r="J29" s="509" t="s">
        <v>1496</v>
      </c>
      <c r="K29" s="508">
        <v>11</v>
      </c>
      <c r="L29" s="509" t="s">
        <v>703</v>
      </c>
      <c r="M29" s="634" t="s">
        <v>1345</v>
      </c>
      <c r="N29" s="510" t="s">
        <v>502</v>
      </c>
      <c r="O29" s="511">
        <v>35459</v>
      </c>
      <c r="P29" s="512">
        <v>24</v>
      </c>
      <c r="Q29" s="513">
        <v>178</v>
      </c>
      <c r="R29" s="514">
        <v>74</v>
      </c>
      <c r="S29" s="64"/>
      <c r="T29" s="297">
        <f t="shared" si="3"/>
        <v>0</v>
      </c>
      <c r="U29" s="518">
        <f t="shared" si="4"/>
        <v>0</v>
      </c>
      <c r="W29" s="640"/>
      <c r="X29" s="65"/>
    </row>
    <row r="30" spans="1:24" s="23" customFormat="1" ht="11.25" customHeight="1" x14ac:dyDescent="0.2">
      <c r="A30" s="765"/>
      <c r="C30" s="769"/>
      <c r="D30" s="60"/>
      <c r="F30" s="503">
        <f t="shared" si="1"/>
        <v>2.3999999999999998E-3</v>
      </c>
      <c r="G30" s="503">
        <f t="shared" si="0"/>
        <v>2.3999999999999998E-3</v>
      </c>
      <c r="H30" s="504" t="str">
        <f t="shared" si="2"/>
        <v>Törökország</v>
      </c>
      <c r="I30" s="509" t="s">
        <v>1497</v>
      </c>
      <c r="J30" s="509" t="s">
        <v>1498</v>
      </c>
      <c r="K30" s="508">
        <v>17</v>
      </c>
      <c r="L30" s="509" t="s">
        <v>1357</v>
      </c>
      <c r="M30" s="634" t="s">
        <v>1345</v>
      </c>
      <c r="N30" s="510" t="s">
        <v>502</v>
      </c>
      <c r="O30" s="511">
        <v>31243</v>
      </c>
      <c r="P30" s="512">
        <v>35</v>
      </c>
      <c r="Q30" s="513">
        <v>188</v>
      </c>
      <c r="R30" s="514">
        <v>80</v>
      </c>
      <c r="S30" s="64"/>
      <c r="T30" s="297">
        <f t="shared" ref="T30:T36" si="5">IF(I30="","",COUNTIF(nevek.s,CONCATENATE(H30,I30)))</f>
        <v>0</v>
      </c>
      <c r="U30" s="518">
        <f t="shared" ref="U30:U36" si="6">IF(I30="","",COUNTIF(nevek.s,CONCATENATE("ö",H30,I30)))</f>
        <v>0</v>
      </c>
      <c r="W30" s="640"/>
      <c r="X30" s="65"/>
    </row>
    <row r="31" spans="1:24" s="23" customFormat="1" ht="11.25" customHeight="1" x14ac:dyDescent="0.2">
      <c r="A31" s="765"/>
      <c r="C31" s="769"/>
      <c r="D31" s="60"/>
      <c r="F31" s="503">
        <f t="shared" si="1"/>
        <v>2.4999999999999996E-3</v>
      </c>
      <c r="G31" s="503">
        <f t="shared" si="0"/>
        <v>2.4999999999999996E-3</v>
      </c>
      <c r="H31" s="504" t="str">
        <f t="shared" si="2"/>
        <v>Törökország</v>
      </c>
      <c r="I31" s="509" t="s">
        <v>1499</v>
      </c>
      <c r="J31" s="509" t="s">
        <v>1500</v>
      </c>
      <c r="K31" s="508">
        <v>18</v>
      </c>
      <c r="L31" s="509" t="s">
        <v>1339</v>
      </c>
      <c r="M31" s="634" t="s">
        <v>859</v>
      </c>
      <c r="N31" s="510" t="s">
        <v>858</v>
      </c>
      <c r="O31" s="511">
        <v>37032</v>
      </c>
      <c r="P31" s="512">
        <v>20</v>
      </c>
      <c r="Q31" s="513">
        <v>171</v>
      </c>
      <c r="R31" s="514">
        <v>64</v>
      </c>
      <c r="S31" s="64"/>
      <c r="T31" s="297">
        <f t="shared" si="5"/>
        <v>0</v>
      </c>
      <c r="U31" s="518">
        <f t="shared" si="6"/>
        <v>0</v>
      </c>
      <c r="W31" s="640"/>
      <c r="X31" s="65"/>
    </row>
    <row r="32" spans="1:24" s="23" customFormat="1" ht="11.25" customHeight="1" x14ac:dyDescent="0.2">
      <c r="A32" s="765"/>
      <c r="C32" s="769"/>
      <c r="D32" s="60"/>
      <c r="F32" s="503">
        <f t="shared" si="1"/>
        <v>2.5999999999999994E-3</v>
      </c>
      <c r="G32" s="503">
        <f t="shared" si="0"/>
        <v>2.5999999999999994E-3</v>
      </c>
      <c r="H32" s="504" t="str">
        <f t="shared" si="2"/>
        <v>Törökország</v>
      </c>
      <c r="I32" s="555" t="s">
        <v>1501</v>
      </c>
      <c r="J32" s="555" t="s">
        <v>1502</v>
      </c>
      <c r="K32" s="554">
        <v>5</v>
      </c>
      <c r="L32" s="555" t="s">
        <v>703</v>
      </c>
      <c r="M32" s="635" t="s">
        <v>1503</v>
      </c>
      <c r="N32" s="556" t="s">
        <v>500</v>
      </c>
      <c r="O32" s="557">
        <v>34402</v>
      </c>
      <c r="P32" s="558">
        <v>27</v>
      </c>
      <c r="Q32" s="559">
        <v>190</v>
      </c>
      <c r="R32" s="560">
        <v>79</v>
      </c>
      <c r="S32" s="64"/>
      <c r="T32" s="297">
        <f t="shared" si="5"/>
        <v>0</v>
      </c>
      <c r="U32" s="518">
        <f t="shared" si="6"/>
        <v>0</v>
      </c>
      <c r="W32" s="640"/>
      <c r="X32" s="65"/>
    </row>
    <row r="33" spans="1:24" s="23" customFormat="1" ht="9.75" hidden="1" customHeight="1" x14ac:dyDescent="0.2">
      <c r="A33" s="765"/>
      <c r="C33" s="769"/>
      <c r="D33" s="60"/>
      <c r="F33" s="503">
        <f t="shared" si="1"/>
        <v>2.6999999999999993E-3</v>
      </c>
      <c r="G33" s="503">
        <f t="shared" si="0"/>
        <v>0</v>
      </c>
      <c r="H33" s="504" t="str">
        <f t="shared" si="2"/>
        <v>Törökország</v>
      </c>
      <c r="I33" s="61"/>
      <c r="J33" s="61"/>
      <c r="K33" s="295"/>
      <c r="L33" s="61"/>
      <c r="M33" s="633"/>
      <c r="N33" s="256"/>
      <c r="O33" s="62"/>
      <c r="P33" s="253"/>
      <c r="Q33" s="63"/>
      <c r="R33" s="252"/>
      <c r="S33" s="64"/>
      <c r="T33" s="297" t="str">
        <f t="shared" si="5"/>
        <v/>
      </c>
      <c r="U33" s="518" t="str">
        <f t="shared" si="6"/>
        <v/>
      </c>
      <c r="W33" s="640"/>
      <c r="X33" s="65"/>
    </row>
    <row r="34" spans="1:24" s="23" customFormat="1" ht="9.75" hidden="1" customHeight="1" x14ac:dyDescent="0.2">
      <c r="A34" s="765"/>
      <c r="C34" s="769"/>
      <c r="D34" s="60"/>
      <c r="F34" s="503">
        <f t="shared" si="1"/>
        <v>2.7999999999999991E-3</v>
      </c>
      <c r="G34" s="503">
        <f t="shared" si="0"/>
        <v>0</v>
      </c>
      <c r="H34" s="504" t="str">
        <f t="shared" si="2"/>
        <v>Törökország</v>
      </c>
      <c r="I34" s="61"/>
      <c r="J34" s="61"/>
      <c r="K34" s="295"/>
      <c r="L34" s="61"/>
      <c r="M34" s="633"/>
      <c r="N34" s="256"/>
      <c r="O34" s="62"/>
      <c r="P34" s="253"/>
      <c r="Q34" s="63"/>
      <c r="R34" s="252"/>
      <c r="S34" s="64"/>
      <c r="T34" s="297" t="str">
        <f t="shared" si="5"/>
        <v/>
      </c>
      <c r="U34" s="518" t="str">
        <f t="shared" si="6"/>
        <v/>
      </c>
      <c r="W34" s="640"/>
      <c r="X34" s="65"/>
    </row>
    <row r="35" spans="1:24" s="23" customFormat="1" ht="9.75" hidden="1" customHeight="1" x14ac:dyDescent="0.2">
      <c r="A35" s="765"/>
      <c r="C35" s="769"/>
      <c r="D35" s="60"/>
      <c r="F35" s="503">
        <f t="shared" si="1"/>
        <v>2.8999999999999989E-3</v>
      </c>
      <c r="G35" s="503">
        <f t="shared" si="0"/>
        <v>0</v>
      </c>
      <c r="H35" s="504" t="str">
        <f t="shared" si="2"/>
        <v>Törökország</v>
      </c>
      <c r="I35" s="61"/>
      <c r="J35" s="61"/>
      <c r="K35" s="295"/>
      <c r="L35" s="61"/>
      <c r="M35" s="633"/>
      <c r="N35" s="256"/>
      <c r="O35" s="62"/>
      <c r="P35" s="253"/>
      <c r="Q35" s="63"/>
      <c r="R35" s="252"/>
      <c r="S35" s="64"/>
      <c r="T35" s="297" t="str">
        <f t="shared" si="5"/>
        <v/>
      </c>
      <c r="U35" s="518" t="str">
        <f t="shared" si="6"/>
        <v/>
      </c>
      <c r="W35" s="640"/>
      <c r="X35" s="65"/>
    </row>
    <row r="36" spans="1:24" s="23" customFormat="1" ht="9.75" hidden="1" customHeight="1" x14ac:dyDescent="0.2">
      <c r="A36" s="765"/>
      <c r="C36" s="769"/>
      <c r="D36" s="60"/>
      <c r="F36" s="503">
        <f t="shared" si="1"/>
        <v>2.9999999999999988E-3</v>
      </c>
      <c r="G36" s="503">
        <f t="shared" si="0"/>
        <v>0</v>
      </c>
      <c r="H36" s="504" t="str">
        <f t="shared" si="2"/>
        <v>Törökország</v>
      </c>
      <c r="I36" s="61"/>
      <c r="J36" s="61"/>
      <c r="K36" s="295"/>
      <c r="L36" s="61"/>
      <c r="M36" s="633"/>
      <c r="N36" s="256"/>
      <c r="O36" s="62"/>
      <c r="P36" s="253"/>
      <c r="Q36" s="63"/>
      <c r="R36" s="252"/>
      <c r="S36" s="64"/>
      <c r="T36" s="297" t="str">
        <f t="shared" si="5"/>
        <v/>
      </c>
      <c r="U36" s="518" t="str">
        <f t="shared" si="6"/>
        <v/>
      </c>
      <c r="W36" s="640"/>
      <c r="X36" s="65"/>
    </row>
    <row r="37" spans="1:24" s="23" customFormat="1" ht="4.5" customHeight="1" x14ac:dyDescent="0.25">
      <c r="A37" s="765"/>
      <c r="C37" s="769"/>
      <c r="D37" s="60"/>
      <c r="F37" s="503">
        <f t="shared" si="1"/>
        <v>3.0999999999999986E-3</v>
      </c>
      <c r="G37" s="503"/>
      <c r="H37" s="505"/>
      <c r="I37" s="67"/>
      <c r="J37" s="67"/>
      <c r="K37" s="22"/>
      <c r="L37" s="67"/>
      <c r="M37" s="22"/>
      <c r="N37" s="68"/>
      <c r="O37" s="67"/>
      <c r="P37" s="69"/>
      <c r="Q37" s="70"/>
      <c r="R37" s="71"/>
      <c r="S37" s="71"/>
      <c r="T37" s="298"/>
      <c r="U37" s="299"/>
      <c r="W37" s="641"/>
      <c r="X37" s="67"/>
    </row>
    <row r="38" spans="1:24" s="21" customFormat="1" ht="9.75" customHeight="1" x14ac:dyDescent="0.2">
      <c r="A38" s="765"/>
      <c r="C38" s="769"/>
      <c r="D38" s="60"/>
      <c r="F38" s="503">
        <f t="shared" si="1"/>
        <v>3.1999999999999984E-3</v>
      </c>
      <c r="G38" s="503"/>
      <c r="H38" s="303"/>
      <c r="I38" s="74" t="s">
        <v>542</v>
      </c>
      <c r="J38" s="75" t="s">
        <v>1374</v>
      </c>
      <c r="K38" s="296"/>
      <c r="L38" s="75"/>
      <c r="M38" s="636"/>
      <c r="N38" s="76"/>
      <c r="O38" s="74" t="s">
        <v>495</v>
      </c>
      <c r="P38" s="254">
        <f>AVERAGE(P7:P36)</f>
        <v>24.576923076923077</v>
      </c>
      <c r="Q38" s="77">
        <f>AVERAGE(Q7:Q36)</f>
        <v>182.23076923076923</v>
      </c>
      <c r="R38" s="255">
        <f>AVERAGE(R7:R36)</f>
        <v>76.384615384615387</v>
      </c>
      <c r="S38" s="78"/>
      <c r="T38" s="297">
        <f>SUM(T7:T36)</f>
        <v>0</v>
      </c>
      <c r="U38" s="518">
        <f>SUM(U7:U36)</f>
        <v>0</v>
      </c>
      <c r="W38" s="642" t="s">
        <v>879</v>
      </c>
      <c r="X38" s="79"/>
    </row>
    <row r="39" spans="1:24" ht="9.75" customHeight="1" x14ac:dyDescent="0.3">
      <c r="A39" s="765"/>
      <c r="F39" s="503">
        <f t="shared" si="1"/>
        <v>3.2999999999999982E-3</v>
      </c>
      <c r="G39" s="503"/>
    </row>
    <row r="40" spans="1:24" ht="9.75" customHeight="1" x14ac:dyDescent="0.3">
      <c r="A40" s="765"/>
      <c r="F40" s="503">
        <f t="shared" si="1"/>
        <v>3.3999999999999981E-3</v>
      </c>
      <c r="G40" s="503"/>
    </row>
    <row r="41" spans="1:24" ht="9.75" customHeight="1" x14ac:dyDescent="0.3">
      <c r="A41" s="765"/>
      <c r="F41" s="503">
        <f t="shared" si="1"/>
        <v>3.4999999999999979E-3</v>
      </c>
      <c r="G41" s="503"/>
    </row>
    <row r="42" spans="1:24" ht="9.75" customHeight="1" x14ac:dyDescent="0.3">
      <c r="A42" s="765"/>
      <c r="F42" s="503">
        <f t="shared" si="1"/>
        <v>3.5999999999999977E-3</v>
      </c>
    </row>
    <row r="43" spans="1:24" ht="9.75" customHeight="1" x14ac:dyDescent="0.3">
      <c r="A43" s="765"/>
      <c r="F43" s="503">
        <f t="shared" si="1"/>
        <v>3.6999999999999976E-3</v>
      </c>
    </row>
    <row r="44" spans="1:24" ht="9.75" customHeight="1" x14ac:dyDescent="0.3">
      <c r="A44" s="765"/>
      <c r="F44" s="503">
        <f t="shared" si="1"/>
        <v>3.7999999999999974E-3</v>
      </c>
    </row>
    <row r="45" spans="1:24" ht="9.75" customHeight="1" x14ac:dyDescent="0.3">
      <c r="A45" s="765"/>
      <c r="F45" s="503">
        <f t="shared" si="1"/>
        <v>3.8999999999999972E-3</v>
      </c>
    </row>
    <row r="46" spans="1:24" s="23" customFormat="1" ht="5.25" customHeight="1" x14ac:dyDescent="0.2">
      <c r="A46" s="765"/>
      <c r="C46" s="21"/>
      <c r="F46" s="503">
        <f t="shared" si="1"/>
        <v>3.9999999999999975E-3</v>
      </c>
      <c r="G46" s="506"/>
      <c r="H46" s="502"/>
      <c r="I46" s="55"/>
      <c r="J46" s="55"/>
      <c r="K46" s="56"/>
      <c r="L46" s="55"/>
      <c r="M46" s="56"/>
      <c r="N46" s="57"/>
      <c r="O46" s="57"/>
      <c r="P46" s="55"/>
      <c r="Q46" s="57"/>
      <c r="R46" s="57"/>
      <c r="S46" s="57"/>
      <c r="T46" s="58"/>
      <c r="U46" s="59"/>
      <c r="W46" s="639"/>
      <c r="X46" s="55"/>
    </row>
    <row r="47" spans="1:24" s="23" customFormat="1" ht="11.25" customHeight="1" x14ac:dyDescent="0.2">
      <c r="A47" s="765"/>
      <c r="C47" s="769" t="str">
        <f>UPPER(H47)&amp;"    ."</f>
        <v>OLASZORSZÁG    .</v>
      </c>
      <c r="D47" s="60"/>
      <c r="F47" s="503">
        <f t="shared" si="1"/>
        <v>4.0999999999999977E-3</v>
      </c>
      <c r="G47" s="503">
        <f t="shared" ref="G47:G76" si="7">IF(I47="",0,T47+F47)</f>
        <v>4.0999999999999977E-3</v>
      </c>
      <c r="H47" s="504" t="str">
        <f>Adatok!A3</f>
        <v>Olaszország</v>
      </c>
      <c r="I47" s="61" t="s">
        <v>1375</v>
      </c>
      <c r="J47" s="61" t="s">
        <v>1376</v>
      </c>
      <c r="K47" s="295">
        <v>15</v>
      </c>
      <c r="L47" s="61" t="s">
        <v>1339</v>
      </c>
      <c r="M47" s="633" t="s">
        <v>748</v>
      </c>
      <c r="N47" s="256" t="s">
        <v>501</v>
      </c>
      <c r="O47" s="62">
        <v>32183</v>
      </c>
      <c r="P47" s="253">
        <v>33</v>
      </c>
      <c r="Q47" s="63">
        <v>192</v>
      </c>
      <c r="R47" s="252">
        <v>88</v>
      </c>
      <c r="S47" s="64"/>
      <c r="T47" s="297">
        <f t="shared" ref="T47:T69" si="8">IF(I47="","",COUNTIF(nevek.s,CONCATENATE(H47,I47)))</f>
        <v>0</v>
      </c>
      <c r="U47" s="518">
        <f t="shared" ref="U47:U69" si="9">IF(I47="","",COUNTIF(nevek.s,CONCATENATE("ö",H47,I47)))</f>
        <v>0</v>
      </c>
      <c r="W47" s="3"/>
      <c r="X47" s="65"/>
    </row>
    <row r="48" spans="1:24" s="23" customFormat="1" ht="11.25" customHeight="1" x14ac:dyDescent="0.2">
      <c r="A48" s="765"/>
      <c r="C48" s="769"/>
      <c r="D48" s="60"/>
      <c r="F48" s="503">
        <f t="shared" si="1"/>
        <v>4.199999999999998E-3</v>
      </c>
      <c r="G48" s="503">
        <f t="shared" si="7"/>
        <v>4.199999999999998E-3</v>
      </c>
      <c r="H48" s="504" t="str">
        <f>H47</f>
        <v>Olaszország</v>
      </c>
      <c r="I48" s="509" t="s">
        <v>1377</v>
      </c>
      <c r="J48" s="509" t="s">
        <v>1378</v>
      </c>
      <c r="K48" s="508">
        <v>18</v>
      </c>
      <c r="L48" s="509" t="s">
        <v>703</v>
      </c>
      <c r="M48" s="634" t="s">
        <v>815</v>
      </c>
      <c r="N48" s="510" t="s">
        <v>501</v>
      </c>
      <c r="O48" s="511">
        <v>35468</v>
      </c>
      <c r="P48" s="512">
        <v>24</v>
      </c>
      <c r="Q48" s="513">
        <v>172</v>
      </c>
      <c r="R48" s="514">
        <v>68</v>
      </c>
      <c r="S48" s="64"/>
      <c r="T48" s="297">
        <f t="shared" si="8"/>
        <v>0</v>
      </c>
      <c r="U48" s="518">
        <f t="shared" si="9"/>
        <v>0</v>
      </c>
      <c r="W48" s="1"/>
      <c r="X48" s="65"/>
    </row>
    <row r="49" spans="1:24" s="23" customFormat="1" ht="11.25" customHeight="1" x14ac:dyDescent="0.2">
      <c r="A49" s="765"/>
      <c r="C49" s="769"/>
      <c r="D49" s="60"/>
      <c r="F49" s="503">
        <f t="shared" si="1"/>
        <v>4.2999999999999983E-3</v>
      </c>
      <c r="G49" s="503">
        <f t="shared" si="7"/>
        <v>4.2999999999999983E-3</v>
      </c>
      <c r="H49" s="504" t="str">
        <f t="shared" ref="H49:H76" si="10">H48</f>
        <v>Olaszország</v>
      </c>
      <c r="I49" s="509" t="s">
        <v>1379</v>
      </c>
      <c r="J49" s="509" t="s">
        <v>1155</v>
      </c>
      <c r="K49" s="508">
        <v>23</v>
      </c>
      <c r="L49" s="509" t="s">
        <v>1339</v>
      </c>
      <c r="M49" s="634" t="s">
        <v>815</v>
      </c>
      <c r="N49" s="510" t="s">
        <v>501</v>
      </c>
      <c r="O49" s="511">
        <v>36263</v>
      </c>
      <c r="P49" s="512">
        <v>22</v>
      </c>
      <c r="Q49" s="513">
        <v>190</v>
      </c>
      <c r="R49" s="514">
        <v>75</v>
      </c>
      <c r="S49" s="64"/>
      <c r="T49" s="297">
        <f t="shared" si="8"/>
        <v>0</v>
      </c>
      <c r="U49" s="518">
        <f t="shared" si="9"/>
        <v>0</v>
      </c>
      <c r="W49" s="1"/>
      <c r="X49" s="65"/>
    </row>
    <row r="50" spans="1:24" s="23" customFormat="1" ht="11.25" customHeight="1" x14ac:dyDescent="0.2">
      <c r="A50" s="765"/>
      <c r="C50" s="769"/>
      <c r="D50" s="60"/>
      <c r="F50" s="503">
        <f t="shared" si="1"/>
        <v>4.3999999999999985E-3</v>
      </c>
      <c r="G50" s="503">
        <f t="shared" si="7"/>
        <v>4.3999999999999985E-3</v>
      </c>
      <c r="H50" s="504" t="str">
        <f t="shared" si="10"/>
        <v>Olaszország</v>
      </c>
      <c r="I50" s="509" t="s">
        <v>1380</v>
      </c>
      <c r="J50" s="509" t="s">
        <v>973</v>
      </c>
      <c r="K50" s="508">
        <v>9</v>
      </c>
      <c r="L50" s="509" t="s">
        <v>1357</v>
      </c>
      <c r="M50" s="634" t="s">
        <v>936</v>
      </c>
      <c r="N50" s="510" t="s">
        <v>501</v>
      </c>
      <c r="O50" s="511">
        <v>34323</v>
      </c>
      <c r="P50" s="512">
        <v>27</v>
      </c>
      <c r="Q50" s="513">
        <v>181</v>
      </c>
      <c r="R50" s="514">
        <v>72</v>
      </c>
      <c r="S50" s="64"/>
      <c r="T50" s="297">
        <f t="shared" si="8"/>
        <v>0</v>
      </c>
      <c r="U50" s="518">
        <f t="shared" si="9"/>
        <v>0</v>
      </c>
      <c r="W50" s="1"/>
      <c r="X50" s="65"/>
    </row>
    <row r="51" spans="1:24" s="23" customFormat="1" ht="11.25" customHeight="1" x14ac:dyDescent="0.2">
      <c r="A51" s="765"/>
      <c r="C51" s="769"/>
      <c r="D51" s="60"/>
      <c r="F51" s="503">
        <f t="shared" si="1"/>
        <v>4.4999999999999988E-3</v>
      </c>
      <c r="G51" s="503">
        <f t="shared" si="7"/>
        <v>4.4999999999999988E-3</v>
      </c>
      <c r="H51" s="504" t="str">
        <f t="shared" si="10"/>
        <v>Olaszország</v>
      </c>
      <c r="I51" s="509" t="s">
        <v>1504</v>
      </c>
      <c r="J51" s="509" t="s">
        <v>1505</v>
      </c>
      <c r="K51" s="508">
        <v>11</v>
      </c>
      <c r="L51" s="509" t="s">
        <v>1357</v>
      </c>
      <c r="M51" s="634" t="s">
        <v>1340</v>
      </c>
      <c r="N51" s="510" t="s">
        <v>501</v>
      </c>
      <c r="O51" s="511">
        <v>34547</v>
      </c>
      <c r="P51" s="512">
        <v>26</v>
      </c>
      <c r="Q51" s="513">
        <v>183</v>
      </c>
      <c r="R51" s="514">
        <v>72</v>
      </c>
      <c r="S51" s="64"/>
      <c r="T51" s="297">
        <f t="shared" si="8"/>
        <v>0</v>
      </c>
      <c r="U51" s="518">
        <f t="shared" si="9"/>
        <v>0</v>
      </c>
      <c r="W51" s="1"/>
      <c r="X51" s="65"/>
    </row>
    <row r="52" spans="1:24" s="23" customFormat="1" ht="11.25" customHeight="1" x14ac:dyDescent="0.2">
      <c r="A52" s="765"/>
      <c r="C52" s="769"/>
      <c r="D52" s="60"/>
      <c r="F52" s="503">
        <f t="shared" si="1"/>
        <v>4.5999999999999991E-3</v>
      </c>
      <c r="G52" s="503">
        <f t="shared" si="7"/>
        <v>4.5999999999999991E-3</v>
      </c>
      <c r="H52" s="504" t="str">
        <f t="shared" si="10"/>
        <v>Olaszország</v>
      </c>
      <c r="I52" s="509" t="s">
        <v>605</v>
      </c>
      <c r="J52" s="509" t="s">
        <v>606</v>
      </c>
      <c r="K52" s="508">
        <v>20</v>
      </c>
      <c r="L52" s="509" t="s">
        <v>703</v>
      </c>
      <c r="M52" s="634" t="s">
        <v>917</v>
      </c>
      <c r="N52" s="510" t="s">
        <v>501</v>
      </c>
      <c r="O52" s="511">
        <v>34381</v>
      </c>
      <c r="P52" s="512">
        <v>27</v>
      </c>
      <c r="Q52" s="513">
        <v>185</v>
      </c>
      <c r="R52" s="514">
        <v>77</v>
      </c>
      <c r="S52" s="64"/>
      <c r="T52" s="297">
        <f t="shared" si="8"/>
        <v>0</v>
      </c>
      <c r="U52" s="518">
        <f t="shared" si="9"/>
        <v>0</v>
      </c>
      <c r="W52" s="1"/>
      <c r="X52" s="65"/>
    </row>
    <row r="53" spans="1:24" s="23" customFormat="1" ht="11.25" customHeight="1" x14ac:dyDescent="0.2">
      <c r="A53" s="765"/>
      <c r="C53" s="769"/>
      <c r="D53" s="60"/>
      <c r="F53" s="503">
        <f t="shared" si="1"/>
        <v>4.6999999999999993E-3</v>
      </c>
      <c r="G53" s="503">
        <f t="shared" si="7"/>
        <v>4.6999999999999993E-3</v>
      </c>
      <c r="H53" s="504" t="str">
        <f t="shared" si="10"/>
        <v>Olaszország</v>
      </c>
      <c r="I53" s="509" t="s">
        <v>974</v>
      </c>
      <c r="J53" s="509" t="s">
        <v>975</v>
      </c>
      <c r="K53" s="508">
        <v>19</v>
      </c>
      <c r="L53" s="509" t="s">
        <v>1339</v>
      </c>
      <c r="M53" s="634" t="s">
        <v>917</v>
      </c>
      <c r="N53" s="510" t="s">
        <v>501</v>
      </c>
      <c r="O53" s="511">
        <v>31898</v>
      </c>
      <c r="P53" s="512">
        <v>34</v>
      </c>
      <c r="Q53" s="513">
        <v>190</v>
      </c>
      <c r="R53" s="514">
        <v>85</v>
      </c>
      <c r="S53" s="64"/>
      <c r="T53" s="297">
        <f t="shared" si="8"/>
        <v>0</v>
      </c>
      <c r="U53" s="518">
        <f t="shared" si="9"/>
        <v>0</v>
      </c>
      <c r="W53" s="1"/>
      <c r="X53" s="65"/>
    </row>
    <row r="54" spans="1:24" s="23" customFormat="1" ht="11.25" customHeight="1" x14ac:dyDescent="0.2">
      <c r="A54" s="765"/>
      <c r="C54" s="769"/>
      <c r="D54" s="60"/>
      <c r="E54" s="66"/>
      <c r="F54" s="503">
        <f t="shared" si="1"/>
        <v>4.7999999999999996E-3</v>
      </c>
      <c r="G54" s="503">
        <f t="shared" si="7"/>
        <v>4.7999999999999996E-3</v>
      </c>
      <c r="H54" s="504" t="str">
        <f t="shared" si="10"/>
        <v>Olaszország</v>
      </c>
      <c r="I54" s="509" t="s">
        <v>978</v>
      </c>
      <c r="J54" s="509" t="s">
        <v>979</v>
      </c>
      <c r="K54" s="508">
        <v>3</v>
      </c>
      <c r="L54" s="509" t="s">
        <v>1339</v>
      </c>
      <c r="M54" s="634" t="s">
        <v>917</v>
      </c>
      <c r="N54" s="510" t="s">
        <v>501</v>
      </c>
      <c r="O54" s="511">
        <v>30908</v>
      </c>
      <c r="P54" s="512">
        <v>36</v>
      </c>
      <c r="Q54" s="513">
        <v>187</v>
      </c>
      <c r="R54" s="514">
        <v>84</v>
      </c>
      <c r="S54" s="64"/>
      <c r="T54" s="297">
        <f t="shared" si="8"/>
        <v>0</v>
      </c>
      <c r="U54" s="518">
        <f t="shared" si="9"/>
        <v>0</v>
      </c>
      <c r="W54" s="1"/>
      <c r="X54" s="65"/>
    </row>
    <row r="55" spans="1:24" s="23" customFormat="1" ht="11.25" customHeight="1" x14ac:dyDescent="0.2">
      <c r="A55" s="765"/>
      <c r="C55" s="769"/>
      <c r="D55" s="60"/>
      <c r="F55" s="503">
        <f t="shared" si="1"/>
        <v>4.8999999999999998E-3</v>
      </c>
      <c r="G55" s="503">
        <f t="shared" si="7"/>
        <v>4.8999999999999998E-3</v>
      </c>
      <c r="H55" s="504" t="str">
        <f t="shared" si="10"/>
        <v>Olaszország</v>
      </c>
      <c r="I55" s="509" t="s">
        <v>1381</v>
      </c>
      <c r="J55" s="509" t="s">
        <v>606</v>
      </c>
      <c r="K55" s="508">
        <v>14</v>
      </c>
      <c r="L55" s="509" t="s">
        <v>1357</v>
      </c>
      <c r="M55" s="634" t="s">
        <v>917</v>
      </c>
      <c r="N55" s="510" t="s">
        <v>501</v>
      </c>
      <c r="O55" s="511">
        <v>35728</v>
      </c>
      <c r="P55" s="512">
        <v>23</v>
      </c>
      <c r="Q55" s="513">
        <v>180</v>
      </c>
      <c r="R55" s="514">
        <v>70</v>
      </c>
      <c r="S55" s="64"/>
      <c r="T55" s="297">
        <f t="shared" si="8"/>
        <v>0</v>
      </c>
      <c r="U55" s="518">
        <f t="shared" si="9"/>
        <v>0</v>
      </c>
      <c r="W55" s="1"/>
      <c r="X55" s="65"/>
    </row>
    <row r="56" spans="1:24" s="23" customFormat="1" ht="11.25" customHeight="1" x14ac:dyDescent="0.2">
      <c r="A56" s="765"/>
      <c r="C56" s="769"/>
      <c r="D56" s="60"/>
      <c r="F56" s="503">
        <f t="shared" si="1"/>
        <v>5.0000000000000001E-3</v>
      </c>
      <c r="G56" s="503">
        <f t="shared" si="7"/>
        <v>5.0000000000000001E-3</v>
      </c>
      <c r="H56" s="504" t="str">
        <f t="shared" si="10"/>
        <v>Olaszország</v>
      </c>
      <c r="I56" s="509" t="s">
        <v>1382</v>
      </c>
      <c r="J56" s="509" t="s">
        <v>1383</v>
      </c>
      <c r="K56" s="508">
        <v>16</v>
      </c>
      <c r="L56" s="509" t="s">
        <v>703</v>
      </c>
      <c r="M56" s="634" t="s">
        <v>475</v>
      </c>
      <c r="N56" s="510" t="s">
        <v>501</v>
      </c>
      <c r="O56" s="511">
        <v>34761</v>
      </c>
      <c r="P56" s="512">
        <v>26</v>
      </c>
      <c r="Q56" s="513">
        <v>186</v>
      </c>
      <c r="R56" s="514">
        <v>80</v>
      </c>
      <c r="S56" s="64"/>
      <c r="T56" s="297">
        <f t="shared" si="8"/>
        <v>0</v>
      </c>
      <c r="U56" s="518">
        <f t="shared" si="9"/>
        <v>0</v>
      </c>
      <c r="W56" s="1"/>
      <c r="X56" s="65"/>
    </row>
    <row r="57" spans="1:24" s="23" customFormat="1" ht="11.25" customHeight="1" x14ac:dyDescent="0.2">
      <c r="A57" s="765"/>
      <c r="C57" s="769"/>
      <c r="D57" s="60"/>
      <c r="F57" s="503">
        <f t="shared" si="1"/>
        <v>5.1000000000000004E-3</v>
      </c>
      <c r="G57" s="503">
        <f t="shared" si="7"/>
        <v>5.1000000000000004E-3</v>
      </c>
      <c r="H57" s="504" t="str">
        <f t="shared" si="10"/>
        <v>Olaszország</v>
      </c>
      <c r="I57" s="509" t="s">
        <v>1384</v>
      </c>
      <c r="J57" s="509" t="s">
        <v>1385</v>
      </c>
      <c r="K57" s="508">
        <v>2</v>
      </c>
      <c r="L57" s="509" t="s">
        <v>1339</v>
      </c>
      <c r="M57" s="634" t="s">
        <v>814</v>
      </c>
      <c r="N57" s="510" t="s">
        <v>501</v>
      </c>
      <c r="O57" s="511">
        <v>34185</v>
      </c>
      <c r="P57" s="512">
        <v>27</v>
      </c>
      <c r="Q57" s="513">
        <v>182</v>
      </c>
      <c r="R57" s="514">
        <v>83</v>
      </c>
      <c r="S57" s="64"/>
      <c r="T57" s="297">
        <f t="shared" si="8"/>
        <v>0</v>
      </c>
      <c r="U57" s="518">
        <f t="shared" si="9"/>
        <v>0</v>
      </c>
      <c r="W57" s="1"/>
      <c r="X57" s="65"/>
    </row>
    <row r="58" spans="1:24" s="23" customFormat="1" ht="11.25" customHeight="1" x14ac:dyDescent="0.2">
      <c r="A58" s="765"/>
      <c r="C58" s="769"/>
      <c r="D58" s="60"/>
      <c r="F58" s="503">
        <f t="shared" si="1"/>
        <v>5.2000000000000006E-3</v>
      </c>
      <c r="G58" s="503">
        <f t="shared" si="7"/>
        <v>5.2000000000000006E-3</v>
      </c>
      <c r="H58" s="504" t="str">
        <f t="shared" si="10"/>
        <v>Olaszország</v>
      </c>
      <c r="I58" s="509" t="s">
        <v>1386</v>
      </c>
      <c r="J58" s="509" t="s">
        <v>976</v>
      </c>
      <c r="K58" s="508">
        <v>21</v>
      </c>
      <c r="L58" s="509" t="s">
        <v>704</v>
      </c>
      <c r="M58" s="634" t="s">
        <v>1081</v>
      </c>
      <c r="N58" s="510" t="s">
        <v>501</v>
      </c>
      <c r="O58" s="511">
        <v>36216</v>
      </c>
      <c r="P58" s="512">
        <v>22</v>
      </c>
      <c r="Q58" s="513">
        <v>196</v>
      </c>
      <c r="R58" s="514">
        <v>90</v>
      </c>
      <c r="S58" s="64"/>
      <c r="T58" s="297">
        <f t="shared" si="8"/>
        <v>0</v>
      </c>
      <c r="U58" s="518">
        <f t="shared" si="9"/>
        <v>0</v>
      </c>
      <c r="W58" s="1"/>
      <c r="X58" s="65"/>
    </row>
    <row r="59" spans="1:24" s="23" customFormat="1" ht="11.25" customHeight="1" x14ac:dyDescent="0.2">
      <c r="A59" s="765"/>
      <c r="C59" s="769"/>
      <c r="D59" s="60"/>
      <c r="F59" s="503">
        <f t="shared" si="1"/>
        <v>5.3000000000000009E-3</v>
      </c>
      <c r="G59" s="503">
        <f t="shared" si="7"/>
        <v>5.3000000000000009E-3</v>
      </c>
      <c r="H59" s="504" t="str">
        <f t="shared" si="10"/>
        <v>Olaszország</v>
      </c>
      <c r="I59" s="509" t="s">
        <v>1506</v>
      </c>
      <c r="J59" s="509"/>
      <c r="K59" s="508">
        <v>13</v>
      </c>
      <c r="L59" s="509" t="s">
        <v>1339</v>
      </c>
      <c r="M59" s="634" t="s">
        <v>794</v>
      </c>
      <c r="N59" s="510" t="s">
        <v>1271</v>
      </c>
      <c r="O59" s="511">
        <v>34549</v>
      </c>
      <c r="P59" s="512">
        <v>26</v>
      </c>
      <c r="Q59" s="513">
        <v>175</v>
      </c>
      <c r="R59" s="514">
        <v>77</v>
      </c>
      <c r="S59" s="64"/>
      <c r="T59" s="297">
        <f t="shared" si="8"/>
        <v>0</v>
      </c>
      <c r="U59" s="518">
        <f t="shared" si="9"/>
        <v>0</v>
      </c>
      <c r="W59" s="1"/>
      <c r="X59" s="65"/>
    </row>
    <row r="60" spans="1:24" s="23" customFormat="1" ht="11.25" customHeight="1" x14ac:dyDescent="0.2">
      <c r="A60" s="765"/>
      <c r="C60" s="769"/>
      <c r="D60" s="60"/>
      <c r="F60" s="503">
        <f t="shared" si="1"/>
        <v>5.4000000000000012E-3</v>
      </c>
      <c r="G60" s="503">
        <f t="shared" si="7"/>
        <v>5.4000000000000012E-3</v>
      </c>
      <c r="H60" s="504" t="str">
        <f t="shared" si="10"/>
        <v>Olaszország</v>
      </c>
      <c r="I60" s="509" t="s">
        <v>1154</v>
      </c>
      <c r="J60" s="509" t="s">
        <v>1155</v>
      </c>
      <c r="K60" s="508">
        <v>24</v>
      </c>
      <c r="L60" s="509" t="s">
        <v>1339</v>
      </c>
      <c r="M60" s="634" t="s">
        <v>1387</v>
      </c>
      <c r="N60" s="510" t="s">
        <v>502</v>
      </c>
      <c r="O60" s="511">
        <v>33308</v>
      </c>
      <c r="P60" s="512">
        <v>30</v>
      </c>
      <c r="Q60" s="513">
        <v>173</v>
      </c>
      <c r="R60" s="514">
        <v>67</v>
      </c>
      <c r="S60" s="64"/>
      <c r="T60" s="297">
        <f t="shared" si="8"/>
        <v>0</v>
      </c>
      <c r="U60" s="518">
        <f t="shared" si="9"/>
        <v>0</v>
      </c>
      <c r="W60" s="1"/>
      <c r="X60" s="65"/>
    </row>
    <row r="61" spans="1:24" s="23" customFormat="1" ht="11.25" customHeight="1" x14ac:dyDescent="0.2">
      <c r="A61" s="765"/>
      <c r="C61" s="769"/>
      <c r="D61" s="60"/>
      <c r="F61" s="503">
        <f t="shared" si="1"/>
        <v>5.5000000000000014E-3</v>
      </c>
      <c r="G61" s="503">
        <f t="shared" si="7"/>
        <v>5.5000000000000014E-3</v>
      </c>
      <c r="H61" s="504" t="str">
        <f t="shared" si="10"/>
        <v>Olaszország</v>
      </c>
      <c r="I61" s="509" t="s">
        <v>980</v>
      </c>
      <c r="J61" s="509" t="s">
        <v>981</v>
      </c>
      <c r="K61" s="508">
        <v>17</v>
      </c>
      <c r="L61" s="509" t="s">
        <v>1357</v>
      </c>
      <c r="M61" s="634" t="s">
        <v>748</v>
      </c>
      <c r="N61" s="510" t="s">
        <v>501</v>
      </c>
      <c r="O61" s="511">
        <v>32924</v>
      </c>
      <c r="P61" s="512">
        <v>31</v>
      </c>
      <c r="Q61" s="513">
        <v>181</v>
      </c>
      <c r="R61" s="514">
        <v>85</v>
      </c>
      <c r="S61" s="64"/>
      <c r="T61" s="297">
        <f t="shared" si="8"/>
        <v>0</v>
      </c>
      <c r="U61" s="518">
        <f t="shared" si="9"/>
        <v>0</v>
      </c>
      <c r="W61" s="1"/>
      <c r="X61" s="65"/>
    </row>
    <row r="62" spans="1:24" s="23" customFormat="1" ht="11.25" customHeight="1" x14ac:dyDescent="0.2">
      <c r="A62" s="765"/>
      <c r="C62" s="769"/>
      <c r="D62" s="60"/>
      <c r="F62" s="503">
        <f t="shared" si="1"/>
        <v>5.6000000000000017E-3</v>
      </c>
      <c r="G62" s="503">
        <f t="shared" si="7"/>
        <v>5.6000000000000017E-3</v>
      </c>
      <c r="H62" s="504" t="str">
        <f t="shared" si="10"/>
        <v>Olaszország</v>
      </c>
      <c r="I62" s="509" t="s">
        <v>607</v>
      </c>
      <c r="J62" s="509" t="s">
        <v>608</v>
      </c>
      <c r="K62" s="508">
        <v>10</v>
      </c>
      <c r="L62" s="509" t="s">
        <v>1357</v>
      </c>
      <c r="M62" s="634" t="s">
        <v>814</v>
      </c>
      <c r="N62" s="510" t="s">
        <v>501</v>
      </c>
      <c r="O62" s="511">
        <v>33393</v>
      </c>
      <c r="P62" s="512">
        <v>30</v>
      </c>
      <c r="Q62" s="513">
        <v>163</v>
      </c>
      <c r="R62" s="514">
        <v>59</v>
      </c>
      <c r="S62" s="64"/>
      <c r="T62" s="297">
        <f t="shared" si="8"/>
        <v>0</v>
      </c>
      <c r="U62" s="518">
        <f t="shared" si="9"/>
        <v>0</v>
      </c>
      <c r="W62" s="1"/>
      <c r="X62" s="65"/>
    </row>
    <row r="63" spans="1:24" s="23" customFormat="1" ht="11.25" customHeight="1" x14ac:dyDescent="0.2">
      <c r="A63" s="765"/>
      <c r="C63" s="769"/>
      <c r="D63" s="60"/>
      <c r="F63" s="503">
        <f t="shared" si="1"/>
        <v>5.7000000000000019E-3</v>
      </c>
      <c r="G63" s="503">
        <f t="shared" si="7"/>
        <v>5.7000000000000019E-3</v>
      </c>
      <c r="H63" s="504" t="str">
        <f t="shared" si="10"/>
        <v>Olaszország</v>
      </c>
      <c r="I63" s="509" t="s">
        <v>1388</v>
      </c>
      <c r="J63" s="509"/>
      <c r="K63" s="508">
        <v>8</v>
      </c>
      <c r="L63" s="509" t="s">
        <v>703</v>
      </c>
      <c r="M63" s="634" t="s">
        <v>794</v>
      </c>
      <c r="N63" s="510" t="s">
        <v>1271</v>
      </c>
      <c r="O63" s="511">
        <v>33592</v>
      </c>
      <c r="P63" s="512">
        <v>29</v>
      </c>
      <c r="Q63" s="513">
        <v>180</v>
      </c>
      <c r="R63" s="514">
        <v>67</v>
      </c>
      <c r="S63" s="64"/>
      <c r="T63" s="297">
        <f t="shared" si="8"/>
        <v>0</v>
      </c>
      <c r="U63" s="518">
        <f t="shared" si="9"/>
        <v>0</v>
      </c>
      <c r="W63" s="1"/>
      <c r="X63" s="65"/>
    </row>
    <row r="64" spans="1:24" s="23" customFormat="1" ht="11.25" customHeight="1" x14ac:dyDescent="0.2">
      <c r="A64" s="765"/>
      <c r="C64" s="769"/>
      <c r="D64" s="60"/>
      <c r="F64" s="503">
        <f t="shared" si="1"/>
        <v>5.8000000000000022E-3</v>
      </c>
      <c r="G64" s="503">
        <f t="shared" si="7"/>
        <v>5.8000000000000022E-3</v>
      </c>
      <c r="H64" s="504" t="str">
        <f t="shared" si="10"/>
        <v>Olaszország</v>
      </c>
      <c r="I64" s="509" t="s">
        <v>1390</v>
      </c>
      <c r="J64" s="509" t="s">
        <v>1091</v>
      </c>
      <c r="K64" s="508">
        <v>5</v>
      </c>
      <c r="L64" s="509" t="s">
        <v>703</v>
      </c>
      <c r="M64" s="634" t="s">
        <v>1340</v>
      </c>
      <c r="N64" s="510" t="s">
        <v>501</v>
      </c>
      <c r="O64" s="511">
        <v>35803</v>
      </c>
      <c r="P64" s="512">
        <v>23</v>
      </c>
      <c r="Q64" s="513">
        <v>185</v>
      </c>
      <c r="R64" s="514">
        <v>75</v>
      </c>
      <c r="S64" s="64"/>
      <c r="T64" s="297">
        <f t="shared" si="8"/>
        <v>0</v>
      </c>
      <c r="U64" s="518">
        <f t="shared" si="9"/>
        <v>0</v>
      </c>
      <c r="W64" s="1"/>
      <c r="X64" s="65"/>
    </row>
    <row r="65" spans="1:24" s="23" customFormat="1" ht="11.25" customHeight="1" x14ac:dyDescent="0.2">
      <c r="A65" s="765"/>
      <c r="C65" s="769"/>
      <c r="D65" s="60"/>
      <c r="F65" s="503">
        <f t="shared" si="1"/>
        <v>5.9000000000000025E-3</v>
      </c>
      <c r="G65" s="503">
        <f t="shared" si="7"/>
        <v>5.9000000000000025E-3</v>
      </c>
      <c r="H65" s="504" t="str">
        <f t="shared" si="10"/>
        <v>Olaszország</v>
      </c>
      <c r="I65" s="509" t="s">
        <v>1391</v>
      </c>
      <c r="J65" s="509" t="s">
        <v>1392</v>
      </c>
      <c r="K65" s="508">
        <v>26</v>
      </c>
      <c r="L65" s="509" t="s">
        <v>704</v>
      </c>
      <c r="M65" s="634" t="s">
        <v>814</v>
      </c>
      <c r="N65" s="510" t="s">
        <v>501</v>
      </c>
      <c r="O65" s="511">
        <v>35511</v>
      </c>
      <c r="P65" s="512">
        <v>24</v>
      </c>
      <c r="Q65" s="513">
        <v>190</v>
      </c>
      <c r="R65" s="514">
        <v>82</v>
      </c>
      <c r="S65" s="64"/>
      <c r="T65" s="297">
        <f t="shared" si="8"/>
        <v>0</v>
      </c>
      <c r="U65" s="518">
        <f t="shared" si="9"/>
        <v>0</v>
      </c>
      <c r="W65" s="1"/>
      <c r="X65" s="65"/>
    </row>
    <row r="66" spans="1:24" s="23" customFormat="1" ht="11.25" customHeight="1" x14ac:dyDescent="0.2">
      <c r="A66" s="765"/>
      <c r="C66" s="769"/>
      <c r="D66" s="60"/>
      <c r="F66" s="503">
        <f t="shared" si="1"/>
        <v>6.0000000000000027E-3</v>
      </c>
      <c r="G66" s="503">
        <f t="shared" si="7"/>
        <v>6.0000000000000027E-3</v>
      </c>
      <c r="H66" s="504" t="str">
        <f t="shared" si="10"/>
        <v>Olaszország</v>
      </c>
      <c r="I66" s="509" t="s">
        <v>1393</v>
      </c>
      <c r="J66" s="509" t="s">
        <v>608</v>
      </c>
      <c r="K66" s="508">
        <v>7</v>
      </c>
      <c r="L66" s="509" t="s">
        <v>703</v>
      </c>
      <c r="M66" s="634" t="s">
        <v>475</v>
      </c>
      <c r="N66" s="510" t="s">
        <v>501</v>
      </c>
      <c r="O66" s="511">
        <v>35235</v>
      </c>
      <c r="P66" s="512">
        <v>24</v>
      </c>
      <c r="Q66" s="513">
        <v>186</v>
      </c>
      <c r="R66" s="514">
        <v>77</v>
      </c>
      <c r="S66" s="64"/>
      <c r="T66" s="297">
        <f t="shared" si="8"/>
        <v>0</v>
      </c>
      <c r="U66" s="518">
        <f t="shared" si="9"/>
        <v>0</v>
      </c>
      <c r="W66" s="1"/>
      <c r="X66" s="65"/>
    </row>
    <row r="67" spans="1:24" s="23" customFormat="1" ht="11.25" customHeight="1" x14ac:dyDescent="0.2">
      <c r="A67" s="765"/>
      <c r="C67" s="769"/>
      <c r="D67" s="60"/>
      <c r="F67" s="503">
        <f t="shared" si="1"/>
        <v>6.100000000000003E-3</v>
      </c>
      <c r="G67" s="503">
        <f t="shared" si="7"/>
        <v>6.100000000000003E-3</v>
      </c>
      <c r="H67" s="504" t="str">
        <f t="shared" si="10"/>
        <v>Olaszország</v>
      </c>
      <c r="I67" s="509" t="s">
        <v>1507</v>
      </c>
      <c r="J67" s="509" t="s">
        <v>1508</v>
      </c>
      <c r="K67" s="508">
        <v>22</v>
      </c>
      <c r="L67" s="509" t="s">
        <v>1357</v>
      </c>
      <c r="M67" s="634" t="s">
        <v>1340</v>
      </c>
      <c r="N67" s="510" t="s">
        <v>501</v>
      </c>
      <c r="O67" s="511">
        <v>36574</v>
      </c>
      <c r="P67" s="512">
        <v>21</v>
      </c>
      <c r="Q67" s="513">
        <v>172</v>
      </c>
      <c r="R67" s="514">
        <v>69</v>
      </c>
      <c r="S67" s="64"/>
      <c r="T67" s="297">
        <f t="shared" si="8"/>
        <v>0</v>
      </c>
      <c r="U67" s="518">
        <f t="shared" si="9"/>
        <v>0</v>
      </c>
      <c r="W67" s="1"/>
      <c r="X67" s="65"/>
    </row>
    <row r="68" spans="1:24" s="23" customFormat="1" ht="11.25" customHeight="1" x14ac:dyDescent="0.2">
      <c r="A68" s="765"/>
      <c r="C68" s="769"/>
      <c r="D68" s="60"/>
      <c r="F68" s="503">
        <f t="shared" si="1"/>
        <v>6.2000000000000033E-3</v>
      </c>
      <c r="G68" s="503">
        <f t="shared" si="7"/>
        <v>6.2000000000000033E-3</v>
      </c>
      <c r="H68" s="504" t="str">
        <f t="shared" si="10"/>
        <v>Olaszország</v>
      </c>
      <c r="I68" s="509" t="s">
        <v>1509</v>
      </c>
      <c r="J68" s="509" t="s">
        <v>1510</v>
      </c>
      <c r="K68" s="508">
        <v>12</v>
      </c>
      <c r="L68" s="509" t="s">
        <v>703</v>
      </c>
      <c r="M68" s="634" t="s">
        <v>815</v>
      </c>
      <c r="N68" s="510" t="s">
        <v>501</v>
      </c>
      <c r="O68" s="511">
        <v>34916</v>
      </c>
      <c r="P68" s="512">
        <v>25</v>
      </c>
      <c r="Q68" s="513">
        <v>168</v>
      </c>
      <c r="R68" s="514">
        <v>62</v>
      </c>
      <c r="S68" s="64"/>
      <c r="T68" s="297">
        <f t="shared" si="8"/>
        <v>0</v>
      </c>
      <c r="U68" s="518">
        <f t="shared" si="9"/>
        <v>0</v>
      </c>
      <c r="W68" s="1"/>
      <c r="X68" s="65"/>
    </row>
    <row r="69" spans="1:24" s="23" customFormat="1" ht="11.25" customHeight="1" x14ac:dyDescent="0.2">
      <c r="A69" s="765"/>
      <c r="C69" s="769"/>
      <c r="D69" s="60"/>
      <c r="F69" s="503">
        <f t="shared" si="1"/>
        <v>6.3000000000000035E-3</v>
      </c>
      <c r="G69" s="503">
        <f t="shared" si="7"/>
        <v>6.3000000000000035E-3</v>
      </c>
      <c r="H69" s="504" t="str">
        <f t="shared" si="10"/>
        <v>Olaszország</v>
      </c>
      <c r="I69" s="509" t="s">
        <v>1511</v>
      </c>
      <c r="J69" s="509" t="s">
        <v>1512</v>
      </c>
      <c r="K69" s="508">
        <v>1</v>
      </c>
      <c r="L69" s="509" t="s">
        <v>704</v>
      </c>
      <c r="M69" s="634" t="s">
        <v>936</v>
      </c>
      <c r="N69" s="510" t="s">
        <v>501</v>
      </c>
      <c r="O69" s="511">
        <v>31789</v>
      </c>
      <c r="P69" s="512">
        <v>34</v>
      </c>
      <c r="Q69" s="513">
        <v>192</v>
      </c>
      <c r="R69" s="514">
        <v>80</v>
      </c>
      <c r="S69" s="64"/>
      <c r="T69" s="297">
        <f t="shared" si="8"/>
        <v>0</v>
      </c>
      <c r="U69" s="518">
        <f t="shared" si="9"/>
        <v>0</v>
      </c>
      <c r="W69" s="640"/>
      <c r="X69" s="65"/>
    </row>
    <row r="70" spans="1:24" s="23" customFormat="1" ht="11.25" customHeight="1" x14ac:dyDescent="0.2">
      <c r="A70" s="765"/>
      <c r="C70" s="769"/>
      <c r="D70" s="60"/>
      <c r="F70" s="503">
        <f t="shared" si="1"/>
        <v>6.4000000000000038E-3</v>
      </c>
      <c r="G70" s="503">
        <f t="shared" si="7"/>
        <v>6.4000000000000038E-3</v>
      </c>
      <c r="H70" s="504" t="str">
        <f t="shared" si="10"/>
        <v>Olaszország</v>
      </c>
      <c r="I70" s="509" t="s">
        <v>1513</v>
      </c>
      <c r="J70" s="509" t="s">
        <v>975</v>
      </c>
      <c r="K70" s="508">
        <v>4</v>
      </c>
      <c r="L70" s="509" t="s">
        <v>1339</v>
      </c>
      <c r="M70" s="634" t="s">
        <v>475</v>
      </c>
      <c r="N70" s="510" t="s">
        <v>501</v>
      </c>
      <c r="O70" s="511">
        <v>34053</v>
      </c>
      <c r="P70" s="512">
        <v>28</v>
      </c>
      <c r="Q70" s="513">
        <v>186</v>
      </c>
      <c r="R70" s="514">
        <v>75</v>
      </c>
      <c r="S70" s="64"/>
      <c r="T70" s="297">
        <f t="shared" ref="T70:T76" si="11">IF(I70="","",COUNTIF(nevek.s,CONCATENATE(H70,I70)))</f>
        <v>0</v>
      </c>
      <c r="U70" s="518">
        <f t="shared" ref="U70:U76" si="12">IF(I70="","",COUNTIF(nevek.s,CONCATENATE("ö",H70,I70)))</f>
        <v>0</v>
      </c>
      <c r="W70" s="640"/>
      <c r="X70" s="65"/>
    </row>
    <row r="71" spans="1:24" s="23" customFormat="1" ht="11.25" customHeight="1" x14ac:dyDescent="0.2">
      <c r="A71" s="765"/>
      <c r="C71" s="769"/>
      <c r="D71" s="60"/>
      <c r="F71" s="503">
        <f t="shared" si="1"/>
        <v>6.500000000000004E-3</v>
      </c>
      <c r="G71" s="503">
        <f t="shared" si="7"/>
        <v>6.500000000000004E-3</v>
      </c>
      <c r="H71" s="504" t="str">
        <f t="shared" si="10"/>
        <v>Olaszország</v>
      </c>
      <c r="I71" s="509" t="s">
        <v>1514</v>
      </c>
      <c r="J71" s="509" t="s">
        <v>1515</v>
      </c>
      <c r="K71" s="508">
        <v>25</v>
      </c>
      <c r="L71" s="509" t="s">
        <v>1339</v>
      </c>
      <c r="M71" s="634" t="s">
        <v>1429</v>
      </c>
      <c r="N71" s="510" t="s">
        <v>501</v>
      </c>
      <c r="O71" s="511">
        <v>33156</v>
      </c>
      <c r="P71" s="512">
        <v>30</v>
      </c>
      <c r="Q71" s="513">
        <v>185</v>
      </c>
      <c r="R71" s="514">
        <v>75</v>
      </c>
      <c r="S71" s="64"/>
      <c r="T71" s="297">
        <f t="shared" si="11"/>
        <v>0</v>
      </c>
      <c r="U71" s="518">
        <f t="shared" si="12"/>
        <v>0</v>
      </c>
      <c r="W71" s="640"/>
      <c r="X71" s="65"/>
    </row>
    <row r="72" spans="1:24" s="23" customFormat="1" ht="11.25" customHeight="1" x14ac:dyDescent="0.2">
      <c r="A72" s="765"/>
      <c r="C72" s="769"/>
      <c r="D72" s="60"/>
      <c r="F72" s="503">
        <f t="shared" si="1"/>
        <v>6.6000000000000043E-3</v>
      </c>
      <c r="G72" s="503">
        <f t="shared" si="7"/>
        <v>6.6000000000000043E-3</v>
      </c>
      <c r="H72" s="504" t="str">
        <f t="shared" si="10"/>
        <v>Olaszország</v>
      </c>
      <c r="I72" s="555" t="s">
        <v>1516</v>
      </c>
      <c r="J72" s="555" t="s">
        <v>851</v>
      </c>
      <c r="K72" s="554">
        <v>6</v>
      </c>
      <c r="L72" s="555" t="s">
        <v>703</v>
      </c>
      <c r="M72" s="635" t="s">
        <v>1387</v>
      </c>
      <c r="N72" s="556" t="s">
        <v>501</v>
      </c>
      <c r="O72" s="557">
        <v>33913</v>
      </c>
      <c r="P72" s="558">
        <v>28</v>
      </c>
      <c r="Q72" s="559">
        <v>165</v>
      </c>
      <c r="R72" s="560">
        <v>60</v>
      </c>
      <c r="S72" s="64"/>
      <c r="T72" s="297">
        <f t="shared" si="11"/>
        <v>0</v>
      </c>
      <c r="U72" s="518">
        <f t="shared" si="12"/>
        <v>0</v>
      </c>
      <c r="W72" s="640"/>
      <c r="X72" s="65"/>
    </row>
    <row r="73" spans="1:24" s="23" customFormat="1" ht="9.75" hidden="1" customHeight="1" x14ac:dyDescent="0.2">
      <c r="A73" s="765"/>
      <c r="C73" s="769"/>
      <c r="D73" s="60"/>
      <c r="F73" s="503">
        <f t="shared" ref="F73:F136" si="13">F72+0.0001</f>
        <v>6.7000000000000046E-3</v>
      </c>
      <c r="G73" s="503">
        <f t="shared" si="7"/>
        <v>0</v>
      </c>
      <c r="H73" s="504" t="str">
        <f t="shared" si="10"/>
        <v>Olaszország</v>
      </c>
      <c r="I73" s="61"/>
      <c r="J73" s="61"/>
      <c r="K73" s="295"/>
      <c r="L73" s="61"/>
      <c r="M73" s="633"/>
      <c r="N73" s="256"/>
      <c r="O73" s="62"/>
      <c r="P73" s="253"/>
      <c r="Q73" s="63"/>
      <c r="R73" s="252"/>
      <c r="S73" s="64"/>
      <c r="T73" s="297" t="str">
        <f t="shared" si="11"/>
        <v/>
      </c>
      <c r="U73" s="518" t="str">
        <f t="shared" si="12"/>
        <v/>
      </c>
      <c r="W73" s="640"/>
      <c r="X73" s="65"/>
    </row>
    <row r="74" spans="1:24" s="23" customFormat="1" ht="9.75" hidden="1" customHeight="1" x14ac:dyDescent="0.2">
      <c r="A74" s="765"/>
      <c r="C74" s="769"/>
      <c r="D74" s="60"/>
      <c r="F74" s="503">
        <f t="shared" si="13"/>
        <v>6.8000000000000048E-3</v>
      </c>
      <c r="G74" s="503">
        <f t="shared" si="7"/>
        <v>0</v>
      </c>
      <c r="H74" s="504" t="str">
        <f t="shared" si="10"/>
        <v>Olaszország</v>
      </c>
      <c r="I74" s="61"/>
      <c r="J74" s="61"/>
      <c r="K74" s="295"/>
      <c r="L74" s="61"/>
      <c r="M74" s="633"/>
      <c r="N74" s="256"/>
      <c r="O74" s="62"/>
      <c r="P74" s="253"/>
      <c r="Q74" s="63"/>
      <c r="R74" s="252"/>
      <c r="S74" s="64"/>
      <c r="T74" s="297" t="str">
        <f t="shared" si="11"/>
        <v/>
      </c>
      <c r="U74" s="518" t="str">
        <f t="shared" si="12"/>
        <v/>
      </c>
      <c r="W74" s="640"/>
      <c r="X74" s="65"/>
    </row>
    <row r="75" spans="1:24" s="23" customFormat="1" ht="9.75" hidden="1" customHeight="1" x14ac:dyDescent="0.2">
      <c r="A75" s="765"/>
      <c r="C75" s="769"/>
      <c r="D75" s="60"/>
      <c r="F75" s="503">
        <f t="shared" si="13"/>
        <v>6.9000000000000051E-3</v>
      </c>
      <c r="G75" s="503">
        <f t="shared" si="7"/>
        <v>0</v>
      </c>
      <c r="H75" s="504" t="str">
        <f t="shared" si="10"/>
        <v>Olaszország</v>
      </c>
      <c r="I75" s="61"/>
      <c r="J75" s="61"/>
      <c r="K75" s="295"/>
      <c r="L75" s="61"/>
      <c r="M75" s="633"/>
      <c r="N75" s="256"/>
      <c r="O75" s="62"/>
      <c r="P75" s="253"/>
      <c r="Q75" s="63"/>
      <c r="R75" s="252"/>
      <c r="S75" s="64"/>
      <c r="T75" s="297" t="str">
        <f t="shared" si="11"/>
        <v/>
      </c>
      <c r="U75" s="518" t="str">
        <f t="shared" si="12"/>
        <v/>
      </c>
      <c r="W75" s="640"/>
      <c r="X75" s="65"/>
    </row>
    <row r="76" spans="1:24" s="23" customFormat="1" ht="9.75" hidden="1" customHeight="1" x14ac:dyDescent="0.2">
      <c r="A76" s="765"/>
      <c r="C76" s="769"/>
      <c r="D76" s="60"/>
      <c r="F76" s="503">
        <f t="shared" si="13"/>
        <v>7.0000000000000053E-3</v>
      </c>
      <c r="G76" s="503">
        <f t="shared" si="7"/>
        <v>0</v>
      </c>
      <c r="H76" s="504" t="str">
        <f t="shared" si="10"/>
        <v>Olaszország</v>
      </c>
      <c r="I76" s="61"/>
      <c r="J76" s="61"/>
      <c r="K76" s="295"/>
      <c r="L76" s="61"/>
      <c r="M76" s="633"/>
      <c r="N76" s="256"/>
      <c r="O76" s="62"/>
      <c r="P76" s="253"/>
      <c r="Q76" s="63"/>
      <c r="R76" s="252"/>
      <c r="S76" s="64"/>
      <c r="T76" s="297" t="str">
        <f t="shared" si="11"/>
        <v/>
      </c>
      <c r="U76" s="518" t="str">
        <f t="shared" si="12"/>
        <v/>
      </c>
      <c r="W76" s="640"/>
      <c r="X76" s="65"/>
    </row>
    <row r="77" spans="1:24" s="23" customFormat="1" ht="4.5" customHeight="1" x14ac:dyDescent="0.25">
      <c r="A77" s="765"/>
      <c r="C77" s="769"/>
      <c r="D77" s="60"/>
      <c r="F77" s="503">
        <f t="shared" si="13"/>
        <v>7.1000000000000056E-3</v>
      </c>
      <c r="G77" s="503"/>
      <c r="H77" s="505"/>
      <c r="I77" s="67"/>
      <c r="J77" s="67"/>
      <c r="K77" s="22"/>
      <c r="L77" s="67"/>
      <c r="M77" s="22"/>
      <c r="N77" s="68"/>
      <c r="O77" s="67"/>
      <c r="P77" s="69"/>
      <c r="Q77" s="70"/>
      <c r="R77" s="71"/>
      <c r="S77" s="71"/>
      <c r="T77" s="298"/>
      <c r="U77" s="299"/>
      <c r="W77" s="644"/>
      <c r="X77" s="67"/>
    </row>
    <row r="78" spans="1:24" s="21" customFormat="1" ht="9.75" customHeight="1" x14ac:dyDescent="0.2">
      <c r="A78" s="765"/>
      <c r="C78" s="769"/>
      <c r="D78" s="60"/>
      <c r="F78" s="503">
        <f t="shared" si="13"/>
        <v>7.2000000000000059E-3</v>
      </c>
      <c r="G78" s="503"/>
      <c r="H78" s="303"/>
      <c r="I78" s="74" t="s">
        <v>542</v>
      </c>
      <c r="J78" s="75" t="s">
        <v>1394</v>
      </c>
      <c r="K78" s="75"/>
      <c r="L78" s="75"/>
      <c r="M78" s="636"/>
      <c r="N78" s="76"/>
      <c r="O78" s="74" t="s">
        <v>495</v>
      </c>
      <c r="P78" s="254">
        <f>AVERAGE(P47:P76)</f>
        <v>27.307692307692307</v>
      </c>
      <c r="Q78" s="77">
        <f>AVERAGE(Q47:Q76)</f>
        <v>181.73076923076923</v>
      </c>
      <c r="R78" s="255">
        <f>AVERAGE(R47:R76)</f>
        <v>75.15384615384616</v>
      </c>
      <c r="S78" s="78"/>
      <c r="T78" s="297">
        <f>SUM(T47:T76)</f>
        <v>0</v>
      </c>
      <c r="U78" s="518">
        <f>SUM(U47:U76)</f>
        <v>0</v>
      </c>
      <c r="W78" s="642" t="s">
        <v>879</v>
      </c>
      <c r="X78" s="79"/>
    </row>
    <row r="79" spans="1:24" ht="9.75" customHeight="1" x14ac:dyDescent="0.3">
      <c r="A79" s="765"/>
      <c r="F79" s="503">
        <f t="shared" si="13"/>
        <v>7.3000000000000061E-3</v>
      </c>
      <c r="G79" s="503"/>
    </row>
    <row r="80" spans="1:24" ht="9.75" customHeight="1" x14ac:dyDescent="0.3">
      <c r="A80" s="765"/>
      <c r="F80" s="503">
        <f t="shared" si="13"/>
        <v>7.4000000000000064E-3</v>
      </c>
      <c r="G80" s="503"/>
    </row>
    <row r="81" spans="1:24" ht="9.75" customHeight="1" x14ac:dyDescent="0.3">
      <c r="A81" s="765"/>
      <c r="F81" s="503">
        <f t="shared" si="13"/>
        <v>7.5000000000000067E-3</v>
      </c>
      <c r="G81" s="503"/>
    </row>
    <row r="82" spans="1:24" ht="9.75" customHeight="1" x14ac:dyDescent="0.3">
      <c r="A82" s="765"/>
      <c r="F82" s="503">
        <f t="shared" si="13"/>
        <v>7.6000000000000069E-3</v>
      </c>
    </row>
    <row r="83" spans="1:24" ht="9.75" customHeight="1" x14ac:dyDescent="0.3">
      <c r="A83" s="765"/>
      <c r="F83" s="503">
        <f t="shared" si="13"/>
        <v>7.7000000000000072E-3</v>
      </c>
    </row>
    <row r="84" spans="1:24" ht="9.75" customHeight="1" x14ac:dyDescent="0.3">
      <c r="A84" s="765"/>
      <c r="F84" s="503">
        <f t="shared" si="13"/>
        <v>7.8000000000000074E-3</v>
      </c>
    </row>
    <row r="85" spans="1:24" ht="9.75" customHeight="1" x14ac:dyDescent="0.3">
      <c r="A85" s="765"/>
      <c r="F85" s="503">
        <f t="shared" si="13"/>
        <v>7.9000000000000077E-3</v>
      </c>
    </row>
    <row r="86" spans="1:24" s="23" customFormat="1" ht="5.25" customHeight="1" x14ac:dyDescent="0.2">
      <c r="A86" s="765"/>
      <c r="C86" s="21"/>
      <c r="F86" s="503">
        <f t="shared" si="13"/>
        <v>8.0000000000000071E-3</v>
      </c>
      <c r="G86" s="506"/>
      <c r="H86" s="502"/>
      <c r="I86" s="55"/>
      <c r="J86" s="55"/>
      <c r="K86" s="56"/>
      <c r="L86" s="55"/>
      <c r="M86" s="56"/>
      <c r="N86" s="57"/>
      <c r="O86" s="57"/>
      <c r="P86" s="55"/>
      <c r="Q86" s="57"/>
      <c r="R86" s="57"/>
      <c r="S86" s="57"/>
      <c r="T86" s="58"/>
      <c r="U86" s="59"/>
      <c r="W86" s="639"/>
      <c r="X86" s="55"/>
    </row>
    <row r="87" spans="1:24" s="23" customFormat="1" ht="11.25" customHeight="1" x14ac:dyDescent="0.2">
      <c r="A87" s="765"/>
      <c r="C87" s="769" t="str">
        <f>UPPER(H87)&amp;"    ."</f>
        <v>WALES    .</v>
      </c>
      <c r="D87" s="60"/>
      <c r="F87" s="503">
        <f t="shared" si="13"/>
        <v>8.1000000000000065E-3</v>
      </c>
      <c r="G87" s="503">
        <f t="shared" ref="G87:G116" si="14">IF(I87="",0,T87+F87)</f>
        <v>8.1000000000000065E-3</v>
      </c>
      <c r="H87" s="504" t="str">
        <f>Adatok!A4</f>
        <v>Wales</v>
      </c>
      <c r="I87" s="61" t="s">
        <v>1040</v>
      </c>
      <c r="J87" s="61" t="s">
        <v>950</v>
      </c>
      <c r="K87" s="295">
        <v>7</v>
      </c>
      <c r="L87" s="61" t="s">
        <v>703</v>
      </c>
      <c r="M87" s="633" t="s">
        <v>1188</v>
      </c>
      <c r="N87" s="256" t="s">
        <v>1271</v>
      </c>
      <c r="O87" s="62">
        <v>32946</v>
      </c>
      <c r="P87" s="253">
        <v>31</v>
      </c>
      <c r="Q87" s="63">
        <v>168</v>
      </c>
      <c r="R87" s="252">
        <v>62</v>
      </c>
      <c r="S87" s="64"/>
      <c r="T87" s="297">
        <f t="shared" ref="T87:T116" si="15">IF(I87="","",COUNTIF(nevek.s,CONCATENATE(H87,I87)))</f>
        <v>0</v>
      </c>
      <c r="U87" s="518">
        <f t="shared" ref="U87:U116" si="16">IF(I87="","",COUNTIF(nevek.s,CONCATENATE("ö",H87,I87)))</f>
        <v>0</v>
      </c>
      <c r="W87" s="3"/>
      <c r="X87" s="65"/>
    </row>
    <row r="88" spans="1:24" s="23" customFormat="1" ht="11.25" customHeight="1" x14ac:dyDescent="0.2">
      <c r="A88" s="765"/>
      <c r="C88" s="769"/>
      <c r="D88" s="60"/>
      <c r="F88" s="503">
        <f t="shared" si="13"/>
        <v>8.2000000000000059E-3</v>
      </c>
      <c r="G88" s="503">
        <f t="shared" si="14"/>
        <v>8.2000000000000059E-3</v>
      </c>
      <c r="H88" s="504" t="str">
        <f>H87</f>
        <v>Wales</v>
      </c>
      <c r="I88" s="509" t="s">
        <v>1395</v>
      </c>
      <c r="J88" s="509" t="s">
        <v>1396</v>
      </c>
      <c r="K88" s="508">
        <v>15</v>
      </c>
      <c r="L88" s="509" t="s">
        <v>1339</v>
      </c>
      <c r="M88" s="634" t="s">
        <v>1397</v>
      </c>
      <c r="N88" s="510" t="s">
        <v>1271</v>
      </c>
      <c r="O88" s="511">
        <v>36783</v>
      </c>
      <c r="P88" s="512">
        <v>20</v>
      </c>
      <c r="Q88" s="513">
        <v>182</v>
      </c>
      <c r="R88" s="514">
        <v>78</v>
      </c>
      <c r="S88" s="64"/>
      <c r="T88" s="297">
        <f t="shared" si="15"/>
        <v>0</v>
      </c>
      <c r="U88" s="518">
        <f t="shared" si="16"/>
        <v>0</v>
      </c>
      <c r="W88" s="1"/>
      <c r="X88" s="65"/>
    </row>
    <row r="89" spans="1:24" s="23" customFormat="1" ht="11.25" customHeight="1" x14ac:dyDescent="0.2">
      <c r="A89" s="765"/>
      <c r="C89" s="769"/>
      <c r="D89" s="60"/>
      <c r="F89" s="503">
        <f t="shared" si="13"/>
        <v>8.3000000000000053E-3</v>
      </c>
      <c r="G89" s="503">
        <f t="shared" si="14"/>
        <v>8.3000000000000053E-3</v>
      </c>
      <c r="H89" s="504" t="str">
        <f t="shared" ref="H89:H116" si="17">H88</f>
        <v>Wales</v>
      </c>
      <c r="I89" s="509" t="s">
        <v>1041</v>
      </c>
      <c r="J89" s="509" t="s">
        <v>1042</v>
      </c>
      <c r="K89" s="508">
        <v>11</v>
      </c>
      <c r="L89" s="509" t="s">
        <v>1357</v>
      </c>
      <c r="M89" s="634" t="s">
        <v>816</v>
      </c>
      <c r="N89" s="510" t="s">
        <v>1271</v>
      </c>
      <c r="O89" s="511">
        <v>32705</v>
      </c>
      <c r="P89" s="512">
        <v>31</v>
      </c>
      <c r="Q89" s="513">
        <v>185</v>
      </c>
      <c r="R89" s="514">
        <v>82</v>
      </c>
      <c r="S89" s="64"/>
      <c r="T89" s="297">
        <f t="shared" si="15"/>
        <v>0</v>
      </c>
      <c r="U89" s="518">
        <f t="shared" si="16"/>
        <v>0</v>
      </c>
      <c r="W89" s="1"/>
      <c r="X89" s="65"/>
    </row>
    <row r="90" spans="1:24" s="23" customFormat="1" ht="11.25" customHeight="1" x14ac:dyDescent="0.2">
      <c r="A90" s="765"/>
      <c r="C90" s="769"/>
      <c r="D90" s="60"/>
      <c r="F90" s="503">
        <f t="shared" si="13"/>
        <v>8.4000000000000047E-3</v>
      </c>
      <c r="G90" s="503">
        <f t="shared" si="14"/>
        <v>8.4000000000000047E-3</v>
      </c>
      <c r="H90" s="504" t="str">
        <f t="shared" si="17"/>
        <v>Wales</v>
      </c>
      <c r="I90" s="509" t="s">
        <v>1398</v>
      </c>
      <c r="J90" s="509" t="s">
        <v>864</v>
      </c>
      <c r="K90" s="508">
        <v>19</v>
      </c>
      <c r="L90" s="509" t="s">
        <v>703</v>
      </c>
      <c r="M90" s="634" t="s">
        <v>1047</v>
      </c>
      <c r="N90" s="510" t="s">
        <v>1271</v>
      </c>
      <c r="O90" s="511">
        <v>35619</v>
      </c>
      <c r="P90" s="512">
        <v>23</v>
      </c>
      <c r="Q90" s="513">
        <v>173</v>
      </c>
      <c r="R90" s="514">
        <v>65</v>
      </c>
      <c r="S90" s="64"/>
      <c r="T90" s="297">
        <f t="shared" si="15"/>
        <v>0</v>
      </c>
      <c r="U90" s="518">
        <f t="shared" si="16"/>
        <v>0</v>
      </c>
      <c r="W90" s="1"/>
      <c r="X90" s="65"/>
    </row>
    <row r="91" spans="1:24" s="23" customFormat="1" ht="11.25" customHeight="1" x14ac:dyDescent="0.2">
      <c r="A91" s="765"/>
      <c r="C91" s="769"/>
      <c r="D91" s="60"/>
      <c r="F91" s="503">
        <f t="shared" si="13"/>
        <v>8.5000000000000041E-3</v>
      </c>
      <c r="G91" s="503">
        <f t="shared" si="14"/>
        <v>8.5000000000000041E-3</v>
      </c>
      <c r="H91" s="504" t="str">
        <f t="shared" si="17"/>
        <v>Wales</v>
      </c>
      <c r="I91" s="509" t="s">
        <v>1517</v>
      </c>
      <c r="J91" s="509" t="s">
        <v>922</v>
      </c>
      <c r="K91" s="508">
        <v>24</v>
      </c>
      <c r="L91" s="509" t="s">
        <v>1339</v>
      </c>
      <c r="M91" s="634" t="s">
        <v>1518</v>
      </c>
      <c r="N91" s="510" t="s">
        <v>1271</v>
      </c>
      <c r="O91" s="511">
        <v>36676</v>
      </c>
      <c r="P91" s="512">
        <v>21</v>
      </c>
      <c r="Q91" s="513">
        <v>188</v>
      </c>
      <c r="R91" s="514">
        <v>81</v>
      </c>
      <c r="S91" s="64"/>
      <c r="T91" s="297">
        <f t="shared" si="15"/>
        <v>0</v>
      </c>
      <c r="U91" s="518">
        <f t="shared" si="16"/>
        <v>0</v>
      </c>
      <c r="W91" s="1"/>
      <c r="X91" s="65"/>
    </row>
    <row r="92" spans="1:24" s="23" customFormat="1" ht="11.25" customHeight="1" x14ac:dyDescent="0.2">
      <c r="A92" s="765"/>
      <c r="C92" s="769"/>
      <c r="D92" s="60"/>
      <c r="F92" s="503">
        <f t="shared" si="13"/>
        <v>8.6000000000000035E-3</v>
      </c>
      <c r="G92" s="503">
        <f t="shared" si="14"/>
        <v>8.6000000000000035E-3</v>
      </c>
      <c r="H92" s="504" t="str">
        <f t="shared" si="17"/>
        <v>Wales</v>
      </c>
      <c r="I92" s="509" t="s">
        <v>1519</v>
      </c>
      <c r="J92" s="509" t="s">
        <v>1520</v>
      </c>
      <c r="K92" s="508">
        <v>25</v>
      </c>
      <c r="L92" s="509" t="s">
        <v>703</v>
      </c>
      <c r="M92" s="634" t="s">
        <v>918</v>
      </c>
      <c r="N92" s="510" t="s">
        <v>1401</v>
      </c>
      <c r="O92" s="511">
        <v>37373</v>
      </c>
      <c r="P92" s="512">
        <v>19</v>
      </c>
      <c r="Q92" s="513">
        <v>166</v>
      </c>
      <c r="R92" s="514">
        <v>57</v>
      </c>
      <c r="S92" s="64"/>
      <c r="T92" s="297">
        <f t="shared" si="15"/>
        <v>0</v>
      </c>
      <c r="U92" s="518">
        <f t="shared" si="16"/>
        <v>0</v>
      </c>
      <c r="W92" s="1"/>
      <c r="X92" s="65"/>
    </row>
    <row r="93" spans="1:24" s="23" customFormat="1" ht="11.25" customHeight="1" x14ac:dyDescent="0.2">
      <c r="A93" s="765"/>
      <c r="C93" s="769"/>
      <c r="D93" s="60"/>
      <c r="F93" s="503">
        <f t="shared" si="13"/>
        <v>8.7000000000000029E-3</v>
      </c>
      <c r="G93" s="503">
        <f t="shared" si="14"/>
        <v>8.7000000000000029E-3</v>
      </c>
      <c r="H93" s="504" t="str">
        <f t="shared" si="17"/>
        <v>Wales</v>
      </c>
      <c r="I93" s="509" t="s">
        <v>1399</v>
      </c>
      <c r="J93" s="509" t="s">
        <v>930</v>
      </c>
      <c r="K93" s="508">
        <v>21</v>
      </c>
      <c r="L93" s="509" t="s">
        <v>704</v>
      </c>
      <c r="M93" s="634" t="s">
        <v>1188</v>
      </c>
      <c r="N93" s="510" t="s">
        <v>1271</v>
      </c>
      <c r="O93" s="511">
        <v>33802</v>
      </c>
      <c r="P93" s="512">
        <v>28</v>
      </c>
      <c r="Q93" s="513">
        <v>191</v>
      </c>
      <c r="R93" s="514">
        <v>75</v>
      </c>
      <c r="S93" s="64"/>
      <c r="T93" s="297">
        <f t="shared" si="15"/>
        <v>0</v>
      </c>
      <c r="U93" s="518">
        <f t="shared" si="16"/>
        <v>0</v>
      </c>
      <c r="W93" s="1"/>
      <c r="X93" s="65"/>
    </row>
    <row r="94" spans="1:24" s="23" customFormat="1" ht="11.25" customHeight="1" x14ac:dyDescent="0.2">
      <c r="A94" s="765"/>
      <c r="C94" s="769"/>
      <c r="D94" s="60"/>
      <c r="E94" s="66"/>
      <c r="F94" s="503">
        <f t="shared" si="13"/>
        <v>8.8000000000000023E-3</v>
      </c>
      <c r="G94" s="503">
        <f t="shared" si="14"/>
        <v>8.8000000000000023E-3</v>
      </c>
      <c r="H94" s="504" t="str">
        <f t="shared" si="17"/>
        <v>Wales</v>
      </c>
      <c r="I94" s="509" t="s">
        <v>1400</v>
      </c>
      <c r="J94" s="509" t="s">
        <v>922</v>
      </c>
      <c r="K94" s="508">
        <v>4</v>
      </c>
      <c r="L94" s="509" t="s">
        <v>1339</v>
      </c>
      <c r="M94" s="634" t="s">
        <v>816</v>
      </c>
      <c r="N94" s="510" t="s">
        <v>1271</v>
      </c>
      <c r="O94" s="511">
        <v>34083</v>
      </c>
      <c r="P94" s="512">
        <v>28</v>
      </c>
      <c r="Q94" s="513">
        <v>182</v>
      </c>
      <c r="R94" s="514">
        <v>76</v>
      </c>
      <c r="S94" s="64"/>
      <c r="T94" s="297">
        <f t="shared" si="15"/>
        <v>0</v>
      </c>
      <c r="U94" s="518">
        <f t="shared" si="16"/>
        <v>0</v>
      </c>
      <c r="W94" s="1"/>
      <c r="X94" s="65"/>
    </row>
    <row r="95" spans="1:24" s="23" customFormat="1" ht="11.25" customHeight="1" x14ac:dyDescent="0.2">
      <c r="A95" s="765"/>
      <c r="C95" s="769"/>
      <c r="D95" s="60"/>
      <c r="F95" s="503">
        <f t="shared" si="13"/>
        <v>8.9000000000000017E-3</v>
      </c>
      <c r="G95" s="503">
        <f t="shared" si="14"/>
        <v>8.9000000000000017E-3</v>
      </c>
      <c r="H95" s="504" t="str">
        <f t="shared" si="17"/>
        <v>Wales</v>
      </c>
      <c r="I95" s="509" t="s">
        <v>1045</v>
      </c>
      <c r="J95" s="509" t="s">
        <v>953</v>
      </c>
      <c r="K95" s="508">
        <v>2</v>
      </c>
      <c r="L95" s="509" t="s">
        <v>1339</v>
      </c>
      <c r="M95" s="634" t="s">
        <v>1218</v>
      </c>
      <c r="N95" s="510" t="s">
        <v>1271</v>
      </c>
      <c r="O95" s="511">
        <v>32710</v>
      </c>
      <c r="P95" s="512">
        <v>31</v>
      </c>
      <c r="Q95" s="513">
        <v>180</v>
      </c>
      <c r="R95" s="514">
        <v>71</v>
      </c>
      <c r="S95" s="64"/>
      <c r="T95" s="297">
        <f t="shared" si="15"/>
        <v>0</v>
      </c>
      <c r="U95" s="518">
        <f t="shared" si="16"/>
        <v>0</v>
      </c>
      <c r="W95" s="1"/>
      <c r="X95" s="65"/>
    </row>
    <row r="96" spans="1:24" s="23" customFormat="1" ht="11.25" customHeight="1" x14ac:dyDescent="0.2">
      <c r="A96" s="765"/>
      <c r="C96" s="769"/>
      <c r="D96" s="60"/>
      <c r="F96" s="503">
        <f t="shared" si="13"/>
        <v>9.0000000000000011E-3</v>
      </c>
      <c r="G96" s="503">
        <f t="shared" si="14"/>
        <v>9.0000000000000011E-3</v>
      </c>
      <c r="H96" s="504" t="str">
        <f t="shared" si="17"/>
        <v>Wales</v>
      </c>
      <c r="I96" s="509" t="s">
        <v>1046</v>
      </c>
      <c r="J96" s="509" t="s">
        <v>952</v>
      </c>
      <c r="K96" s="508">
        <v>1</v>
      </c>
      <c r="L96" s="509" t="s">
        <v>704</v>
      </c>
      <c r="M96" s="634" t="s">
        <v>925</v>
      </c>
      <c r="N96" s="510" t="s">
        <v>1271</v>
      </c>
      <c r="O96" s="511">
        <v>31801</v>
      </c>
      <c r="P96" s="512">
        <v>34</v>
      </c>
      <c r="Q96" s="513">
        <v>198</v>
      </c>
      <c r="R96" s="514">
        <v>90</v>
      </c>
      <c r="S96" s="64"/>
      <c r="T96" s="297">
        <f t="shared" si="15"/>
        <v>0</v>
      </c>
      <c r="U96" s="518">
        <f t="shared" si="16"/>
        <v>0</v>
      </c>
      <c r="W96" s="1"/>
      <c r="X96" s="65"/>
    </row>
    <row r="97" spans="1:24" s="23" customFormat="1" ht="11.25" customHeight="1" x14ac:dyDescent="0.2">
      <c r="A97" s="765"/>
      <c r="C97" s="769"/>
      <c r="D97" s="60"/>
      <c r="F97" s="503">
        <f t="shared" si="13"/>
        <v>9.1000000000000004E-3</v>
      </c>
      <c r="G97" s="503">
        <f t="shared" si="14"/>
        <v>9.1000000000000004E-3</v>
      </c>
      <c r="H97" s="504" t="str">
        <f t="shared" si="17"/>
        <v>Wales</v>
      </c>
      <c r="I97" s="509" t="s">
        <v>923</v>
      </c>
      <c r="J97" s="509" t="s">
        <v>947</v>
      </c>
      <c r="K97" s="508">
        <v>20</v>
      </c>
      <c r="L97" s="509" t="s">
        <v>703</v>
      </c>
      <c r="M97" s="634" t="s">
        <v>853</v>
      </c>
      <c r="N97" s="510" t="s">
        <v>1271</v>
      </c>
      <c r="O97" s="511">
        <v>35744</v>
      </c>
      <c r="P97" s="512">
        <v>23</v>
      </c>
      <c r="Q97" s="513">
        <v>180</v>
      </c>
      <c r="R97" s="514">
        <v>76</v>
      </c>
      <c r="S97" s="64"/>
      <c r="T97" s="297">
        <f t="shared" si="15"/>
        <v>0</v>
      </c>
      <c r="U97" s="518">
        <f t="shared" si="16"/>
        <v>0</v>
      </c>
      <c r="W97" s="1"/>
      <c r="X97" s="65"/>
    </row>
    <row r="98" spans="1:24" s="23" customFormat="1" ht="11.25" customHeight="1" x14ac:dyDescent="0.2">
      <c r="A98" s="765"/>
      <c r="C98" s="769"/>
      <c r="D98" s="60"/>
      <c r="F98" s="503">
        <f t="shared" si="13"/>
        <v>9.1999999999999998E-3</v>
      </c>
      <c r="G98" s="503">
        <f t="shared" si="14"/>
        <v>9.1999999999999998E-3</v>
      </c>
      <c r="H98" s="504" t="str">
        <f t="shared" si="17"/>
        <v>Wales</v>
      </c>
      <c r="I98" s="509" t="s">
        <v>1402</v>
      </c>
      <c r="J98" s="509" t="s">
        <v>1403</v>
      </c>
      <c r="K98" s="508">
        <v>23</v>
      </c>
      <c r="L98" s="509" t="s">
        <v>703</v>
      </c>
      <c r="M98" s="634" t="s">
        <v>1218</v>
      </c>
      <c r="N98" s="510" t="s">
        <v>1271</v>
      </c>
      <c r="O98" s="511">
        <v>36847</v>
      </c>
      <c r="P98" s="512">
        <v>20</v>
      </c>
      <c r="Q98" s="513">
        <v>178</v>
      </c>
      <c r="R98" s="514">
        <v>74</v>
      </c>
      <c r="S98" s="64"/>
      <c r="T98" s="297">
        <f t="shared" si="15"/>
        <v>0</v>
      </c>
      <c r="U98" s="518">
        <f t="shared" si="16"/>
        <v>0</v>
      </c>
      <c r="W98" s="1"/>
      <c r="X98" s="65"/>
    </row>
    <row r="99" spans="1:24" s="23" customFormat="1" ht="11.25" customHeight="1" x14ac:dyDescent="0.2">
      <c r="A99" s="765"/>
      <c r="C99" s="769"/>
      <c r="D99" s="60"/>
      <c r="F99" s="503">
        <f t="shared" si="13"/>
        <v>9.2999999999999992E-3</v>
      </c>
      <c r="G99" s="503">
        <f t="shared" si="14"/>
        <v>9.2999999999999992E-3</v>
      </c>
      <c r="H99" s="504" t="str">
        <f t="shared" si="17"/>
        <v>Wales</v>
      </c>
      <c r="I99" s="509" t="s">
        <v>1404</v>
      </c>
      <c r="J99" s="509" t="s">
        <v>1021</v>
      </c>
      <c r="K99" s="508">
        <v>5</v>
      </c>
      <c r="L99" s="509" t="s">
        <v>1339</v>
      </c>
      <c r="M99" s="634" t="s">
        <v>1405</v>
      </c>
      <c r="N99" s="510" t="s">
        <v>1271</v>
      </c>
      <c r="O99" s="511">
        <v>34671</v>
      </c>
      <c r="P99" s="512">
        <v>26</v>
      </c>
      <c r="Q99" s="513">
        <v>180</v>
      </c>
      <c r="R99" s="514">
        <v>72</v>
      </c>
      <c r="S99" s="64"/>
      <c r="T99" s="297">
        <f t="shared" si="15"/>
        <v>0</v>
      </c>
      <c r="U99" s="518">
        <f t="shared" si="16"/>
        <v>0</v>
      </c>
      <c r="W99" s="1"/>
      <c r="X99" s="65"/>
    </row>
    <row r="100" spans="1:24" s="23" customFormat="1" ht="11.25" customHeight="1" x14ac:dyDescent="0.2">
      <c r="A100" s="765"/>
      <c r="C100" s="769"/>
      <c r="D100" s="60"/>
      <c r="F100" s="503">
        <f t="shared" si="13"/>
        <v>9.3999999999999986E-3</v>
      </c>
      <c r="G100" s="503">
        <f t="shared" si="14"/>
        <v>9.3999999999999986E-3</v>
      </c>
      <c r="H100" s="504" t="str">
        <f t="shared" si="17"/>
        <v>Wales</v>
      </c>
      <c r="I100" s="509" t="s">
        <v>1406</v>
      </c>
      <c r="J100" s="509" t="s">
        <v>953</v>
      </c>
      <c r="K100" s="508">
        <v>22</v>
      </c>
      <c r="L100" s="509" t="s">
        <v>1339</v>
      </c>
      <c r="M100" s="634" t="s">
        <v>1047</v>
      </c>
      <c r="N100" s="510" t="s">
        <v>1271</v>
      </c>
      <c r="O100" s="511">
        <v>35739</v>
      </c>
      <c r="P100" s="512">
        <v>23</v>
      </c>
      <c r="Q100" s="513">
        <v>191</v>
      </c>
      <c r="R100" s="514">
        <v>75</v>
      </c>
      <c r="S100" s="64"/>
      <c r="T100" s="297">
        <f t="shared" si="15"/>
        <v>0</v>
      </c>
      <c r="U100" s="518">
        <f t="shared" si="16"/>
        <v>0</v>
      </c>
      <c r="W100" s="1"/>
      <c r="X100" s="65"/>
    </row>
    <row r="101" spans="1:24" s="23" customFormat="1" ht="11.25" customHeight="1" x14ac:dyDescent="0.2">
      <c r="A101" s="765"/>
      <c r="C101" s="769"/>
      <c r="D101" s="60"/>
      <c r="F101" s="503">
        <f t="shared" si="13"/>
        <v>9.499999999999998E-3</v>
      </c>
      <c r="G101" s="503">
        <f t="shared" si="14"/>
        <v>9.499999999999998E-3</v>
      </c>
      <c r="H101" s="504" t="str">
        <f t="shared" si="17"/>
        <v>Wales</v>
      </c>
      <c r="I101" s="509" t="s">
        <v>1407</v>
      </c>
      <c r="J101" s="509" t="s">
        <v>1408</v>
      </c>
      <c r="K101" s="508">
        <v>13</v>
      </c>
      <c r="L101" s="509" t="s">
        <v>1357</v>
      </c>
      <c r="M101" s="634" t="s">
        <v>918</v>
      </c>
      <c r="N101" s="510" t="s">
        <v>1401</v>
      </c>
      <c r="O101" s="511">
        <v>33824</v>
      </c>
      <c r="P101" s="512">
        <v>28</v>
      </c>
      <c r="Q101" s="513">
        <v>195</v>
      </c>
      <c r="R101" s="514">
        <v>83</v>
      </c>
      <c r="S101" s="64"/>
      <c r="T101" s="297">
        <f t="shared" si="15"/>
        <v>0</v>
      </c>
      <c r="U101" s="518">
        <f t="shared" si="16"/>
        <v>0</v>
      </c>
      <c r="W101" s="1"/>
      <c r="X101" s="65"/>
    </row>
    <row r="102" spans="1:24" s="23" customFormat="1" ht="11.25" customHeight="1" x14ac:dyDescent="0.2">
      <c r="A102" s="765"/>
      <c r="C102" s="769"/>
      <c r="D102" s="60"/>
      <c r="F102" s="503">
        <f t="shared" si="13"/>
        <v>9.5999999999999974E-3</v>
      </c>
      <c r="G102" s="503">
        <f t="shared" si="14"/>
        <v>9.5999999999999974E-3</v>
      </c>
      <c r="H102" s="504" t="str">
        <f t="shared" si="17"/>
        <v>Wales</v>
      </c>
      <c r="I102" s="509" t="s">
        <v>1409</v>
      </c>
      <c r="J102" s="509" t="s">
        <v>950</v>
      </c>
      <c r="K102" s="508">
        <v>16</v>
      </c>
      <c r="L102" s="509" t="s">
        <v>703</v>
      </c>
      <c r="M102" s="634" t="s">
        <v>1405</v>
      </c>
      <c r="N102" s="510" t="s">
        <v>1271</v>
      </c>
      <c r="O102" s="511">
        <v>35433</v>
      </c>
      <c r="P102" s="512">
        <v>24</v>
      </c>
      <c r="Q102" s="513">
        <v>186</v>
      </c>
      <c r="R102" s="514">
        <v>77</v>
      </c>
      <c r="S102" s="64"/>
      <c r="T102" s="297">
        <f t="shared" si="15"/>
        <v>0</v>
      </c>
      <c r="U102" s="518">
        <f t="shared" si="16"/>
        <v>0</v>
      </c>
      <c r="W102" s="1"/>
      <c r="X102" s="65"/>
    </row>
    <row r="103" spans="1:24" s="23" customFormat="1" ht="11.25" customHeight="1" x14ac:dyDescent="0.2">
      <c r="A103" s="765"/>
      <c r="C103" s="769"/>
      <c r="D103" s="60"/>
      <c r="F103" s="503">
        <f t="shared" si="13"/>
        <v>9.6999999999999968E-3</v>
      </c>
      <c r="G103" s="503">
        <f t="shared" si="14"/>
        <v>9.6999999999999968E-3</v>
      </c>
      <c r="H103" s="504" t="str">
        <f t="shared" si="17"/>
        <v>Wales</v>
      </c>
      <c r="I103" s="509" t="s">
        <v>1410</v>
      </c>
      <c r="J103" s="509" t="s">
        <v>1411</v>
      </c>
      <c r="K103" s="508">
        <v>17</v>
      </c>
      <c r="L103" s="509" t="s">
        <v>1339</v>
      </c>
      <c r="M103" s="634" t="s">
        <v>1405</v>
      </c>
      <c r="N103" s="510" t="s">
        <v>1271</v>
      </c>
      <c r="O103" s="511">
        <v>36272</v>
      </c>
      <c r="P103" s="512">
        <v>22</v>
      </c>
      <c r="Q103" s="513">
        <v>181</v>
      </c>
      <c r="R103" s="514">
        <v>76</v>
      </c>
      <c r="S103" s="64"/>
      <c r="T103" s="297">
        <f t="shared" si="15"/>
        <v>0</v>
      </c>
      <c r="U103" s="518">
        <f t="shared" si="16"/>
        <v>0</v>
      </c>
      <c r="W103" s="1"/>
      <c r="X103" s="65"/>
    </row>
    <row r="104" spans="1:24" s="23" customFormat="1" ht="11.25" customHeight="1" x14ac:dyDescent="0.2">
      <c r="A104" s="765"/>
      <c r="C104" s="769"/>
      <c r="D104" s="60"/>
      <c r="F104" s="503">
        <f t="shared" si="13"/>
        <v>9.7999999999999962E-3</v>
      </c>
      <c r="G104" s="503">
        <f t="shared" si="14"/>
        <v>9.7999999999999962E-3</v>
      </c>
      <c r="H104" s="504" t="str">
        <f t="shared" si="17"/>
        <v>Wales</v>
      </c>
      <c r="I104" s="509" t="s">
        <v>1048</v>
      </c>
      <c r="J104" s="509" t="s">
        <v>1049</v>
      </c>
      <c r="K104" s="508">
        <v>10</v>
      </c>
      <c r="L104" s="509" t="s">
        <v>703</v>
      </c>
      <c r="M104" s="634" t="s">
        <v>917</v>
      </c>
      <c r="N104" s="510" t="s">
        <v>501</v>
      </c>
      <c r="O104" s="511">
        <v>33233</v>
      </c>
      <c r="P104" s="512">
        <v>30</v>
      </c>
      <c r="Q104" s="513">
        <v>182</v>
      </c>
      <c r="R104" s="514">
        <v>77</v>
      </c>
      <c r="S104" s="64"/>
      <c r="T104" s="297">
        <f t="shared" si="15"/>
        <v>0</v>
      </c>
      <c r="U104" s="518">
        <f t="shared" si="16"/>
        <v>0</v>
      </c>
      <c r="W104" s="1"/>
      <c r="X104" s="65"/>
    </row>
    <row r="105" spans="1:24" s="23" customFormat="1" ht="11.25" customHeight="1" x14ac:dyDescent="0.2">
      <c r="A105" s="765"/>
      <c r="C105" s="769"/>
      <c r="D105" s="60"/>
      <c r="F105" s="503">
        <f t="shared" si="13"/>
        <v>9.8999999999999956E-3</v>
      </c>
      <c r="G105" s="503">
        <f t="shared" si="14"/>
        <v>9.8999999999999956E-3</v>
      </c>
      <c r="H105" s="504" t="str">
        <f t="shared" si="17"/>
        <v>Wales</v>
      </c>
      <c r="I105" s="509" t="s">
        <v>1412</v>
      </c>
      <c r="J105" s="509" t="s">
        <v>1413</v>
      </c>
      <c r="K105" s="508">
        <v>14</v>
      </c>
      <c r="L105" s="509" t="s">
        <v>1339</v>
      </c>
      <c r="M105" s="634" t="s">
        <v>1414</v>
      </c>
      <c r="N105" s="510" t="s">
        <v>1401</v>
      </c>
      <c r="O105" s="511">
        <v>34965</v>
      </c>
      <c r="P105" s="512">
        <v>25</v>
      </c>
      <c r="Q105" s="513">
        <v>175</v>
      </c>
      <c r="R105" s="514">
        <v>71</v>
      </c>
      <c r="S105" s="64"/>
      <c r="T105" s="297">
        <f t="shared" si="15"/>
        <v>0</v>
      </c>
      <c r="U105" s="518">
        <f t="shared" si="16"/>
        <v>0</v>
      </c>
      <c r="W105" s="1"/>
      <c r="X105" s="65"/>
    </row>
    <row r="106" spans="1:24" s="23" customFormat="1" ht="11.25" customHeight="1" x14ac:dyDescent="0.2">
      <c r="A106" s="765"/>
      <c r="C106" s="769"/>
      <c r="D106" s="60"/>
      <c r="F106" s="503">
        <f t="shared" si="13"/>
        <v>9.999999999999995E-3</v>
      </c>
      <c r="G106" s="503">
        <f t="shared" si="14"/>
        <v>9.999999999999995E-3</v>
      </c>
      <c r="H106" s="504" t="str">
        <f t="shared" si="17"/>
        <v>Wales</v>
      </c>
      <c r="I106" s="509" t="s">
        <v>1415</v>
      </c>
      <c r="J106" s="509" t="s">
        <v>1416</v>
      </c>
      <c r="K106" s="508">
        <v>9</v>
      </c>
      <c r="L106" s="509" t="s">
        <v>1357</v>
      </c>
      <c r="M106" s="634" t="s">
        <v>1122</v>
      </c>
      <c r="N106" s="510" t="s">
        <v>1271</v>
      </c>
      <c r="O106" s="511">
        <v>36172</v>
      </c>
      <c r="P106" s="512">
        <v>22</v>
      </c>
      <c r="Q106" s="513">
        <v>180</v>
      </c>
      <c r="R106" s="514">
        <v>75</v>
      </c>
      <c r="S106" s="64"/>
      <c r="T106" s="297">
        <f t="shared" si="15"/>
        <v>0</v>
      </c>
      <c r="U106" s="518">
        <f t="shared" si="16"/>
        <v>0</v>
      </c>
      <c r="W106" s="1"/>
      <c r="X106" s="65"/>
    </row>
    <row r="107" spans="1:24" s="23" customFormat="1" ht="11.25" customHeight="1" x14ac:dyDescent="0.2">
      <c r="A107" s="765"/>
      <c r="C107" s="769"/>
      <c r="D107" s="60"/>
      <c r="F107" s="503">
        <f t="shared" si="13"/>
        <v>1.0099999999999994E-2</v>
      </c>
      <c r="G107" s="503">
        <f t="shared" si="14"/>
        <v>1.0099999999999994E-2</v>
      </c>
      <c r="H107" s="504" t="str">
        <f t="shared" si="17"/>
        <v>Wales</v>
      </c>
      <c r="I107" s="509" t="s">
        <v>1417</v>
      </c>
      <c r="J107" s="509" t="s">
        <v>950</v>
      </c>
      <c r="K107" s="508">
        <v>6</v>
      </c>
      <c r="L107" s="509" t="s">
        <v>1339</v>
      </c>
      <c r="M107" s="634" t="s">
        <v>816</v>
      </c>
      <c r="N107" s="510" t="s">
        <v>1401</v>
      </c>
      <c r="O107" s="511">
        <v>35725</v>
      </c>
      <c r="P107" s="512">
        <v>23</v>
      </c>
      <c r="Q107" s="513">
        <v>190</v>
      </c>
      <c r="R107" s="514">
        <v>76</v>
      </c>
      <c r="S107" s="64"/>
      <c r="T107" s="297">
        <f t="shared" si="15"/>
        <v>0</v>
      </c>
      <c r="U107" s="518">
        <f t="shared" si="16"/>
        <v>0</v>
      </c>
      <c r="W107" s="1"/>
      <c r="X107" s="65"/>
    </row>
    <row r="108" spans="1:24" s="23" customFormat="1" ht="11.25" customHeight="1" x14ac:dyDescent="0.2">
      <c r="A108" s="765"/>
      <c r="C108" s="769"/>
      <c r="D108" s="60"/>
      <c r="F108" s="503">
        <f t="shared" si="13"/>
        <v>1.0199999999999994E-2</v>
      </c>
      <c r="G108" s="503">
        <f t="shared" si="14"/>
        <v>1.0199999999999994E-2</v>
      </c>
      <c r="H108" s="504" t="str">
        <f t="shared" si="17"/>
        <v>Wales</v>
      </c>
      <c r="I108" s="509" t="s">
        <v>1521</v>
      </c>
      <c r="J108" s="509" t="s">
        <v>1522</v>
      </c>
      <c r="K108" s="508">
        <v>26</v>
      </c>
      <c r="L108" s="509" t="s">
        <v>703</v>
      </c>
      <c r="M108" s="634" t="s">
        <v>813</v>
      </c>
      <c r="N108" s="510" t="s">
        <v>1271</v>
      </c>
      <c r="O108" s="511">
        <v>36486</v>
      </c>
      <c r="P108" s="512">
        <v>21</v>
      </c>
      <c r="Q108" s="513">
        <v>195</v>
      </c>
      <c r="R108" s="514">
        <v>80</v>
      </c>
      <c r="S108" s="64"/>
      <c r="T108" s="297">
        <f t="shared" si="15"/>
        <v>0</v>
      </c>
      <c r="U108" s="518">
        <f t="shared" si="16"/>
        <v>0</v>
      </c>
      <c r="W108" s="1"/>
      <c r="X108" s="65"/>
    </row>
    <row r="109" spans="1:24" s="23" customFormat="1" ht="11.25" customHeight="1" x14ac:dyDescent="0.2">
      <c r="A109" s="765"/>
      <c r="C109" s="769"/>
      <c r="D109" s="60"/>
      <c r="F109" s="503">
        <f t="shared" si="13"/>
        <v>1.0299999999999993E-2</v>
      </c>
      <c r="G109" s="503">
        <f t="shared" si="14"/>
        <v>1.0299999999999993E-2</v>
      </c>
      <c r="H109" s="504" t="str">
        <f t="shared" si="17"/>
        <v>Wales</v>
      </c>
      <c r="I109" s="509" t="s">
        <v>1523</v>
      </c>
      <c r="J109" s="509" t="s">
        <v>972</v>
      </c>
      <c r="K109" s="508">
        <v>12</v>
      </c>
      <c r="L109" s="509" t="s">
        <v>704</v>
      </c>
      <c r="M109" s="634" t="s">
        <v>1017</v>
      </c>
      <c r="N109" s="510" t="s">
        <v>1271</v>
      </c>
      <c r="O109" s="511">
        <v>34142</v>
      </c>
      <c r="P109" s="512">
        <v>27</v>
      </c>
      <c r="Q109" s="513">
        <v>191</v>
      </c>
      <c r="R109" s="514">
        <v>88</v>
      </c>
      <c r="S109" s="64"/>
      <c r="T109" s="297">
        <f t="shared" si="15"/>
        <v>0</v>
      </c>
      <c r="U109" s="518">
        <f t="shared" si="16"/>
        <v>0</v>
      </c>
      <c r="W109" s="640"/>
      <c r="X109" s="65"/>
    </row>
    <row r="110" spans="1:24" s="23" customFormat="1" ht="11.25" customHeight="1" x14ac:dyDescent="0.2">
      <c r="A110" s="765"/>
      <c r="C110" s="769"/>
      <c r="D110" s="60"/>
      <c r="F110" s="503">
        <f t="shared" si="13"/>
        <v>1.0399999999999993E-2</v>
      </c>
      <c r="G110" s="503">
        <f t="shared" si="14"/>
        <v>1.0399999999999993E-2</v>
      </c>
      <c r="H110" s="504" t="str">
        <f t="shared" si="17"/>
        <v>Wales</v>
      </c>
      <c r="I110" s="509" t="s">
        <v>1524</v>
      </c>
      <c r="J110" s="509" t="s">
        <v>1525</v>
      </c>
      <c r="K110" s="508">
        <v>18</v>
      </c>
      <c r="L110" s="509" t="s">
        <v>703</v>
      </c>
      <c r="M110" s="634" t="s">
        <v>1218</v>
      </c>
      <c r="N110" s="510" t="s">
        <v>1271</v>
      </c>
      <c r="O110" s="511">
        <v>34251</v>
      </c>
      <c r="P110" s="512">
        <v>27</v>
      </c>
      <c r="Q110" s="513">
        <v>168</v>
      </c>
      <c r="R110" s="514">
        <v>60</v>
      </c>
      <c r="S110" s="64"/>
      <c r="T110" s="297">
        <f t="shared" si="15"/>
        <v>0</v>
      </c>
      <c r="U110" s="518">
        <f t="shared" si="16"/>
        <v>0</v>
      </c>
      <c r="W110" s="640"/>
      <c r="X110" s="65"/>
    </row>
    <row r="111" spans="1:24" s="23" customFormat="1" ht="11.25" customHeight="1" x14ac:dyDescent="0.2">
      <c r="A111" s="765"/>
      <c r="C111" s="769"/>
      <c r="D111" s="60"/>
      <c r="F111" s="503">
        <f t="shared" si="13"/>
        <v>1.0499999999999992E-2</v>
      </c>
      <c r="G111" s="503">
        <f t="shared" si="14"/>
        <v>1.0499999999999992E-2</v>
      </c>
      <c r="H111" s="504" t="str">
        <f t="shared" si="17"/>
        <v>Wales</v>
      </c>
      <c r="I111" s="509" t="s">
        <v>1526</v>
      </c>
      <c r="J111" s="509" t="s">
        <v>1527</v>
      </c>
      <c r="K111" s="508">
        <v>3</v>
      </c>
      <c r="L111" s="509" t="s">
        <v>1339</v>
      </c>
      <c r="M111" s="634" t="s">
        <v>751</v>
      </c>
      <c r="N111" s="510" t="s">
        <v>1271</v>
      </c>
      <c r="O111" s="511">
        <v>36994</v>
      </c>
      <c r="P111" s="512">
        <v>20</v>
      </c>
      <c r="Q111" s="513">
        <v>183</v>
      </c>
      <c r="R111" s="514">
        <v>72</v>
      </c>
      <c r="S111" s="64"/>
      <c r="T111" s="297">
        <f t="shared" si="15"/>
        <v>0</v>
      </c>
      <c r="U111" s="518">
        <f t="shared" si="16"/>
        <v>0</v>
      </c>
      <c r="W111" s="640"/>
      <c r="X111" s="65"/>
    </row>
    <row r="112" spans="1:24" s="23" customFormat="1" ht="11.25" customHeight="1" x14ac:dyDescent="0.2">
      <c r="A112" s="765"/>
      <c r="C112" s="769"/>
      <c r="D112" s="60"/>
      <c r="F112" s="503">
        <f t="shared" si="13"/>
        <v>1.0599999999999991E-2</v>
      </c>
      <c r="G112" s="503">
        <f t="shared" si="14"/>
        <v>1.0599999999999991E-2</v>
      </c>
      <c r="H112" s="504" t="str">
        <f t="shared" si="17"/>
        <v>Wales</v>
      </c>
      <c r="I112" s="555" t="s">
        <v>1528</v>
      </c>
      <c r="J112" s="555" t="s">
        <v>1024</v>
      </c>
      <c r="K112" s="554">
        <v>8</v>
      </c>
      <c r="L112" s="555" t="s">
        <v>703</v>
      </c>
      <c r="M112" s="635" t="s">
        <v>918</v>
      </c>
      <c r="N112" s="556" t="s">
        <v>1401</v>
      </c>
      <c r="O112" s="557">
        <v>35511</v>
      </c>
      <c r="P112" s="558">
        <v>24</v>
      </c>
      <c r="Q112" s="559">
        <v>173</v>
      </c>
      <c r="R112" s="560">
        <v>70</v>
      </c>
      <c r="S112" s="64"/>
      <c r="T112" s="297">
        <f t="shared" si="15"/>
        <v>0</v>
      </c>
      <c r="U112" s="518">
        <f t="shared" si="16"/>
        <v>0</v>
      </c>
      <c r="W112" s="640"/>
      <c r="X112" s="65"/>
    </row>
    <row r="113" spans="1:24" s="23" customFormat="1" ht="9.75" hidden="1" customHeight="1" x14ac:dyDescent="0.2">
      <c r="A113" s="765"/>
      <c r="C113" s="769"/>
      <c r="D113" s="60"/>
      <c r="F113" s="503">
        <f t="shared" si="13"/>
        <v>1.0699999999999991E-2</v>
      </c>
      <c r="G113" s="503">
        <f t="shared" si="14"/>
        <v>0</v>
      </c>
      <c r="H113" s="504" t="str">
        <f t="shared" si="17"/>
        <v>Wales</v>
      </c>
      <c r="I113" s="61"/>
      <c r="J113" s="61"/>
      <c r="K113" s="295"/>
      <c r="L113" s="61"/>
      <c r="M113" s="633"/>
      <c r="N113" s="256"/>
      <c r="O113" s="62"/>
      <c r="P113" s="253"/>
      <c r="Q113" s="63"/>
      <c r="R113" s="252"/>
      <c r="S113" s="64"/>
      <c r="T113" s="297" t="str">
        <f t="shared" si="15"/>
        <v/>
      </c>
      <c r="U113" s="518" t="str">
        <f t="shared" si="16"/>
        <v/>
      </c>
      <c r="W113" s="640"/>
      <c r="X113" s="65"/>
    </row>
    <row r="114" spans="1:24" s="23" customFormat="1" ht="9.75" hidden="1" customHeight="1" x14ac:dyDescent="0.2">
      <c r="A114" s="765"/>
      <c r="C114" s="769"/>
      <c r="D114" s="60"/>
      <c r="F114" s="503">
        <f t="shared" si="13"/>
        <v>1.079999999999999E-2</v>
      </c>
      <c r="G114" s="503">
        <f t="shared" si="14"/>
        <v>0</v>
      </c>
      <c r="H114" s="504" t="str">
        <f t="shared" si="17"/>
        <v>Wales</v>
      </c>
      <c r="I114" s="61"/>
      <c r="J114" s="61"/>
      <c r="K114" s="295"/>
      <c r="L114" s="61"/>
      <c r="M114" s="633"/>
      <c r="N114" s="256"/>
      <c r="O114" s="62"/>
      <c r="P114" s="253"/>
      <c r="Q114" s="63"/>
      <c r="R114" s="252"/>
      <c r="S114" s="64"/>
      <c r="T114" s="297" t="str">
        <f t="shared" si="15"/>
        <v/>
      </c>
      <c r="U114" s="518" t="str">
        <f t="shared" si="16"/>
        <v/>
      </c>
      <c r="W114" s="640"/>
      <c r="X114" s="65"/>
    </row>
    <row r="115" spans="1:24" s="23" customFormat="1" ht="9.75" hidden="1" customHeight="1" x14ac:dyDescent="0.2">
      <c r="A115" s="765"/>
      <c r="C115" s="769"/>
      <c r="D115" s="60"/>
      <c r="F115" s="503">
        <f t="shared" si="13"/>
        <v>1.089999999999999E-2</v>
      </c>
      <c r="G115" s="503">
        <f t="shared" si="14"/>
        <v>0</v>
      </c>
      <c r="H115" s="504" t="str">
        <f t="shared" si="17"/>
        <v>Wales</v>
      </c>
      <c r="I115" s="61"/>
      <c r="J115" s="61"/>
      <c r="K115" s="295"/>
      <c r="L115" s="61"/>
      <c r="M115" s="633"/>
      <c r="N115" s="256"/>
      <c r="O115" s="62"/>
      <c r="P115" s="253"/>
      <c r="Q115" s="63"/>
      <c r="R115" s="252"/>
      <c r="S115" s="64"/>
      <c r="T115" s="297" t="str">
        <f t="shared" si="15"/>
        <v/>
      </c>
      <c r="U115" s="518" t="str">
        <f t="shared" si="16"/>
        <v/>
      </c>
      <c r="W115" s="640"/>
      <c r="X115" s="65"/>
    </row>
    <row r="116" spans="1:24" s="23" customFormat="1" ht="9.75" hidden="1" customHeight="1" x14ac:dyDescent="0.2">
      <c r="A116" s="765"/>
      <c r="C116" s="769"/>
      <c r="D116" s="60"/>
      <c r="F116" s="503">
        <f t="shared" si="13"/>
        <v>1.0999999999999989E-2</v>
      </c>
      <c r="G116" s="503">
        <f t="shared" si="14"/>
        <v>0</v>
      </c>
      <c r="H116" s="504" t="str">
        <f t="shared" si="17"/>
        <v>Wales</v>
      </c>
      <c r="I116" s="61"/>
      <c r="J116" s="61"/>
      <c r="K116" s="295"/>
      <c r="L116" s="61"/>
      <c r="M116" s="633"/>
      <c r="N116" s="256"/>
      <c r="O116" s="62"/>
      <c r="P116" s="253"/>
      <c r="Q116" s="63"/>
      <c r="R116" s="252"/>
      <c r="S116" s="64"/>
      <c r="T116" s="297" t="str">
        <f t="shared" si="15"/>
        <v/>
      </c>
      <c r="U116" s="518" t="str">
        <f t="shared" si="16"/>
        <v/>
      </c>
      <c r="W116" s="640"/>
      <c r="X116" s="65"/>
    </row>
    <row r="117" spans="1:24" s="23" customFormat="1" ht="4.5" customHeight="1" x14ac:dyDescent="0.25">
      <c r="A117" s="765"/>
      <c r="C117" s="769"/>
      <c r="D117" s="60"/>
      <c r="F117" s="503">
        <f t="shared" si="13"/>
        <v>1.1099999999999988E-2</v>
      </c>
      <c r="G117" s="503"/>
      <c r="H117" s="505"/>
      <c r="I117" s="67"/>
      <c r="J117" s="67"/>
      <c r="K117" s="22"/>
      <c r="L117" s="67"/>
      <c r="M117" s="22"/>
      <c r="N117" s="68"/>
      <c r="O117" s="67"/>
      <c r="P117" s="69"/>
      <c r="Q117" s="70"/>
      <c r="R117" s="71"/>
      <c r="S117" s="71"/>
      <c r="T117" s="298"/>
      <c r="U117" s="299"/>
      <c r="W117" s="641"/>
      <c r="X117" s="67"/>
    </row>
    <row r="118" spans="1:24" s="21" customFormat="1" ht="9.75" customHeight="1" x14ac:dyDescent="0.2">
      <c r="A118" s="765"/>
      <c r="C118" s="769"/>
      <c r="D118" s="60"/>
      <c r="F118" s="503">
        <f t="shared" si="13"/>
        <v>1.1199999999999988E-2</v>
      </c>
      <c r="G118" s="503"/>
      <c r="H118" s="303"/>
      <c r="I118" s="74" t="s">
        <v>542</v>
      </c>
      <c r="J118" s="75" t="s">
        <v>1418</v>
      </c>
      <c r="K118" s="75"/>
      <c r="L118" s="75"/>
      <c r="M118" s="636"/>
      <c r="N118" s="76"/>
      <c r="O118" s="74" t="s">
        <v>495</v>
      </c>
      <c r="P118" s="254">
        <f>AVERAGE(P87:P116)</f>
        <v>25.03846153846154</v>
      </c>
      <c r="Q118" s="77">
        <f>AVERAGE(Q87:Q116)</f>
        <v>182.34615384615384</v>
      </c>
      <c r="R118" s="255">
        <f>AVERAGE(R87:R116)</f>
        <v>74.57692307692308</v>
      </c>
      <c r="S118" s="78"/>
      <c r="T118" s="297">
        <f>SUM(T87:T116)</f>
        <v>0</v>
      </c>
      <c r="U118" s="518">
        <f>SUM(U87:U116)</f>
        <v>0</v>
      </c>
      <c r="W118" s="642" t="s">
        <v>879</v>
      </c>
      <c r="X118" s="79"/>
    </row>
    <row r="119" spans="1:24" ht="9.75" customHeight="1" x14ac:dyDescent="0.3">
      <c r="A119" s="765"/>
      <c r="F119" s="503">
        <f t="shared" si="13"/>
        <v>1.1299999999999987E-2</v>
      </c>
      <c r="G119" s="503"/>
    </row>
    <row r="120" spans="1:24" ht="9.75" customHeight="1" x14ac:dyDescent="0.3">
      <c r="A120" s="765"/>
      <c r="F120" s="503">
        <f t="shared" si="13"/>
        <v>1.1399999999999987E-2</v>
      </c>
      <c r="G120" s="503"/>
    </row>
    <row r="121" spans="1:24" ht="9.75" customHeight="1" x14ac:dyDescent="0.3">
      <c r="A121" s="765"/>
      <c r="F121" s="503">
        <f t="shared" si="13"/>
        <v>1.1499999999999986E-2</v>
      </c>
      <c r="G121" s="503"/>
    </row>
    <row r="122" spans="1:24" ht="9.75" customHeight="1" x14ac:dyDescent="0.3">
      <c r="A122" s="765"/>
      <c r="F122" s="503">
        <f t="shared" si="13"/>
        <v>1.1599999999999985E-2</v>
      </c>
    </row>
    <row r="123" spans="1:24" ht="9.75" customHeight="1" x14ac:dyDescent="0.3">
      <c r="A123" s="765"/>
      <c r="F123" s="503">
        <f t="shared" si="13"/>
        <v>1.1699999999999985E-2</v>
      </c>
    </row>
    <row r="124" spans="1:24" ht="9.75" customHeight="1" x14ac:dyDescent="0.3">
      <c r="A124" s="765"/>
      <c r="F124" s="503">
        <f t="shared" si="13"/>
        <v>1.1799999999999984E-2</v>
      </c>
    </row>
    <row r="125" spans="1:24" ht="9.75" customHeight="1" x14ac:dyDescent="0.3">
      <c r="A125" s="765"/>
      <c r="F125" s="503">
        <f t="shared" si="13"/>
        <v>1.1899999999999984E-2</v>
      </c>
    </row>
    <row r="126" spans="1:24" s="23" customFormat="1" ht="5.25" customHeight="1" x14ac:dyDescent="0.2">
      <c r="A126" s="765"/>
      <c r="C126" s="21"/>
      <c r="F126" s="503">
        <f t="shared" si="13"/>
        <v>1.1999999999999983E-2</v>
      </c>
      <c r="G126" s="506"/>
      <c r="H126" s="502"/>
      <c r="I126" s="55"/>
      <c r="J126" s="55"/>
      <c r="K126" s="56"/>
      <c r="L126" s="55"/>
      <c r="M126" s="56"/>
      <c r="N126" s="57"/>
      <c r="O126" s="57"/>
      <c r="P126" s="55"/>
      <c r="Q126" s="57"/>
      <c r="R126" s="57"/>
      <c r="S126" s="57"/>
      <c r="T126" s="58"/>
      <c r="U126" s="59"/>
      <c r="W126" s="639"/>
      <c r="X126" s="55"/>
    </row>
    <row r="127" spans="1:24" s="23" customFormat="1" ht="11.25" customHeight="1" x14ac:dyDescent="0.2">
      <c r="A127" s="765"/>
      <c r="C127" s="769" t="str">
        <f>UPPER(H127)&amp;"    ."</f>
        <v>SVÁJC    .</v>
      </c>
      <c r="D127" s="60"/>
      <c r="F127" s="503">
        <f t="shared" si="13"/>
        <v>1.2099999999999982E-2</v>
      </c>
      <c r="G127" s="503">
        <f t="shared" ref="G127:G156" si="18">IF(I127="",0,T127+F127)</f>
        <v>1.2099999999999982E-2</v>
      </c>
      <c r="H127" s="504" t="str">
        <f>Adatok!A5</f>
        <v>Svájc</v>
      </c>
      <c r="I127" s="61" t="s">
        <v>1419</v>
      </c>
      <c r="J127" s="61" t="s">
        <v>1091</v>
      </c>
      <c r="K127" s="295">
        <v>5</v>
      </c>
      <c r="L127" s="61" t="s">
        <v>1339</v>
      </c>
      <c r="M127" s="633" t="s">
        <v>926</v>
      </c>
      <c r="N127" s="256" t="s">
        <v>1270</v>
      </c>
      <c r="O127" s="62">
        <v>34899</v>
      </c>
      <c r="P127" s="253">
        <v>25</v>
      </c>
      <c r="Q127" s="63">
        <v>187</v>
      </c>
      <c r="R127" s="252">
        <v>91</v>
      </c>
      <c r="S127" s="64"/>
      <c r="T127" s="297">
        <f t="shared" ref="T127:T156" si="19">IF(I127="","",COUNTIF(nevek.s,CONCATENATE(H127,I127)))</f>
        <v>0</v>
      </c>
      <c r="U127" s="518">
        <f t="shared" ref="U127:U156" si="20">IF(I127="","",COUNTIF(nevek.s,CONCATENATE("ö",H127,I127)))</f>
        <v>0</v>
      </c>
      <c r="W127" s="3"/>
      <c r="X127" s="65"/>
    </row>
    <row r="128" spans="1:24" s="23" customFormat="1" ht="11.25" customHeight="1" x14ac:dyDescent="0.2">
      <c r="A128" s="765"/>
      <c r="C128" s="769"/>
      <c r="D128" s="60"/>
      <c r="F128" s="503">
        <f t="shared" si="13"/>
        <v>1.2199999999999982E-2</v>
      </c>
      <c r="G128" s="503">
        <f t="shared" si="18"/>
        <v>1.2199999999999982E-2</v>
      </c>
      <c r="H128" s="504" t="str">
        <f>H127</f>
        <v>Svájc</v>
      </c>
      <c r="I128" s="509" t="s">
        <v>1420</v>
      </c>
      <c r="J128" s="509" t="s">
        <v>1421</v>
      </c>
      <c r="K128" s="508">
        <v>17</v>
      </c>
      <c r="L128" s="509" t="s">
        <v>1339</v>
      </c>
      <c r="M128" s="634" t="s">
        <v>1128</v>
      </c>
      <c r="N128" s="510" t="s">
        <v>502</v>
      </c>
      <c r="O128" s="511">
        <v>33610</v>
      </c>
      <c r="P128" s="512">
        <v>29</v>
      </c>
      <c r="Q128" s="513">
        <v>184</v>
      </c>
      <c r="R128" s="514">
        <v>80</v>
      </c>
      <c r="S128" s="64"/>
      <c r="T128" s="297">
        <f t="shared" si="19"/>
        <v>0</v>
      </c>
      <c r="U128" s="518">
        <f t="shared" si="20"/>
        <v>0</v>
      </c>
      <c r="W128" s="1"/>
      <c r="X128" s="65"/>
    </row>
    <row r="129" spans="1:24" s="23" customFormat="1" ht="11.25" customHeight="1" x14ac:dyDescent="0.2">
      <c r="A129" s="765"/>
      <c r="C129" s="769"/>
      <c r="D129" s="60"/>
      <c r="F129" s="503">
        <f t="shared" si="13"/>
        <v>1.2299999999999981E-2</v>
      </c>
      <c r="G129" s="503">
        <f t="shared" si="18"/>
        <v>1.2299999999999981E-2</v>
      </c>
      <c r="H129" s="504" t="str">
        <f t="shared" ref="H129:H156" si="21">H128</f>
        <v>Svájc</v>
      </c>
      <c r="I129" s="509" t="s">
        <v>1422</v>
      </c>
      <c r="J129" s="509" t="s">
        <v>1423</v>
      </c>
      <c r="K129" s="508">
        <v>25</v>
      </c>
      <c r="L129" s="509" t="s">
        <v>1339</v>
      </c>
      <c r="M129" s="634" t="s">
        <v>1424</v>
      </c>
      <c r="N129" s="510" t="s">
        <v>915</v>
      </c>
      <c r="O129" s="511">
        <v>35830</v>
      </c>
      <c r="P129" s="512">
        <v>23</v>
      </c>
      <c r="Q129" s="513">
        <v>183</v>
      </c>
      <c r="R129" s="514">
        <v>80</v>
      </c>
      <c r="S129" s="64"/>
      <c r="T129" s="297">
        <f t="shared" si="19"/>
        <v>0</v>
      </c>
      <c r="U129" s="518">
        <f t="shared" si="20"/>
        <v>0</v>
      </c>
      <c r="W129" s="1"/>
      <c r="X129" s="65"/>
    </row>
    <row r="130" spans="1:24" s="23" customFormat="1" ht="11.25" customHeight="1" x14ac:dyDescent="0.2">
      <c r="A130" s="765"/>
      <c r="C130" s="769"/>
      <c r="D130" s="60"/>
      <c r="F130" s="503">
        <f t="shared" si="13"/>
        <v>1.239999999999998E-2</v>
      </c>
      <c r="G130" s="503">
        <f t="shared" si="18"/>
        <v>1.239999999999998E-2</v>
      </c>
      <c r="H130" s="504" t="str">
        <f t="shared" si="21"/>
        <v>Svájc</v>
      </c>
      <c r="I130" s="509" t="s">
        <v>1056</v>
      </c>
      <c r="J130" s="509" t="s">
        <v>1057</v>
      </c>
      <c r="K130" s="508">
        <v>4</v>
      </c>
      <c r="L130" s="509" t="s">
        <v>1339</v>
      </c>
      <c r="M130" s="634" t="s">
        <v>997</v>
      </c>
      <c r="N130" s="510" t="s">
        <v>1270</v>
      </c>
      <c r="O130" s="511">
        <v>35338</v>
      </c>
      <c r="P130" s="512">
        <v>24</v>
      </c>
      <c r="Q130" s="513">
        <v>189</v>
      </c>
      <c r="R130" s="514">
        <v>78</v>
      </c>
      <c r="S130" s="64"/>
      <c r="T130" s="297">
        <f t="shared" si="19"/>
        <v>0</v>
      </c>
      <c r="U130" s="518">
        <f t="shared" si="20"/>
        <v>0</v>
      </c>
      <c r="W130" s="1"/>
      <c r="X130" s="65"/>
    </row>
    <row r="131" spans="1:24" s="23" customFormat="1" ht="11.25" customHeight="1" x14ac:dyDescent="0.2">
      <c r="A131" s="765"/>
      <c r="C131" s="769"/>
      <c r="D131" s="60"/>
      <c r="F131" s="503">
        <f t="shared" si="13"/>
        <v>1.249999999999998E-2</v>
      </c>
      <c r="G131" s="503">
        <f t="shared" si="18"/>
        <v>1.249999999999998E-2</v>
      </c>
      <c r="H131" s="504" t="str">
        <f t="shared" si="21"/>
        <v>Svájc</v>
      </c>
      <c r="I131" s="509" t="s">
        <v>1015</v>
      </c>
      <c r="J131" s="509" t="s">
        <v>1016</v>
      </c>
      <c r="K131" s="508">
        <v>7</v>
      </c>
      <c r="L131" s="509" t="s">
        <v>1357</v>
      </c>
      <c r="M131" s="634" t="s">
        <v>997</v>
      </c>
      <c r="N131" s="510" t="s">
        <v>1270</v>
      </c>
      <c r="O131" s="511">
        <v>35475</v>
      </c>
      <c r="P131" s="512">
        <v>24</v>
      </c>
      <c r="Q131" s="513">
        <v>185</v>
      </c>
      <c r="R131" s="514">
        <v>84</v>
      </c>
      <c r="S131" s="64"/>
      <c r="T131" s="297">
        <f t="shared" si="19"/>
        <v>0</v>
      </c>
      <c r="U131" s="518">
        <f t="shared" si="20"/>
        <v>0</v>
      </c>
      <c r="W131" s="1"/>
      <c r="X131" s="65"/>
    </row>
    <row r="132" spans="1:24" s="23" customFormat="1" ht="11.25" customHeight="1" x14ac:dyDescent="0.2">
      <c r="A132" s="765"/>
      <c r="C132" s="769"/>
      <c r="D132" s="60"/>
      <c r="F132" s="503">
        <f t="shared" si="13"/>
        <v>1.2599999999999979E-2</v>
      </c>
      <c r="G132" s="503">
        <f t="shared" si="18"/>
        <v>1.2599999999999979E-2</v>
      </c>
      <c r="H132" s="504" t="str">
        <f t="shared" si="21"/>
        <v>Svájc</v>
      </c>
      <c r="I132" s="509" t="s">
        <v>1425</v>
      </c>
      <c r="J132" s="509" t="s">
        <v>943</v>
      </c>
      <c r="K132" s="508">
        <v>16</v>
      </c>
      <c r="L132" s="509" t="s">
        <v>703</v>
      </c>
      <c r="M132" s="634" t="s">
        <v>996</v>
      </c>
      <c r="N132" s="510" t="s">
        <v>915</v>
      </c>
      <c r="O132" s="511">
        <v>34284</v>
      </c>
      <c r="P132" s="512">
        <v>27</v>
      </c>
      <c r="Q132" s="513">
        <v>185</v>
      </c>
      <c r="R132" s="514">
        <v>77</v>
      </c>
      <c r="S132" s="64"/>
      <c r="T132" s="297">
        <f t="shared" si="19"/>
        <v>0</v>
      </c>
      <c r="U132" s="518">
        <f t="shared" si="20"/>
        <v>0</v>
      </c>
      <c r="W132" s="1"/>
      <c r="X132" s="65"/>
    </row>
    <row r="133" spans="1:24" s="23" customFormat="1" ht="11.25" customHeight="1" x14ac:dyDescent="0.2">
      <c r="A133" s="765"/>
      <c r="C133" s="769"/>
      <c r="D133" s="60"/>
      <c r="F133" s="503">
        <f t="shared" si="13"/>
        <v>1.2699999999999979E-2</v>
      </c>
      <c r="G133" s="503">
        <f t="shared" si="18"/>
        <v>1.2699999999999979E-2</v>
      </c>
      <c r="H133" s="504" t="str">
        <f t="shared" si="21"/>
        <v>Svájc</v>
      </c>
      <c r="I133" s="509" t="s">
        <v>1058</v>
      </c>
      <c r="J133" s="509" t="s">
        <v>1426</v>
      </c>
      <c r="K133" s="508">
        <v>20</v>
      </c>
      <c r="L133" s="509" t="s">
        <v>703</v>
      </c>
      <c r="M133" s="634" t="s">
        <v>940</v>
      </c>
      <c r="N133" s="510" t="s">
        <v>1270</v>
      </c>
      <c r="O133" s="511">
        <v>35170</v>
      </c>
      <c r="P133" s="512">
        <v>25</v>
      </c>
      <c r="Q133" s="513">
        <v>187</v>
      </c>
      <c r="R133" s="514">
        <v>77</v>
      </c>
      <c r="S133" s="64"/>
      <c r="T133" s="297">
        <f t="shared" si="19"/>
        <v>0</v>
      </c>
      <c r="U133" s="518">
        <f t="shared" si="20"/>
        <v>0</v>
      </c>
      <c r="W133" s="1"/>
      <c r="X133" s="65"/>
    </row>
    <row r="134" spans="1:24" s="23" customFormat="1" ht="11.25" customHeight="1" x14ac:dyDescent="0.2">
      <c r="A134" s="765"/>
      <c r="C134" s="769"/>
      <c r="D134" s="60"/>
      <c r="E134" s="66"/>
      <c r="F134" s="503">
        <f t="shared" si="13"/>
        <v>1.2799999999999978E-2</v>
      </c>
      <c r="G134" s="503">
        <f t="shared" si="18"/>
        <v>1.2799999999999978E-2</v>
      </c>
      <c r="H134" s="504" t="str">
        <f t="shared" si="21"/>
        <v>Svájc</v>
      </c>
      <c r="I134" s="509" t="s">
        <v>1427</v>
      </c>
      <c r="J134" s="509" t="s">
        <v>1428</v>
      </c>
      <c r="K134" s="508">
        <v>8</v>
      </c>
      <c r="L134" s="509" t="s">
        <v>703</v>
      </c>
      <c r="M134" s="634" t="s">
        <v>1429</v>
      </c>
      <c r="N134" s="510" t="s">
        <v>501</v>
      </c>
      <c r="O134" s="511">
        <v>33709</v>
      </c>
      <c r="P134" s="512">
        <v>29</v>
      </c>
      <c r="Q134" s="513">
        <v>181</v>
      </c>
      <c r="R134" s="514">
        <v>77</v>
      </c>
      <c r="S134" s="64"/>
      <c r="T134" s="297">
        <f t="shared" si="19"/>
        <v>0</v>
      </c>
      <c r="U134" s="518">
        <f t="shared" si="20"/>
        <v>0</v>
      </c>
      <c r="W134" s="1"/>
      <c r="X134" s="65"/>
    </row>
    <row r="135" spans="1:24" s="23" customFormat="1" ht="11.25" customHeight="1" x14ac:dyDescent="0.2">
      <c r="A135" s="765"/>
      <c r="C135" s="769"/>
      <c r="D135" s="60"/>
      <c r="F135" s="503">
        <f t="shared" si="13"/>
        <v>1.2899999999999977E-2</v>
      </c>
      <c r="G135" s="503">
        <f t="shared" si="18"/>
        <v>1.2899999999999977E-2</v>
      </c>
      <c r="H135" s="504" t="str">
        <f t="shared" si="21"/>
        <v>Svájc</v>
      </c>
      <c r="I135" s="509" t="s">
        <v>1430</v>
      </c>
      <c r="J135" s="509" t="s">
        <v>826</v>
      </c>
      <c r="K135" s="508">
        <v>19</v>
      </c>
      <c r="L135" s="509" t="s">
        <v>1357</v>
      </c>
      <c r="M135" s="634" t="s">
        <v>820</v>
      </c>
      <c r="N135" s="510" t="s">
        <v>821</v>
      </c>
      <c r="O135" s="511">
        <v>32836</v>
      </c>
      <c r="P135" s="512">
        <v>31</v>
      </c>
      <c r="Q135" s="513">
        <v>175</v>
      </c>
      <c r="R135" s="514">
        <v>76</v>
      </c>
      <c r="S135" s="64"/>
      <c r="T135" s="297">
        <f t="shared" si="19"/>
        <v>0</v>
      </c>
      <c r="U135" s="518">
        <f t="shared" si="20"/>
        <v>0</v>
      </c>
      <c r="W135" s="1"/>
      <c r="X135" s="65"/>
    </row>
    <row r="136" spans="1:24" s="23" customFormat="1" ht="11.25" customHeight="1" x14ac:dyDescent="0.2">
      <c r="A136" s="765"/>
      <c r="C136" s="769"/>
      <c r="D136" s="60"/>
      <c r="F136" s="503">
        <f t="shared" si="13"/>
        <v>1.2999999999999977E-2</v>
      </c>
      <c r="G136" s="503">
        <f t="shared" si="18"/>
        <v>1.2999999999999977E-2</v>
      </c>
      <c r="H136" s="504" t="str">
        <f t="shared" si="21"/>
        <v>Svájc</v>
      </c>
      <c r="I136" s="509" t="s">
        <v>1529</v>
      </c>
      <c r="J136" s="509" t="s">
        <v>951</v>
      </c>
      <c r="K136" s="508">
        <v>26</v>
      </c>
      <c r="L136" s="509" t="s">
        <v>1339</v>
      </c>
      <c r="M136" s="634" t="s">
        <v>1453</v>
      </c>
      <c r="N136" s="510" t="s">
        <v>502</v>
      </c>
      <c r="O136" s="511">
        <v>36067</v>
      </c>
      <c r="P136" s="512">
        <v>22</v>
      </c>
      <c r="Q136" s="513">
        <v>180</v>
      </c>
      <c r="R136" s="514">
        <v>71</v>
      </c>
      <c r="S136" s="64"/>
      <c r="T136" s="297">
        <f t="shared" si="19"/>
        <v>0</v>
      </c>
      <c r="U136" s="518">
        <f t="shared" si="20"/>
        <v>0</v>
      </c>
      <c r="W136" s="1"/>
      <c r="X136" s="65"/>
    </row>
    <row r="137" spans="1:24" s="23" customFormat="1" ht="11.25" customHeight="1" x14ac:dyDescent="0.2">
      <c r="A137" s="765"/>
      <c r="C137" s="769"/>
      <c r="D137" s="60"/>
      <c r="F137" s="503">
        <f t="shared" ref="F137:F200" si="22">F136+0.0001</f>
        <v>1.3099999999999976E-2</v>
      </c>
      <c r="G137" s="503">
        <f t="shared" si="18"/>
        <v>1.3099999999999976E-2</v>
      </c>
      <c r="H137" s="504" t="str">
        <f t="shared" si="21"/>
        <v>Svájc</v>
      </c>
      <c r="I137" s="509" t="s">
        <v>1431</v>
      </c>
      <c r="J137" s="509" t="s">
        <v>1094</v>
      </c>
      <c r="K137" s="508">
        <v>2</v>
      </c>
      <c r="L137" s="509" t="s">
        <v>1339</v>
      </c>
      <c r="M137" s="634" t="s">
        <v>508</v>
      </c>
      <c r="N137" s="510" t="s">
        <v>1270</v>
      </c>
      <c r="O137" s="511">
        <v>34808</v>
      </c>
      <c r="P137" s="512">
        <v>26</v>
      </c>
      <c r="Q137" s="513">
        <v>184</v>
      </c>
      <c r="R137" s="514">
        <v>83</v>
      </c>
      <c r="S137" s="64"/>
      <c r="T137" s="297">
        <f t="shared" si="19"/>
        <v>0</v>
      </c>
      <c r="U137" s="518">
        <f t="shared" si="20"/>
        <v>0</v>
      </c>
      <c r="W137" s="1"/>
      <c r="X137" s="65"/>
    </row>
    <row r="138" spans="1:24" s="23" customFormat="1" ht="11.25" customHeight="1" x14ac:dyDescent="0.2">
      <c r="A138" s="765"/>
      <c r="C138" s="769"/>
      <c r="D138" s="60"/>
      <c r="F138" s="503">
        <f t="shared" si="22"/>
        <v>1.3199999999999976E-2</v>
      </c>
      <c r="G138" s="503">
        <f t="shared" si="18"/>
        <v>1.3199999999999976E-2</v>
      </c>
      <c r="H138" s="504" t="str">
        <f t="shared" si="21"/>
        <v>Svájc</v>
      </c>
      <c r="I138" s="509" t="s">
        <v>984</v>
      </c>
      <c r="J138" s="509" t="s">
        <v>985</v>
      </c>
      <c r="K138" s="508">
        <v>18</v>
      </c>
      <c r="L138" s="509" t="s">
        <v>1357</v>
      </c>
      <c r="M138" s="634" t="s">
        <v>508</v>
      </c>
      <c r="N138" s="510" t="s">
        <v>1270</v>
      </c>
      <c r="O138" s="511">
        <v>33313</v>
      </c>
      <c r="P138" s="512">
        <v>30</v>
      </c>
      <c r="Q138" s="513">
        <v>183</v>
      </c>
      <c r="R138" s="514">
        <v>78</v>
      </c>
      <c r="S138" s="64"/>
      <c r="T138" s="297">
        <f t="shared" si="19"/>
        <v>0</v>
      </c>
      <c r="U138" s="518">
        <f t="shared" si="20"/>
        <v>0</v>
      </c>
      <c r="W138" s="1"/>
      <c r="X138" s="65"/>
    </row>
    <row r="139" spans="1:24" s="23" customFormat="1" ht="11.25" customHeight="1" x14ac:dyDescent="0.2">
      <c r="A139" s="765"/>
      <c r="C139" s="769"/>
      <c r="D139" s="60"/>
      <c r="F139" s="503">
        <f t="shared" si="22"/>
        <v>1.3299999999999975E-2</v>
      </c>
      <c r="G139" s="503">
        <f t="shared" si="18"/>
        <v>1.3299999999999975E-2</v>
      </c>
      <c r="H139" s="504" t="str">
        <f t="shared" si="21"/>
        <v>Svájc</v>
      </c>
      <c r="I139" s="509" t="s">
        <v>1432</v>
      </c>
      <c r="J139" s="509" t="s">
        <v>1433</v>
      </c>
      <c r="K139" s="508">
        <v>12</v>
      </c>
      <c r="L139" s="509" t="s">
        <v>704</v>
      </c>
      <c r="M139" s="634" t="s">
        <v>1434</v>
      </c>
      <c r="N139" s="510" t="s">
        <v>867</v>
      </c>
      <c r="O139" s="511">
        <v>34491</v>
      </c>
      <c r="P139" s="512">
        <v>27</v>
      </c>
      <c r="Q139" s="513">
        <v>190</v>
      </c>
      <c r="R139" s="514">
        <v>90</v>
      </c>
      <c r="S139" s="64"/>
      <c r="T139" s="297">
        <f t="shared" si="19"/>
        <v>0</v>
      </c>
      <c r="U139" s="518">
        <f t="shared" si="20"/>
        <v>0</v>
      </c>
      <c r="W139" s="1"/>
      <c r="X139" s="65"/>
    </row>
    <row r="140" spans="1:24" s="23" customFormat="1" ht="11.25" customHeight="1" x14ac:dyDescent="0.2">
      <c r="A140" s="765"/>
      <c r="C140" s="769"/>
      <c r="D140" s="60"/>
      <c r="F140" s="503">
        <f t="shared" si="22"/>
        <v>1.3399999999999974E-2</v>
      </c>
      <c r="G140" s="503">
        <f t="shared" si="18"/>
        <v>1.3399999999999974E-2</v>
      </c>
      <c r="H140" s="504" t="str">
        <f t="shared" si="21"/>
        <v>Svájc</v>
      </c>
      <c r="I140" s="509" t="s">
        <v>1435</v>
      </c>
      <c r="J140" s="509" t="s">
        <v>1436</v>
      </c>
      <c r="K140" s="508">
        <v>24</v>
      </c>
      <c r="L140" s="509" t="s">
        <v>1339</v>
      </c>
      <c r="M140" s="634" t="s">
        <v>1437</v>
      </c>
      <c r="N140" s="510" t="s">
        <v>915</v>
      </c>
      <c r="O140" s="511">
        <v>37276</v>
      </c>
      <c r="P140" s="512">
        <v>19</v>
      </c>
      <c r="Q140" s="513">
        <v>187</v>
      </c>
      <c r="R140" s="514">
        <v>76</v>
      </c>
      <c r="S140" s="64"/>
      <c r="T140" s="297">
        <f t="shared" si="19"/>
        <v>0</v>
      </c>
      <c r="U140" s="518">
        <f t="shared" si="20"/>
        <v>0</v>
      </c>
      <c r="W140" s="1"/>
      <c r="X140" s="65"/>
    </row>
    <row r="141" spans="1:24" s="23" customFormat="1" ht="11.25" customHeight="1" x14ac:dyDescent="0.2">
      <c r="A141" s="765"/>
      <c r="C141" s="769"/>
      <c r="D141" s="60"/>
      <c r="F141" s="503">
        <f t="shared" si="22"/>
        <v>1.3499999999999974E-2</v>
      </c>
      <c r="G141" s="503">
        <f t="shared" si="18"/>
        <v>1.3499999999999974E-2</v>
      </c>
      <c r="H141" s="504" t="str">
        <f t="shared" si="21"/>
        <v>Svájc</v>
      </c>
      <c r="I141" s="509" t="s">
        <v>1438</v>
      </c>
      <c r="J141" s="509" t="s">
        <v>1088</v>
      </c>
      <c r="K141" s="508">
        <v>21</v>
      </c>
      <c r="L141" s="509" t="s">
        <v>704</v>
      </c>
      <c r="M141" s="634" t="s">
        <v>1439</v>
      </c>
      <c r="N141" s="510" t="s">
        <v>502</v>
      </c>
      <c r="O141" s="511">
        <v>34344</v>
      </c>
      <c r="P141" s="512">
        <v>27</v>
      </c>
      <c r="Q141" s="513">
        <v>189</v>
      </c>
      <c r="R141" s="514">
        <v>80</v>
      </c>
      <c r="S141" s="64"/>
      <c r="T141" s="297">
        <f t="shared" si="19"/>
        <v>0</v>
      </c>
      <c r="U141" s="518">
        <f t="shared" si="20"/>
        <v>0</v>
      </c>
      <c r="W141" s="1"/>
      <c r="X141" s="65"/>
    </row>
    <row r="142" spans="1:24" s="23" customFormat="1" ht="11.25" customHeight="1" x14ac:dyDescent="0.2">
      <c r="A142" s="765"/>
      <c r="C142" s="769"/>
      <c r="D142" s="60"/>
      <c r="F142" s="503">
        <f t="shared" si="22"/>
        <v>1.3599999999999973E-2</v>
      </c>
      <c r="G142" s="503">
        <f t="shared" si="18"/>
        <v>1.3599999999999973E-2</v>
      </c>
      <c r="H142" s="504" t="str">
        <f t="shared" si="21"/>
        <v>Svájc</v>
      </c>
      <c r="I142" s="509" t="s">
        <v>856</v>
      </c>
      <c r="J142" s="509" t="s">
        <v>986</v>
      </c>
      <c r="K142" s="508">
        <v>13</v>
      </c>
      <c r="L142" s="509" t="s">
        <v>1339</v>
      </c>
      <c r="M142" s="634" t="s">
        <v>936</v>
      </c>
      <c r="N142" s="510" t="s">
        <v>501</v>
      </c>
      <c r="O142" s="511">
        <v>33841</v>
      </c>
      <c r="P142" s="512">
        <v>28</v>
      </c>
      <c r="Q142" s="513">
        <v>180</v>
      </c>
      <c r="R142" s="514">
        <v>77</v>
      </c>
      <c r="S142" s="64"/>
      <c r="T142" s="297">
        <f t="shared" si="19"/>
        <v>0</v>
      </c>
      <c r="U142" s="518">
        <f t="shared" si="20"/>
        <v>0</v>
      </c>
      <c r="W142" s="1"/>
      <c r="X142" s="65"/>
    </row>
    <row r="143" spans="1:24" s="23" customFormat="1" ht="11.25" customHeight="1" x14ac:dyDescent="0.2">
      <c r="A143" s="765"/>
      <c r="C143" s="769"/>
      <c r="D143" s="60"/>
      <c r="F143" s="503">
        <f t="shared" si="22"/>
        <v>1.3699999999999973E-2</v>
      </c>
      <c r="G143" s="503">
        <f t="shared" si="18"/>
        <v>1.3699999999999973E-2</v>
      </c>
      <c r="H143" s="504" t="str">
        <f t="shared" si="21"/>
        <v>Svájc</v>
      </c>
      <c r="I143" s="509" t="s">
        <v>987</v>
      </c>
      <c r="J143" s="509" t="s">
        <v>988</v>
      </c>
      <c r="K143" s="508">
        <v>22</v>
      </c>
      <c r="L143" s="509" t="s">
        <v>1339</v>
      </c>
      <c r="M143" s="634" t="s">
        <v>910</v>
      </c>
      <c r="N143" s="510" t="s">
        <v>1271</v>
      </c>
      <c r="O143" s="511">
        <v>33592</v>
      </c>
      <c r="P143" s="512">
        <v>29</v>
      </c>
      <c r="Q143" s="513">
        <v>188</v>
      </c>
      <c r="R143" s="514">
        <v>84</v>
      </c>
      <c r="S143" s="64"/>
      <c r="T143" s="297">
        <f t="shared" si="19"/>
        <v>0</v>
      </c>
      <c r="U143" s="518">
        <f t="shared" si="20"/>
        <v>0</v>
      </c>
      <c r="W143" s="1"/>
      <c r="X143" s="65"/>
    </row>
    <row r="144" spans="1:24" s="23" customFormat="1" ht="11.25" customHeight="1" x14ac:dyDescent="0.2">
      <c r="A144" s="765"/>
      <c r="C144" s="769"/>
      <c r="D144" s="60"/>
      <c r="F144" s="503">
        <f t="shared" si="22"/>
        <v>1.3799999999999972E-2</v>
      </c>
      <c r="G144" s="503">
        <f t="shared" si="18"/>
        <v>1.3799999999999972E-2</v>
      </c>
      <c r="H144" s="504" t="str">
        <f t="shared" si="21"/>
        <v>Svájc</v>
      </c>
      <c r="I144" s="509" t="s">
        <v>989</v>
      </c>
      <c r="J144" s="509" t="s">
        <v>990</v>
      </c>
      <c r="K144" s="508">
        <v>9</v>
      </c>
      <c r="L144" s="509" t="s">
        <v>1357</v>
      </c>
      <c r="M144" s="634" t="s">
        <v>942</v>
      </c>
      <c r="N144" s="510" t="s">
        <v>855</v>
      </c>
      <c r="O144" s="511">
        <v>33656</v>
      </c>
      <c r="P144" s="512">
        <v>29</v>
      </c>
      <c r="Q144" s="513">
        <v>189</v>
      </c>
      <c r="R144" s="514">
        <v>85</v>
      </c>
      <c r="S144" s="64"/>
      <c r="T144" s="297">
        <f t="shared" si="19"/>
        <v>0</v>
      </c>
      <c r="U144" s="518">
        <f t="shared" si="20"/>
        <v>0</v>
      </c>
      <c r="W144" s="1"/>
      <c r="X144" s="65"/>
    </row>
    <row r="145" spans="1:24" s="23" customFormat="1" ht="11.25" customHeight="1" x14ac:dyDescent="0.2">
      <c r="A145" s="765"/>
      <c r="C145" s="769"/>
      <c r="D145" s="60"/>
      <c r="F145" s="503">
        <f t="shared" si="22"/>
        <v>1.3899999999999971E-2</v>
      </c>
      <c r="G145" s="503">
        <f t="shared" si="18"/>
        <v>1.3899999999999971E-2</v>
      </c>
      <c r="H145" s="504" t="str">
        <f t="shared" si="21"/>
        <v>Svájc</v>
      </c>
      <c r="I145" s="509" t="s">
        <v>991</v>
      </c>
      <c r="J145" s="509" t="s">
        <v>992</v>
      </c>
      <c r="K145" s="508">
        <v>23</v>
      </c>
      <c r="L145" s="509" t="s">
        <v>1357</v>
      </c>
      <c r="M145" s="634" t="s">
        <v>751</v>
      </c>
      <c r="N145" s="510" t="s">
        <v>1271</v>
      </c>
      <c r="O145" s="511">
        <v>33521</v>
      </c>
      <c r="P145" s="512">
        <v>29</v>
      </c>
      <c r="Q145" s="513">
        <v>169</v>
      </c>
      <c r="R145" s="514">
        <v>72</v>
      </c>
      <c r="S145" s="64"/>
      <c r="T145" s="297">
        <f t="shared" si="19"/>
        <v>0</v>
      </c>
      <c r="U145" s="518">
        <f t="shared" si="20"/>
        <v>0</v>
      </c>
      <c r="W145" s="1"/>
      <c r="X145" s="65"/>
    </row>
    <row r="146" spans="1:24" s="23" customFormat="1" ht="11.25" customHeight="1" x14ac:dyDescent="0.2">
      <c r="A146" s="765"/>
      <c r="C146" s="769"/>
      <c r="D146" s="60"/>
      <c r="F146" s="503">
        <f t="shared" si="22"/>
        <v>1.3999999999999971E-2</v>
      </c>
      <c r="G146" s="503">
        <f t="shared" si="18"/>
        <v>1.3999999999999971E-2</v>
      </c>
      <c r="H146" s="504" t="str">
        <f t="shared" si="21"/>
        <v>Svájc</v>
      </c>
      <c r="I146" s="509" t="s">
        <v>993</v>
      </c>
      <c r="J146" s="509" t="s">
        <v>994</v>
      </c>
      <c r="K146" s="508">
        <v>1</v>
      </c>
      <c r="L146" s="509" t="s">
        <v>704</v>
      </c>
      <c r="M146" s="634" t="s">
        <v>997</v>
      </c>
      <c r="N146" s="510" t="s">
        <v>1270</v>
      </c>
      <c r="O146" s="511">
        <v>32494</v>
      </c>
      <c r="P146" s="512">
        <v>32</v>
      </c>
      <c r="Q146" s="513">
        <v>183</v>
      </c>
      <c r="R146" s="514">
        <v>79</v>
      </c>
      <c r="S146" s="64"/>
      <c r="T146" s="297">
        <f t="shared" si="19"/>
        <v>0</v>
      </c>
      <c r="U146" s="518">
        <f t="shared" si="20"/>
        <v>0</v>
      </c>
      <c r="W146" s="1"/>
      <c r="X146" s="65"/>
    </row>
    <row r="147" spans="1:24" s="23" customFormat="1" ht="11.25" customHeight="1" x14ac:dyDescent="0.2">
      <c r="A147" s="765"/>
      <c r="C147" s="769"/>
      <c r="D147" s="60"/>
      <c r="F147" s="503">
        <f t="shared" si="22"/>
        <v>1.409999999999997E-2</v>
      </c>
      <c r="G147" s="503">
        <f t="shared" si="18"/>
        <v>1.409999999999997E-2</v>
      </c>
      <c r="H147" s="504" t="str">
        <f t="shared" si="21"/>
        <v>Svájc</v>
      </c>
      <c r="I147" s="509" t="s">
        <v>1440</v>
      </c>
      <c r="J147" s="509" t="s">
        <v>1441</v>
      </c>
      <c r="K147" s="508">
        <v>15</v>
      </c>
      <c r="L147" s="509" t="s">
        <v>703</v>
      </c>
      <c r="M147" s="634" t="s">
        <v>939</v>
      </c>
      <c r="N147" s="510" t="s">
        <v>1270</v>
      </c>
      <c r="O147" s="511">
        <v>35467</v>
      </c>
      <c r="P147" s="512">
        <v>24</v>
      </c>
      <c r="Q147" s="513">
        <v>184</v>
      </c>
      <c r="R147" s="514">
        <v>77</v>
      </c>
      <c r="S147" s="64"/>
      <c r="T147" s="297">
        <f t="shared" si="19"/>
        <v>0</v>
      </c>
      <c r="U147" s="518">
        <f t="shared" si="20"/>
        <v>0</v>
      </c>
      <c r="W147" s="1"/>
      <c r="X147" s="65"/>
    </row>
    <row r="148" spans="1:24" s="23" customFormat="1" ht="11.25" customHeight="1" x14ac:dyDescent="0.2">
      <c r="A148" s="765"/>
      <c r="C148" s="769"/>
      <c r="D148" s="60"/>
      <c r="F148" s="503">
        <f t="shared" si="22"/>
        <v>1.419999999999997E-2</v>
      </c>
      <c r="G148" s="503">
        <f t="shared" si="18"/>
        <v>1.419999999999997E-2</v>
      </c>
      <c r="H148" s="504" t="str">
        <f t="shared" si="21"/>
        <v>Svájc</v>
      </c>
      <c r="I148" s="509" t="s">
        <v>1530</v>
      </c>
      <c r="J148" s="509" t="s">
        <v>1531</v>
      </c>
      <c r="K148" s="508">
        <v>11</v>
      </c>
      <c r="L148" s="509" t="s">
        <v>1357</v>
      </c>
      <c r="M148" s="634" t="s">
        <v>912</v>
      </c>
      <c r="N148" s="510" t="s">
        <v>1270</v>
      </c>
      <c r="O148" s="511">
        <v>36012</v>
      </c>
      <c r="P148" s="512">
        <v>22</v>
      </c>
      <c r="Q148" s="513">
        <v>174</v>
      </c>
      <c r="R148" s="514">
        <v>67</v>
      </c>
      <c r="S148" s="64"/>
      <c r="T148" s="297">
        <f t="shared" si="19"/>
        <v>0</v>
      </c>
      <c r="U148" s="518">
        <f t="shared" si="20"/>
        <v>0</v>
      </c>
      <c r="W148" s="1"/>
      <c r="X148" s="65"/>
    </row>
    <row r="149" spans="1:24" s="23" customFormat="1" ht="11.25" customHeight="1" x14ac:dyDescent="0.2">
      <c r="A149" s="765"/>
      <c r="C149" s="769"/>
      <c r="D149" s="60"/>
      <c r="F149" s="503">
        <f t="shared" si="22"/>
        <v>1.4299999999999969E-2</v>
      </c>
      <c r="G149" s="503">
        <f t="shared" si="18"/>
        <v>1.4299999999999969E-2</v>
      </c>
      <c r="H149" s="504" t="str">
        <f t="shared" si="21"/>
        <v>Svájc</v>
      </c>
      <c r="I149" s="509" t="s">
        <v>1532</v>
      </c>
      <c r="J149" s="509" t="s">
        <v>1533</v>
      </c>
      <c r="K149" s="508">
        <v>3</v>
      </c>
      <c r="L149" s="509" t="s">
        <v>1339</v>
      </c>
      <c r="M149" s="634" t="s">
        <v>1424</v>
      </c>
      <c r="N149" s="510" t="s">
        <v>915</v>
      </c>
      <c r="O149" s="511">
        <v>34033</v>
      </c>
      <c r="P149" s="512">
        <v>28</v>
      </c>
      <c r="Q149" s="513">
        <v>183</v>
      </c>
      <c r="R149" s="514">
        <v>81</v>
      </c>
      <c r="S149" s="64"/>
      <c r="T149" s="297">
        <f t="shared" si="19"/>
        <v>0</v>
      </c>
      <c r="U149" s="518">
        <f t="shared" si="20"/>
        <v>0</v>
      </c>
      <c r="W149" s="640"/>
      <c r="X149" s="65"/>
    </row>
    <row r="150" spans="1:24" s="23" customFormat="1" ht="11.25" customHeight="1" x14ac:dyDescent="0.2">
      <c r="A150" s="765"/>
      <c r="C150" s="769"/>
      <c r="D150" s="60"/>
      <c r="F150" s="503">
        <f t="shared" si="22"/>
        <v>1.4399999999999968E-2</v>
      </c>
      <c r="G150" s="503">
        <f t="shared" si="18"/>
        <v>1.4399999999999968E-2</v>
      </c>
      <c r="H150" s="504" t="str">
        <f t="shared" si="21"/>
        <v>Svájc</v>
      </c>
      <c r="I150" s="509" t="s">
        <v>1534</v>
      </c>
      <c r="J150" s="509" t="s">
        <v>1535</v>
      </c>
      <c r="K150" s="508">
        <v>10</v>
      </c>
      <c r="L150" s="509" t="s">
        <v>703</v>
      </c>
      <c r="M150" s="634" t="s">
        <v>862</v>
      </c>
      <c r="N150" s="510" t="s">
        <v>1271</v>
      </c>
      <c r="O150" s="511">
        <v>33874</v>
      </c>
      <c r="P150" s="512">
        <v>28</v>
      </c>
      <c r="Q150" s="513">
        <v>186</v>
      </c>
      <c r="R150" s="514">
        <v>80</v>
      </c>
      <c r="S150" s="64"/>
      <c r="T150" s="297">
        <f t="shared" si="19"/>
        <v>0</v>
      </c>
      <c r="U150" s="518">
        <f t="shared" si="20"/>
        <v>0</v>
      </c>
      <c r="W150" s="640"/>
      <c r="X150" s="65"/>
    </row>
    <row r="151" spans="1:24" s="23" customFormat="1" ht="11.25" customHeight="1" x14ac:dyDescent="0.2">
      <c r="A151" s="765"/>
      <c r="C151" s="769"/>
      <c r="D151" s="60"/>
      <c r="F151" s="503">
        <f t="shared" si="22"/>
        <v>1.4499999999999968E-2</v>
      </c>
      <c r="G151" s="503">
        <f t="shared" si="18"/>
        <v>1.4499999999999968E-2</v>
      </c>
      <c r="H151" s="504" t="str">
        <f t="shared" si="21"/>
        <v>Svájc</v>
      </c>
      <c r="I151" s="509" t="s">
        <v>1536</v>
      </c>
      <c r="J151" s="509" t="s">
        <v>1537</v>
      </c>
      <c r="K151" s="508">
        <v>6</v>
      </c>
      <c r="L151" s="509" t="s">
        <v>703</v>
      </c>
      <c r="M151" s="634" t="s">
        <v>997</v>
      </c>
      <c r="N151" s="510" t="s">
        <v>1270</v>
      </c>
      <c r="O151" s="511">
        <v>35389</v>
      </c>
      <c r="P151" s="512">
        <v>24</v>
      </c>
      <c r="Q151" s="513">
        <v>194</v>
      </c>
      <c r="R151" s="514">
        <v>81</v>
      </c>
      <c r="S151" s="64"/>
      <c r="T151" s="297">
        <f t="shared" si="19"/>
        <v>0</v>
      </c>
      <c r="U151" s="518">
        <f t="shared" si="20"/>
        <v>0</v>
      </c>
      <c r="W151" s="640"/>
      <c r="X151" s="65"/>
    </row>
    <row r="152" spans="1:24" s="23" customFormat="1" ht="11.25" customHeight="1" x14ac:dyDescent="0.2">
      <c r="A152" s="765"/>
      <c r="C152" s="769"/>
      <c r="D152" s="60"/>
      <c r="F152" s="503">
        <f t="shared" si="22"/>
        <v>1.4599999999999967E-2</v>
      </c>
      <c r="G152" s="503">
        <f t="shared" si="18"/>
        <v>1.4599999999999967E-2</v>
      </c>
      <c r="H152" s="504" t="str">
        <f t="shared" si="21"/>
        <v>Svájc</v>
      </c>
      <c r="I152" s="555" t="s">
        <v>1538</v>
      </c>
      <c r="J152" s="555" t="s">
        <v>949</v>
      </c>
      <c r="K152" s="554">
        <v>14</v>
      </c>
      <c r="L152" s="555" t="s">
        <v>703</v>
      </c>
      <c r="M152" s="635" t="s">
        <v>939</v>
      </c>
      <c r="N152" s="556" t="s">
        <v>1270</v>
      </c>
      <c r="O152" s="557">
        <v>33467</v>
      </c>
      <c r="P152" s="558">
        <v>29</v>
      </c>
      <c r="Q152" s="559">
        <v>182</v>
      </c>
      <c r="R152" s="560">
        <v>79</v>
      </c>
      <c r="S152" s="64"/>
      <c r="T152" s="297">
        <f t="shared" si="19"/>
        <v>0</v>
      </c>
      <c r="U152" s="518">
        <f t="shared" si="20"/>
        <v>0</v>
      </c>
      <c r="W152" s="640"/>
      <c r="X152" s="65"/>
    </row>
    <row r="153" spans="1:24" s="23" customFormat="1" ht="9.75" hidden="1" customHeight="1" x14ac:dyDescent="0.2">
      <c r="A153" s="765"/>
      <c r="C153" s="769"/>
      <c r="D153" s="60"/>
      <c r="F153" s="503">
        <f t="shared" si="22"/>
        <v>1.4699999999999967E-2</v>
      </c>
      <c r="G153" s="503">
        <f t="shared" si="18"/>
        <v>0</v>
      </c>
      <c r="H153" s="504" t="str">
        <f t="shared" si="21"/>
        <v>Svájc</v>
      </c>
      <c r="I153" s="61"/>
      <c r="J153" s="61"/>
      <c r="K153" s="295"/>
      <c r="L153" s="61"/>
      <c r="M153" s="633"/>
      <c r="N153" s="256"/>
      <c r="O153" s="62"/>
      <c r="P153" s="253"/>
      <c r="Q153" s="63"/>
      <c r="R153" s="252"/>
      <c r="S153" s="64"/>
      <c r="T153" s="297" t="str">
        <f t="shared" si="19"/>
        <v/>
      </c>
      <c r="U153" s="518" t="str">
        <f t="shared" si="20"/>
        <v/>
      </c>
      <c r="W153" s="640"/>
      <c r="X153" s="65"/>
    </row>
    <row r="154" spans="1:24" s="23" customFormat="1" ht="9.75" hidden="1" customHeight="1" x14ac:dyDescent="0.2">
      <c r="A154" s="765"/>
      <c r="C154" s="769"/>
      <c r="D154" s="60"/>
      <c r="F154" s="503">
        <f t="shared" si="22"/>
        <v>1.4799999999999966E-2</v>
      </c>
      <c r="G154" s="503">
        <f t="shared" si="18"/>
        <v>0</v>
      </c>
      <c r="H154" s="504" t="str">
        <f t="shared" si="21"/>
        <v>Svájc</v>
      </c>
      <c r="I154" s="61"/>
      <c r="J154" s="61"/>
      <c r="K154" s="295"/>
      <c r="L154" s="61"/>
      <c r="M154" s="633"/>
      <c r="N154" s="256"/>
      <c r="O154" s="62"/>
      <c r="P154" s="253"/>
      <c r="Q154" s="63"/>
      <c r="R154" s="252"/>
      <c r="S154" s="64"/>
      <c r="T154" s="297" t="str">
        <f t="shared" si="19"/>
        <v/>
      </c>
      <c r="U154" s="518" t="str">
        <f t="shared" si="20"/>
        <v/>
      </c>
      <c r="W154" s="640"/>
      <c r="X154" s="65"/>
    </row>
    <row r="155" spans="1:24" s="23" customFormat="1" ht="9.75" hidden="1" customHeight="1" x14ac:dyDescent="0.2">
      <c r="A155" s="765"/>
      <c r="C155" s="769"/>
      <c r="D155" s="60"/>
      <c r="F155" s="503">
        <f t="shared" si="22"/>
        <v>1.4899999999999965E-2</v>
      </c>
      <c r="G155" s="503">
        <f t="shared" si="18"/>
        <v>0</v>
      </c>
      <c r="H155" s="504" t="str">
        <f t="shared" si="21"/>
        <v>Svájc</v>
      </c>
      <c r="I155" s="61"/>
      <c r="J155" s="61"/>
      <c r="K155" s="295"/>
      <c r="L155" s="61"/>
      <c r="M155" s="633"/>
      <c r="N155" s="256"/>
      <c r="O155" s="62"/>
      <c r="P155" s="253"/>
      <c r="Q155" s="63"/>
      <c r="R155" s="252"/>
      <c r="S155" s="64"/>
      <c r="T155" s="297" t="str">
        <f t="shared" si="19"/>
        <v/>
      </c>
      <c r="U155" s="518" t="str">
        <f t="shared" si="20"/>
        <v/>
      </c>
      <c r="W155" s="640"/>
      <c r="X155" s="65"/>
    </row>
    <row r="156" spans="1:24" s="23" customFormat="1" ht="9.75" hidden="1" customHeight="1" x14ac:dyDescent="0.2">
      <c r="A156" s="765"/>
      <c r="C156" s="769"/>
      <c r="D156" s="60"/>
      <c r="F156" s="503">
        <f t="shared" si="22"/>
        <v>1.4999999999999965E-2</v>
      </c>
      <c r="G156" s="503">
        <f t="shared" si="18"/>
        <v>0</v>
      </c>
      <c r="H156" s="504" t="str">
        <f t="shared" si="21"/>
        <v>Svájc</v>
      </c>
      <c r="I156" s="61"/>
      <c r="J156" s="61"/>
      <c r="K156" s="295"/>
      <c r="L156" s="61"/>
      <c r="M156" s="633"/>
      <c r="N156" s="256"/>
      <c r="O156" s="62"/>
      <c r="P156" s="253"/>
      <c r="Q156" s="63"/>
      <c r="R156" s="252"/>
      <c r="S156" s="64"/>
      <c r="T156" s="297" t="str">
        <f t="shared" si="19"/>
        <v/>
      </c>
      <c r="U156" s="518" t="str">
        <f t="shared" si="20"/>
        <v/>
      </c>
      <c r="W156" s="640"/>
      <c r="X156" s="65"/>
    </row>
    <row r="157" spans="1:24" s="23" customFormat="1" ht="4.5" customHeight="1" x14ac:dyDescent="0.25">
      <c r="A157" s="765"/>
      <c r="C157" s="769"/>
      <c r="D157" s="60"/>
      <c r="F157" s="503">
        <f t="shared" si="22"/>
        <v>1.5099999999999964E-2</v>
      </c>
      <c r="G157" s="503"/>
      <c r="H157" s="505"/>
      <c r="I157" s="67"/>
      <c r="J157" s="67"/>
      <c r="K157" s="22"/>
      <c r="L157" s="67"/>
      <c r="M157" s="22"/>
      <c r="N157" s="68"/>
      <c r="O157" s="67"/>
      <c r="P157" s="69"/>
      <c r="Q157" s="70"/>
      <c r="R157" s="71"/>
      <c r="S157" s="71"/>
      <c r="T157" s="298"/>
      <c r="U157" s="299"/>
      <c r="W157" s="641"/>
      <c r="X157" s="67"/>
    </row>
    <row r="158" spans="1:24" s="21" customFormat="1" ht="9.75" customHeight="1" x14ac:dyDescent="0.2">
      <c r="A158" s="765"/>
      <c r="C158" s="769"/>
      <c r="D158" s="60"/>
      <c r="F158" s="503">
        <f t="shared" si="22"/>
        <v>1.5199999999999964E-2</v>
      </c>
      <c r="G158" s="503"/>
      <c r="H158" s="303"/>
      <c r="I158" s="74" t="s">
        <v>542</v>
      </c>
      <c r="J158" s="75" t="s">
        <v>1020</v>
      </c>
      <c r="K158" s="75"/>
      <c r="L158" s="75"/>
      <c r="M158" s="636"/>
      <c r="N158" s="76"/>
      <c r="O158" s="74" t="s">
        <v>495</v>
      </c>
      <c r="P158" s="254">
        <f>AVERAGE(P127:P156)</f>
        <v>26.53846153846154</v>
      </c>
      <c r="Q158" s="77">
        <f>AVERAGE(Q127:Q156)</f>
        <v>183.88461538461539</v>
      </c>
      <c r="R158" s="255">
        <f>AVERAGE(R127:R156)</f>
        <v>79.230769230769226</v>
      </c>
      <c r="S158" s="78"/>
      <c r="T158" s="297">
        <f>SUM(T127:T156)</f>
        <v>0</v>
      </c>
      <c r="U158" s="518">
        <f>SUM(U127:U156)</f>
        <v>0</v>
      </c>
      <c r="W158" s="642" t="s">
        <v>879</v>
      </c>
      <c r="X158" s="79"/>
    </row>
    <row r="159" spans="1:24" ht="9.75" customHeight="1" x14ac:dyDescent="0.3">
      <c r="A159" s="765"/>
      <c r="F159" s="503">
        <f t="shared" si="22"/>
        <v>1.5299999999999963E-2</v>
      </c>
      <c r="G159" s="503"/>
    </row>
    <row r="160" spans="1:24" ht="9.75" customHeight="1" x14ac:dyDescent="0.3">
      <c r="A160" s="765"/>
      <c r="F160" s="503">
        <f t="shared" si="22"/>
        <v>1.5399999999999962E-2</v>
      </c>
      <c r="G160" s="503"/>
    </row>
    <row r="161" spans="1:24" ht="9.75" customHeight="1" x14ac:dyDescent="0.3">
      <c r="A161" s="765"/>
      <c r="F161" s="503">
        <f t="shared" si="22"/>
        <v>1.5499999999999962E-2</v>
      </c>
      <c r="G161" s="503"/>
    </row>
    <row r="162" spans="1:24" ht="9.75" customHeight="1" x14ac:dyDescent="0.3">
      <c r="A162" s="765"/>
      <c r="F162" s="503">
        <f t="shared" si="22"/>
        <v>1.5599999999999961E-2</v>
      </c>
    </row>
    <row r="163" spans="1:24" ht="9.75" customHeight="1" x14ac:dyDescent="0.3">
      <c r="A163" s="765"/>
      <c r="F163" s="503">
        <f t="shared" si="22"/>
        <v>1.5699999999999961E-2</v>
      </c>
    </row>
    <row r="164" spans="1:24" ht="9.75" customHeight="1" x14ac:dyDescent="0.3">
      <c r="A164" s="765"/>
      <c r="F164" s="503">
        <f t="shared" si="22"/>
        <v>1.579999999999996E-2</v>
      </c>
    </row>
    <row r="165" spans="1:24" ht="9.75" customHeight="1" x14ac:dyDescent="0.3">
      <c r="A165" s="765"/>
      <c r="F165" s="503">
        <f t="shared" si="22"/>
        <v>1.5899999999999959E-2</v>
      </c>
    </row>
    <row r="166" spans="1:24" s="23" customFormat="1" ht="5.25" customHeight="1" x14ac:dyDescent="0.2">
      <c r="A166" s="765"/>
      <c r="C166" s="21"/>
      <c r="F166" s="503">
        <f t="shared" si="22"/>
        <v>1.5999999999999959E-2</v>
      </c>
      <c r="G166" s="506"/>
      <c r="H166" s="502"/>
      <c r="I166" s="55"/>
      <c r="J166" s="55"/>
      <c r="K166" s="56"/>
      <c r="L166" s="55"/>
      <c r="M166" s="56"/>
      <c r="N166" s="57"/>
      <c r="O166" s="57"/>
      <c r="P166" s="55"/>
      <c r="Q166" s="57"/>
      <c r="R166" s="57"/>
      <c r="S166" s="57"/>
      <c r="T166" s="58"/>
      <c r="U166" s="59"/>
      <c r="W166" s="639"/>
      <c r="X166" s="55"/>
    </row>
    <row r="167" spans="1:24" s="23" customFormat="1" ht="11.25" customHeight="1" x14ac:dyDescent="0.2">
      <c r="A167" s="765"/>
      <c r="C167" s="769" t="str">
        <f>UPPER(H167)&amp;"    ."</f>
        <v>DÁNIA    .</v>
      </c>
      <c r="D167" s="60"/>
      <c r="F167" s="503">
        <f t="shared" si="22"/>
        <v>1.6099999999999958E-2</v>
      </c>
      <c r="G167" s="503">
        <f t="shared" ref="G167:G196" si="23">IF(I167="",0,T167+F167)</f>
        <v>1.6099999999999958E-2</v>
      </c>
      <c r="H167" s="504" t="str">
        <f>Adatok!B2</f>
        <v>Dánia</v>
      </c>
      <c r="I167" s="61" t="s">
        <v>1539</v>
      </c>
      <c r="J167" s="61" t="s">
        <v>1442</v>
      </c>
      <c r="K167" s="295">
        <v>2</v>
      </c>
      <c r="L167" s="61" t="s">
        <v>1339</v>
      </c>
      <c r="M167" s="633" t="s">
        <v>933</v>
      </c>
      <c r="N167" s="256" t="s">
        <v>1271</v>
      </c>
      <c r="O167" s="62">
        <v>35216</v>
      </c>
      <c r="P167" s="253">
        <v>25</v>
      </c>
      <c r="Q167" s="63">
        <v>192</v>
      </c>
      <c r="R167" s="252">
        <v>87</v>
      </c>
      <c r="S167" s="64"/>
      <c r="T167" s="297">
        <f t="shared" ref="T167:T196" si="24">IF(I167="","",COUNTIF(nevek.s,CONCATENATE(H167,I167)))</f>
        <v>0</v>
      </c>
      <c r="U167" s="518">
        <f t="shared" ref="U167:U196" si="25">IF(I167="","",COUNTIF(nevek.s,CONCATENATE("ö",H167,I167)))</f>
        <v>0</v>
      </c>
      <c r="W167" s="3"/>
      <c r="X167" s="65"/>
    </row>
    <row r="168" spans="1:24" s="23" customFormat="1" ht="11.25" customHeight="1" x14ac:dyDescent="0.2">
      <c r="A168" s="765"/>
      <c r="C168" s="769"/>
      <c r="D168" s="60"/>
      <c r="F168" s="503">
        <f t="shared" si="22"/>
        <v>1.6199999999999957E-2</v>
      </c>
      <c r="G168" s="503">
        <f t="shared" si="23"/>
        <v>1.6199999999999957E-2</v>
      </c>
      <c r="H168" s="504" t="str">
        <f>H167</f>
        <v>Dánia</v>
      </c>
      <c r="I168" s="509" t="s">
        <v>1540</v>
      </c>
      <c r="J168" s="509" t="s">
        <v>1541</v>
      </c>
      <c r="K168" s="508">
        <v>26</v>
      </c>
      <c r="L168" s="509" t="s">
        <v>1339</v>
      </c>
      <c r="M168" s="634" t="s">
        <v>945</v>
      </c>
      <c r="N168" s="510" t="s">
        <v>946</v>
      </c>
      <c r="O168" s="511">
        <v>33650</v>
      </c>
      <c r="P168" s="512">
        <v>29</v>
      </c>
      <c r="Q168" s="513">
        <v>186</v>
      </c>
      <c r="R168" s="514">
        <v>75</v>
      </c>
      <c r="S168" s="64"/>
      <c r="T168" s="297">
        <f t="shared" si="24"/>
        <v>0</v>
      </c>
      <c r="U168" s="518">
        <f t="shared" si="25"/>
        <v>0</v>
      </c>
      <c r="W168" s="1"/>
      <c r="X168" s="65"/>
    </row>
    <row r="169" spans="1:24" s="23" customFormat="1" ht="11.25" customHeight="1" x14ac:dyDescent="0.2">
      <c r="A169" s="765"/>
      <c r="C169" s="769"/>
      <c r="D169" s="60"/>
      <c r="F169" s="503">
        <f t="shared" si="22"/>
        <v>1.6299999999999957E-2</v>
      </c>
      <c r="G169" s="503">
        <f t="shared" si="23"/>
        <v>1.6299999999999957E-2</v>
      </c>
      <c r="H169" s="504" t="str">
        <f t="shared" ref="H169:H196" si="26">H168</f>
        <v>Dánia</v>
      </c>
      <c r="I169" s="509" t="s">
        <v>1443</v>
      </c>
      <c r="J169" s="509" t="s">
        <v>1052</v>
      </c>
      <c r="K169" s="508">
        <v>9</v>
      </c>
      <c r="L169" s="509" t="s">
        <v>1357</v>
      </c>
      <c r="M169" s="634" t="s">
        <v>750</v>
      </c>
      <c r="N169" s="510" t="s">
        <v>500</v>
      </c>
      <c r="O169" s="511">
        <v>33394</v>
      </c>
      <c r="P169" s="512">
        <v>30</v>
      </c>
      <c r="Q169" s="513">
        <v>177</v>
      </c>
      <c r="R169" s="514">
        <v>73</v>
      </c>
      <c r="S169" s="64"/>
      <c r="T169" s="297">
        <f t="shared" si="24"/>
        <v>0</v>
      </c>
      <c r="U169" s="518">
        <f t="shared" si="25"/>
        <v>0</v>
      </c>
      <c r="W169" s="1"/>
      <c r="X169" s="65"/>
    </row>
    <row r="170" spans="1:24" s="23" customFormat="1" ht="11.25" customHeight="1" x14ac:dyDescent="0.2">
      <c r="A170" s="765"/>
      <c r="C170" s="769"/>
      <c r="D170" s="60"/>
      <c r="F170" s="503">
        <f t="shared" si="22"/>
        <v>1.6399999999999956E-2</v>
      </c>
      <c r="G170" s="503">
        <f t="shared" si="23"/>
        <v>1.6399999999999956E-2</v>
      </c>
      <c r="H170" s="504" t="str">
        <f t="shared" si="26"/>
        <v>Dánia</v>
      </c>
      <c r="I170" s="509" t="s">
        <v>1444</v>
      </c>
      <c r="J170" s="509" t="s">
        <v>1165</v>
      </c>
      <c r="K170" s="508">
        <v>6</v>
      </c>
      <c r="L170" s="509" t="s">
        <v>1339</v>
      </c>
      <c r="M170" s="634" t="s">
        <v>794</v>
      </c>
      <c r="N170" s="510" t="s">
        <v>1271</v>
      </c>
      <c r="O170" s="511">
        <v>35165</v>
      </c>
      <c r="P170" s="512">
        <v>25</v>
      </c>
      <c r="Q170" s="513">
        <v>187</v>
      </c>
      <c r="R170" s="514">
        <v>82</v>
      </c>
      <c r="S170" s="64"/>
      <c r="T170" s="297">
        <f t="shared" si="24"/>
        <v>0</v>
      </c>
      <c r="U170" s="518">
        <f t="shared" si="25"/>
        <v>0</v>
      </c>
      <c r="W170" s="1"/>
      <c r="X170" s="65"/>
    </row>
    <row r="171" spans="1:24" s="23" customFormat="1" ht="11.25" customHeight="1" x14ac:dyDescent="0.2">
      <c r="A171" s="765"/>
      <c r="C171" s="769"/>
      <c r="D171" s="60"/>
      <c r="F171" s="503">
        <f t="shared" si="22"/>
        <v>1.6499999999999956E-2</v>
      </c>
      <c r="G171" s="503">
        <f t="shared" si="23"/>
        <v>1.6499999999999956E-2</v>
      </c>
      <c r="H171" s="504" t="str">
        <f t="shared" si="26"/>
        <v>Dánia</v>
      </c>
      <c r="I171" s="509" t="s">
        <v>1445</v>
      </c>
      <c r="J171" s="509" t="s">
        <v>1446</v>
      </c>
      <c r="K171" s="508">
        <v>25</v>
      </c>
      <c r="L171" s="509" t="s">
        <v>703</v>
      </c>
      <c r="M171" s="634" t="s">
        <v>1167</v>
      </c>
      <c r="N171" s="510" t="s">
        <v>914</v>
      </c>
      <c r="O171" s="511">
        <v>33032</v>
      </c>
      <c r="P171" s="512">
        <v>31</v>
      </c>
      <c r="Q171" s="513">
        <v>175</v>
      </c>
      <c r="R171" s="514">
        <v>68</v>
      </c>
      <c r="S171" s="64"/>
      <c r="T171" s="297">
        <f t="shared" si="24"/>
        <v>0</v>
      </c>
      <c r="U171" s="518">
        <f t="shared" si="25"/>
        <v>0</v>
      </c>
      <c r="W171" s="1"/>
      <c r="X171" s="65"/>
    </row>
    <row r="172" spans="1:24" s="23" customFormat="1" ht="11.25" customHeight="1" x14ac:dyDescent="0.2">
      <c r="A172" s="765"/>
      <c r="C172" s="769"/>
      <c r="D172" s="60"/>
      <c r="F172" s="503">
        <f t="shared" si="22"/>
        <v>1.6599999999999955E-2</v>
      </c>
      <c r="G172" s="503">
        <f t="shared" si="23"/>
        <v>1.6599999999999955E-2</v>
      </c>
      <c r="H172" s="504" t="str">
        <f t="shared" si="26"/>
        <v>Dánia</v>
      </c>
      <c r="I172" s="509" t="s">
        <v>1447</v>
      </c>
      <c r="J172" s="509" t="s">
        <v>1165</v>
      </c>
      <c r="K172" s="508">
        <v>21</v>
      </c>
      <c r="L172" s="509" t="s">
        <v>1357</v>
      </c>
      <c r="M172" s="634" t="s">
        <v>1448</v>
      </c>
      <c r="N172" s="510" t="s">
        <v>501</v>
      </c>
      <c r="O172" s="511">
        <v>34044</v>
      </c>
      <c r="P172" s="512">
        <v>28</v>
      </c>
      <c r="Q172" s="513">
        <v>193</v>
      </c>
      <c r="R172" s="514">
        <v>91</v>
      </c>
      <c r="S172" s="64"/>
      <c r="T172" s="297">
        <f t="shared" si="24"/>
        <v>0</v>
      </c>
      <c r="U172" s="518">
        <f t="shared" si="25"/>
        <v>0</v>
      </c>
      <c r="W172" s="1"/>
      <c r="X172" s="65"/>
    </row>
    <row r="173" spans="1:24" s="23" customFormat="1" ht="11.25" customHeight="1" x14ac:dyDescent="0.2">
      <c r="A173" s="765"/>
      <c r="C173" s="769"/>
      <c r="D173" s="60"/>
      <c r="F173" s="503">
        <f t="shared" si="22"/>
        <v>1.6699999999999954E-2</v>
      </c>
      <c r="G173" s="503">
        <f t="shared" si="23"/>
        <v>1.6699999999999954E-2</v>
      </c>
      <c r="H173" s="504" t="str">
        <f t="shared" si="26"/>
        <v>Dánia</v>
      </c>
      <c r="I173" s="509" t="s">
        <v>1542</v>
      </c>
      <c r="J173" s="509" t="s">
        <v>1543</v>
      </c>
      <c r="K173" s="508">
        <v>14</v>
      </c>
      <c r="L173" s="509" t="s">
        <v>1357</v>
      </c>
      <c r="M173" s="634" t="s">
        <v>1153</v>
      </c>
      <c r="N173" s="510" t="s">
        <v>501</v>
      </c>
      <c r="O173" s="511">
        <v>36710</v>
      </c>
      <c r="P173" s="512">
        <v>20</v>
      </c>
      <c r="Q173" s="513">
        <v>180</v>
      </c>
      <c r="R173" s="514">
        <v>71</v>
      </c>
      <c r="S173" s="64"/>
      <c r="T173" s="297">
        <f t="shared" si="24"/>
        <v>0</v>
      </c>
      <c r="U173" s="518">
        <f t="shared" si="25"/>
        <v>0</v>
      </c>
      <c r="W173" s="1"/>
      <c r="X173" s="65"/>
    </row>
    <row r="174" spans="1:24" s="23" customFormat="1" ht="11.25" customHeight="1" x14ac:dyDescent="0.2">
      <c r="A174" s="765"/>
      <c r="C174" s="769"/>
      <c r="D174" s="60"/>
      <c r="E174" s="66"/>
      <c r="F174" s="503">
        <f t="shared" si="22"/>
        <v>1.6799999999999954E-2</v>
      </c>
      <c r="G174" s="503">
        <f t="shared" si="23"/>
        <v>1.6799999999999954E-2</v>
      </c>
      <c r="H174" s="504" t="str">
        <f t="shared" si="26"/>
        <v>Dánia</v>
      </c>
      <c r="I174" s="509" t="s">
        <v>1450</v>
      </c>
      <c r="J174" s="509" t="s">
        <v>1089</v>
      </c>
      <c r="K174" s="508">
        <v>8</v>
      </c>
      <c r="L174" s="509" t="s">
        <v>703</v>
      </c>
      <c r="M174" s="634" t="s">
        <v>926</v>
      </c>
      <c r="N174" s="510" t="s">
        <v>1270</v>
      </c>
      <c r="O174" s="511">
        <v>33484</v>
      </c>
      <c r="P174" s="512">
        <v>29</v>
      </c>
      <c r="Q174" s="513">
        <v>182</v>
      </c>
      <c r="R174" s="514">
        <v>79</v>
      </c>
      <c r="S174" s="64"/>
      <c r="T174" s="297">
        <f t="shared" si="24"/>
        <v>0</v>
      </c>
      <c r="U174" s="518">
        <f t="shared" si="25"/>
        <v>0</v>
      </c>
      <c r="W174" s="1"/>
      <c r="X174" s="65"/>
    </row>
    <row r="175" spans="1:24" s="23" customFormat="1" ht="11.25" customHeight="1" x14ac:dyDescent="0.2">
      <c r="A175" s="765"/>
      <c r="C175" s="769"/>
      <c r="D175" s="60"/>
      <c r="F175" s="503">
        <f t="shared" si="22"/>
        <v>1.6899999999999953E-2</v>
      </c>
      <c r="G175" s="503">
        <f t="shared" si="23"/>
        <v>1.6899999999999953E-2</v>
      </c>
      <c r="H175" s="504" t="str">
        <f t="shared" si="26"/>
        <v>Dánia</v>
      </c>
      <c r="I175" s="509" t="s">
        <v>1451</v>
      </c>
      <c r="J175" s="509" t="s">
        <v>1452</v>
      </c>
      <c r="K175" s="508">
        <v>12</v>
      </c>
      <c r="L175" s="509" t="s">
        <v>1357</v>
      </c>
      <c r="M175" s="634" t="s">
        <v>1453</v>
      </c>
      <c r="N175" s="510" t="s">
        <v>502</v>
      </c>
      <c r="O175" s="511">
        <v>35709</v>
      </c>
      <c r="P175" s="512">
        <v>23</v>
      </c>
      <c r="Q175" s="513">
        <v>187</v>
      </c>
      <c r="R175" s="514">
        <v>82</v>
      </c>
      <c r="S175" s="64"/>
      <c r="T175" s="297">
        <f t="shared" si="24"/>
        <v>0</v>
      </c>
      <c r="U175" s="518">
        <f t="shared" si="25"/>
        <v>0</v>
      </c>
      <c r="W175" s="1"/>
      <c r="X175" s="65"/>
    </row>
    <row r="176" spans="1:24" s="23" customFormat="1" ht="11.25" customHeight="1" x14ac:dyDescent="0.2">
      <c r="A176" s="765"/>
      <c r="C176" s="769"/>
      <c r="D176" s="60"/>
      <c r="F176" s="503">
        <f t="shared" si="22"/>
        <v>1.6999999999999953E-2</v>
      </c>
      <c r="G176" s="503">
        <f t="shared" si="23"/>
        <v>1.6999999999999953E-2</v>
      </c>
      <c r="H176" s="504" t="str">
        <f t="shared" si="26"/>
        <v>Dánia</v>
      </c>
      <c r="I176" s="509" t="s">
        <v>1454</v>
      </c>
      <c r="J176" s="509" t="s">
        <v>943</v>
      </c>
      <c r="K176" s="508">
        <v>10</v>
      </c>
      <c r="L176" s="509" t="s">
        <v>703</v>
      </c>
      <c r="M176" s="634" t="s">
        <v>815</v>
      </c>
      <c r="N176" s="510" t="s">
        <v>501</v>
      </c>
      <c r="O176" s="511">
        <v>33648</v>
      </c>
      <c r="P176" s="512">
        <v>29</v>
      </c>
      <c r="Q176" s="513">
        <v>180</v>
      </c>
      <c r="R176" s="514">
        <v>71</v>
      </c>
      <c r="S176" s="64"/>
      <c r="T176" s="297">
        <f t="shared" si="24"/>
        <v>0</v>
      </c>
      <c r="U176" s="518">
        <f t="shared" si="25"/>
        <v>0</v>
      </c>
      <c r="W176" s="1"/>
      <c r="X176" s="65"/>
    </row>
    <row r="177" spans="1:24" s="23" customFormat="1" ht="11.25" customHeight="1" x14ac:dyDescent="0.2">
      <c r="A177" s="765"/>
      <c r="C177" s="769"/>
      <c r="D177" s="60"/>
      <c r="F177" s="503">
        <f t="shared" si="22"/>
        <v>1.7099999999999952E-2</v>
      </c>
      <c r="G177" s="503">
        <f t="shared" si="23"/>
        <v>1.7099999999999952E-2</v>
      </c>
      <c r="H177" s="504" t="str">
        <f t="shared" si="26"/>
        <v>Dánia</v>
      </c>
      <c r="I177" s="509" t="s">
        <v>1456</v>
      </c>
      <c r="J177" s="509" t="s">
        <v>1457</v>
      </c>
      <c r="K177" s="508">
        <v>23</v>
      </c>
      <c r="L177" s="509" t="s">
        <v>703</v>
      </c>
      <c r="M177" s="634" t="s">
        <v>816</v>
      </c>
      <c r="N177" s="510" t="s">
        <v>1271</v>
      </c>
      <c r="O177" s="511">
        <v>34916</v>
      </c>
      <c r="P177" s="512">
        <v>25</v>
      </c>
      <c r="Q177" s="513">
        <v>185</v>
      </c>
      <c r="R177" s="514">
        <v>84</v>
      </c>
      <c r="S177" s="64"/>
      <c r="T177" s="297">
        <f t="shared" si="24"/>
        <v>0</v>
      </c>
      <c r="U177" s="518">
        <f t="shared" si="25"/>
        <v>0</v>
      </c>
      <c r="W177" s="1"/>
      <c r="X177" s="65"/>
    </row>
    <row r="178" spans="1:24" s="23" customFormat="1" ht="11.25" customHeight="1" x14ac:dyDescent="0.2">
      <c r="A178" s="765"/>
      <c r="C178" s="769"/>
      <c r="D178" s="60"/>
      <c r="F178" s="503">
        <f t="shared" si="22"/>
        <v>1.7199999999999951E-2</v>
      </c>
      <c r="G178" s="503">
        <f t="shared" si="23"/>
        <v>1.7199999999999951E-2</v>
      </c>
      <c r="H178" s="504" t="str">
        <f t="shared" si="26"/>
        <v>Dánia</v>
      </c>
      <c r="I178" s="509" t="s">
        <v>1476</v>
      </c>
      <c r="J178" s="509" t="s">
        <v>1544</v>
      </c>
      <c r="K178" s="508">
        <v>24</v>
      </c>
      <c r="L178" s="509" t="s">
        <v>703</v>
      </c>
      <c r="M178" s="634" t="s">
        <v>1449</v>
      </c>
      <c r="N178" s="510" t="s">
        <v>1271</v>
      </c>
      <c r="O178" s="511">
        <v>35065</v>
      </c>
      <c r="P178" s="512">
        <v>25</v>
      </c>
      <c r="Q178" s="513">
        <v>180</v>
      </c>
      <c r="R178" s="514">
        <v>68</v>
      </c>
      <c r="S178" s="64"/>
      <c r="T178" s="297">
        <f t="shared" si="24"/>
        <v>0</v>
      </c>
      <c r="U178" s="518">
        <f t="shared" si="25"/>
        <v>0</v>
      </c>
      <c r="W178" s="1"/>
      <c r="X178" s="65"/>
    </row>
    <row r="179" spans="1:24" s="23" customFormat="1" ht="11.25" customHeight="1" x14ac:dyDescent="0.2">
      <c r="A179" s="765"/>
      <c r="C179" s="769"/>
      <c r="D179" s="60"/>
      <c r="F179" s="503">
        <f t="shared" si="22"/>
        <v>1.7299999999999951E-2</v>
      </c>
      <c r="G179" s="503">
        <f t="shared" si="23"/>
        <v>1.7299999999999951E-2</v>
      </c>
      <c r="H179" s="504" t="str">
        <f t="shared" si="26"/>
        <v>Dánia</v>
      </c>
      <c r="I179" s="509" t="s">
        <v>1545</v>
      </c>
      <c r="J179" s="509" t="s">
        <v>1546</v>
      </c>
      <c r="K179" s="508">
        <v>13</v>
      </c>
      <c r="L179" s="509" t="s">
        <v>1339</v>
      </c>
      <c r="M179" s="634" t="s">
        <v>945</v>
      </c>
      <c r="N179" s="510" t="s">
        <v>946</v>
      </c>
      <c r="O179" s="511">
        <v>32986</v>
      </c>
      <c r="P179" s="512">
        <v>31</v>
      </c>
      <c r="Q179" s="513">
        <v>189</v>
      </c>
      <c r="R179" s="514">
        <v>79</v>
      </c>
      <c r="S179" s="64"/>
      <c r="T179" s="297">
        <f t="shared" si="24"/>
        <v>0</v>
      </c>
      <c r="U179" s="518">
        <f t="shared" si="25"/>
        <v>0</v>
      </c>
      <c r="W179" s="1"/>
      <c r="X179" s="65"/>
    </row>
    <row r="180" spans="1:24" s="23" customFormat="1" ht="11.25" customHeight="1" x14ac:dyDescent="0.2">
      <c r="A180" s="765"/>
      <c r="C180" s="769"/>
      <c r="D180" s="60"/>
      <c r="F180" s="503">
        <f t="shared" si="22"/>
        <v>1.739999999999995E-2</v>
      </c>
      <c r="G180" s="503">
        <f t="shared" si="23"/>
        <v>1.739999999999995E-2</v>
      </c>
      <c r="H180" s="504" t="str">
        <f t="shared" si="26"/>
        <v>Dánia</v>
      </c>
      <c r="I180" s="509" t="s">
        <v>1458</v>
      </c>
      <c r="J180" s="509" t="s">
        <v>1043</v>
      </c>
      <c r="K180" s="508">
        <v>4</v>
      </c>
      <c r="L180" s="509" t="s">
        <v>1339</v>
      </c>
      <c r="M180" s="634" t="s">
        <v>1081</v>
      </c>
      <c r="N180" s="510" t="s">
        <v>501</v>
      </c>
      <c r="O180" s="511">
        <v>32593</v>
      </c>
      <c r="P180" s="512">
        <v>32</v>
      </c>
      <c r="Q180" s="513">
        <v>189</v>
      </c>
      <c r="R180" s="514">
        <v>82</v>
      </c>
      <c r="S180" s="64"/>
      <c r="T180" s="297">
        <f t="shared" si="24"/>
        <v>0</v>
      </c>
      <c r="U180" s="518">
        <f t="shared" si="25"/>
        <v>0</v>
      </c>
      <c r="W180" s="1"/>
      <c r="X180" s="65"/>
    </row>
    <row r="181" spans="1:24" s="23" customFormat="1" ht="11.25" customHeight="1" x14ac:dyDescent="0.2">
      <c r="A181" s="765"/>
      <c r="C181" s="769"/>
      <c r="D181" s="60"/>
      <c r="F181" s="503">
        <f t="shared" si="22"/>
        <v>1.749999999999995E-2</v>
      </c>
      <c r="G181" s="503">
        <f t="shared" si="23"/>
        <v>1.749999999999995E-2</v>
      </c>
      <c r="H181" s="504" t="str">
        <f t="shared" si="26"/>
        <v>Dánia</v>
      </c>
      <c r="I181" s="509" t="s">
        <v>1460</v>
      </c>
      <c r="J181" s="509" t="s">
        <v>1088</v>
      </c>
      <c r="K181" s="508">
        <v>16</v>
      </c>
      <c r="L181" s="509" t="s">
        <v>704</v>
      </c>
      <c r="M181" s="634" t="s">
        <v>948</v>
      </c>
      <c r="N181" s="510" t="s">
        <v>1271</v>
      </c>
      <c r="O181" s="511">
        <v>32540</v>
      </c>
      <c r="P181" s="512">
        <v>32</v>
      </c>
      <c r="Q181" s="513">
        <v>195</v>
      </c>
      <c r="R181" s="514">
        <v>90</v>
      </c>
      <c r="S181" s="64"/>
      <c r="T181" s="297">
        <f t="shared" si="24"/>
        <v>0</v>
      </c>
      <c r="U181" s="518">
        <f t="shared" si="25"/>
        <v>0</v>
      </c>
      <c r="W181" s="1"/>
      <c r="X181" s="65"/>
    </row>
    <row r="182" spans="1:24" s="23" customFormat="1" ht="11.25" customHeight="1" x14ac:dyDescent="0.2">
      <c r="A182" s="765"/>
      <c r="C182" s="769"/>
      <c r="D182" s="60"/>
      <c r="F182" s="503">
        <f t="shared" si="22"/>
        <v>1.7599999999999949E-2</v>
      </c>
      <c r="G182" s="503">
        <f t="shared" si="23"/>
        <v>1.7599999999999949E-2</v>
      </c>
      <c r="H182" s="504" t="str">
        <f t="shared" si="26"/>
        <v>Dánia</v>
      </c>
      <c r="I182" s="509" t="s">
        <v>1547</v>
      </c>
      <c r="J182" s="509" t="s">
        <v>1548</v>
      </c>
      <c r="K182" s="508">
        <v>5</v>
      </c>
      <c r="L182" s="509" t="s">
        <v>1339</v>
      </c>
      <c r="M182" s="634" t="s">
        <v>1429</v>
      </c>
      <c r="N182" s="510" t="s">
        <v>501</v>
      </c>
      <c r="O182" s="511">
        <v>35570</v>
      </c>
      <c r="P182" s="512">
        <v>24</v>
      </c>
      <c r="Q182" s="513">
        <v>186</v>
      </c>
      <c r="R182" s="514">
        <v>79</v>
      </c>
      <c r="S182" s="64"/>
      <c r="T182" s="297">
        <f t="shared" si="24"/>
        <v>0</v>
      </c>
      <c r="U182" s="518">
        <f t="shared" si="25"/>
        <v>0</v>
      </c>
      <c r="W182" s="1"/>
      <c r="X182" s="65"/>
    </row>
    <row r="183" spans="1:24" s="23" customFormat="1" ht="11.25" customHeight="1" x14ac:dyDescent="0.2">
      <c r="A183" s="765"/>
      <c r="C183" s="769"/>
      <c r="D183" s="60"/>
      <c r="F183" s="503">
        <f t="shared" si="22"/>
        <v>1.7699999999999948E-2</v>
      </c>
      <c r="G183" s="503">
        <f t="shared" si="23"/>
        <v>1.7699999999999948E-2</v>
      </c>
      <c r="H183" s="504" t="str">
        <f t="shared" si="26"/>
        <v>Dánia</v>
      </c>
      <c r="I183" s="509" t="s">
        <v>1549</v>
      </c>
      <c r="J183" s="509" t="s">
        <v>943</v>
      </c>
      <c r="K183" s="508">
        <v>15</v>
      </c>
      <c r="L183" s="509" t="s">
        <v>703</v>
      </c>
      <c r="M183" s="634" t="s">
        <v>1449</v>
      </c>
      <c r="N183" s="510" t="s">
        <v>1271</v>
      </c>
      <c r="O183" s="511">
        <v>34403</v>
      </c>
      <c r="P183" s="512">
        <v>27</v>
      </c>
      <c r="Q183" s="513">
        <v>185</v>
      </c>
      <c r="R183" s="514">
        <v>70</v>
      </c>
      <c r="S183" s="64"/>
      <c r="T183" s="297">
        <f t="shared" si="24"/>
        <v>0</v>
      </c>
      <c r="U183" s="518">
        <f t="shared" si="25"/>
        <v>0</v>
      </c>
      <c r="W183" s="1"/>
      <c r="X183" s="65"/>
    </row>
    <row r="184" spans="1:24" s="23" customFormat="1" ht="11.25" customHeight="1" x14ac:dyDescent="0.2">
      <c r="A184" s="765"/>
      <c r="C184" s="769"/>
      <c r="D184" s="60"/>
      <c r="F184" s="503">
        <f t="shared" si="22"/>
        <v>1.7799999999999948E-2</v>
      </c>
      <c r="G184" s="503">
        <f t="shared" si="23"/>
        <v>1.7799999999999948E-2</v>
      </c>
      <c r="H184" s="504" t="str">
        <f t="shared" si="26"/>
        <v>Dánia</v>
      </c>
      <c r="I184" s="509" t="s">
        <v>1461</v>
      </c>
      <c r="J184" s="509" t="s">
        <v>1462</v>
      </c>
      <c r="K184" s="508">
        <v>20</v>
      </c>
      <c r="L184" s="509" t="s">
        <v>1357</v>
      </c>
      <c r="M184" s="634" t="s">
        <v>1164</v>
      </c>
      <c r="N184" s="510" t="s">
        <v>1270</v>
      </c>
      <c r="O184" s="511">
        <v>34500</v>
      </c>
      <c r="P184" s="512">
        <v>26</v>
      </c>
      <c r="Q184" s="513">
        <v>193</v>
      </c>
      <c r="R184" s="514">
        <v>78</v>
      </c>
      <c r="S184" s="64"/>
      <c r="T184" s="297">
        <f t="shared" si="24"/>
        <v>0</v>
      </c>
      <c r="U184" s="518">
        <f t="shared" si="25"/>
        <v>0</v>
      </c>
      <c r="W184" s="1"/>
      <c r="X184" s="65"/>
    </row>
    <row r="185" spans="1:24" s="23" customFormat="1" ht="11.25" customHeight="1" x14ac:dyDescent="0.2">
      <c r="A185" s="765"/>
      <c r="C185" s="769"/>
      <c r="D185" s="60"/>
      <c r="F185" s="503">
        <f t="shared" si="22"/>
        <v>1.7899999999999947E-2</v>
      </c>
      <c r="G185" s="503">
        <f t="shared" si="23"/>
        <v>1.7899999999999947E-2</v>
      </c>
      <c r="H185" s="504" t="str">
        <f t="shared" si="26"/>
        <v>Dánia</v>
      </c>
      <c r="I185" s="509" t="s">
        <v>1463</v>
      </c>
      <c r="J185" s="509" t="s">
        <v>1464</v>
      </c>
      <c r="K185" s="508">
        <v>22</v>
      </c>
      <c r="L185" s="509" t="s">
        <v>704</v>
      </c>
      <c r="M185" s="634" t="s">
        <v>1352</v>
      </c>
      <c r="N185" s="510" t="s">
        <v>1270</v>
      </c>
      <c r="O185" s="511">
        <v>33820</v>
      </c>
      <c r="P185" s="512">
        <v>28</v>
      </c>
      <c r="Q185" s="513">
        <v>190</v>
      </c>
      <c r="R185" s="514">
        <v>77</v>
      </c>
      <c r="S185" s="64"/>
      <c r="T185" s="297">
        <f t="shared" si="24"/>
        <v>0</v>
      </c>
      <c r="U185" s="518">
        <f t="shared" si="25"/>
        <v>0</v>
      </c>
      <c r="W185" s="1"/>
      <c r="X185" s="65"/>
    </row>
    <row r="186" spans="1:24" s="23" customFormat="1" ht="11.25" customHeight="1" x14ac:dyDescent="0.2">
      <c r="A186" s="765"/>
      <c r="C186" s="769"/>
      <c r="D186" s="60"/>
      <c r="F186" s="503">
        <f t="shared" si="22"/>
        <v>1.7999999999999947E-2</v>
      </c>
      <c r="G186" s="503">
        <f t="shared" si="23"/>
        <v>1.7999999999999947E-2</v>
      </c>
      <c r="H186" s="504" t="str">
        <f t="shared" si="26"/>
        <v>Dánia</v>
      </c>
      <c r="I186" s="509" t="s">
        <v>1465</v>
      </c>
      <c r="J186" s="509" t="s">
        <v>1452</v>
      </c>
      <c r="K186" s="508">
        <v>1</v>
      </c>
      <c r="L186" s="509" t="s">
        <v>704</v>
      </c>
      <c r="M186" s="634" t="s">
        <v>1017</v>
      </c>
      <c r="N186" s="510" t="s">
        <v>1271</v>
      </c>
      <c r="O186" s="511">
        <v>31721</v>
      </c>
      <c r="P186" s="512">
        <v>34</v>
      </c>
      <c r="Q186" s="513">
        <v>189</v>
      </c>
      <c r="R186" s="514">
        <v>89</v>
      </c>
      <c r="S186" s="64"/>
      <c r="T186" s="297">
        <f t="shared" si="24"/>
        <v>0</v>
      </c>
      <c r="U186" s="518">
        <f t="shared" si="25"/>
        <v>0</v>
      </c>
      <c r="W186" s="1"/>
      <c r="X186" s="65"/>
    </row>
    <row r="187" spans="1:24" s="23" customFormat="1" ht="11.25" customHeight="1" x14ac:dyDescent="0.2">
      <c r="A187" s="765"/>
      <c r="C187" s="769"/>
      <c r="D187" s="60"/>
      <c r="F187" s="503">
        <f t="shared" si="22"/>
        <v>1.8099999999999946E-2</v>
      </c>
      <c r="G187" s="503">
        <f t="shared" si="23"/>
        <v>1.8099999999999946E-2</v>
      </c>
      <c r="H187" s="504" t="str">
        <f t="shared" si="26"/>
        <v>Dánia</v>
      </c>
      <c r="I187" s="509" t="s">
        <v>1550</v>
      </c>
      <c r="J187" s="509" t="s">
        <v>1112</v>
      </c>
      <c r="K187" s="508">
        <v>7</v>
      </c>
      <c r="L187" s="509" t="s">
        <v>703</v>
      </c>
      <c r="M187" s="634" t="s">
        <v>1215</v>
      </c>
      <c r="N187" s="510" t="s">
        <v>1270</v>
      </c>
      <c r="O187" s="511">
        <v>35205</v>
      </c>
      <c r="P187" s="512">
        <v>25</v>
      </c>
      <c r="Q187" s="513">
        <v>185</v>
      </c>
      <c r="R187" s="514">
        <v>78</v>
      </c>
      <c r="S187" s="64"/>
      <c r="T187" s="297">
        <f t="shared" si="24"/>
        <v>0</v>
      </c>
      <c r="U187" s="518">
        <f t="shared" si="25"/>
        <v>0</v>
      </c>
      <c r="W187" s="1"/>
      <c r="X187" s="65"/>
    </row>
    <row r="188" spans="1:24" s="23" customFormat="1" ht="11.25" customHeight="1" x14ac:dyDescent="0.2">
      <c r="A188" s="765"/>
      <c r="C188" s="769"/>
      <c r="D188" s="60"/>
      <c r="F188" s="503">
        <f t="shared" si="22"/>
        <v>1.8199999999999945E-2</v>
      </c>
      <c r="G188" s="503">
        <f t="shared" si="23"/>
        <v>1.8199999999999945E-2</v>
      </c>
      <c r="H188" s="504" t="str">
        <f t="shared" si="26"/>
        <v>Dánia</v>
      </c>
      <c r="I188" s="509" t="s">
        <v>1551</v>
      </c>
      <c r="J188" s="509" t="s">
        <v>1165</v>
      </c>
      <c r="K188" s="508">
        <v>11</v>
      </c>
      <c r="L188" s="509" t="s">
        <v>1357</v>
      </c>
      <c r="M188" s="634" t="s">
        <v>1552</v>
      </c>
      <c r="N188" s="510" t="s">
        <v>501</v>
      </c>
      <c r="O188" s="511">
        <v>36523</v>
      </c>
      <c r="P188" s="512">
        <v>21</v>
      </c>
      <c r="Q188" s="513">
        <v>187</v>
      </c>
      <c r="R188" s="514">
        <v>81</v>
      </c>
      <c r="S188" s="64"/>
      <c r="T188" s="297">
        <f t="shared" si="24"/>
        <v>0</v>
      </c>
      <c r="U188" s="518">
        <f t="shared" si="25"/>
        <v>0</v>
      </c>
      <c r="W188" s="1"/>
      <c r="X188" s="65"/>
    </row>
    <row r="189" spans="1:24" s="23" customFormat="1" ht="11.25" customHeight="1" x14ac:dyDescent="0.2">
      <c r="A189" s="765"/>
      <c r="C189" s="769"/>
      <c r="D189" s="60"/>
      <c r="F189" s="503">
        <f t="shared" si="22"/>
        <v>1.8299999999999945E-2</v>
      </c>
      <c r="G189" s="503">
        <f t="shared" si="23"/>
        <v>1.8299999999999945E-2</v>
      </c>
      <c r="H189" s="504" t="str">
        <f t="shared" si="26"/>
        <v>Dánia</v>
      </c>
      <c r="I189" s="509" t="s">
        <v>1553</v>
      </c>
      <c r="J189" s="509" t="s">
        <v>1554</v>
      </c>
      <c r="K189" s="508">
        <v>17</v>
      </c>
      <c r="L189" s="509" t="s">
        <v>1339</v>
      </c>
      <c r="M189" s="634" t="s">
        <v>1389</v>
      </c>
      <c r="N189" s="510" t="s">
        <v>501</v>
      </c>
      <c r="O189" s="511">
        <v>33290</v>
      </c>
      <c r="P189" s="512">
        <v>30</v>
      </c>
      <c r="Q189" s="513">
        <v>180</v>
      </c>
      <c r="R189" s="514">
        <v>81</v>
      </c>
      <c r="S189" s="64"/>
      <c r="T189" s="297">
        <f t="shared" si="24"/>
        <v>0</v>
      </c>
      <c r="U189" s="518">
        <f t="shared" si="25"/>
        <v>0</v>
      </c>
      <c r="W189" s="640"/>
      <c r="X189" s="65"/>
    </row>
    <row r="190" spans="1:24" s="23" customFormat="1" ht="11.25" customHeight="1" x14ac:dyDescent="0.2">
      <c r="A190" s="765"/>
      <c r="C190" s="769"/>
      <c r="D190" s="60"/>
      <c r="F190" s="503">
        <f t="shared" si="22"/>
        <v>1.8399999999999944E-2</v>
      </c>
      <c r="G190" s="503">
        <f t="shared" si="23"/>
        <v>1.8399999999999944E-2</v>
      </c>
      <c r="H190" s="504" t="str">
        <f t="shared" si="26"/>
        <v>Dánia</v>
      </c>
      <c r="I190" s="509" t="s">
        <v>1555</v>
      </c>
      <c r="J190" s="509" t="s">
        <v>1556</v>
      </c>
      <c r="K190" s="508">
        <v>3</v>
      </c>
      <c r="L190" s="509" t="s">
        <v>1339</v>
      </c>
      <c r="M190" s="634" t="s">
        <v>825</v>
      </c>
      <c r="N190" s="510" t="s">
        <v>1271</v>
      </c>
      <c r="O190" s="511">
        <v>33819</v>
      </c>
      <c r="P190" s="512">
        <v>28</v>
      </c>
      <c r="Q190" s="513">
        <v>199</v>
      </c>
      <c r="R190" s="514">
        <v>96</v>
      </c>
      <c r="S190" s="64"/>
      <c r="T190" s="297">
        <f t="shared" si="24"/>
        <v>0</v>
      </c>
      <c r="U190" s="518">
        <f t="shared" si="25"/>
        <v>0</v>
      </c>
      <c r="W190" s="640"/>
      <c r="X190" s="65"/>
    </row>
    <row r="191" spans="1:24" s="23" customFormat="1" ht="11.25" customHeight="1" x14ac:dyDescent="0.2">
      <c r="A191" s="765"/>
      <c r="C191" s="769"/>
      <c r="D191" s="60"/>
      <c r="F191" s="503">
        <f t="shared" si="22"/>
        <v>1.8499999999999944E-2</v>
      </c>
      <c r="G191" s="503">
        <f t="shared" si="23"/>
        <v>1.8499999999999944E-2</v>
      </c>
      <c r="H191" s="504" t="str">
        <f t="shared" si="26"/>
        <v>Dánia</v>
      </c>
      <c r="I191" s="509" t="s">
        <v>1557</v>
      </c>
      <c r="J191" s="509" t="s">
        <v>947</v>
      </c>
      <c r="K191" s="508">
        <v>18</v>
      </c>
      <c r="L191" s="509" t="s">
        <v>703</v>
      </c>
      <c r="M191" s="634" t="s">
        <v>919</v>
      </c>
      <c r="N191" s="510" t="s">
        <v>500</v>
      </c>
      <c r="O191" s="511">
        <v>32659</v>
      </c>
      <c r="P191" s="512">
        <v>32</v>
      </c>
      <c r="Q191" s="513">
        <v>181</v>
      </c>
      <c r="R191" s="514">
        <v>74</v>
      </c>
      <c r="S191" s="64"/>
      <c r="T191" s="297">
        <f t="shared" si="24"/>
        <v>0</v>
      </c>
      <c r="U191" s="518">
        <f t="shared" si="25"/>
        <v>0</v>
      </c>
      <c r="W191" s="640"/>
      <c r="X191" s="65"/>
    </row>
    <row r="192" spans="1:24" s="23" customFormat="1" ht="11.25" customHeight="1" x14ac:dyDescent="0.2">
      <c r="A192" s="765"/>
      <c r="C192" s="769"/>
      <c r="D192" s="60"/>
      <c r="F192" s="503">
        <f t="shared" si="22"/>
        <v>1.8599999999999943E-2</v>
      </c>
      <c r="G192" s="503">
        <f t="shared" si="23"/>
        <v>1.8599999999999943E-2</v>
      </c>
      <c r="H192" s="504" t="str">
        <f t="shared" si="26"/>
        <v>Dánia</v>
      </c>
      <c r="I192" s="555" t="s">
        <v>1558</v>
      </c>
      <c r="J192" s="555" t="s">
        <v>1088</v>
      </c>
      <c r="K192" s="554">
        <v>19</v>
      </c>
      <c r="L192" s="555" t="s">
        <v>703</v>
      </c>
      <c r="M192" s="635" t="s">
        <v>945</v>
      </c>
      <c r="N192" s="556" t="s">
        <v>946</v>
      </c>
      <c r="O192" s="557">
        <v>36198</v>
      </c>
      <c r="P192" s="558">
        <v>22</v>
      </c>
      <c r="Q192" s="559">
        <v>190</v>
      </c>
      <c r="R192" s="560">
        <v>82</v>
      </c>
      <c r="S192" s="64"/>
      <c r="T192" s="297">
        <f t="shared" si="24"/>
        <v>0</v>
      </c>
      <c r="U192" s="518">
        <f t="shared" si="25"/>
        <v>0</v>
      </c>
      <c r="W192" s="640"/>
      <c r="X192" s="65"/>
    </row>
    <row r="193" spans="1:24" s="23" customFormat="1" ht="9.75" hidden="1" customHeight="1" x14ac:dyDescent="0.2">
      <c r="A193" s="765"/>
      <c r="C193" s="769"/>
      <c r="D193" s="60"/>
      <c r="F193" s="503">
        <f t="shared" si="22"/>
        <v>1.8699999999999942E-2</v>
      </c>
      <c r="G193" s="503">
        <f t="shared" si="23"/>
        <v>0</v>
      </c>
      <c r="H193" s="504" t="str">
        <f t="shared" si="26"/>
        <v>Dánia</v>
      </c>
      <c r="I193" s="61"/>
      <c r="J193" s="61"/>
      <c r="K193" s="295"/>
      <c r="L193" s="61"/>
      <c r="M193" s="633"/>
      <c r="N193" s="256"/>
      <c r="O193" s="62"/>
      <c r="P193" s="253"/>
      <c r="Q193" s="63"/>
      <c r="R193" s="252"/>
      <c r="S193" s="64"/>
      <c r="T193" s="297" t="str">
        <f t="shared" si="24"/>
        <v/>
      </c>
      <c r="U193" s="518" t="str">
        <f t="shared" si="25"/>
        <v/>
      </c>
      <c r="W193" s="640"/>
      <c r="X193" s="65"/>
    </row>
    <row r="194" spans="1:24" s="23" customFormat="1" ht="9.75" hidden="1" customHeight="1" x14ac:dyDescent="0.2">
      <c r="A194" s="765"/>
      <c r="C194" s="769"/>
      <c r="D194" s="60"/>
      <c r="F194" s="503">
        <f t="shared" si="22"/>
        <v>1.8799999999999942E-2</v>
      </c>
      <c r="G194" s="503">
        <f t="shared" si="23"/>
        <v>0</v>
      </c>
      <c r="H194" s="504" t="str">
        <f t="shared" si="26"/>
        <v>Dánia</v>
      </c>
      <c r="I194" s="61"/>
      <c r="J194" s="61"/>
      <c r="K194" s="295"/>
      <c r="L194" s="61"/>
      <c r="M194" s="633"/>
      <c r="N194" s="256"/>
      <c r="O194" s="62"/>
      <c r="P194" s="253"/>
      <c r="Q194" s="63"/>
      <c r="R194" s="252"/>
      <c r="S194" s="64"/>
      <c r="T194" s="297" t="str">
        <f t="shared" si="24"/>
        <v/>
      </c>
      <c r="U194" s="518" t="str">
        <f t="shared" si="25"/>
        <v/>
      </c>
      <c r="W194" s="640"/>
      <c r="X194" s="65"/>
    </row>
    <row r="195" spans="1:24" s="23" customFormat="1" ht="9.75" hidden="1" customHeight="1" x14ac:dyDescent="0.2">
      <c r="A195" s="765"/>
      <c r="C195" s="769"/>
      <c r="D195" s="60"/>
      <c r="F195" s="503">
        <f t="shared" si="22"/>
        <v>1.8899999999999941E-2</v>
      </c>
      <c r="G195" s="503">
        <f t="shared" si="23"/>
        <v>0</v>
      </c>
      <c r="H195" s="504" t="str">
        <f t="shared" si="26"/>
        <v>Dánia</v>
      </c>
      <c r="I195" s="61"/>
      <c r="J195" s="61"/>
      <c r="K195" s="295"/>
      <c r="L195" s="61"/>
      <c r="M195" s="633"/>
      <c r="N195" s="256"/>
      <c r="O195" s="62"/>
      <c r="P195" s="253"/>
      <c r="Q195" s="63"/>
      <c r="R195" s="252"/>
      <c r="S195" s="64"/>
      <c r="T195" s="297" t="str">
        <f t="shared" si="24"/>
        <v/>
      </c>
      <c r="U195" s="518" t="str">
        <f t="shared" si="25"/>
        <v/>
      </c>
      <c r="W195" s="640"/>
      <c r="X195" s="65"/>
    </row>
    <row r="196" spans="1:24" s="23" customFormat="1" ht="9.75" hidden="1" customHeight="1" x14ac:dyDescent="0.2">
      <c r="A196" s="765"/>
      <c r="C196" s="769"/>
      <c r="D196" s="60"/>
      <c r="F196" s="503">
        <f t="shared" si="22"/>
        <v>1.8999999999999941E-2</v>
      </c>
      <c r="G196" s="503">
        <f t="shared" si="23"/>
        <v>0</v>
      </c>
      <c r="H196" s="504" t="str">
        <f t="shared" si="26"/>
        <v>Dánia</v>
      </c>
      <c r="I196" s="61"/>
      <c r="J196" s="61"/>
      <c r="K196" s="295"/>
      <c r="L196" s="61"/>
      <c r="M196" s="633"/>
      <c r="N196" s="256"/>
      <c r="O196" s="62"/>
      <c r="P196" s="253"/>
      <c r="Q196" s="63"/>
      <c r="R196" s="252"/>
      <c r="S196" s="64"/>
      <c r="T196" s="297" t="str">
        <f t="shared" si="24"/>
        <v/>
      </c>
      <c r="U196" s="518" t="str">
        <f t="shared" si="25"/>
        <v/>
      </c>
      <c r="W196" s="640"/>
      <c r="X196" s="65"/>
    </row>
    <row r="197" spans="1:24" s="23" customFormat="1" ht="4.5" customHeight="1" x14ac:dyDescent="0.25">
      <c r="A197" s="765"/>
      <c r="C197" s="769"/>
      <c r="D197" s="60"/>
      <c r="F197" s="503">
        <f t="shared" si="22"/>
        <v>1.909999999999994E-2</v>
      </c>
      <c r="G197" s="503"/>
      <c r="H197" s="505"/>
      <c r="I197" s="67"/>
      <c r="J197" s="67"/>
      <c r="K197" s="22"/>
      <c r="L197" s="67"/>
      <c r="M197" s="22"/>
      <c r="N197" s="68"/>
      <c r="O197" s="67"/>
      <c r="P197" s="69"/>
      <c r="Q197" s="70"/>
      <c r="R197" s="71"/>
      <c r="S197" s="71"/>
      <c r="T197" s="298"/>
      <c r="U197" s="299"/>
      <c r="W197" s="641"/>
      <c r="X197" s="67"/>
    </row>
    <row r="198" spans="1:24" s="21" customFormat="1" ht="9.75" customHeight="1" x14ac:dyDescent="0.2">
      <c r="A198" s="765"/>
      <c r="C198" s="769"/>
      <c r="D198" s="60"/>
      <c r="F198" s="503">
        <f t="shared" si="22"/>
        <v>1.9199999999999939E-2</v>
      </c>
      <c r="G198" s="503"/>
      <c r="H198" s="303"/>
      <c r="I198" s="74" t="s">
        <v>542</v>
      </c>
      <c r="J198" s="75" t="s">
        <v>1466</v>
      </c>
      <c r="K198" s="75"/>
      <c r="L198" s="75"/>
      <c r="M198" s="636"/>
      <c r="N198" s="76"/>
      <c r="O198" s="74" t="s">
        <v>495</v>
      </c>
      <c r="P198" s="254">
        <f>AVERAGE(P167:P196)</f>
        <v>27.346153846153847</v>
      </c>
      <c r="Q198" s="77">
        <f>AVERAGE(Q167:Q196)</f>
        <v>186.23076923076923</v>
      </c>
      <c r="R198" s="255">
        <f>AVERAGE(R167:R196)</f>
        <v>79.5</v>
      </c>
      <c r="S198" s="78"/>
      <c r="T198" s="297">
        <f>SUM(T167:T196)</f>
        <v>0</v>
      </c>
      <c r="U198" s="518">
        <f>SUM(U167:U196)</f>
        <v>0</v>
      </c>
      <c r="W198" s="642" t="s">
        <v>879</v>
      </c>
      <c r="X198" s="79"/>
    </row>
    <row r="199" spans="1:24" ht="9.75" customHeight="1" x14ac:dyDescent="0.3">
      <c r="A199" s="765"/>
      <c r="F199" s="503">
        <f t="shared" si="22"/>
        <v>1.9299999999999939E-2</v>
      </c>
      <c r="G199" s="503"/>
    </row>
    <row r="200" spans="1:24" ht="9.75" customHeight="1" x14ac:dyDescent="0.3">
      <c r="A200" s="765"/>
      <c r="F200" s="503">
        <f t="shared" si="22"/>
        <v>1.9399999999999938E-2</v>
      </c>
      <c r="G200" s="503"/>
    </row>
    <row r="201" spans="1:24" ht="9.75" customHeight="1" x14ac:dyDescent="0.3">
      <c r="A201" s="765"/>
      <c r="F201" s="503">
        <f t="shared" ref="F201:F264" si="27">F200+0.0001</f>
        <v>1.9499999999999938E-2</v>
      </c>
      <c r="G201" s="503"/>
    </row>
    <row r="202" spans="1:24" ht="9.75" customHeight="1" x14ac:dyDescent="0.3">
      <c r="A202" s="765"/>
      <c r="F202" s="503">
        <f t="shared" si="27"/>
        <v>1.9599999999999937E-2</v>
      </c>
    </row>
    <row r="203" spans="1:24" ht="9.75" customHeight="1" x14ac:dyDescent="0.3">
      <c r="A203" s="765"/>
      <c r="F203" s="503">
        <f t="shared" si="27"/>
        <v>1.9699999999999936E-2</v>
      </c>
    </row>
    <row r="204" spans="1:24" ht="9.75" customHeight="1" x14ac:dyDescent="0.3">
      <c r="A204" s="765"/>
      <c r="F204" s="503">
        <f t="shared" si="27"/>
        <v>1.9799999999999936E-2</v>
      </c>
    </row>
    <row r="205" spans="1:24" ht="9.75" customHeight="1" x14ac:dyDescent="0.3">
      <c r="A205" s="765"/>
      <c r="F205" s="503">
        <f t="shared" si="27"/>
        <v>1.9899999999999935E-2</v>
      </c>
    </row>
    <row r="206" spans="1:24" s="23" customFormat="1" ht="5.25" customHeight="1" x14ac:dyDescent="0.2">
      <c r="A206" s="765"/>
      <c r="C206" s="21"/>
      <c r="F206" s="503">
        <f t="shared" si="27"/>
        <v>1.9999999999999934E-2</v>
      </c>
      <c r="G206" s="506"/>
      <c r="H206" s="502"/>
      <c r="I206" s="55"/>
      <c r="J206" s="55"/>
      <c r="K206" s="56"/>
      <c r="L206" s="55"/>
      <c r="M206" s="56"/>
      <c r="N206" s="57"/>
      <c r="O206" s="57"/>
      <c r="P206" s="55"/>
      <c r="Q206" s="57"/>
      <c r="R206" s="57"/>
      <c r="S206" s="57"/>
      <c r="T206" s="58"/>
      <c r="U206" s="59"/>
      <c r="W206" s="639"/>
      <c r="X206" s="55"/>
    </row>
    <row r="207" spans="1:24" s="23" customFormat="1" ht="11.25" customHeight="1" x14ac:dyDescent="0.2">
      <c r="A207" s="765"/>
      <c r="C207" s="769" t="str">
        <f>UPPER(H207)&amp;"    ."</f>
        <v>FINNORSZÁG    .</v>
      </c>
      <c r="D207" s="60"/>
      <c r="F207" s="503">
        <f t="shared" si="27"/>
        <v>2.0099999999999934E-2</v>
      </c>
      <c r="G207" s="503">
        <f t="shared" ref="G207:G236" si="28">IF(I207="",0,T207+F207)</f>
        <v>2.0099999999999934E-2</v>
      </c>
      <c r="H207" s="504" t="str">
        <f>Adatok!B3</f>
        <v>Finnország</v>
      </c>
      <c r="I207" s="61" t="s">
        <v>1467</v>
      </c>
      <c r="J207" s="61" t="s">
        <v>1468</v>
      </c>
      <c r="K207" s="295">
        <v>2</v>
      </c>
      <c r="L207" s="61" t="s">
        <v>1339</v>
      </c>
      <c r="M207" s="633" t="s">
        <v>1469</v>
      </c>
      <c r="N207" s="256" t="s">
        <v>1470</v>
      </c>
      <c r="O207" s="62">
        <v>32309</v>
      </c>
      <c r="P207" s="253">
        <v>32</v>
      </c>
      <c r="Q207" s="63">
        <v>193</v>
      </c>
      <c r="R207" s="252">
        <v>92</v>
      </c>
      <c r="S207" s="64"/>
      <c r="T207" s="297">
        <f t="shared" ref="T207:T236" si="29">IF(I207="","",COUNTIF(nevek.s,CONCATENATE(H207,I207)))</f>
        <v>0</v>
      </c>
      <c r="U207" s="518">
        <f t="shared" ref="U207:U236" si="30">IF(I207="","",COUNTIF(nevek.s,CONCATENATE("ö",H207,I207)))</f>
        <v>0</v>
      </c>
      <c r="W207" s="3"/>
      <c r="X207" s="65"/>
    </row>
    <row r="208" spans="1:24" s="23" customFormat="1" ht="11.25" customHeight="1" x14ac:dyDescent="0.2">
      <c r="A208" s="765"/>
      <c r="C208" s="769"/>
      <c r="D208" s="60"/>
      <c r="F208" s="503">
        <f t="shared" si="27"/>
        <v>2.0199999999999933E-2</v>
      </c>
      <c r="G208" s="503">
        <f t="shared" si="28"/>
        <v>2.0199999999999933E-2</v>
      </c>
      <c r="H208" s="504" t="str">
        <f>H207</f>
        <v>Finnország</v>
      </c>
      <c r="I208" s="509" t="s">
        <v>1559</v>
      </c>
      <c r="J208" s="509" t="s">
        <v>1560</v>
      </c>
      <c r="K208" s="508">
        <v>17</v>
      </c>
      <c r="L208" s="509" t="s">
        <v>703</v>
      </c>
      <c r="M208" s="634" t="s">
        <v>1561</v>
      </c>
      <c r="N208" s="510" t="s">
        <v>1214</v>
      </c>
      <c r="O208" s="511">
        <v>34040</v>
      </c>
      <c r="P208" s="512">
        <v>28</v>
      </c>
      <c r="Q208" s="513">
        <v>172</v>
      </c>
      <c r="R208" s="514">
        <v>74</v>
      </c>
      <c r="S208" s="64"/>
      <c r="T208" s="297">
        <f t="shared" si="29"/>
        <v>0</v>
      </c>
      <c r="U208" s="518">
        <f t="shared" si="30"/>
        <v>0</v>
      </c>
      <c r="W208" s="1"/>
      <c r="X208" s="65"/>
    </row>
    <row r="209" spans="1:24" s="23" customFormat="1" ht="11.25" customHeight="1" x14ac:dyDescent="0.2">
      <c r="A209" s="765"/>
      <c r="C209" s="769"/>
      <c r="D209" s="60"/>
      <c r="F209" s="503">
        <f t="shared" si="27"/>
        <v>2.0299999999999933E-2</v>
      </c>
      <c r="G209" s="503">
        <f t="shared" si="28"/>
        <v>2.0299999999999933E-2</v>
      </c>
      <c r="H209" s="504" t="str">
        <f t="shared" ref="H209:H235" si="31">H208</f>
        <v>Finnország</v>
      </c>
      <c r="I209" s="509" t="s">
        <v>1471</v>
      </c>
      <c r="J209" s="509" t="s">
        <v>1159</v>
      </c>
      <c r="K209" s="508">
        <v>26</v>
      </c>
      <c r="L209" s="509" t="s">
        <v>1357</v>
      </c>
      <c r="M209" s="634" t="s">
        <v>1449</v>
      </c>
      <c r="N209" s="510" t="s">
        <v>1271</v>
      </c>
      <c r="O209" s="511">
        <v>36329</v>
      </c>
      <c r="P209" s="512">
        <v>21</v>
      </c>
      <c r="Q209" s="513">
        <v>186</v>
      </c>
      <c r="R209" s="514">
        <v>79</v>
      </c>
      <c r="S209" s="64"/>
      <c r="T209" s="297">
        <f t="shared" si="29"/>
        <v>0</v>
      </c>
      <c r="U209" s="518">
        <f t="shared" si="30"/>
        <v>0</v>
      </c>
      <c r="W209" s="1"/>
      <c r="X209" s="65"/>
    </row>
    <row r="210" spans="1:24" s="23" customFormat="1" ht="11.25" customHeight="1" x14ac:dyDescent="0.2">
      <c r="A210" s="765"/>
      <c r="C210" s="769"/>
      <c r="D210" s="60"/>
      <c r="F210" s="503">
        <f t="shared" si="27"/>
        <v>2.0399999999999932E-2</v>
      </c>
      <c r="G210" s="503">
        <f t="shared" si="28"/>
        <v>2.0399999999999932E-2</v>
      </c>
      <c r="H210" s="504" t="str">
        <f t="shared" si="31"/>
        <v>Finnország</v>
      </c>
      <c r="I210" s="509" t="s">
        <v>1562</v>
      </c>
      <c r="J210" s="509" t="s">
        <v>1563</v>
      </c>
      <c r="K210" s="508">
        <v>15</v>
      </c>
      <c r="L210" s="509" t="s">
        <v>1339</v>
      </c>
      <c r="M210" s="634" t="s">
        <v>233</v>
      </c>
      <c r="N210" s="510" t="s">
        <v>1271</v>
      </c>
      <c r="O210" s="511">
        <v>35494</v>
      </c>
      <c r="P210" s="512">
        <v>24</v>
      </c>
      <c r="Q210" s="513">
        <v>176</v>
      </c>
      <c r="R210" s="514">
        <v>73</v>
      </c>
      <c r="S210" s="64"/>
      <c r="T210" s="297">
        <f t="shared" si="29"/>
        <v>0</v>
      </c>
      <c r="U210" s="518">
        <f t="shared" si="30"/>
        <v>0</v>
      </c>
      <c r="W210" s="1"/>
      <c r="X210" s="65"/>
    </row>
    <row r="211" spans="1:24" s="23" customFormat="1" ht="11.25" customHeight="1" x14ac:dyDescent="0.2">
      <c r="A211" s="765"/>
      <c r="C211" s="769"/>
      <c r="D211" s="60"/>
      <c r="F211" s="503">
        <f t="shared" si="27"/>
        <v>2.0499999999999931E-2</v>
      </c>
      <c r="G211" s="503">
        <f t="shared" si="28"/>
        <v>2.0499999999999931E-2</v>
      </c>
      <c r="H211" s="504" t="str">
        <f t="shared" si="31"/>
        <v>Finnország</v>
      </c>
      <c r="I211" s="509" t="s">
        <v>1472</v>
      </c>
      <c r="J211" s="509" t="s">
        <v>1092</v>
      </c>
      <c r="K211" s="508">
        <v>1</v>
      </c>
      <c r="L211" s="509" t="s">
        <v>704</v>
      </c>
      <c r="M211" s="634" t="s">
        <v>852</v>
      </c>
      <c r="N211" s="510" t="s">
        <v>1270</v>
      </c>
      <c r="O211" s="511">
        <v>32836</v>
      </c>
      <c r="P211" s="512">
        <v>31</v>
      </c>
      <c r="Q211" s="513">
        <v>192</v>
      </c>
      <c r="R211" s="514">
        <v>82</v>
      </c>
      <c r="S211" s="64"/>
      <c r="T211" s="297">
        <f t="shared" si="29"/>
        <v>0</v>
      </c>
      <c r="U211" s="518">
        <f t="shared" si="30"/>
        <v>0</v>
      </c>
      <c r="W211" s="1"/>
      <c r="X211" s="65"/>
    </row>
    <row r="212" spans="1:24" s="23" customFormat="1" ht="11.25" customHeight="1" x14ac:dyDescent="0.2">
      <c r="A212" s="765"/>
      <c r="C212" s="769"/>
      <c r="D212" s="60"/>
      <c r="F212" s="503">
        <f t="shared" si="27"/>
        <v>2.0599999999999931E-2</v>
      </c>
      <c r="G212" s="503">
        <f t="shared" si="28"/>
        <v>2.0599999999999931E-2</v>
      </c>
      <c r="H212" s="504" t="str">
        <f t="shared" si="31"/>
        <v>Finnország</v>
      </c>
      <c r="I212" s="509" t="s">
        <v>1564</v>
      </c>
      <c r="J212" s="509" t="s">
        <v>1112</v>
      </c>
      <c r="K212" s="508">
        <v>25</v>
      </c>
      <c r="L212" s="509" t="s">
        <v>1339</v>
      </c>
      <c r="M212" s="634" t="s">
        <v>1565</v>
      </c>
      <c r="N212" s="510" t="s">
        <v>1065</v>
      </c>
      <c r="O212" s="511">
        <v>34596</v>
      </c>
      <c r="P212" s="512">
        <v>26</v>
      </c>
      <c r="Q212" s="513">
        <v>197</v>
      </c>
      <c r="R212" s="514">
        <v>85</v>
      </c>
      <c r="S212" s="64"/>
      <c r="T212" s="297">
        <f t="shared" si="29"/>
        <v>0</v>
      </c>
      <c r="U212" s="518">
        <f t="shared" si="30"/>
        <v>0</v>
      </c>
      <c r="W212" s="1"/>
      <c r="X212" s="65"/>
    </row>
    <row r="213" spans="1:24" s="23" customFormat="1" ht="11.25" customHeight="1" x14ac:dyDescent="0.2">
      <c r="A213" s="765"/>
      <c r="C213" s="769"/>
      <c r="D213" s="60"/>
      <c r="F213" s="503">
        <f t="shared" si="27"/>
        <v>2.069999999999993E-2</v>
      </c>
      <c r="G213" s="503">
        <f t="shared" si="28"/>
        <v>2.069999999999993E-2</v>
      </c>
      <c r="H213" s="504" t="str">
        <f t="shared" si="31"/>
        <v>Finnország</v>
      </c>
      <c r="I213" s="509" t="s">
        <v>1473</v>
      </c>
      <c r="J213" s="509" t="s">
        <v>1474</v>
      </c>
      <c r="K213" s="508">
        <v>23</v>
      </c>
      <c r="L213" s="509" t="s">
        <v>704</v>
      </c>
      <c r="M213" s="634" t="s">
        <v>1475</v>
      </c>
      <c r="N213" s="510" t="s">
        <v>1271</v>
      </c>
      <c r="O213" s="511">
        <v>31849</v>
      </c>
      <c r="P213" s="512">
        <v>34</v>
      </c>
      <c r="Q213" s="513">
        <v>193</v>
      </c>
      <c r="R213" s="514">
        <v>88</v>
      </c>
      <c r="S213" s="64"/>
      <c r="T213" s="297">
        <f t="shared" si="29"/>
        <v>0</v>
      </c>
      <c r="U213" s="518">
        <f t="shared" si="30"/>
        <v>0</v>
      </c>
      <c r="W213" s="1"/>
      <c r="X213" s="65"/>
    </row>
    <row r="214" spans="1:24" s="23" customFormat="1" ht="11.25" customHeight="1" x14ac:dyDescent="0.2">
      <c r="A214" s="765"/>
      <c r="C214" s="769"/>
      <c r="D214" s="60"/>
      <c r="E214" s="66"/>
      <c r="F214" s="503">
        <f t="shared" si="27"/>
        <v>2.079999999999993E-2</v>
      </c>
      <c r="G214" s="503">
        <f t="shared" si="28"/>
        <v>2.079999999999993E-2</v>
      </c>
      <c r="H214" s="504" t="str">
        <f t="shared" si="31"/>
        <v>Finnország</v>
      </c>
      <c r="I214" s="509" t="s">
        <v>1476</v>
      </c>
      <c r="J214" s="509" t="s">
        <v>1477</v>
      </c>
      <c r="K214" s="508">
        <v>9</v>
      </c>
      <c r="L214" s="509" t="s">
        <v>703</v>
      </c>
      <c r="M214" s="634" t="s">
        <v>912</v>
      </c>
      <c r="N214" s="510" t="s">
        <v>1270</v>
      </c>
      <c r="O214" s="511">
        <v>35682</v>
      </c>
      <c r="P214" s="512">
        <v>23</v>
      </c>
      <c r="Q214" s="513">
        <v>183</v>
      </c>
      <c r="R214" s="514">
        <v>80</v>
      </c>
      <c r="S214" s="64"/>
      <c r="T214" s="297">
        <f t="shared" si="29"/>
        <v>0</v>
      </c>
      <c r="U214" s="518">
        <f t="shared" si="30"/>
        <v>0</v>
      </c>
      <c r="W214" s="1"/>
      <c r="X214" s="65"/>
    </row>
    <row r="215" spans="1:24" s="23" customFormat="1" ht="11.25" customHeight="1" x14ac:dyDescent="0.2">
      <c r="A215" s="765"/>
      <c r="C215" s="769"/>
      <c r="D215" s="60"/>
      <c r="F215" s="503">
        <f t="shared" si="27"/>
        <v>2.0899999999999929E-2</v>
      </c>
      <c r="G215" s="503">
        <f t="shared" si="28"/>
        <v>2.0899999999999929E-2</v>
      </c>
      <c r="H215" s="504" t="str">
        <f t="shared" si="31"/>
        <v>Finnország</v>
      </c>
      <c r="I215" s="509" t="s">
        <v>1478</v>
      </c>
      <c r="J215" s="509" t="s">
        <v>1479</v>
      </c>
      <c r="K215" s="508">
        <v>12</v>
      </c>
      <c r="L215" s="509" t="s">
        <v>704</v>
      </c>
      <c r="M215" s="634" t="s">
        <v>1480</v>
      </c>
      <c r="N215" s="510" t="s">
        <v>501</v>
      </c>
      <c r="O215" s="511">
        <v>34049</v>
      </c>
      <c r="P215" s="512">
        <v>28</v>
      </c>
      <c r="Q215" s="513">
        <v>197</v>
      </c>
      <c r="R215" s="514">
        <v>88</v>
      </c>
      <c r="S215" s="64"/>
      <c r="T215" s="297">
        <f t="shared" si="29"/>
        <v>0</v>
      </c>
      <c r="U215" s="518">
        <f t="shared" si="30"/>
        <v>0</v>
      </c>
      <c r="W215" s="1"/>
      <c r="X215" s="65"/>
    </row>
    <row r="216" spans="1:24" s="23" customFormat="1" ht="11.25" customHeight="1" x14ac:dyDescent="0.2">
      <c r="A216" s="765"/>
      <c r="C216" s="769"/>
      <c r="D216" s="60"/>
      <c r="F216" s="503">
        <f t="shared" si="27"/>
        <v>2.0999999999999928E-2</v>
      </c>
      <c r="G216" s="503">
        <f t="shared" si="28"/>
        <v>2.0999999999999928E-2</v>
      </c>
      <c r="H216" s="504" t="str">
        <f t="shared" si="31"/>
        <v>Finnország</v>
      </c>
      <c r="I216" s="509" t="s">
        <v>2</v>
      </c>
      <c r="J216" s="509" t="s">
        <v>3</v>
      </c>
      <c r="K216" s="508">
        <v>6</v>
      </c>
      <c r="L216" s="509" t="s">
        <v>703</v>
      </c>
      <c r="M216" s="634" t="s">
        <v>4</v>
      </c>
      <c r="N216" s="510" t="s">
        <v>935</v>
      </c>
      <c r="O216" s="511">
        <v>35000</v>
      </c>
      <c r="P216" s="512">
        <v>25</v>
      </c>
      <c r="Q216" s="513">
        <v>181</v>
      </c>
      <c r="R216" s="514">
        <v>74</v>
      </c>
      <c r="S216" s="64"/>
      <c r="T216" s="297">
        <f t="shared" si="29"/>
        <v>0</v>
      </c>
      <c r="U216" s="518">
        <f t="shared" si="30"/>
        <v>0</v>
      </c>
      <c r="W216" s="1"/>
      <c r="X216" s="65"/>
    </row>
    <row r="217" spans="1:24" s="23" customFormat="1" ht="11.25" customHeight="1" x14ac:dyDescent="0.2">
      <c r="A217" s="765"/>
      <c r="C217" s="769"/>
      <c r="D217" s="60"/>
      <c r="F217" s="503">
        <f t="shared" si="27"/>
        <v>2.1099999999999928E-2</v>
      </c>
      <c r="G217" s="503">
        <f t="shared" si="28"/>
        <v>2.1099999999999928E-2</v>
      </c>
      <c r="H217" s="504" t="str">
        <f t="shared" si="31"/>
        <v>Finnország</v>
      </c>
      <c r="I217" s="509" t="s">
        <v>5</v>
      </c>
      <c r="J217" s="509" t="s">
        <v>6</v>
      </c>
      <c r="K217" s="508">
        <v>19</v>
      </c>
      <c r="L217" s="509" t="s">
        <v>703</v>
      </c>
      <c r="M217" s="634" t="s">
        <v>7</v>
      </c>
      <c r="N217" s="510" t="s">
        <v>946</v>
      </c>
      <c r="O217" s="511">
        <v>33066</v>
      </c>
      <c r="P217" s="512">
        <v>30</v>
      </c>
      <c r="Q217" s="513">
        <v>188</v>
      </c>
      <c r="R217" s="514">
        <v>85</v>
      </c>
      <c r="S217" s="64"/>
      <c r="T217" s="297">
        <f t="shared" si="29"/>
        <v>0</v>
      </c>
      <c r="U217" s="518">
        <f t="shared" si="30"/>
        <v>0</v>
      </c>
      <c r="W217" s="1"/>
      <c r="X217" s="65"/>
    </row>
    <row r="218" spans="1:24" s="23" customFormat="1" ht="11.25" customHeight="1" x14ac:dyDescent="0.2">
      <c r="A218" s="765"/>
      <c r="C218" s="769"/>
      <c r="D218" s="60"/>
      <c r="F218" s="503">
        <f t="shared" si="27"/>
        <v>2.1199999999999927E-2</v>
      </c>
      <c r="G218" s="503">
        <f t="shared" si="28"/>
        <v>2.1199999999999927E-2</v>
      </c>
      <c r="H218" s="504" t="str">
        <f t="shared" si="31"/>
        <v>Finnország</v>
      </c>
      <c r="I218" s="509" t="s">
        <v>8</v>
      </c>
      <c r="J218" s="509" t="s">
        <v>1089</v>
      </c>
      <c r="K218" s="508">
        <v>16</v>
      </c>
      <c r="L218" s="509" t="s">
        <v>1339</v>
      </c>
      <c r="M218" s="634" t="s">
        <v>9</v>
      </c>
      <c r="N218" s="510" t="s">
        <v>867</v>
      </c>
      <c r="O218" s="511">
        <v>34321</v>
      </c>
      <c r="P218" s="512">
        <v>27</v>
      </c>
      <c r="Q218" s="513">
        <v>188</v>
      </c>
      <c r="R218" s="514">
        <v>76</v>
      </c>
      <c r="S218" s="64"/>
      <c r="T218" s="297">
        <f t="shared" si="29"/>
        <v>0</v>
      </c>
      <c r="U218" s="518">
        <f t="shared" si="30"/>
        <v>0</v>
      </c>
      <c r="W218" s="1"/>
      <c r="X218" s="65"/>
    </row>
    <row r="219" spans="1:24" s="23" customFormat="1" ht="11.25" customHeight="1" x14ac:dyDescent="0.2">
      <c r="A219" s="765"/>
      <c r="C219" s="769"/>
      <c r="D219" s="60"/>
      <c r="F219" s="503">
        <f t="shared" si="27"/>
        <v>2.1299999999999927E-2</v>
      </c>
      <c r="G219" s="503">
        <f t="shared" si="28"/>
        <v>2.1299999999999927E-2</v>
      </c>
      <c r="H219" s="504" t="str">
        <f t="shared" si="31"/>
        <v>Finnország</v>
      </c>
      <c r="I219" s="509" t="s">
        <v>10</v>
      </c>
      <c r="J219" s="509" t="s">
        <v>11</v>
      </c>
      <c r="K219" s="508">
        <v>21</v>
      </c>
      <c r="L219" s="509" t="s">
        <v>703</v>
      </c>
      <c r="M219" s="634" t="s">
        <v>600</v>
      </c>
      <c r="N219" s="510" t="s">
        <v>1217</v>
      </c>
      <c r="O219" s="511">
        <v>36031</v>
      </c>
      <c r="P219" s="512">
        <v>22</v>
      </c>
      <c r="Q219" s="513">
        <v>184</v>
      </c>
      <c r="R219" s="514">
        <v>80</v>
      </c>
      <c r="S219" s="64"/>
      <c r="T219" s="297">
        <f t="shared" si="29"/>
        <v>0</v>
      </c>
      <c r="U219" s="518">
        <f t="shared" si="30"/>
        <v>0</v>
      </c>
      <c r="W219" s="1"/>
      <c r="X219" s="65"/>
    </row>
    <row r="220" spans="1:24" s="23" customFormat="1" ht="11.25" customHeight="1" x14ac:dyDescent="0.2">
      <c r="A220" s="765"/>
      <c r="C220" s="769"/>
      <c r="D220" s="60"/>
      <c r="F220" s="503">
        <f t="shared" si="27"/>
        <v>2.1399999999999926E-2</v>
      </c>
      <c r="G220" s="503">
        <f t="shared" si="28"/>
        <v>2.1399999999999926E-2</v>
      </c>
      <c r="H220" s="504" t="str">
        <f t="shared" si="31"/>
        <v>Finnország</v>
      </c>
      <c r="I220" s="509" t="s">
        <v>12</v>
      </c>
      <c r="J220" s="509" t="s">
        <v>617</v>
      </c>
      <c r="K220" s="508">
        <v>8</v>
      </c>
      <c r="L220" s="509" t="s">
        <v>703</v>
      </c>
      <c r="M220" s="634" t="s">
        <v>13</v>
      </c>
      <c r="N220" s="510" t="s">
        <v>921</v>
      </c>
      <c r="O220" s="511">
        <v>34076</v>
      </c>
      <c r="P220" s="512">
        <v>28</v>
      </c>
      <c r="Q220" s="513">
        <v>181</v>
      </c>
      <c r="R220" s="514">
        <v>82</v>
      </c>
      <c r="S220" s="64"/>
      <c r="T220" s="297">
        <f t="shared" si="29"/>
        <v>0</v>
      </c>
      <c r="U220" s="518">
        <f t="shared" si="30"/>
        <v>0</v>
      </c>
      <c r="W220" s="1"/>
      <c r="X220" s="65"/>
    </row>
    <row r="221" spans="1:24" s="23" customFormat="1" ht="11.25" customHeight="1" x14ac:dyDescent="0.2">
      <c r="A221" s="765"/>
      <c r="C221" s="769"/>
      <c r="D221" s="60"/>
      <c r="F221" s="503">
        <f t="shared" si="27"/>
        <v>2.1499999999999925E-2</v>
      </c>
      <c r="G221" s="503">
        <f t="shared" si="28"/>
        <v>2.1499999999999925E-2</v>
      </c>
      <c r="H221" s="504" t="str">
        <f t="shared" si="31"/>
        <v>Finnország</v>
      </c>
      <c r="I221" s="509" t="s">
        <v>14</v>
      </c>
      <c r="J221" s="509" t="s">
        <v>947</v>
      </c>
      <c r="K221" s="508">
        <v>3</v>
      </c>
      <c r="L221" s="509" t="s">
        <v>1339</v>
      </c>
      <c r="M221" s="634" t="s">
        <v>15</v>
      </c>
      <c r="N221" s="510" t="s">
        <v>1</v>
      </c>
      <c r="O221" s="511">
        <v>34591</v>
      </c>
      <c r="P221" s="512">
        <v>26</v>
      </c>
      <c r="Q221" s="513">
        <v>190</v>
      </c>
      <c r="R221" s="514">
        <v>85</v>
      </c>
      <c r="S221" s="64"/>
      <c r="T221" s="297">
        <f t="shared" si="29"/>
        <v>0</v>
      </c>
      <c r="U221" s="518">
        <f t="shared" si="30"/>
        <v>0</v>
      </c>
      <c r="W221" s="1"/>
      <c r="X221" s="65"/>
    </row>
    <row r="222" spans="1:24" s="23" customFormat="1" ht="11.25" customHeight="1" x14ac:dyDescent="0.2">
      <c r="A222" s="765"/>
      <c r="C222" s="769"/>
      <c r="D222" s="60"/>
      <c r="F222" s="503">
        <f t="shared" si="27"/>
        <v>2.1599999999999925E-2</v>
      </c>
      <c r="G222" s="503">
        <f t="shared" si="28"/>
        <v>2.1599999999999925E-2</v>
      </c>
      <c r="H222" s="504" t="str">
        <f t="shared" si="31"/>
        <v>Finnország</v>
      </c>
      <c r="I222" s="509" t="s">
        <v>16</v>
      </c>
      <c r="J222" s="509" t="s">
        <v>17</v>
      </c>
      <c r="K222" s="508">
        <v>20</v>
      </c>
      <c r="L222" s="509" t="s">
        <v>1357</v>
      </c>
      <c r="M222" s="634" t="s">
        <v>18</v>
      </c>
      <c r="N222" s="510" t="s">
        <v>1270</v>
      </c>
      <c r="O222" s="511">
        <v>34590</v>
      </c>
      <c r="P222" s="512">
        <v>26</v>
      </c>
      <c r="Q222" s="513">
        <v>186</v>
      </c>
      <c r="R222" s="514">
        <v>84</v>
      </c>
      <c r="S222" s="64"/>
      <c r="T222" s="297">
        <f t="shared" si="29"/>
        <v>0</v>
      </c>
      <c r="U222" s="518">
        <f t="shared" si="30"/>
        <v>0</v>
      </c>
      <c r="W222" s="1"/>
      <c r="X222" s="65"/>
    </row>
    <row r="223" spans="1:24" s="23" customFormat="1" ht="11.25" customHeight="1" x14ac:dyDescent="0.2">
      <c r="A223" s="765"/>
      <c r="C223" s="769"/>
      <c r="D223" s="60"/>
      <c r="F223" s="503">
        <f t="shared" si="27"/>
        <v>2.1699999999999924E-2</v>
      </c>
      <c r="G223" s="503">
        <f t="shared" si="28"/>
        <v>2.1699999999999924E-2</v>
      </c>
      <c r="H223" s="504" t="str">
        <f t="shared" si="31"/>
        <v>Finnország</v>
      </c>
      <c r="I223" s="509" t="s">
        <v>19</v>
      </c>
      <c r="J223" s="509" t="s">
        <v>20</v>
      </c>
      <c r="K223" s="508">
        <v>10</v>
      </c>
      <c r="L223" s="509" t="s">
        <v>1357</v>
      </c>
      <c r="M223" s="634" t="s">
        <v>909</v>
      </c>
      <c r="N223" s="510" t="s">
        <v>1271</v>
      </c>
      <c r="O223" s="511">
        <v>32961</v>
      </c>
      <c r="P223" s="512">
        <v>31</v>
      </c>
      <c r="Q223" s="513">
        <v>180</v>
      </c>
      <c r="R223" s="514">
        <v>73</v>
      </c>
      <c r="S223" s="64"/>
      <c r="T223" s="297">
        <f t="shared" si="29"/>
        <v>0</v>
      </c>
      <c r="U223" s="518">
        <f t="shared" si="30"/>
        <v>0</v>
      </c>
      <c r="W223" s="1"/>
      <c r="X223" s="65"/>
    </row>
    <row r="224" spans="1:24" s="23" customFormat="1" ht="11.25" customHeight="1" x14ac:dyDescent="0.2">
      <c r="A224" s="765"/>
      <c r="C224" s="769"/>
      <c r="D224" s="60"/>
      <c r="F224" s="503">
        <f t="shared" si="27"/>
        <v>2.1799999999999924E-2</v>
      </c>
      <c r="G224" s="503">
        <f t="shared" si="28"/>
        <v>2.1799999999999924E-2</v>
      </c>
      <c r="H224" s="504" t="str">
        <f t="shared" si="31"/>
        <v>Finnország</v>
      </c>
      <c r="I224" s="509" t="s">
        <v>21</v>
      </c>
      <c r="J224" s="509" t="s">
        <v>22</v>
      </c>
      <c r="K224" s="508">
        <v>22</v>
      </c>
      <c r="L224" s="509" t="s">
        <v>1339</v>
      </c>
      <c r="M224" s="634" t="s">
        <v>600</v>
      </c>
      <c r="N224" s="510" t="s">
        <v>1217</v>
      </c>
      <c r="O224" s="511">
        <v>32401</v>
      </c>
      <c r="P224" s="512">
        <v>32</v>
      </c>
      <c r="Q224" s="513">
        <v>181</v>
      </c>
      <c r="R224" s="514">
        <v>76</v>
      </c>
      <c r="S224" s="64"/>
      <c r="T224" s="297">
        <f t="shared" si="29"/>
        <v>0</v>
      </c>
      <c r="U224" s="518">
        <f t="shared" si="30"/>
        <v>0</v>
      </c>
      <c r="W224" s="1"/>
      <c r="X224" s="65"/>
    </row>
    <row r="225" spans="1:24" s="23" customFormat="1" ht="11.25" customHeight="1" x14ac:dyDescent="0.2">
      <c r="A225" s="765"/>
      <c r="C225" s="769"/>
      <c r="D225" s="60"/>
      <c r="F225" s="503">
        <f t="shared" si="27"/>
        <v>2.1899999999999923E-2</v>
      </c>
      <c r="G225" s="503">
        <f t="shared" si="28"/>
        <v>2.1899999999999923E-2</v>
      </c>
      <c r="H225" s="504" t="str">
        <f t="shared" si="31"/>
        <v>Finnország</v>
      </c>
      <c r="I225" s="509" t="s">
        <v>23</v>
      </c>
      <c r="J225" s="509" t="s">
        <v>1459</v>
      </c>
      <c r="K225" s="508">
        <v>11</v>
      </c>
      <c r="L225" s="509" t="s">
        <v>703</v>
      </c>
      <c r="M225" s="634" t="s">
        <v>15</v>
      </c>
      <c r="N225" s="510" t="s">
        <v>1</v>
      </c>
      <c r="O225" s="511">
        <v>33407</v>
      </c>
      <c r="P225" s="512">
        <v>29</v>
      </c>
      <c r="Q225" s="513">
        <v>177</v>
      </c>
      <c r="R225" s="514">
        <v>67</v>
      </c>
      <c r="S225" s="64"/>
      <c r="T225" s="297">
        <f t="shared" si="29"/>
        <v>0</v>
      </c>
      <c r="U225" s="518">
        <f t="shared" si="30"/>
        <v>0</v>
      </c>
      <c r="W225" s="1"/>
      <c r="X225" s="65"/>
    </row>
    <row r="226" spans="1:24" s="23" customFormat="1" ht="11.25" customHeight="1" x14ac:dyDescent="0.2">
      <c r="A226" s="765"/>
      <c r="C226" s="769"/>
      <c r="D226" s="60"/>
      <c r="F226" s="503">
        <f t="shared" si="27"/>
        <v>2.1999999999999922E-2</v>
      </c>
      <c r="G226" s="503">
        <f t="shared" si="28"/>
        <v>2.1999999999999922E-2</v>
      </c>
      <c r="H226" s="504" t="str">
        <f t="shared" si="31"/>
        <v>Finnország</v>
      </c>
      <c r="I226" s="509" t="s">
        <v>24</v>
      </c>
      <c r="J226" s="509" t="s">
        <v>25</v>
      </c>
      <c r="K226" s="508">
        <v>13</v>
      </c>
      <c r="L226" s="509" t="s">
        <v>703</v>
      </c>
      <c r="M226" s="634" t="s">
        <v>7</v>
      </c>
      <c r="N226" s="510" t="s">
        <v>946</v>
      </c>
      <c r="O226" s="511">
        <v>34599</v>
      </c>
      <c r="P226" s="512">
        <v>26</v>
      </c>
      <c r="Q226" s="513">
        <v>183</v>
      </c>
      <c r="R226" s="514">
        <v>64</v>
      </c>
      <c r="S226" s="64"/>
      <c r="T226" s="297">
        <f t="shared" si="29"/>
        <v>0</v>
      </c>
      <c r="U226" s="518">
        <f t="shared" si="30"/>
        <v>0</v>
      </c>
      <c r="W226" s="1"/>
      <c r="X226" s="65"/>
    </row>
    <row r="227" spans="1:24" s="23" customFormat="1" ht="11.25" customHeight="1" x14ac:dyDescent="0.2">
      <c r="A227" s="765"/>
      <c r="C227" s="769"/>
      <c r="D227" s="60"/>
      <c r="F227" s="503">
        <f t="shared" si="27"/>
        <v>2.2099999999999922E-2</v>
      </c>
      <c r="G227" s="503">
        <f t="shared" si="28"/>
        <v>2.2099999999999922E-2</v>
      </c>
      <c r="H227" s="504" t="str">
        <f t="shared" si="31"/>
        <v>Finnország</v>
      </c>
      <c r="I227" s="509" t="s">
        <v>26</v>
      </c>
      <c r="J227" s="509" t="s">
        <v>27</v>
      </c>
      <c r="K227" s="508">
        <v>14</v>
      </c>
      <c r="L227" s="509" t="s">
        <v>703</v>
      </c>
      <c r="M227" s="634" t="s">
        <v>28</v>
      </c>
      <c r="N227" s="510" t="s">
        <v>846</v>
      </c>
      <c r="O227" s="511">
        <v>31828</v>
      </c>
      <c r="P227" s="512">
        <v>34</v>
      </c>
      <c r="Q227" s="513">
        <v>194</v>
      </c>
      <c r="R227" s="514">
        <v>78</v>
      </c>
      <c r="S227" s="64"/>
      <c r="T227" s="297">
        <f t="shared" si="29"/>
        <v>0</v>
      </c>
      <c r="U227" s="518">
        <f t="shared" si="30"/>
        <v>0</v>
      </c>
      <c r="W227" s="1"/>
      <c r="X227" s="65"/>
    </row>
    <row r="228" spans="1:24" s="23" customFormat="1" ht="11.25" customHeight="1" x14ac:dyDescent="0.2">
      <c r="A228" s="765"/>
      <c r="C228" s="769"/>
      <c r="D228" s="60"/>
      <c r="F228" s="503">
        <f t="shared" si="27"/>
        <v>2.2199999999999921E-2</v>
      </c>
      <c r="G228" s="503">
        <f t="shared" si="28"/>
        <v>2.2199999999999921E-2</v>
      </c>
      <c r="H228" s="504" t="str">
        <f t="shared" si="31"/>
        <v>Finnország</v>
      </c>
      <c r="I228" s="509" t="s">
        <v>1566</v>
      </c>
      <c r="J228" s="509" t="s">
        <v>1112</v>
      </c>
      <c r="K228" s="508">
        <v>7</v>
      </c>
      <c r="L228" s="509" t="s">
        <v>703</v>
      </c>
      <c r="M228" s="634" t="s">
        <v>1567</v>
      </c>
      <c r="N228" s="510" t="s">
        <v>1568</v>
      </c>
      <c r="O228" s="511">
        <v>34628</v>
      </c>
      <c r="P228" s="512">
        <v>26</v>
      </c>
      <c r="Q228" s="513">
        <v>182</v>
      </c>
      <c r="R228" s="514">
        <v>78</v>
      </c>
      <c r="S228" s="64"/>
      <c r="T228" s="297">
        <f t="shared" si="29"/>
        <v>0</v>
      </c>
      <c r="U228" s="518">
        <f t="shared" si="30"/>
        <v>0</v>
      </c>
      <c r="W228" s="1"/>
      <c r="X228" s="65"/>
    </row>
    <row r="229" spans="1:24" s="23" customFormat="1" ht="11.25" customHeight="1" x14ac:dyDescent="0.2">
      <c r="A229" s="765"/>
      <c r="C229" s="769"/>
      <c r="D229" s="60"/>
      <c r="F229" s="503">
        <f t="shared" si="27"/>
        <v>2.2299999999999921E-2</v>
      </c>
      <c r="G229" s="503">
        <f t="shared" si="28"/>
        <v>2.2299999999999921E-2</v>
      </c>
      <c r="H229" s="504" t="str">
        <f t="shared" si="31"/>
        <v>Finnország</v>
      </c>
      <c r="I229" s="509" t="s">
        <v>1569</v>
      </c>
      <c r="J229" s="509" t="s">
        <v>1570</v>
      </c>
      <c r="K229" s="508">
        <v>4</v>
      </c>
      <c r="L229" s="509" t="s">
        <v>1339</v>
      </c>
      <c r="M229" s="634" t="s">
        <v>1571</v>
      </c>
      <c r="N229" s="510" t="s">
        <v>914</v>
      </c>
      <c r="O229" s="511">
        <v>32212</v>
      </c>
      <c r="P229" s="512">
        <v>33</v>
      </c>
      <c r="Q229" s="513">
        <v>186</v>
      </c>
      <c r="R229" s="514">
        <v>87</v>
      </c>
      <c r="S229" s="64"/>
      <c r="T229" s="297">
        <f t="shared" si="29"/>
        <v>0</v>
      </c>
      <c r="U229" s="518">
        <f t="shared" si="30"/>
        <v>0</v>
      </c>
      <c r="W229" s="640"/>
      <c r="X229" s="65"/>
    </row>
    <row r="230" spans="1:24" s="23" customFormat="1" ht="11.25" customHeight="1" x14ac:dyDescent="0.2">
      <c r="A230" s="765"/>
      <c r="C230" s="769"/>
      <c r="D230" s="60"/>
      <c r="F230" s="503">
        <f t="shared" si="27"/>
        <v>2.239999999999992E-2</v>
      </c>
      <c r="G230" s="503">
        <f t="shared" si="28"/>
        <v>2.239999999999992E-2</v>
      </c>
      <c r="H230" s="504" t="str">
        <f t="shared" si="31"/>
        <v>Finnország</v>
      </c>
      <c r="I230" s="509" t="s">
        <v>1572</v>
      </c>
      <c r="J230" s="509" t="s">
        <v>1573</v>
      </c>
      <c r="K230" s="508">
        <v>18</v>
      </c>
      <c r="L230" s="509" t="s">
        <v>1339</v>
      </c>
      <c r="M230" s="634" t="s">
        <v>603</v>
      </c>
      <c r="N230" s="510" t="s">
        <v>860</v>
      </c>
      <c r="O230" s="511">
        <v>34528</v>
      </c>
      <c r="P230" s="512">
        <v>26</v>
      </c>
      <c r="Q230" s="513">
        <v>177</v>
      </c>
      <c r="R230" s="514">
        <v>70</v>
      </c>
      <c r="S230" s="64"/>
      <c r="T230" s="297">
        <f t="shared" si="29"/>
        <v>0</v>
      </c>
      <c r="U230" s="518">
        <f t="shared" si="30"/>
        <v>0</v>
      </c>
      <c r="W230" s="640"/>
      <c r="X230" s="65"/>
    </row>
    <row r="231" spans="1:24" s="23" customFormat="1" ht="11.25" customHeight="1" x14ac:dyDescent="0.2">
      <c r="A231" s="765"/>
      <c r="C231" s="769"/>
      <c r="D231" s="60"/>
      <c r="F231" s="503">
        <f t="shared" si="27"/>
        <v>2.2499999999999919E-2</v>
      </c>
      <c r="G231" s="503">
        <f t="shared" si="28"/>
        <v>2.2499999999999919E-2</v>
      </c>
      <c r="H231" s="504" t="str">
        <f t="shared" si="31"/>
        <v>Finnország</v>
      </c>
      <c r="I231" s="509" t="s">
        <v>1574</v>
      </c>
      <c r="J231" s="509" t="s">
        <v>1575</v>
      </c>
      <c r="K231" s="508">
        <v>5</v>
      </c>
      <c r="L231" s="509" t="s">
        <v>1339</v>
      </c>
      <c r="M231" s="634" t="s">
        <v>1576</v>
      </c>
      <c r="N231" s="510" t="s">
        <v>914</v>
      </c>
      <c r="O231" s="511">
        <v>34490</v>
      </c>
      <c r="P231" s="512">
        <v>27</v>
      </c>
      <c r="Q231" s="513">
        <v>190</v>
      </c>
      <c r="R231" s="514">
        <v>75</v>
      </c>
      <c r="S231" s="64"/>
      <c r="T231" s="297">
        <f t="shared" si="29"/>
        <v>0</v>
      </c>
      <c r="U231" s="518">
        <f t="shared" si="30"/>
        <v>0</v>
      </c>
      <c r="W231" s="640"/>
      <c r="X231" s="65"/>
    </row>
    <row r="232" spans="1:24" s="23" customFormat="1" ht="11.25" customHeight="1" x14ac:dyDescent="0.2">
      <c r="A232" s="765"/>
      <c r="C232" s="769"/>
      <c r="D232" s="60"/>
      <c r="F232" s="503">
        <f t="shared" si="27"/>
        <v>2.2599999999999919E-2</v>
      </c>
      <c r="G232" s="503">
        <f t="shared" si="28"/>
        <v>2.2599999999999919E-2</v>
      </c>
      <c r="H232" s="504" t="str">
        <f t="shared" si="31"/>
        <v>Finnország</v>
      </c>
      <c r="I232" s="555" t="s">
        <v>1577</v>
      </c>
      <c r="J232" s="555" t="s">
        <v>1578</v>
      </c>
      <c r="K232" s="554">
        <v>24</v>
      </c>
      <c r="L232" s="555" t="s">
        <v>703</v>
      </c>
      <c r="M232" s="635" t="s">
        <v>1469</v>
      </c>
      <c r="N232" s="556" t="s">
        <v>1470</v>
      </c>
      <c r="O232" s="557">
        <v>36390</v>
      </c>
      <c r="P232" s="558">
        <v>21</v>
      </c>
      <c r="Q232" s="559">
        <v>187</v>
      </c>
      <c r="R232" s="560">
        <v>76</v>
      </c>
      <c r="S232" s="64"/>
      <c r="T232" s="297">
        <f t="shared" si="29"/>
        <v>0</v>
      </c>
      <c r="U232" s="518">
        <f t="shared" si="30"/>
        <v>0</v>
      </c>
      <c r="W232" s="640"/>
      <c r="X232" s="65"/>
    </row>
    <row r="233" spans="1:24" s="23" customFormat="1" ht="9.75" hidden="1" customHeight="1" x14ac:dyDescent="0.2">
      <c r="A233" s="765"/>
      <c r="C233" s="769"/>
      <c r="D233" s="60"/>
      <c r="F233" s="503">
        <f t="shared" si="27"/>
        <v>2.2699999999999918E-2</v>
      </c>
      <c r="G233" s="503">
        <f t="shared" si="28"/>
        <v>0</v>
      </c>
      <c r="H233" s="504" t="str">
        <f t="shared" si="31"/>
        <v>Finnország</v>
      </c>
      <c r="I233" s="61"/>
      <c r="J233" s="61"/>
      <c r="K233" s="295"/>
      <c r="L233" s="61"/>
      <c r="M233" s="633"/>
      <c r="N233" s="256"/>
      <c r="O233" s="62"/>
      <c r="P233" s="253"/>
      <c r="Q233" s="63"/>
      <c r="R233" s="252"/>
      <c r="S233" s="64"/>
      <c r="T233" s="297" t="str">
        <f t="shared" si="29"/>
        <v/>
      </c>
      <c r="U233" s="518" t="str">
        <f t="shared" si="30"/>
        <v/>
      </c>
      <c r="W233" s="640"/>
      <c r="X233" s="65"/>
    </row>
    <row r="234" spans="1:24" s="23" customFormat="1" ht="9.75" hidden="1" customHeight="1" x14ac:dyDescent="0.2">
      <c r="A234" s="765"/>
      <c r="C234" s="769"/>
      <c r="D234" s="60"/>
      <c r="F234" s="503">
        <f t="shared" si="27"/>
        <v>2.2799999999999918E-2</v>
      </c>
      <c r="G234" s="503">
        <f t="shared" si="28"/>
        <v>0</v>
      </c>
      <c r="H234" s="504" t="str">
        <f t="shared" si="31"/>
        <v>Finnország</v>
      </c>
      <c r="I234" s="61"/>
      <c r="J234" s="61"/>
      <c r="K234" s="295"/>
      <c r="L234" s="61"/>
      <c r="M234" s="633"/>
      <c r="N234" s="256"/>
      <c r="O234" s="62"/>
      <c r="P234" s="253"/>
      <c r="Q234" s="63"/>
      <c r="R234" s="252"/>
      <c r="S234" s="64"/>
      <c r="T234" s="297" t="str">
        <f t="shared" si="29"/>
        <v/>
      </c>
      <c r="U234" s="518" t="str">
        <f t="shared" si="30"/>
        <v/>
      </c>
      <c r="W234" s="640"/>
      <c r="X234" s="65"/>
    </row>
    <row r="235" spans="1:24" s="23" customFormat="1" ht="9.75" hidden="1" customHeight="1" x14ac:dyDescent="0.2">
      <c r="A235" s="765"/>
      <c r="C235" s="769"/>
      <c r="D235" s="60"/>
      <c r="F235" s="503">
        <f t="shared" si="27"/>
        <v>2.2899999999999917E-2</v>
      </c>
      <c r="G235" s="503">
        <f t="shared" si="28"/>
        <v>0</v>
      </c>
      <c r="H235" s="504" t="str">
        <f t="shared" si="31"/>
        <v>Finnország</v>
      </c>
      <c r="I235" s="61"/>
      <c r="J235" s="61"/>
      <c r="K235" s="295"/>
      <c r="L235" s="61"/>
      <c r="M235" s="633"/>
      <c r="N235" s="256"/>
      <c r="O235" s="62"/>
      <c r="P235" s="253"/>
      <c r="Q235" s="63"/>
      <c r="R235" s="252"/>
      <c r="S235" s="64"/>
      <c r="T235" s="297" t="str">
        <f t="shared" si="29"/>
        <v/>
      </c>
      <c r="U235" s="518" t="str">
        <f t="shared" si="30"/>
        <v/>
      </c>
      <c r="W235" s="640"/>
      <c r="X235" s="65"/>
    </row>
    <row r="236" spans="1:24" s="23" customFormat="1" ht="9.75" hidden="1" customHeight="1" x14ac:dyDescent="0.2">
      <c r="A236" s="765"/>
      <c r="C236" s="769"/>
      <c r="D236" s="60"/>
      <c r="F236" s="503">
        <f t="shared" si="27"/>
        <v>2.2999999999999916E-2</v>
      </c>
      <c r="G236" s="503">
        <f t="shared" si="28"/>
        <v>0</v>
      </c>
      <c r="H236" s="504" t="str">
        <f>H235</f>
        <v>Finnország</v>
      </c>
      <c r="I236" s="61"/>
      <c r="J236" s="61"/>
      <c r="K236" s="295"/>
      <c r="L236" s="61"/>
      <c r="M236" s="633"/>
      <c r="N236" s="256"/>
      <c r="O236" s="62"/>
      <c r="P236" s="253"/>
      <c r="Q236" s="63"/>
      <c r="R236" s="252"/>
      <c r="S236" s="64"/>
      <c r="T236" s="297" t="str">
        <f t="shared" si="29"/>
        <v/>
      </c>
      <c r="U236" s="518" t="str">
        <f t="shared" si="30"/>
        <v/>
      </c>
      <c r="W236" s="640"/>
      <c r="X236" s="65"/>
    </row>
    <row r="237" spans="1:24" s="23" customFormat="1" ht="4.5" customHeight="1" x14ac:dyDescent="0.25">
      <c r="A237" s="765"/>
      <c r="C237" s="769"/>
      <c r="D237" s="60"/>
      <c r="F237" s="503">
        <f t="shared" si="27"/>
        <v>2.3099999999999916E-2</v>
      </c>
      <c r="G237" s="503"/>
      <c r="H237" s="505"/>
      <c r="I237" s="67"/>
      <c r="J237" s="67"/>
      <c r="K237" s="22"/>
      <c r="L237" s="67"/>
      <c r="M237" s="22"/>
      <c r="N237" s="68"/>
      <c r="O237" s="67"/>
      <c r="P237" s="69"/>
      <c r="Q237" s="70"/>
      <c r="R237" s="71"/>
      <c r="S237" s="71"/>
      <c r="T237" s="298"/>
      <c r="U237" s="299"/>
      <c r="W237" s="641"/>
      <c r="X237" s="67"/>
    </row>
    <row r="238" spans="1:24" s="21" customFormat="1" ht="9.75" customHeight="1" x14ac:dyDescent="0.2">
      <c r="A238" s="765"/>
      <c r="C238" s="769"/>
      <c r="D238" s="60"/>
      <c r="F238" s="503">
        <f t="shared" si="27"/>
        <v>2.3199999999999915E-2</v>
      </c>
      <c r="G238" s="503"/>
      <c r="H238" s="303"/>
      <c r="I238" s="74" t="s">
        <v>542</v>
      </c>
      <c r="J238" s="75" t="s">
        <v>29</v>
      </c>
      <c r="K238" s="75"/>
      <c r="L238" s="75"/>
      <c r="M238" s="636"/>
      <c r="N238" s="76"/>
      <c r="O238" s="74" t="s">
        <v>495</v>
      </c>
      <c r="P238" s="254">
        <f>AVERAGE(P207:P236)</f>
        <v>27.53846153846154</v>
      </c>
      <c r="Q238" s="77">
        <f>AVERAGE(Q207:Q236)</f>
        <v>185.53846153846155</v>
      </c>
      <c r="R238" s="255">
        <f>AVERAGE(R207:R236)</f>
        <v>78.884615384615387</v>
      </c>
      <c r="S238" s="78"/>
      <c r="T238" s="297">
        <f>SUM(T207:T236)</f>
        <v>0</v>
      </c>
      <c r="U238" s="518">
        <f>SUM(U207:U236)</f>
        <v>0</v>
      </c>
      <c r="W238" s="642" t="s">
        <v>879</v>
      </c>
      <c r="X238" s="79"/>
    </row>
    <row r="239" spans="1:24" ht="9.75" customHeight="1" x14ac:dyDescent="0.3">
      <c r="A239" s="765"/>
      <c r="F239" s="503">
        <f t="shared" si="27"/>
        <v>2.3299999999999915E-2</v>
      </c>
      <c r="G239" s="503"/>
    </row>
    <row r="240" spans="1:24" ht="9.75" customHeight="1" x14ac:dyDescent="0.3">
      <c r="A240" s="765"/>
      <c r="F240" s="503">
        <f t="shared" si="27"/>
        <v>2.3399999999999914E-2</v>
      </c>
      <c r="G240" s="503"/>
    </row>
    <row r="241" spans="1:24" ht="9.75" customHeight="1" x14ac:dyDescent="0.3">
      <c r="A241" s="765"/>
      <c r="F241" s="503">
        <f t="shared" si="27"/>
        <v>2.3499999999999913E-2</v>
      </c>
      <c r="G241" s="503"/>
    </row>
    <row r="242" spans="1:24" ht="9.75" customHeight="1" x14ac:dyDescent="0.3">
      <c r="A242" s="765"/>
      <c r="F242" s="503">
        <f t="shared" si="27"/>
        <v>2.3599999999999913E-2</v>
      </c>
    </row>
    <row r="243" spans="1:24" ht="9.75" customHeight="1" x14ac:dyDescent="0.3">
      <c r="A243" s="765"/>
      <c r="F243" s="503">
        <f t="shared" si="27"/>
        <v>2.3699999999999912E-2</v>
      </c>
    </row>
    <row r="244" spans="1:24" ht="9.75" customHeight="1" x14ac:dyDescent="0.3">
      <c r="A244" s="765"/>
      <c r="F244" s="503">
        <f t="shared" si="27"/>
        <v>2.3799999999999912E-2</v>
      </c>
    </row>
    <row r="245" spans="1:24" ht="9.75" customHeight="1" x14ac:dyDescent="0.3">
      <c r="A245" s="765"/>
      <c r="F245" s="503">
        <f t="shared" si="27"/>
        <v>2.3899999999999911E-2</v>
      </c>
    </row>
    <row r="246" spans="1:24" s="23" customFormat="1" ht="5.25" customHeight="1" x14ac:dyDescent="0.2">
      <c r="A246" s="765"/>
      <c r="C246" s="21"/>
      <c r="F246" s="503">
        <f t="shared" si="27"/>
        <v>2.399999999999991E-2</v>
      </c>
      <c r="G246" s="506"/>
      <c r="H246" s="502"/>
      <c r="I246" s="55"/>
      <c r="J246" s="55"/>
      <c r="K246" s="56"/>
      <c r="L246" s="55"/>
      <c r="M246" s="56"/>
      <c r="N246" s="57"/>
      <c r="O246" s="57"/>
      <c r="P246" s="55"/>
      <c r="Q246" s="57"/>
      <c r="R246" s="57"/>
      <c r="S246" s="57"/>
      <c r="T246" s="58"/>
      <c r="U246" s="59"/>
      <c r="W246" s="639"/>
      <c r="X246" s="55"/>
    </row>
    <row r="247" spans="1:24" s="23" customFormat="1" ht="11.25" customHeight="1" x14ac:dyDescent="0.2">
      <c r="A247" s="765"/>
      <c r="C247" s="769" t="str">
        <f>UPPER(H247)&amp;"    ."</f>
        <v>BELGIUM    .</v>
      </c>
      <c r="D247" s="60"/>
      <c r="F247" s="503">
        <f t="shared" si="27"/>
        <v>2.409999999999991E-2</v>
      </c>
      <c r="G247" s="503">
        <f t="shared" ref="G247:G276" si="32">IF(I247="",0,T247+F247)</f>
        <v>2.409999999999991E-2</v>
      </c>
      <c r="H247" s="504" t="str">
        <f>Adatok!B4</f>
        <v>Belgium</v>
      </c>
      <c r="I247" s="61" t="s">
        <v>1137</v>
      </c>
      <c r="J247" s="61" t="s">
        <v>1138</v>
      </c>
      <c r="K247" s="295">
        <v>2</v>
      </c>
      <c r="L247" s="61" t="s">
        <v>1339</v>
      </c>
      <c r="M247" s="633" t="s">
        <v>816</v>
      </c>
      <c r="N247" s="256" t="s">
        <v>1271</v>
      </c>
      <c r="O247" s="62">
        <v>32569</v>
      </c>
      <c r="P247" s="253">
        <v>32</v>
      </c>
      <c r="Q247" s="63">
        <v>187</v>
      </c>
      <c r="R247" s="252">
        <v>91</v>
      </c>
      <c r="S247" s="64"/>
      <c r="T247" s="297">
        <f t="shared" ref="T247:T276" si="33">IF(I247="","",COUNTIF(nevek.s,CONCATENATE(H247,I247)))</f>
        <v>0</v>
      </c>
      <c r="U247" s="518">
        <f t="shared" ref="U247:U276" si="34">IF(I247="","",COUNTIF(nevek.s,CONCATENATE("ö",H247,I247)))</f>
        <v>0</v>
      </c>
      <c r="W247" s="3"/>
      <c r="X247" s="65"/>
    </row>
    <row r="248" spans="1:24" s="23" customFormat="1" ht="11.25" customHeight="1" x14ac:dyDescent="0.2">
      <c r="A248" s="765"/>
      <c r="C248" s="769"/>
      <c r="D248" s="60"/>
      <c r="F248" s="503">
        <f t="shared" si="27"/>
        <v>2.4199999999999909E-2</v>
      </c>
      <c r="G248" s="503">
        <f t="shared" si="32"/>
        <v>2.4199999999999909E-2</v>
      </c>
      <c r="H248" s="504" t="str">
        <f>H247</f>
        <v>Belgium</v>
      </c>
      <c r="I248" s="509" t="s">
        <v>1139</v>
      </c>
      <c r="J248" s="509" t="s">
        <v>1140</v>
      </c>
      <c r="K248" s="508">
        <v>23</v>
      </c>
      <c r="L248" s="509" t="s">
        <v>1357</v>
      </c>
      <c r="M248" s="634" t="s">
        <v>925</v>
      </c>
      <c r="N248" s="510" t="s">
        <v>1271</v>
      </c>
      <c r="O248" s="511">
        <v>34244</v>
      </c>
      <c r="P248" s="512">
        <v>27</v>
      </c>
      <c r="Q248" s="513">
        <v>185</v>
      </c>
      <c r="R248" s="514">
        <v>88</v>
      </c>
      <c r="S248" s="64"/>
      <c r="T248" s="297">
        <f t="shared" si="33"/>
        <v>0</v>
      </c>
      <c r="U248" s="518">
        <f t="shared" si="34"/>
        <v>0</v>
      </c>
      <c r="W248" s="1"/>
      <c r="X248" s="65"/>
    </row>
    <row r="249" spans="1:24" s="23" customFormat="1" ht="11.25" customHeight="1" x14ac:dyDescent="0.2">
      <c r="A249" s="765"/>
      <c r="C249" s="769"/>
      <c r="D249" s="60"/>
      <c r="F249" s="503">
        <f t="shared" si="27"/>
        <v>2.4299999999999908E-2</v>
      </c>
      <c r="G249" s="503">
        <f t="shared" si="32"/>
        <v>2.4299999999999908E-2</v>
      </c>
      <c r="H249" s="504" t="str">
        <f t="shared" ref="H249:H276" si="35">H248</f>
        <v>Belgium</v>
      </c>
      <c r="I249" s="509" t="s">
        <v>1141</v>
      </c>
      <c r="J249" s="509" t="s">
        <v>943</v>
      </c>
      <c r="K249" s="508">
        <v>20</v>
      </c>
      <c r="L249" s="509" t="s">
        <v>1357</v>
      </c>
      <c r="M249" s="634" t="s">
        <v>925</v>
      </c>
      <c r="N249" s="510" t="s">
        <v>1271</v>
      </c>
      <c r="O249" s="511">
        <v>33210</v>
      </c>
      <c r="P249" s="512">
        <v>30</v>
      </c>
      <c r="Q249" s="513">
        <v>190</v>
      </c>
      <c r="R249" s="514">
        <v>83</v>
      </c>
      <c r="S249" s="64"/>
      <c r="T249" s="297">
        <f t="shared" si="33"/>
        <v>0</v>
      </c>
      <c r="U249" s="518">
        <f t="shared" si="34"/>
        <v>0</v>
      </c>
      <c r="W249" s="1"/>
      <c r="X249" s="65"/>
    </row>
    <row r="250" spans="1:24" s="23" customFormat="1" ht="11.25" customHeight="1" x14ac:dyDescent="0.2">
      <c r="A250" s="765"/>
      <c r="C250" s="769"/>
      <c r="D250" s="60"/>
      <c r="F250" s="503">
        <f t="shared" si="27"/>
        <v>2.4399999999999908E-2</v>
      </c>
      <c r="G250" s="503">
        <f t="shared" si="32"/>
        <v>2.4399999999999908E-2</v>
      </c>
      <c r="H250" s="504" t="str">
        <f t="shared" si="35"/>
        <v>Belgium</v>
      </c>
      <c r="I250" s="509" t="s">
        <v>30</v>
      </c>
      <c r="J250" s="509" t="s">
        <v>31</v>
      </c>
      <c r="K250" s="508">
        <v>4</v>
      </c>
      <c r="L250" s="509" t="s">
        <v>1339</v>
      </c>
      <c r="M250" s="634" t="s">
        <v>1019</v>
      </c>
      <c r="N250" s="510" t="s">
        <v>1270</v>
      </c>
      <c r="O250" s="511">
        <v>33205</v>
      </c>
      <c r="P250" s="512">
        <v>30</v>
      </c>
      <c r="Q250" s="513">
        <v>188</v>
      </c>
      <c r="R250" s="514">
        <v>84</v>
      </c>
      <c r="S250" s="64"/>
      <c r="T250" s="297">
        <f t="shared" si="33"/>
        <v>0</v>
      </c>
      <c r="U250" s="518">
        <f t="shared" si="34"/>
        <v>0</v>
      </c>
      <c r="W250" s="1"/>
      <c r="X250" s="65"/>
    </row>
    <row r="251" spans="1:24" s="23" customFormat="1" ht="11.25" customHeight="1" x14ac:dyDescent="0.2">
      <c r="A251" s="765"/>
      <c r="C251" s="769"/>
      <c r="D251" s="60"/>
      <c r="F251" s="503">
        <f t="shared" si="27"/>
        <v>2.4499999999999907E-2</v>
      </c>
      <c r="G251" s="503">
        <f t="shared" si="32"/>
        <v>2.4499999999999907E-2</v>
      </c>
      <c r="H251" s="504" t="str">
        <f t="shared" si="35"/>
        <v>Belgium</v>
      </c>
      <c r="I251" s="509" t="s">
        <v>599</v>
      </c>
      <c r="J251" s="509" t="s">
        <v>1143</v>
      </c>
      <c r="K251" s="508">
        <v>11</v>
      </c>
      <c r="L251" s="509" t="s">
        <v>703</v>
      </c>
      <c r="M251" s="634" t="s">
        <v>863</v>
      </c>
      <c r="N251" s="510" t="s">
        <v>500</v>
      </c>
      <c r="O251" s="511">
        <v>34216</v>
      </c>
      <c r="P251" s="512">
        <v>27</v>
      </c>
      <c r="Q251" s="513">
        <v>180</v>
      </c>
      <c r="R251" s="514">
        <v>71</v>
      </c>
      <c r="S251" s="64"/>
      <c r="T251" s="297">
        <f t="shared" si="33"/>
        <v>0</v>
      </c>
      <c r="U251" s="518">
        <f t="shared" si="34"/>
        <v>0</v>
      </c>
      <c r="W251" s="1"/>
      <c r="X251" s="65"/>
    </row>
    <row r="252" spans="1:24" s="23" customFormat="1" ht="11.25" customHeight="1" x14ac:dyDescent="0.2">
      <c r="A252" s="765"/>
      <c r="C252" s="769"/>
      <c r="D252" s="60"/>
      <c r="F252" s="503">
        <f t="shared" si="27"/>
        <v>2.4599999999999907E-2</v>
      </c>
      <c r="G252" s="503">
        <f t="shared" si="32"/>
        <v>2.4599999999999907E-2</v>
      </c>
      <c r="H252" s="504" t="str">
        <f t="shared" si="35"/>
        <v>Belgium</v>
      </c>
      <c r="I252" s="509" t="s">
        <v>32</v>
      </c>
      <c r="J252" s="509" t="s">
        <v>33</v>
      </c>
      <c r="K252" s="508">
        <v>21</v>
      </c>
      <c r="L252" s="509" t="s">
        <v>1339</v>
      </c>
      <c r="M252" s="634" t="s">
        <v>1017</v>
      </c>
      <c r="N252" s="510" t="s">
        <v>1271</v>
      </c>
      <c r="O252" s="511">
        <v>35038</v>
      </c>
      <c r="P252" s="512">
        <v>25</v>
      </c>
      <c r="Q252" s="513">
        <v>185</v>
      </c>
      <c r="R252" s="514">
        <v>80</v>
      </c>
      <c r="S252" s="64"/>
      <c r="T252" s="297">
        <f t="shared" si="33"/>
        <v>0</v>
      </c>
      <c r="U252" s="518">
        <f t="shared" si="34"/>
        <v>0</v>
      </c>
      <c r="W252" s="1"/>
      <c r="X252" s="65"/>
    </row>
    <row r="253" spans="1:24" s="23" customFormat="1" ht="11.25" customHeight="1" x14ac:dyDescent="0.2">
      <c r="A253" s="765"/>
      <c r="C253" s="769"/>
      <c r="D253" s="60"/>
      <c r="F253" s="503">
        <f t="shared" si="27"/>
        <v>2.4699999999999906E-2</v>
      </c>
      <c r="G253" s="503">
        <f t="shared" si="32"/>
        <v>2.4699999999999906E-2</v>
      </c>
      <c r="H253" s="504" t="str">
        <f t="shared" si="35"/>
        <v>Belgium</v>
      </c>
      <c r="I253" s="509" t="s">
        <v>34</v>
      </c>
      <c r="J253" s="509" t="s">
        <v>35</v>
      </c>
      <c r="K253" s="508">
        <v>22</v>
      </c>
      <c r="L253" s="509" t="s">
        <v>703</v>
      </c>
      <c r="M253" s="634" t="s">
        <v>1012</v>
      </c>
      <c r="N253" s="510" t="s">
        <v>858</v>
      </c>
      <c r="O253" s="511">
        <v>32722</v>
      </c>
      <c r="P253" s="512">
        <v>31</v>
      </c>
      <c r="Q253" s="513">
        <v>185</v>
      </c>
      <c r="R253" s="514">
        <v>80</v>
      </c>
      <c r="S253" s="64"/>
      <c r="T253" s="297">
        <f t="shared" si="33"/>
        <v>0</v>
      </c>
      <c r="U253" s="518">
        <f t="shared" si="34"/>
        <v>0</v>
      </c>
      <c r="W253" s="1"/>
      <c r="X253" s="65"/>
    </row>
    <row r="254" spans="1:24" s="23" customFormat="1" ht="11.25" customHeight="1" x14ac:dyDescent="0.2">
      <c r="A254" s="765"/>
      <c r="C254" s="769"/>
      <c r="D254" s="60"/>
      <c r="E254" s="66"/>
      <c r="F254" s="503">
        <f t="shared" si="27"/>
        <v>2.4799999999999905E-2</v>
      </c>
      <c r="G254" s="503">
        <f t="shared" si="32"/>
        <v>2.4799999999999905E-2</v>
      </c>
      <c r="H254" s="504" t="str">
        <f t="shared" si="35"/>
        <v>Belgium</v>
      </c>
      <c r="I254" s="509" t="s">
        <v>1142</v>
      </c>
      <c r="J254" s="509" t="s">
        <v>36</v>
      </c>
      <c r="K254" s="508">
        <v>1</v>
      </c>
      <c r="L254" s="509" t="s">
        <v>704</v>
      </c>
      <c r="M254" s="634" t="s">
        <v>747</v>
      </c>
      <c r="N254" s="510" t="s">
        <v>500</v>
      </c>
      <c r="O254" s="511">
        <v>33735</v>
      </c>
      <c r="P254" s="512">
        <v>29</v>
      </c>
      <c r="Q254" s="513">
        <v>199</v>
      </c>
      <c r="R254" s="514">
        <v>96</v>
      </c>
      <c r="S254" s="64"/>
      <c r="T254" s="297">
        <f t="shared" si="33"/>
        <v>0</v>
      </c>
      <c r="U254" s="518">
        <f t="shared" si="34"/>
        <v>0</v>
      </c>
      <c r="W254" s="1"/>
      <c r="X254" s="65"/>
    </row>
    <row r="255" spans="1:24" s="23" customFormat="1" ht="11.25" customHeight="1" x14ac:dyDescent="0.2">
      <c r="A255" s="765"/>
      <c r="C255" s="769"/>
      <c r="D255" s="60"/>
      <c r="F255" s="503">
        <f t="shared" si="27"/>
        <v>2.4899999999999905E-2</v>
      </c>
      <c r="G255" s="503">
        <f t="shared" si="32"/>
        <v>2.4899999999999905E-2</v>
      </c>
      <c r="H255" s="504" t="str">
        <f t="shared" si="35"/>
        <v>Belgium</v>
      </c>
      <c r="I255" s="509" t="s">
        <v>1222</v>
      </c>
      <c r="J255" s="509" t="s">
        <v>1094</v>
      </c>
      <c r="K255" s="508">
        <v>7</v>
      </c>
      <c r="L255" s="509" t="s">
        <v>703</v>
      </c>
      <c r="M255" s="634" t="s">
        <v>813</v>
      </c>
      <c r="N255" s="510" t="s">
        <v>1271</v>
      </c>
      <c r="O255" s="511">
        <v>33417</v>
      </c>
      <c r="P255" s="512">
        <v>29</v>
      </c>
      <c r="Q255" s="513">
        <v>181</v>
      </c>
      <c r="R255" s="514">
        <v>68</v>
      </c>
      <c r="S255" s="64"/>
      <c r="T255" s="297">
        <f t="shared" si="33"/>
        <v>0</v>
      </c>
      <c r="U255" s="518">
        <f t="shared" si="34"/>
        <v>0</v>
      </c>
      <c r="W255" s="1"/>
      <c r="X255" s="65"/>
    </row>
    <row r="256" spans="1:24" s="23" customFormat="1" ht="11.25" customHeight="1" x14ac:dyDescent="0.2">
      <c r="A256" s="765"/>
      <c r="C256" s="769"/>
      <c r="D256" s="60"/>
      <c r="F256" s="503">
        <f t="shared" si="27"/>
        <v>2.4999999999999904E-2</v>
      </c>
      <c r="G256" s="503">
        <f t="shared" si="32"/>
        <v>2.4999999999999904E-2</v>
      </c>
      <c r="H256" s="504" t="str">
        <f t="shared" si="35"/>
        <v>Belgium</v>
      </c>
      <c r="I256" s="509" t="s">
        <v>601</v>
      </c>
      <c r="J256" s="509" t="s">
        <v>602</v>
      </c>
      <c r="K256" s="508">
        <v>18</v>
      </c>
      <c r="L256" s="509" t="s">
        <v>1339</v>
      </c>
      <c r="M256" s="634" t="s">
        <v>476</v>
      </c>
      <c r="N256" s="510" t="s">
        <v>502</v>
      </c>
      <c r="O256" s="511">
        <v>34878</v>
      </c>
      <c r="P256" s="512">
        <v>25</v>
      </c>
      <c r="Q256" s="513">
        <v>184</v>
      </c>
      <c r="R256" s="514">
        <v>80</v>
      </c>
      <c r="S256" s="64"/>
      <c r="T256" s="297">
        <f t="shared" si="33"/>
        <v>0</v>
      </c>
      <c r="U256" s="518">
        <f t="shared" si="34"/>
        <v>0</v>
      </c>
      <c r="W256" s="1"/>
      <c r="X256" s="65"/>
    </row>
    <row r="257" spans="1:24" s="23" customFormat="1" ht="11.25" customHeight="1" x14ac:dyDescent="0.2">
      <c r="A257" s="765"/>
      <c r="C257" s="769"/>
      <c r="D257" s="60"/>
      <c r="F257" s="503">
        <f t="shared" si="27"/>
        <v>2.5099999999999904E-2</v>
      </c>
      <c r="G257" s="503">
        <f t="shared" si="32"/>
        <v>2.5099999999999904E-2</v>
      </c>
      <c r="H257" s="504" t="str">
        <f t="shared" si="35"/>
        <v>Belgium</v>
      </c>
      <c r="I257" s="509" t="s">
        <v>37</v>
      </c>
      <c r="J257" s="509" t="s">
        <v>38</v>
      </c>
      <c r="K257" s="508">
        <v>19</v>
      </c>
      <c r="L257" s="509" t="s">
        <v>703</v>
      </c>
      <c r="M257" s="634" t="s">
        <v>1044</v>
      </c>
      <c r="N257" s="510" t="s">
        <v>1271</v>
      </c>
      <c r="O257" s="511">
        <v>34804</v>
      </c>
      <c r="P257" s="512">
        <v>26</v>
      </c>
      <c r="Q257" s="513">
        <v>188</v>
      </c>
      <c r="R257" s="514">
        <v>76</v>
      </c>
      <c r="S257" s="64"/>
      <c r="T257" s="297">
        <f t="shared" si="33"/>
        <v>0</v>
      </c>
      <c r="U257" s="518">
        <f t="shared" si="34"/>
        <v>0</v>
      </c>
      <c r="W257" s="1"/>
      <c r="X257" s="65"/>
    </row>
    <row r="258" spans="1:24" s="23" customFormat="1" ht="11.25" customHeight="1" x14ac:dyDescent="0.2">
      <c r="A258" s="765"/>
      <c r="C258" s="769"/>
      <c r="D258" s="60"/>
      <c r="F258" s="503">
        <f t="shared" si="27"/>
        <v>2.5199999999999903E-2</v>
      </c>
      <c r="G258" s="503">
        <f t="shared" si="32"/>
        <v>2.5199999999999903E-2</v>
      </c>
      <c r="H258" s="504" t="str">
        <f t="shared" si="35"/>
        <v>Belgium</v>
      </c>
      <c r="I258" s="509" t="s">
        <v>1579</v>
      </c>
      <c r="J258" s="509" t="s">
        <v>1580</v>
      </c>
      <c r="K258" s="508">
        <v>25</v>
      </c>
      <c r="L258" s="509" t="s">
        <v>1357</v>
      </c>
      <c r="M258" s="634" t="s">
        <v>1581</v>
      </c>
      <c r="N258" s="510" t="s">
        <v>502</v>
      </c>
      <c r="O258" s="511">
        <v>37403</v>
      </c>
      <c r="P258" s="512">
        <v>19</v>
      </c>
      <c r="Q258" s="513">
        <v>171</v>
      </c>
      <c r="R258" s="514">
        <v>66</v>
      </c>
      <c r="S258" s="64"/>
      <c r="T258" s="297">
        <f t="shared" si="33"/>
        <v>0</v>
      </c>
      <c r="U258" s="518">
        <f t="shared" si="34"/>
        <v>0</v>
      </c>
      <c r="W258" s="1"/>
      <c r="X258" s="65"/>
    </row>
    <row r="259" spans="1:24" s="23" customFormat="1" ht="11.25" customHeight="1" x14ac:dyDescent="0.2">
      <c r="A259" s="765"/>
      <c r="C259" s="769"/>
      <c r="D259" s="60"/>
      <c r="F259" s="503">
        <f t="shared" si="27"/>
        <v>2.5299999999999902E-2</v>
      </c>
      <c r="G259" s="503">
        <f t="shared" si="32"/>
        <v>2.5299999999999902E-2</v>
      </c>
      <c r="H259" s="504" t="str">
        <f t="shared" si="35"/>
        <v>Belgium</v>
      </c>
      <c r="I259" s="509" t="s">
        <v>39</v>
      </c>
      <c r="J259" s="509" t="s">
        <v>1144</v>
      </c>
      <c r="K259" s="508">
        <v>10</v>
      </c>
      <c r="L259" s="509" t="s">
        <v>1357</v>
      </c>
      <c r="M259" s="634" t="s">
        <v>747</v>
      </c>
      <c r="N259" s="510" t="s">
        <v>500</v>
      </c>
      <c r="O259" s="511">
        <v>33245</v>
      </c>
      <c r="P259" s="512">
        <v>30</v>
      </c>
      <c r="Q259" s="513">
        <v>175</v>
      </c>
      <c r="R259" s="514">
        <v>74</v>
      </c>
      <c r="S259" s="64"/>
      <c r="T259" s="297">
        <f t="shared" si="33"/>
        <v>0</v>
      </c>
      <c r="U259" s="518">
        <f t="shared" si="34"/>
        <v>0</v>
      </c>
      <c r="W259" s="1"/>
      <c r="X259" s="65"/>
    </row>
    <row r="260" spans="1:24" s="23" customFormat="1" ht="11.25" customHeight="1" x14ac:dyDescent="0.2">
      <c r="A260" s="765"/>
      <c r="C260" s="769"/>
      <c r="D260" s="60"/>
      <c r="F260" s="503">
        <f t="shared" si="27"/>
        <v>2.5399999999999902E-2</v>
      </c>
      <c r="G260" s="503">
        <f t="shared" si="32"/>
        <v>2.5399999999999902E-2</v>
      </c>
      <c r="H260" s="504" t="str">
        <f t="shared" si="35"/>
        <v>Belgium</v>
      </c>
      <c r="I260" s="509" t="s">
        <v>40</v>
      </c>
      <c r="J260" s="509" t="s">
        <v>41</v>
      </c>
      <c r="K260" s="508">
        <v>16</v>
      </c>
      <c r="L260" s="509" t="s">
        <v>703</v>
      </c>
      <c r="M260" s="634" t="s">
        <v>926</v>
      </c>
      <c r="N260" s="510" t="s">
        <v>1270</v>
      </c>
      <c r="O260" s="511">
        <v>34057</v>
      </c>
      <c r="P260" s="512">
        <v>28</v>
      </c>
      <c r="Q260" s="513">
        <v>175</v>
      </c>
      <c r="R260" s="514">
        <v>71</v>
      </c>
      <c r="S260" s="64"/>
      <c r="T260" s="297">
        <f t="shared" si="33"/>
        <v>0</v>
      </c>
      <c r="U260" s="518">
        <f t="shared" si="34"/>
        <v>0</v>
      </c>
      <c r="W260" s="1"/>
      <c r="X260" s="65"/>
    </row>
    <row r="261" spans="1:24" s="23" customFormat="1" ht="11.25" customHeight="1" x14ac:dyDescent="0.2">
      <c r="A261" s="765"/>
      <c r="C261" s="769"/>
      <c r="D261" s="60"/>
      <c r="F261" s="503">
        <f t="shared" si="27"/>
        <v>2.5499999999999901E-2</v>
      </c>
      <c r="G261" s="503">
        <f t="shared" si="32"/>
        <v>2.5499999999999901E-2</v>
      </c>
      <c r="H261" s="504" t="str">
        <f t="shared" si="35"/>
        <v>Belgium</v>
      </c>
      <c r="I261" s="509" t="s">
        <v>43</v>
      </c>
      <c r="J261" s="509" t="s">
        <v>1145</v>
      </c>
      <c r="K261" s="508">
        <v>9</v>
      </c>
      <c r="L261" s="509" t="s">
        <v>1357</v>
      </c>
      <c r="M261" s="634" t="s">
        <v>815</v>
      </c>
      <c r="N261" s="510" t="s">
        <v>501</v>
      </c>
      <c r="O261" s="511">
        <v>34102</v>
      </c>
      <c r="P261" s="512">
        <v>28</v>
      </c>
      <c r="Q261" s="513">
        <v>191</v>
      </c>
      <c r="R261" s="514">
        <v>94</v>
      </c>
      <c r="S261" s="64"/>
      <c r="T261" s="297">
        <f t="shared" si="33"/>
        <v>0</v>
      </c>
      <c r="U261" s="518">
        <f t="shared" si="34"/>
        <v>0</v>
      </c>
      <c r="W261" s="1"/>
      <c r="X261" s="65"/>
    </row>
    <row r="262" spans="1:24" s="23" customFormat="1" ht="11.25" customHeight="1" x14ac:dyDescent="0.2">
      <c r="A262" s="765"/>
      <c r="C262" s="769"/>
      <c r="D262" s="60"/>
      <c r="F262" s="503">
        <f t="shared" si="27"/>
        <v>2.5599999999999901E-2</v>
      </c>
      <c r="G262" s="503">
        <f t="shared" si="32"/>
        <v>2.5599999999999901E-2</v>
      </c>
      <c r="H262" s="504" t="str">
        <f t="shared" si="35"/>
        <v>Belgium</v>
      </c>
      <c r="I262" s="509" t="s">
        <v>1223</v>
      </c>
      <c r="J262" s="509" t="s">
        <v>1146</v>
      </c>
      <c r="K262" s="508">
        <v>14</v>
      </c>
      <c r="L262" s="509" t="s">
        <v>1357</v>
      </c>
      <c r="M262" s="634" t="s">
        <v>814</v>
      </c>
      <c r="N262" s="510" t="s">
        <v>501</v>
      </c>
      <c r="O262" s="511">
        <v>31903</v>
      </c>
      <c r="P262" s="512">
        <v>34</v>
      </c>
      <c r="Q262" s="513">
        <v>169</v>
      </c>
      <c r="R262" s="514">
        <v>61</v>
      </c>
      <c r="S262" s="64"/>
      <c r="T262" s="297">
        <f t="shared" si="33"/>
        <v>0</v>
      </c>
      <c r="U262" s="518">
        <f t="shared" si="34"/>
        <v>0</v>
      </c>
      <c r="W262" s="1"/>
      <c r="X262" s="65"/>
    </row>
    <row r="263" spans="1:24" s="23" customFormat="1" ht="11.25" customHeight="1" x14ac:dyDescent="0.2">
      <c r="A263" s="765"/>
      <c r="C263" s="769"/>
      <c r="D263" s="60"/>
      <c r="F263" s="503">
        <f t="shared" si="27"/>
        <v>2.56999999999999E-2</v>
      </c>
      <c r="G263" s="503">
        <f t="shared" si="32"/>
        <v>2.56999999999999E-2</v>
      </c>
      <c r="H263" s="504" t="str">
        <f t="shared" si="35"/>
        <v>Belgium</v>
      </c>
      <c r="I263" s="509" t="s">
        <v>1147</v>
      </c>
      <c r="J263" s="509" t="s">
        <v>1089</v>
      </c>
      <c r="K263" s="508">
        <v>15</v>
      </c>
      <c r="L263" s="509" t="s">
        <v>1339</v>
      </c>
      <c r="M263" s="634" t="s">
        <v>926</v>
      </c>
      <c r="N263" s="510" t="s">
        <v>1270</v>
      </c>
      <c r="O263" s="511">
        <v>33493</v>
      </c>
      <c r="P263" s="512">
        <v>29</v>
      </c>
      <c r="Q263" s="513">
        <v>190</v>
      </c>
      <c r="R263" s="514">
        <v>82</v>
      </c>
      <c r="S263" s="64"/>
      <c r="T263" s="297">
        <f t="shared" si="33"/>
        <v>0</v>
      </c>
      <c r="U263" s="518">
        <f t="shared" si="34"/>
        <v>0</v>
      </c>
      <c r="W263" s="1"/>
      <c r="X263" s="65"/>
    </row>
    <row r="264" spans="1:24" s="23" customFormat="1" ht="11.25" customHeight="1" x14ac:dyDescent="0.2">
      <c r="A264" s="765"/>
      <c r="C264" s="769"/>
      <c r="D264" s="60"/>
      <c r="F264" s="503">
        <f t="shared" si="27"/>
        <v>2.5799999999999899E-2</v>
      </c>
      <c r="G264" s="503">
        <f t="shared" si="32"/>
        <v>2.5799999999999899E-2</v>
      </c>
      <c r="H264" s="504" t="str">
        <f t="shared" si="35"/>
        <v>Belgium</v>
      </c>
      <c r="I264" s="509" t="s">
        <v>1152</v>
      </c>
      <c r="J264" s="509" t="s">
        <v>1043</v>
      </c>
      <c r="K264" s="508">
        <v>12</v>
      </c>
      <c r="L264" s="509" t="s">
        <v>704</v>
      </c>
      <c r="M264" s="634" t="s">
        <v>929</v>
      </c>
      <c r="N264" s="510" t="s">
        <v>860</v>
      </c>
      <c r="O264" s="511">
        <v>32208</v>
      </c>
      <c r="P264" s="512">
        <v>33</v>
      </c>
      <c r="Q264" s="513">
        <v>193</v>
      </c>
      <c r="R264" s="514">
        <v>87</v>
      </c>
      <c r="S264" s="64"/>
      <c r="T264" s="297">
        <f t="shared" si="33"/>
        <v>0</v>
      </c>
      <c r="U264" s="518">
        <f t="shared" si="34"/>
        <v>0</v>
      </c>
      <c r="W264" s="1"/>
      <c r="X264" s="65"/>
    </row>
    <row r="265" spans="1:24" s="23" customFormat="1" ht="11.25" customHeight="1" x14ac:dyDescent="0.2">
      <c r="A265" s="765"/>
      <c r="C265" s="769"/>
      <c r="D265" s="60"/>
      <c r="F265" s="503">
        <f t="shared" ref="F265:F328" si="36">F264+0.0001</f>
        <v>2.5899999999999899E-2</v>
      </c>
      <c r="G265" s="503">
        <f t="shared" si="32"/>
        <v>2.5899999999999899E-2</v>
      </c>
      <c r="H265" s="504" t="str">
        <f t="shared" si="35"/>
        <v>Belgium</v>
      </c>
      <c r="I265" s="509" t="s">
        <v>44</v>
      </c>
      <c r="J265" s="509" t="s">
        <v>45</v>
      </c>
      <c r="K265" s="508">
        <v>26</v>
      </c>
      <c r="L265" s="509" t="s">
        <v>703</v>
      </c>
      <c r="M265" s="634" t="s">
        <v>1017</v>
      </c>
      <c r="N265" s="510" t="s">
        <v>1271</v>
      </c>
      <c r="O265" s="511">
        <v>34468</v>
      </c>
      <c r="P265" s="512">
        <v>27</v>
      </c>
      <c r="Q265" s="513">
        <v>181</v>
      </c>
      <c r="R265" s="514">
        <v>78</v>
      </c>
      <c r="S265" s="64"/>
      <c r="T265" s="297">
        <f t="shared" si="33"/>
        <v>0</v>
      </c>
      <c r="U265" s="518">
        <f t="shared" si="34"/>
        <v>0</v>
      </c>
      <c r="W265" s="1"/>
      <c r="X265" s="65"/>
    </row>
    <row r="266" spans="1:24" s="23" customFormat="1" ht="11.25" customHeight="1" x14ac:dyDescent="0.2">
      <c r="A266" s="765"/>
      <c r="C266" s="769"/>
      <c r="D266" s="60"/>
      <c r="F266" s="503">
        <f t="shared" si="36"/>
        <v>2.5999999999999898E-2</v>
      </c>
      <c r="G266" s="503">
        <f t="shared" si="32"/>
        <v>2.5999999999999898E-2</v>
      </c>
      <c r="H266" s="504" t="str">
        <f t="shared" si="35"/>
        <v>Belgium</v>
      </c>
      <c r="I266" s="509" t="s">
        <v>46</v>
      </c>
      <c r="J266" s="509" t="s">
        <v>47</v>
      </c>
      <c r="K266" s="508">
        <v>13</v>
      </c>
      <c r="L266" s="509" t="s">
        <v>704</v>
      </c>
      <c r="M266" s="634" t="s">
        <v>48</v>
      </c>
      <c r="N266" s="510" t="s">
        <v>502</v>
      </c>
      <c r="O266" s="511">
        <v>33660</v>
      </c>
      <c r="P266" s="512">
        <v>29</v>
      </c>
      <c r="Q266" s="513">
        <v>189</v>
      </c>
      <c r="R266" s="514">
        <v>82</v>
      </c>
      <c r="S266" s="64"/>
      <c r="T266" s="297">
        <f t="shared" si="33"/>
        <v>0</v>
      </c>
      <c r="U266" s="518">
        <f t="shared" si="34"/>
        <v>0</v>
      </c>
      <c r="W266" s="1"/>
      <c r="X266" s="65"/>
    </row>
    <row r="267" spans="1:24" s="23" customFormat="1" ht="11.25" customHeight="1" x14ac:dyDescent="0.2">
      <c r="A267" s="765"/>
      <c r="C267" s="769"/>
      <c r="D267" s="60"/>
      <c r="F267" s="503">
        <f t="shared" si="36"/>
        <v>2.6099999999999898E-2</v>
      </c>
      <c r="G267" s="503">
        <f t="shared" si="32"/>
        <v>2.6099999999999898E-2</v>
      </c>
      <c r="H267" s="504" t="str">
        <f t="shared" si="35"/>
        <v>Belgium</v>
      </c>
      <c r="I267" s="509" t="s">
        <v>49</v>
      </c>
      <c r="J267" s="509" t="s">
        <v>50</v>
      </c>
      <c r="K267" s="508">
        <v>8</v>
      </c>
      <c r="L267" s="509" t="s">
        <v>703</v>
      </c>
      <c r="M267" s="634" t="s">
        <v>1017</v>
      </c>
      <c r="N267" s="510" t="s">
        <v>1271</v>
      </c>
      <c r="O267" s="511">
        <v>35557</v>
      </c>
      <c r="P267" s="512">
        <v>24</v>
      </c>
      <c r="Q267" s="513">
        <v>176</v>
      </c>
      <c r="R267" s="514">
        <v>72</v>
      </c>
      <c r="S267" s="64"/>
      <c r="T267" s="297">
        <f t="shared" si="33"/>
        <v>0</v>
      </c>
      <c r="U267" s="518">
        <f t="shared" si="34"/>
        <v>0</v>
      </c>
      <c r="W267" s="1"/>
      <c r="X267" s="65"/>
    </row>
    <row r="268" spans="1:24" s="23" customFormat="1" ht="11.25" customHeight="1" x14ac:dyDescent="0.2">
      <c r="A268" s="765"/>
      <c r="C268" s="769"/>
      <c r="D268" s="60"/>
      <c r="F268" s="503">
        <f t="shared" si="36"/>
        <v>2.6199999999999897E-2</v>
      </c>
      <c r="G268" s="503">
        <f t="shared" si="32"/>
        <v>2.6199999999999897E-2</v>
      </c>
      <c r="H268" s="504" t="str">
        <f t="shared" si="35"/>
        <v>Belgium</v>
      </c>
      <c r="I268" s="509" t="s">
        <v>1582</v>
      </c>
      <c r="J268" s="509" t="s">
        <v>1583</v>
      </c>
      <c r="K268" s="508">
        <v>24</v>
      </c>
      <c r="L268" s="509" t="s">
        <v>1357</v>
      </c>
      <c r="M268" s="634" t="s">
        <v>94</v>
      </c>
      <c r="N268" s="510" t="s">
        <v>1271</v>
      </c>
      <c r="O268" s="511">
        <v>34672</v>
      </c>
      <c r="P268" s="512">
        <v>26</v>
      </c>
      <c r="Q268" s="513">
        <v>172</v>
      </c>
      <c r="R268" s="514">
        <v>61</v>
      </c>
      <c r="S268" s="64"/>
      <c r="T268" s="297">
        <f t="shared" si="33"/>
        <v>0</v>
      </c>
      <c r="U268" s="518">
        <f t="shared" si="34"/>
        <v>0</v>
      </c>
      <c r="W268" s="1"/>
      <c r="X268" s="65"/>
    </row>
    <row r="269" spans="1:24" s="23" customFormat="1" ht="11.25" customHeight="1" x14ac:dyDescent="0.2">
      <c r="A269" s="765"/>
      <c r="C269" s="769"/>
      <c r="D269" s="60"/>
      <c r="F269" s="503">
        <f t="shared" si="36"/>
        <v>2.6299999999999896E-2</v>
      </c>
      <c r="G269" s="503">
        <f t="shared" si="32"/>
        <v>2.6299999999999896E-2</v>
      </c>
      <c r="H269" s="504" t="str">
        <f t="shared" si="35"/>
        <v>Belgium</v>
      </c>
      <c r="I269" s="509" t="s">
        <v>1584</v>
      </c>
      <c r="J269" s="509" t="s">
        <v>1585</v>
      </c>
      <c r="K269" s="508">
        <v>17</v>
      </c>
      <c r="L269" s="509" t="s">
        <v>703</v>
      </c>
      <c r="M269" s="634" t="s">
        <v>929</v>
      </c>
      <c r="N269" s="510" t="s">
        <v>860</v>
      </c>
      <c r="O269" s="511">
        <v>33840</v>
      </c>
      <c r="P269" s="512">
        <v>28</v>
      </c>
      <c r="Q269" s="513">
        <v>195</v>
      </c>
      <c r="R269" s="514">
        <v>77</v>
      </c>
      <c r="S269" s="64"/>
      <c r="T269" s="297">
        <f t="shared" si="33"/>
        <v>0</v>
      </c>
      <c r="U269" s="518">
        <f t="shared" si="34"/>
        <v>0</v>
      </c>
      <c r="W269" s="640"/>
      <c r="X269" s="65"/>
    </row>
    <row r="270" spans="1:24" s="23" customFormat="1" ht="11.25" customHeight="1" x14ac:dyDescent="0.2">
      <c r="A270" s="765"/>
      <c r="C270" s="769"/>
      <c r="D270" s="60"/>
      <c r="F270" s="503">
        <f t="shared" si="36"/>
        <v>2.6399999999999896E-2</v>
      </c>
      <c r="G270" s="503">
        <f t="shared" si="32"/>
        <v>2.6399999999999896E-2</v>
      </c>
      <c r="H270" s="504" t="str">
        <f t="shared" si="35"/>
        <v>Belgium</v>
      </c>
      <c r="I270" s="509" t="s">
        <v>1586</v>
      </c>
      <c r="J270" s="509" t="s">
        <v>1089</v>
      </c>
      <c r="K270" s="508">
        <v>3</v>
      </c>
      <c r="L270" s="509" t="s">
        <v>1339</v>
      </c>
      <c r="M270" s="634" t="s">
        <v>1587</v>
      </c>
      <c r="N270" s="510" t="s">
        <v>1588</v>
      </c>
      <c r="O270" s="511">
        <v>31365</v>
      </c>
      <c r="P270" s="512">
        <v>35</v>
      </c>
      <c r="Q270" s="513">
        <v>183</v>
      </c>
      <c r="R270" s="514">
        <v>80</v>
      </c>
      <c r="S270" s="64"/>
      <c r="T270" s="297">
        <f t="shared" si="33"/>
        <v>0</v>
      </c>
      <c r="U270" s="518">
        <f t="shared" si="34"/>
        <v>0</v>
      </c>
      <c r="W270" s="640"/>
      <c r="X270" s="65"/>
    </row>
    <row r="271" spans="1:24" s="23" customFormat="1" ht="11.25" customHeight="1" x14ac:dyDescent="0.2">
      <c r="A271" s="765"/>
      <c r="C271" s="769"/>
      <c r="D271" s="60"/>
      <c r="F271" s="503">
        <f t="shared" si="36"/>
        <v>2.6499999999999895E-2</v>
      </c>
      <c r="G271" s="503">
        <f t="shared" si="32"/>
        <v>2.6499999999999895E-2</v>
      </c>
      <c r="H271" s="504" t="str">
        <f t="shared" si="35"/>
        <v>Belgium</v>
      </c>
      <c r="I271" s="509" t="s">
        <v>1589</v>
      </c>
      <c r="J271" s="509" t="s">
        <v>604</v>
      </c>
      <c r="K271" s="508">
        <v>5</v>
      </c>
      <c r="L271" s="509" t="s">
        <v>1339</v>
      </c>
      <c r="M271" s="634" t="s">
        <v>942</v>
      </c>
      <c r="N271" s="510" t="s">
        <v>855</v>
      </c>
      <c r="O271" s="511">
        <v>31891</v>
      </c>
      <c r="P271" s="512">
        <v>34</v>
      </c>
      <c r="Q271" s="513">
        <v>189</v>
      </c>
      <c r="R271" s="514">
        <v>88</v>
      </c>
      <c r="S271" s="64"/>
      <c r="T271" s="297">
        <f t="shared" si="33"/>
        <v>0</v>
      </c>
      <c r="U271" s="518">
        <f t="shared" si="34"/>
        <v>0</v>
      </c>
      <c r="W271" s="640"/>
      <c r="X271" s="65"/>
    </row>
    <row r="272" spans="1:24" s="23" customFormat="1" ht="11.25" customHeight="1" x14ac:dyDescent="0.2">
      <c r="A272" s="765"/>
      <c r="C272" s="769"/>
      <c r="D272" s="60"/>
      <c r="F272" s="503">
        <f t="shared" si="36"/>
        <v>2.6599999999999895E-2</v>
      </c>
      <c r="G272" s="503">
        <f t="shared" si="32"/>
        <v>2.6599999999999895E-2</v>
      </c>
      <c r="H272" s="504" t="str">
        <f t="shared" si="35"/>
        <v>Belgium</v>
      </c>
      <c r="I272" s="555" t="s">
        <v>1590</v>
      </c>
      <c r="J272" s="555" t="s">
        <v>1591</v>
      </c>
      <c r="K272" s="554">
        <v>6</v>
      </c>
      <c r="L272" s="555" t="s">
        <v>703</v>
      </c>
      <c r="M272" s="635" t="s">
        <v>926</v>
      </c>
      <c r="N272" s="556" t="s">
        <v>1270</v>
      </c>
      <c r="O272" s="557">
        <v>32520</v>
      </c>
      <c r="P272" s="558">
        <v>32</v>
      </c>
      <c r="Q272" s="559">
        <v>186</v>
      </c>
      <c r="R272" s="560">
        <v>81</v>
      </c>
      <c r="S272" s="64"/>
      <c r="T272" s="297">
        <f t="shared" si="33"/>
        <v>0</v>
      </c>
      <c r="U272" s="518">
        <f t="shared" si="34"/>
        <v>0</v>
      </c>
      <c r="W272" s="640"/>
      <c r="X272" s="65"/>
    </row>
    <row r="273" spans="1:24" s="23" customFormat="1" ht="9.75" hidden="1" customHeight="1" x14ac:dyDescent="0.2">
      <c r="A273" s="765"/>
      <c r="C273" s="769"/>
      <c r="D273" s="60"/>
      <c r="F273" s="503">
        <f t="shared" si="36"/>
        <v>2.6699999999999894E-2</v>
      </c>
      <c r="G273" s="503">
        <f t="shared" si="32"/>
        <v>0</v>
      </c>
      <c r="H273" s="504" t="str">
        <f t="shared" si="35"/>
        <v>Belgium</v>
      </c>
      <c r="I273" s="61"/>
      <c r="J273" s="61"/>
      <c r="K273" s="295"/>
      <c r="L273" s="61"/>
      <c r="M273" s="633"/>
      <c r="N273" s="256"/>
      <c r="O273" s="62"/>
      <c r="P273" s="253"/>
      <c r="Q273" s="63"/>
      <c r="R273" s="252"/>
      <c r="S273" s="64"/>
      <c r="T273" s="297" t="str">
        <f t="shared" si="33"/>
        <v/>
      </c>
      <c r="U273" s="518" t="str">
        <f t="shared" si="34"/>
        <v/>
      </c>
      <c r="W273" s="640"/>
      <c r="X273" s="65"/>
    </row>
    <row r="274" spans="1:24" s="23" customFormat="1" ht="9.75" hidden="1" customHeight="1" x14ac:dyDescent="0.2">
      <c r="A274" s="765"/>
      <c r="C274" s="769"/>
      <c r="D274" s="60"/>
      <c r="F274" s="503">
        <f t="shared" si="36"/>
        <v>2.6799999999999893E-2</v>
      </c>
      <c r="G274" s="503">
        <f t="shared" si="32"/>
        <v>0</v>
      </c>
      <c r="H274" s="504" t="str">
        <f t="shared" si="35"/>
        <v>Belgium</v>
      </c>
      <c r="I274" s="61"/>
      <c r="J274" s="61"/>
      <c r="K274" s="295"/>
      <c r="L274" s="61"/>
      <c r="M274" s="633"/>
      <c r="N274" s="256"/>
      <c r="O274" s="62"/>
      <c r="P274" s="253"/>
      <c r="Q274" s="63"/>
      <c r="R274" s="252"/>
      <c r="S274" s="64"/>
      <c r="T274" s="297" t="str">
        <f t="shared" si="33"/>
        <v/>
      </c>
      <c r="U274" s="518" t="str">
        <f t="shared" si="34"/>
        <v/>
      </c>
      <c r="W274" s="640"/>
      <c r="X274" s="65"/>
    </row>
    <row r="275" spans="1:24" s="23" customFormat="1" ht="9.75" hidden="1" customHeight="1" x14ac:dyDescent="0.2">
      <c r="A275" s="765"/>
      <c r="C275" s="769"/>
      <c r="D275" s="60"/>
      <c r="F275" s="503">
        <f t="shared" si="36"/>
        <v>2.6899999999999893E-2</v>
      </c>
      <c r="G275" s="503">
        <f t="shared" si="32"/>
        <v>0</v>
      </c>
      <c r="H275" s="504" t="str">
        <f t="shared" si="35"/>
        <v>Belgium</v>
      </c>
      <c r="I275" s="61"/>
      <c r="J275" s="61"/>
      <c r="K275" s="295"/>
      <c r="L275" s="61"/>
      <c r="M275" s="633"/>
      <c r="N275" s="256"/>
      <c r="O275" s="62"/>
      <c r="P275" s="253"/>
      <c r="Q275" s="63"/>
      <c r="R275" s="252"/>
      <c r="S275" s="64"/>
      <c r="T275" s="297" t="str">
        <f t="shared" si="33"/>
        <v/>
      </c>
      <c r="U275" s="518" t="str">
        <f t="shared" si="34"/>
        <v/>
      </c>
      <c r="W275" s="640"/>
      <c r="X275" s="65"/>
    </row>
    <row r="276" spans="1:24" s="23" customFormat="1" ht="9.75" hidden="1" customHeight="1" x14ac:dyDescent="0.2">
      <c r="A276" s="765"/>
      <c r="C276" s="769"/>
      <c r="D276" s="60"/>
      <c r="F276" s="503">
        <f t="shared" si="36"/>
        <v>2.6999999999999892E-2</v>
      </c>
      <c r="G276" s="503">
        <f t="shared" si="32"/>
        <v>0</v>
      </c>
      <c r="H276" s="504" t="str">
        <f t="shared" si="35"/>
        <v>Belgium</v>
      </c>
      <c r="I276" s="61"/>
      <c r="J276" s="61"/>
      <c r="K276" s="295"/>
      <c r="L276" s="61"/>
      <c r="M276" s="633"/>
      <c r="N276" s="256"/>
      <c r="O276" s="62"/>
      <c r="P276" s="253"/>
      <c r="Q276" s="63"/>
      <c r="R276" s="252"/>
      <c r="S276" s="64"/>
      <c r="T276" s="297" t="str">
        <f t="shared" si="33"/>
        <v/>
      </c>
      <c r="U276" s="518" t="str">
        <f t="shared" si="34"/>
        <v/>
      </c>
      <c r="W276" s="640"/>
      <c r="X276" s="65"/>
    </row>
    <row r="277" spans="1:24" s="23" customFormat="1" ht="4.5" customHeight="1" x14ac:dyDescent="0.25">
      <c r="A277" s="765"/>
      <c r="C277" s="769"/>
      <c r="D277" s="60"/>
      <c r="F277" s="503">
        <f t="shared" si="36"/>
        <v>2.7099999999999892E-2</v>
      </c>
      <c r="G277" s="503"/>
      <c r="H277" s="505"/>
      <c r="I277" s="67"/>
      <c r="J277" s="67"/>
      <c r="K277" s="22"/>
      <c r="L277" s="67"/>
      <c r="M277" s="22"/>
      <c r="N277" s="68"/>
      <c r="O277" s="67"/>
      <c r="P277" s="69"/>
      <c r="Q277" s="70"/>
      <c r="R277" s="71"/>
      <c r="S277" s="71"/>
      <c r="T277" s="298"/>
      <c r="U277" s="299"/>
      <c r="W277" s="641"/>
      <c r="X277" s="67"/>
    </row>
    <row r="278" spans="1:24" s="21" customFormat="1" ht="9.75" customHeight="1" x14ac:dyDescent="0.2">
      <c r="A278" s="765"/>
      <c r="C278" s="769"/>
      <c r="D278" s="60"/>
      <c r="F278" s="503">
        <f t="shared" si="36"/>
        <v>2.7199999999999891E-2</v>
      </c>
      <c r="G278" s="503"/>
      <c r="H278" s="303"/>
      <c r="I278" s="74" t="s">
        <v>542</v>
      </c>
      <c r="J278" s="75" t="s">
        <v>51</v>
      </c>
      <c r="K278" s="75"/>
      <c r="L278" s="75"/>
      <c r="M278" s="636"/>
      <c r="N278" s="76"/>
      <c r="O278" s="74" t="s">
        <v>495</v>
      </c>
      <c r="P278" s="254">
        <f>AVERAGE(P247:P276)</f>
        <v>28.73076923076923</v>
      </c>
      <c r="Q278" s="77">
        <f>AVERAGE(Q247:Q276)</f>
        <v>184.11538461538461</v>
      </c>
      <c r="R278" s="255">
        <f>AVERAGE(R247:R276)</f>
        <v>78.884615384615387</v>
      </c>
      <c r="S278" s="78"/>
      <c r="T278" s="297">
        <f>SUM(T247:T276)</f>
        <v>0</v>
      </c>
      <c r="U278" s="518">
        <f>SUM(U247:U276)</f>
        <v>0</v>
      </c>
      <c r="W278" s="642" t="s">
        <v>879</v>
      </c>
      <c r="X278" s="79"/>
    </row>
    <row r="279" spans="1:24" ht="9.75" customHeight="1" x14ac:dyDescent="0.3">
      <c r="A279" s="765"/>
      <c r="F279" s="503">
        <f t="shared" si="36"/>
        <v>2.729999999999989E-2</v>
      </c>
      <c r="G279" s="503"/>
    </row>
    <row r="280" spans="1:24" ht="9.75" customHeight="1" x14ac:dyDescent="0.3">
      <c r="A280" s="765"/>
      <c r="F280" s="503">
        <f t="shared" si="36"/>
        <v>2.739999999999989E-2</v>
      </c>
      <c r="G280" s="503"/>
    </row>
    <row r="281" spans="1:24" ht="9.75" customHeight="1" x14ac:dyDescent="0.3">
      <c r="A281" s="765"/>
      <c r="F281" s="503">
        <f t="shared" si="36"/>
        <v>2.7499999999999889E-2</v>
      </c>
      <c r="G281" s="503"/>
    </row>
    <row r="282" spans="1:24" ht="9.75" customHeight="1" x14ac:dyDescent="0.3">
      <c r="A282" s="765"/>
      <c r="F282" s="503">
        <f t="shared" si="36"/>
        <v>2.7599999999999889E-2</v>
      </c>
    </row>
    <row r="283" spans="1:24" ht="9.75" customHeight="1" x14ac:dyDescent="0.3">
      <c r="A283" s="765"/>
      <c r="F283" s="503">
        <f t="shared" si="36"/>
        <v>2.7699999999999888E-2</v>
      </c>
    </row>
    <row r="284" spans="1:24" ht="9.75" customHeight="1" x14ac:dyDescent="0.3">
      <c r="A284" s="765"/>
      <c r="F284" s="503">
        <f t="shared" si="36"/>
        <v>2.7799999999999887E-2</v>
      </c>
    </row>
    <row r="285" spans="1:24" ht="9.75" customHeight="1" x14ac:dyDescent="0.3">
      <c r="A285" s="765"/>
      <c r="F285" s="503">
        <f t="shared" si="36"/>
        <v>2.7899999999999887E-2</v>
      </c>
    </row>
    <row r="286" spans="1:24" s="23" customFormat="1" ht="5.25" customHeight="1" x14ac:dyDescent="0.2">
      <c r="A286" s="765"/>
      <c r="C286" s="21"/>
      <c r="F286" s="503">
        <f t="shared" si="36"/>
        <v>2.7999999999999886E-2</v>
      </c>
      <c r="G286" s="506"/>
      <c r="H286" s="502"/>
      <c r="I286" s="55"/>
      <c r="J286" s="55"/>
      <c r="K286" s="56"/>
      <c r="L286" s="55"/>
      <c r="M286" s="56"/>
      <c r="N286" s="57"/>
      <c r="O286" s="57"/>
      <c r="P286" s="55"/>
      <c r="Q286" s="57"/>
      <c r="R286" s="57"/>
      <c r="S286" s="57"/>
      <c r="T286" s="58"/>
      <c r="U286" s="59"/>
      <c r="W286" s="639"/>
      <c r="X286" s="55"/>
    </row>
    <row r="287" spans="1:24" s="23" customFormat="1" ht="11.25" customHeight="1" x14ac:dyDescent="0.2">
      <c r="A287" s="765"/>
      <c r="C287" s="769" t="str">
        <f>UPPER(H287)&amp;"    ."</f>
        <v>OROSZORSZÁG    .</v>
      </c>
      <c r="D287" s="60"/>
      <c r="F287" s="503">
        <f t="shared" si="36"/>
        <v>2.8099999999999885E-2</v>
      </c>
      <c r="G287" s="503">
        <f t="shared" ref="G287:G316" si="37">IF(I287="",0,T287+F287)</f>
        <v>2.8099999999999885E-2</v>
      </c>
      <c r="H287" s="504" t="str">
        <f>Adatok!B5</f>
        <v>Oroszország</v>
      </c>
      <c r="I287" s="61" t="s">
        <v>1592</v>
      </c>
      <c r="J287" s="61" t="s">
        <v>1034</v>
      </c>
      <c r="K287" s="295">
        <v>8</v>
      </c>
      <c r="L287" s="61" t="s">
        <v>703</v>
      </c>
      <c r="M287" s="633" t="s">
        <v>822</v>
      </c>
      <c r="N287" s="256" t="s">
        <v>507</v>
      </c>
      <c r="O287" s="62">
        <v>35319</v>
      </c>
      <c r="P287" s="253">
        <v>24</v>
      </c>
      <c r="Q287" s="63">
        <v>179</v>
      </c>
      <c r="R287" s="252">
        <v>72</v>
      </c>
      <c r="S287" s="64"/>
      <c r="T287" s="297">
        <f t="shared" ref="T287:T316" si="38">IF(I287="","",COUNTIF(nevek.s,CONCATENATE(H287,I287)))</f>
        <v>0</v>
      </c>
      <c r="U287" s="518">
        <f t="shared" ref="U287:U316" si="39">IF(I287="","",COUNTIF(nevek.s,CONCATENATE("ö",H287,I287)))</f>
        <v>0</v>
      </c>
      <c r="W287" s="3"/>
      <c r="X287" s="65"/>
    </row>
    <row r="288" spans="1:24" s="23" customFormat="1" ht="11.25" customHeight="1" x14ac:dyDescent="0.2">
      <c r="A288" s="765"/>
      <c r="C288" s="769"/>
      <c r="D288" s="60"/>
      <c r="F288" s="503">
        <f t="shared" si="36"/>
        <v>2.8199999999999885E-2</v>
      </c>
      <c r="G288" s="503">
        <f t="shared" si="37"/>
        <v>2.8199999999999885E-2</v>
      </c>
      <c r="H288" s="504" t="str">
        <f>H287</f>
        <v>Oroszország</v>
      </c>
      <c r="I288" s="509" t="s">
        <v>53</v>
      </c>
      <c r="J288" s="509" t="s">
        <v>1027</v>
      </c>
      <c r="K288" s="508">
        <v>6</v>
      </c>
      <c r="L288" s="509" t="s">
        <v>703</v>
      </c>
      <c r="M288" s="634" t="s">
        <v>919</v>
      </c>
      <c r="N288" s="510" t="s">
        <v>500</v>
      </c>
      <c r="O288" s="511">
        <v>33233</v>
      </c>
      <c r="P288" s="512">
        <v>30</v>
      </c>
      <c r="Q288" s="513">
        <v>179</v>
      </c>
      <c r="R288" s="514">
        <v>74</v>
      </c>
      <c r="S288" s="64"/>
      <c r="T288" s="297">
        <f t="shared" si="38"/>
        <v>0</v>
      </c>
      <c r="U288" s="518">
        <f t="shared" si="39"/>
        <v>0</v>
      </c>
      <c r="W288" s="1"/>
      <c r="X288" s="65"/>
    </row>
    <row r="289" spans="1:24" s="23" customFormat="1" ht="11.25" customHeight="1" x14ac:dyDescent="0.2">
      <c r="A289" s="765"/>
      <c r="C289" s="769"/>
      <c r="D289" s="60"/>
      <c r="F289" s="503">
        <f t="shared" si="36"/>
        <v>2.8299999999999884E-2</v>
      </c>
      <c r="G289" s="503">
        <f t="shared" si="37"/>
        <v>2.8299999999999884E-2</v>
      </c>
      <c r="H289" s="504" t="str">
        <f t="shared" ref="H289:H316" si="40">H288</f>
        <v>Oroszország</v>
      </c>
      <c r="I289" s="509" t="s">
        <v>1593</v>
      </c>
      <c r="J289" s="509" t="s">
        <v>1025</v>
      </c>
      <c r="K289" s="508">
        <v>3</v>
      </c>
      <c r="L289" s="509" t="s">
        <v>1339</v>
      </c>
      <c r="M289" s="634" t="s">
        <v>1219</v>
      </c>
      <c r="N289" s="510" t="s">
        <v>507</v>
      </c>
      <c r="O289" s="511">
        <v>36430</v>
      </c>
      <c r="P289" s="512">
        <v>21</v>
      </c>
      <c r="Q289" s="513">
        <v>193</v>
      </c>
      <c r="R289" s="514">
        <v>85</v>
      </c>
      <c r="S289" s="64"/>
      <c r="T289" s="297">
        <f t="shared" si="38"/>
        <v>0</v>
      </c>
      <c r="U289" s="518">
        <f t="shared" si="39"/>
        <v>0</v>
      </c>
      <c r="W289" s="1"/>
      <c r="X289" s="65"/>
    </row>
    <row r="290" spans="1:24" s="23" customFormat="1" ht="11.25" customHeight="1" x14ac:dyDescent="0.2">
      <c r="A290" s="765"/>
      <c r="C290" s="769"/>
      <c r="D290" s="60"/>
      <c r="F290" s="503">
        <f t="shared" si="36"/>
        <v>2.8399999999999884E-2</v>
      </c>
      <c r="G290" s="503">
        <f t="shared" si="37"/>
        <v>2.8399999999999884E-2</v>
      </c>
      <c r="H290" s="504" t="str">
        <f t="shared" si="40"/>
        <v>Oroszország</v>
      </c>
      <c r="I290" s="509" t="s">
        <v>1594</v>
      </c>
      <c r="J290" s="509" t="s">
        <v>1035</v>
      </c>
      <c r="K290" s="508">
        <v>12</v>
      </c>
      <c r="L290" s="509" t="s">
        <v>704</v>
      </c>
      <c r="M290" s="634" t="s">
        <v>1595</v>
      </c>
      <c r="N290" s="510" t="s">
        <v>507</v>
      </c>
      <c r="O290" s="511">
        <v>32219</v>
      </c>
      <c r="P290" s="512">
        <v>33</v>
      </c>
      <c r="Q290" s="513">
        <v>187</v>
      </c>
      <c r="R290" s="514">
        <v>84</v>
      </c>
      <c r="S290" s="64"/>
      <c r="T290" s="297">
        <f t="shared" si="38"/>
        <v>0</v>
      </c>
      <c r="U290" s="518">
        <f t="shared" si="39"/>
        <v>0</v>
      </c>
      <c r="W290" s="1"/>
      <c r="X290" s="65"/>
    </row>
    <row r="291" spans="1:24" s="23" customFormat="1" ht="11.25" customHeight="1" x14ac:dyDescent="0.2">
      <c r="A291" s="765"/>
      <c r="C291" s="769"/>
      <c r="D291" s="60"/>
      <c r="F291" s="503">
        <f t="shared" si="36"/>
        <v>2.8499999999999883E-2</v>
      </c>
      <c r="G291" s="503">
        <f t="shared" si="37"/>
        <v>2.8499999999999883E-2</v>
      </c>
      <c r="H291" s="504" t="str">
        <f t="shared" si="40"/>
        <v>Oroszország</v>
      </c>
      <c r="I291" s="509" t="s">
        <v>1028</v>
      </c>
      <c r="J291" s="509" t="s">
        <v>1029</v>
      </c>
      <c r="K291" s="508">
        <v>22</v>
      </c>
      <c r="L291" s="509" t="s">
        <v>1357</v>
      </c>
      <c r="M291" s="634" t="s">
        <v>1030</v>
      </c>
      <c r="N291" s="510" t="s">
        <v>507</v>
      </c>
      <c r="O291" s="511">
        <v>32377</v>
      </c>
      <c r="P291" s="512">
        <v>32</v>
      </c>
      <c r="Q291" s="513">
        <v>196</v>
      </c>
      <c r="R291" s="514">
        <v>91</v>
      </c>
      <c r="S291" s="64"/>
      <c r="T291" s="297">
        <f t="shared" si="38"/>
        <v>0</v>
      </c>
      <c r="U291" s="518">
        <f t="shared" si="39"/>
        <v>0</v>
      </c>
      <c r="W291" s="1"/>
      <c r="X291" s="65"/>
    </row>
    <row r="292" spans="1:24" s="23" customFormat="1" ht="11.25" customHeight="1" x14ac:dyDescent="0.2">
      <c r="A292" s="765"/>
      <c r="C292" s="769"/>
      <c r="D292" s="60"/>
      <c r="F292" s="503">
        <f t="shared" si="36"/>
        <v>2.8599999999999882E-2</v>
      </c>
      <c r="G292" s="503">
        <f t="shared" si="37"/>
        <v>2.8599999999999882E-2</v>
      </c>
      <c r="H292" s="504" t="str">
        <f t="shared" si="40"/>
        <v>Oroszország</v>
      </c>
      <c r="I292" s="509" t="s">
        <v>55</v>
      </c>
      <c r="J292" s="509" t="s">
        <v>1038</v>
      </c>
      <c r="K292" s="508">
        <v>14</v>
      </c>
      <c r="L292" s="509" t="s">
        <v>1339</v>
      </c>
      <c r="M292" s="634" t="s">
        <v>1032</v>
      </c>
      <c r="N292" s="510" t="s">
        <v>507</v>
      </c>
      <c r="O292" s="511">
        <v>34294</v>
      </c>
      <c r="P292" s="512">
        <v>27</v>
      </c>
      <c r="Q292" s="513">
        <v>188</v>
      </c>
      <c r="R292" s="514">
        <v>86</v>
      </c>
      <c r="S292" s="64"/>
      <c r="T292" s="297">
        <f t="shared" si="38"/>
        <v>0</v>
      </c>
      <c r="U292" s="518">
        <f t="shared" si="39"/>
        <v>0</v>
      </c>
      <c r="W292" s="1"/>
      <c r="X292" s="65"/>
    </row>
    <row r="293" spans="1:24" s="23" customFormat="1" ht="11.25" customHeight="1" x14ac:dyDescent="0.2">
      <c r="A293" s="765"/>
      <c r="C293" s="769"/>
      <c r="D293" s="60"/>
      <c r="F293" s="503">
        <f t="shared" si="36"/>
        <v>2.8699999999999882E-2</v>
      </c>
      <c r="G293" s="503">
        <f t="shared" si="37"/>
        <v>2.8699999999999882E-2</v>
      </c>
      <c r="H293" s="504" t="str">
        <f t="shared" si="40"/>
        <v>Oroszország</v>
      </c>
      <c r="I293" s="509" t="s">
        <v>1058</v>
      </c>
      <c r="J293" s="509" t="s">
        <v>56</v>
      </c>
      <c r="K293" s="508">
        <v>2</v>
      </c>
      <c r="L293" s="509" t="s">
        <v>1339</v>
      </c>
      <c r="M293" s="634" t="s">
        <v>1219</v>
      </c>
      <c r="N293" s="510" t="s">
        <v>507</v>
      </c>
      <c r="O293" s="511">
        <v>33135</v>
      </c>
      <c r="P293" s="512">
        <v>30</v>
      </c>
      <c r="Q293" s="513">
        <v>187</v>
      </c>
      <c r="R293" s="514">
        <v>80</v>
      </c>
      <c r="S293" s="64"/>
      <c r="T293" s="297">
        <f t="shared" si="38"/>
        <v>0</v>
      </c>
      <c r="U293" s="518">
        <f t="shared" si="39"/>
        <v>0</v>
      </c>
      <c r="W293" s="1"/>
      <c r="X293" s="65"/>
    </row>
    <row r="294" spans="1:24" s="23" customFormat="1" ht="11.25" customHeight="1" x14ac:dyDescent="0.2">
      <c r="A294" s="765"/>
      <c r="C294" s="769"/>
      <c r="D294" s="60"/>
      <c r="E294" s="66"/>
      <c r="F294" s="503">
        <f t="shared" si="36"/>
        <v>2.8799999999999881E-2</v>
      </c>
      <c r="G294" s="503">
        <f t="shared" si="37"/>
        <v>2.8799999999999881E-2</v>
      </c>
      <c r="H294" s="504" t="str">
        <f t="shared" si="40"/>
        <v>Oroszország</v>
      </c>
      <c r="I294" s="509" t="s">
        <v>1596</v>
      </c>
      <c r="J294" s="509" t="s">
        <v>1597</v>
      </c>
      <c r="K294" s="508">
        <v>21</v>
      </c>
      <c r="L294" s="509" t="s">
        <v>703</v>
      </c>
      <c r="M294" s="634" t="s">
        <v>998</v>
      </c>
      <c r="N294" s="510" t="s">
        <v>507</v>
      </c>
      <c r="O294" s="511">
        <v>35491</v>
      </c>
      <c r="P294" s="512">
        <v>24</v>
      </c>
      <c r="Q294" s="513">
        <v>187</v>
      </c>
      <c r="R294" s="514">
        <v>79</v>
      </c>
      <c r="S294" s="64"/>
      <c r="T294" s="297">
        <f t="shared" si="38"/>
        <v>0</v>
      </c>
      <c r="U294" s="518">
        <f t="shared" si="39"/>
        <v>0</v>
      </c>
      <c r="W294" s="1"/>
      <c r="X294" s="65"/>
    </row>
    <row r="295" spans="1:24" s="23" customFormat="1" ht="11.25" customHeight="1" x14ac:dyDescent="0.2">
      <c r="A295" s="765"/>
      <c r="C295" s="769"/>
      <c r="D295" s="60"/>
      <c r="F295" s="503">
        <f t="shared" si="36"/>
        <v>2.8899999999999881E-2</v>
      </c>
      <c r="G295" s="503">
        <f t="shared" si="37"/>
        <v>2.8899999999999881E-2</v>
      </c>
      <c r="H295" s="504" t="str">
        <f t="shared" si="40"/>
        <v>Oroszország</v>
      </c>
      <c r="I295" s="509" t="s">
        <v>1598</v>
      </c>
      <c r="J295" s="509" t="s">
        <v>1033</v>
      </c>
      <c r="K295" s="508">
        <v>17</v>
      </c>
      <c r="L295" s="509" t="s">
        <v>703</v>
      </c>
      <c r="M295" s="634" t="s">
        <v>848</v>
      </c>
      <c r="N295" s="510" t="s">
        <v>502</v>
      </c>
      <c r="O295" s="511">
        <v>35215</v>
      </c>
      <c r="P295" s="512">
        <v>25</v>
      </c>
      <c r="Q295" s="513">
        <v>180</v>
      </c>
      <c r="R295" s="514">
        <v>69</v>
      </c>
      <c r="S295" s="64"/>
      <c r="T295" s="297">
        <f t="shared" si="38"/>
        <v>0</v>
      </c>
      <c r="U295" s="518">
        <f t="shared" si="39"/>
        <v>0</v>
      </c>
      <c r="W295" s="1"/>
      <c r="X295" s="65"/>
    </row>
    <row r="296" spans="1:24" s="23" customFormat="1" ht="11.25" customHeight="1" x14ac:dyDescent="0.2">
      <c r="A296" s="765"/>
      <c r="C296" s="769"/>
      <c r="D296" s="60"/>
      <c r="F296" s="503">
        <f t="shared" si="36"/>
        <v>2.899999999999988E-2</v>
      </c>
      <c r="G296" s="503">
        <f t="shared" si="37"/>
        <v>2.899999999999988E-2</v>
      </c>
      <c r="H296" s="504" t="str">
        <f t="shared" si="40"/>
        <v>Oroszország</v>
      </c>
      <c r="I296" s="509" t="s">
        <v>57</v>
      </c>
      <c r="J296" s="509" t="s">
        <v>1026</v>
      </c>
      <c r="K296" s="508">
        <v>20</v>
      </c>
      <c r="L296" s="509" t="s">
        <v>703</v>
      </c>
      <c r="M296" s="634" t="s">
        <v>1037</v>
      </c>
      <c r="N296" s="510" t="s">
        <v>507</v>
      </c>
      <c r="O296" s="511">
        <v>32557</v>
      </c>
      <c r="P296" s="512">
        <v>32</v>
      </c>
      <c r="Q296" s="513">
        <v>177</v>
      </c>
      <c r="R296" s="514">
        <v>69</v>
      </c>
      <c r="S296" s="64"/>
      <c r="T296" s="297">
        <f t="shared" si="38"/>
        <v>0</v>
      </c>
      <c r="U296" s="518">
        <f t="shared" si="39"/>
        <v>0</v>
      </c>
      <c r="W296" s="1"/>
      <c r="X296" s="65"/>
    </row>
    <row r="297" spans="1:24" s="23" customFormat="1" ht="11.25" customHeight="1" x14ac:dyDescent="0.2">
      <c r="A297" s="765"/>
      <c r="C297" s="769"/>
      <c r="D297" s="60"/>
      <c r="F297" s="503">
        <f t="shared" si="36"/>
        <v>2.9099999999999879E-2</v>
      </c>
      <c r="G297" s="503">
        <f t="shared" si="37"/>
        <v>2.9099999999999879E-2</v>
      </c>
      <c r="H297" s="504" t="str">
        <f t="shared" si="40"/>
        <v>Oroszország</v>
      </c>
      <c r="I297" s="509" t="s">
        <v>1098</v>
      </c>
      <c r="J297" s="509" t="s">
        <v>590</v>
      </c>
      <c r="K297" s="508">
        <v>4</v>
      </c>
      <c r="L297" s="509" t="s">
        <v>1339</v>
      </c>
      <c r="M297" s="634" t="s">
        <v>1030</v>
      </c>
      <c r="N297" s="510" t="s">
        <v>507</v>
      </c>
      <c r="O297" s="511">
        <v>34839</v>
      </c>
      <c r="P297" s="512">
        <v>26</v>
      </c>
      <c r="Q297" s="513">
        <v>175</v>
      </c>
      <c r="R297" s="514">
        <v>65</v>
      </c>
      <c r="S297" s="64"/>
      <c r="T297" s="297">
        <f t="shared" si="38"/>
        <v>0</v>
      </c>
      <c r="U297" s="518">
        <f t="shared" si="39"/>
        <v>0</v>
      </c>
      <c r="W297" s="1"/>
      <c r="X297" s="65"/>
    </row>
    <row r="298" spans="1:24" s="23" customFormat="1" ht="11.25" customHeight="1" x14ac:dyDescent="0.2">
      <c r="A298" s="765"/>
      <c r="C298" s="769"/>
      <c r="D298" s="60"/>
      <c r="F298" s="503">
        <f t="shared" si="36"/>
        <v>2.9199999999999879E-2</v>
      </c>
      <c r="G298" s="503">
        <f t="shared" si="37"/>
        <v>2.9199999999999879E-2</v>
      </c>
      <c r="H298" s="504" t="str">
        <f t="shared" si="40"/>
        <v>Oroszország</v>
      </c>
      <c r="I298" s="509" t="s">
        <v>58</v>
      </c>
      <c r="J298" s="509" t="s">
        <v>1039</v>
      </c>
      <c r="K298" s="508">
        <v>13</v>
      </c>
      <c r="L298" s="509" t="s">
        <v>1339</v>
      </c>
      <c r="M298" s="634" t="s">
        <v>59</v>
      </c>
      <c r="N298" s="510" t="s">
        <v>858</v>
      </c>
      <c r="O298" s="511">
        <v>31872</v>
      </c>
      <c r="P298" s="512">
        <v>34</v>
      </c>
      <c r="Q298" s="513">
        <v>183</v>
      </c>
      <c r="R298" s="514">
        <v>81</v>
      </c>
      <c r="S298" s="64"/>
      <c r="T298" s="297">
        <f t="shared" si="38"/>
        <v>0</v>
      </c>
      <c r="U298" s="518">
        <f t="shared" si="39"/>
        <v>0</v>
      </c>
      <c r="W298" s="1"/>
      <c r="X298" s="65"/>
    </row>
    <row r="299" spans="1:24" s="23" customFormat="1" ht="11.25" customHeight="1" x14ac:dyDescent="0.2">
      <c r="A299" s="765"/>
      <c r="C299" s="769"/>
      <c r="D299" s="60"/>
      <c r="F299" s="503">
        <f t="shared" si="36"/>
        <v>2.9299999999999878E-2</v>
      </c>
      <c r="G299" s="503">
        <f t="shared" si="37"/>
        <v>2.9299999999999878E-2</v>
      </c>
      <c r="H299" s="504" t="str">
        <f t="shared" si="40"/>
        <v>Oroszország</v>
      </c>
      <c r="I299" s="509" t="s">
        <v>60</v>
      </c>
      <c r="J299" s="509" t="s">
        <v>61</v>
      </c>
      <c r="K299" s="508">
        <v>23</v>
      </c>
      <c r="L299" s="509" t="s">
        <v>703</v>
      </c>
      <c r="M299" s="634" t="s">
        <v>1030</v>
      </c>
      <c r="N299" s="510" t="s">
        <v>507</v>
      </c>
      <c r="O299" s="511">
        <v>33984</v>
      </c>
      <c r="P299" s="512">
        <v>28</v>
      </c>
      <c r="Q299" s="513">
        <v>177</v>
      </c>
      <c r="R299" s="514">
        <v>68</v>
      </c>
      <c r="S299" s="64"/>
      <c r="T299" s="297">
        <f t="shared" si="38"/>
        <v>0</v>
      </c>
      <c r="U299" s="518">
        <f t="shared" si="39"/>
        <v>0</v>
      </c>
      <c r="W299" s="1"/>
      <c r="X299" s="65"/>
    </row>
    <row r="300" spans="1:24" s="23" customFormat="1" ht="11.25" customHeight="1" x14ac:dyDescent="0.2">
      <c r="A300" s="765"/>
      <c r="C300" s="769"/>
      <c r="D300" s="60"/>
      <c r="F300" s="503">
        <f t="shared" si="36"/>
        <v>2.9399999999999878E-2</v>
      </c>
      <c r="G300" s="503">
        <f t="shared" si="37"/>
        <v>2.9399999999999878E-2</v>
      </c>
      <c r="H300" s="504" t="str">
        <f t="shared" si="40"/>
        <v>Oroszország</v>
      </c>
      <c r="I300" s="509" t="s">
        <v>1599</v>
      </c>
      <c r="J300" s="509" t="s">
        <v>1027</v>
      </c>
      <c r="K300" s="508">
        <v>25</v>
      </c>
      <c r="L300" s="509" t="s">
        <v>1357</v>
      </c>
      <c r="M300" s="634" t="s">
        <v>1595</v>
      </c>
      <c r="N300" s="510" t="s">
        <v>507</v>
      </c>
      <c r="O300" s="511">
        <v>35844</v>
      </c>
      <c r="P300" s="512">
        <v>23</v>
      </c>
      <c r="Q300" s="513">
        <v>181</v>
      </c>
      <c r="R300" s="514">
        <v>75</v>
      </c>
      <c r="S300" s="64"/>
      <c r="T300" s="297">
        <f t="shared" si="38"/>
        <v>0</v>
      </c>
      <c r="U300" s="518">
        <f t="shared" si="39"/>
        <v>0</v>
      </c>
      <c r="W300" s="1"/>
      <c r="X300" s="65"/>
    </row>
    <row r="301" spans="1:24" s="23" customFormat="1" ht="11.25" customHeight="1" x14ac:dyDescent="0.2">
      <c r="A301" s="765"/>
      <c r="C301" s="769"/>
      <c r="D301" s="60"/>
      <c r="F301" s="503">
        <f t="shared" si="36"/>
        <v>2.9499999999999877E-2</v>
      </c>
      <c r="G301" s="503">
        <f t="shared" si="37"/>
        <v>2.9499999999999877E-2</v>
      </c>
      <c r="H301" s="504" t="str">
        <f t="shared" si="40"/>
        <v>Oroszország</v>
      </c>
      <c r="I301" s="509" t="s">
        <v>1600</v>
      </c>
      <c r="J301" s="509" t="s">
        <v>1026</v>
      </c>
      <c r="K301" s="508">
        <v>15</v>
      </c>
      <c r="L301" s="509" t="s">
        <v>703</v>
      </c>
      <c r="M301" s="634" t="s">
        <v>1429</v>
      </c>
      <c r="N301" s="510" t="s">
        <v>501</v>
      </c>
      <c r="O301" s="511">
        <v>34989</v>
      </c>
      <c r="P301" s="512">
        <v>25</v>
      </c>
      <c r="Q301" s="513">
        <v>182</v>
      </c>
      <c r="R301" s="514">
        <v>67</v>
      </c>
      <c r="S301" s="64"/>
      <c r="T301" s="297">
        <f t="shared" si="38"/>
        <v>0</v>
      </c>
      <c r="U301" s="518">
        <f t="shared" si="39"/>
        <v>0</v>
      </c>
      <c r="W301" s="1"/>
      <c r="X301" s="65"/>
    </row>
    <row r="302" spans="1:24" s="23" customFormat="1" ht="11.25" customHeight="1" x14ac:dyDescent="0.2">
      <c r="A302" s="765"/>
      <c r="C302" s="769"/>
      <c r="D302" s="60"/>
      <c r="F302" s="503">
        <f t="shared" si="36"/>
        <v>2.9599999999999876E-2</v>
      </c>
      <c r="G302" s="503">
        <f t="shared" si="37"/>
        <v>2.9599999999999876E-2</v>
      </c>
      <c r="H302" s="504" t="str">
        <f t="shared" si="40"/>
        <v>Oroszország</v>
      </c>
      <c r="I302" s="509" t="s">
        <v>63</v>
      </c>
      <c r="J302" s="509" t="s">
        <v>1135</v>
      </c>
      <c r="K302" s="508">
        <v>24</v>
      </c>
      <c r="L302" s="509" t="s">
        <v>703</v>
      </c>
      <c r="M302" s="634" t="s">
        <v>1030</v>
      </c>
      <c r="N302" s="510" t="s">
        <v>507</v>
      </c>
      <c r="O302" s="511">
        <v>35739</v>
      </c>
      <c r="P302" s="512">
        <v>23</v>
      </c>
      <c r="Q302" s="513">
        <v>179</v>
      </c>
      <c r="R302" s="514">
        <v>73</v>
      </c>
      <c r="S302" s="64"/>
      <c r="T302" s="297">
        <f t="shared" si="38"/>
        <v>0</v>
      </c>
      <c r="U302" s="518">
        <f t="shared" si="39"/>
        <v>0</v>
      </c>
      <c r="W302" s="1"/>
      <c r="X302" s="65"/>
    </row>
    <row r="303" spans="1:24" s="23" customFormat="1" ht="11.25" customHeight="1" x14ac:dyDescent="0.2">
      <c r="A303" s="765"/>
      <c r="C303" s="769"/>
      <c r="D303" s="60"/>
      <c r="F303" s="503">
        <f t="shared" si="36"/>
        <v>2.9699999999999876E-2</v>
      </c>
      <c r="G303" s="503">
        <f t="shared" si="37"/>
        <v>2.9699999999999876E-2</v>
      </c>
      <c r="H303" s="504" t="str">
        <f t="shared" si="40"/>
        <v>Oroszország</v>
      </c>
      <c r="I303" s="509" t="s">
        <v>1601</v>
      </c>
      <c r="J303" s="509" t="s">
        <v>52</v>
      </c>
      <c r="K303" s="508">
        <v>26</v>
      </c>
      <c r="L303" s="509" t="s">
        <v>703</v>
      </c>
      <c r="M303" s="634" t="s">
        <v>822</v>
      </c>
      <c r="N303" s="510" t="s">
        <v>507</v>
      </c>
      <c r="O303" s="511">
        <v>37199</v>
      </c>
      <c r="P303" s="512">
        <v>19</v>
      </c>
      <c r="Q303" s="513">
        <v>172</v>
      </c>
      <c r="R303" s="514">
        <v>76</v>
      </c>
      <c r="S303" s="64"/>
      <c r="T303" s="297">
        <f t="shared" si="38"/>
        <v>0</v>
      </c>
      <c r="U303" s="518">
        <f t="shared" si="39"/>
        <v>0</v>
      </c>
      <c r="W303" s="1"/>
      <c r="X303" s="65"/>
    </row>
    <row r="304" spans="1:24" s="23" customFormat="1" ht="11.25" customHeight="1" x14ac:dyDescent="0.2">
      <c r="A304" s="765"/>
      <c r="C304" s="769"/>
      <c r="D304" s="60"/>
      <c r="F304" s="503">
        <f t="shared" si="36"/>
        <v>2.9799999999999875E-2</v>
      </c>
      <c r="G304" s="503">
        <f t="shared" si="37"/>
        <v>2.9799999999999875E-2</v>
      </c>
      <c r="H304" s="504" t="str">
        <f t="shared" si="40"/>
        <v>Oroszország</v>
      </c>
      <c r="I304" s="509" t="s">
        <v>64</v>
      </c>
      <c r="J304" s="509" t="s">
        <v>65</v>
      </c>
      <c r="K304" s="508">
        <v>7</v>
      </c>
      <c r="L304" s="509" t="s">
        <v>703</v>
      </c>
      <c r="M304" s="634" t="s">
        <v>1030</v>
      </c>
      <c r="N304" s="510" t="s">
        <v>507</v>
      </c>
      <c r="O304" s="511">
        <v>33913</v>
      </c>
      <c r="P304" s="512">
        <v>28</v>
      </c>
      <c r="Q304" s="513">
        <v>184</v>
      </c>
      <c r="R304" s="514">
        <v>78</v>
      </c>
      <c r="S304" s="64"/>
      <c r="T304" s="297">
        <f t="shared" si="38"/>
        <v>0</v>
      </c>
      <c r="U304" s="518">
        <f t="shared" si="39"/>
        <v>0</v>
      </c>
      <c r="W304" s="1"/>
      <c r="X304" s="65"/>
    </row>
    <row r="305" spans="1:24" s="23" customFormat="1" ht="11.25" customHeight="1" x14ac:dyDescent="0.2">
      <c r="A305" s="765"/>
      <c r="C305" s="769"/>
      <c r="D305" s="60"/>
      <c r="F305" s="503">
        <f t="shared" si="36"/>
        <v>2.9899999999999875E-2</v>
      </c>
      <c r="G305" s="503">
        <f t="shared" si="37"/>
        <v>2.9899999999999875E-2</v>
      </c>
      <c r="H305" s="504" t="str">
        <f t="shared" si="40"/>
        <v>Oroszország</v>
      </c>
      <c r="I305" s="509" t="s">
        <v>66</v>
      </c>
      <c r="J305" s="509" t="s">
        <v>62</v>
      </c>
      <c r="K305" s="508">
        <v>1</v>
      </c>
      <c r="L305" s="509" t="s">
        <v>704</v>
      </c>
      <c r="M305" s="634" t="s">
        <v>998</v>
      </c>
      <c r="N305" s="510" t="s">
        <v>507</v>
      </c>
      <c r="O305" s="511">
        <v>31804</v>
      </c>
      <c r="P305" s="512">
        <v>34</v>
      </c>
      <c r="Q305" s="513">
        <v>190</v>
      </c>
      <c r="R305" s="514">
        <v>83</v>
      </c>
      <c r="S305" s="64"/>
      <c r="T305" s="297">
        <f t="shared" si="38"/>
        <v>0</v>
      </c>
      <c r="U305" s="518">
        <f t="shared" si="39"/>
        <v>0</v>
      </c>
      <c r="W305" s="1"/>
      <c r="X305" s="65"/>
    </row>
    <row r="306" spans="1:24" s="23" customFormat="1" ht="11.25" customHeight="1" x14ac:dyDescent="0.2">
      <c r="A306" s="765"/>
      <c r="C306" s="769"/>
      <c r="D306" s="60"/>
      <c r="F306" s="503">
        <f t="shared" si="36"/>
        <v>2.9999999999999874E-2</v>
      </c>
      <c r="G306" s="503">
        <f t="shared" si="37"/>
        <v>2.9999999999999874E-2</v>
      </c>
      <c r="H306" s="504" t="str">
        <f t="shared" si="40"/>
        <v>Oroszország</v>
      </c>
      <c r="I306" s="509" t="s">
        <v>1602</v>
      </c>
      <c r="J306" s="509" t="s">
        <v>1603</v>
      </c>
      <c r="K306" s="508">
        <v>16</v>
      </c>
      <c r="L306" s="509" t="s">
        <v>704</v>
      </c>
      <c r="M306" s="634" t="s">
        <v>1037</v>
      </c>
      <c r="N306" s="510" t="s">
        <v>507</v>
      </c>
      <c r="O306" s="511">
        <v>36216</v>
      </c>
      <c r="P306" s="512">
        <v>22</v>
      </c>
      <c r="Q306" s="513">
        <v>191</v>
      </c>
      <c r="R306" s="514">
        <v>82</v>
      </c>
      <c r="S306" s="64"/>
      <c r="T306" s="297">
        <f t="shared" si="38"/>
        <v>0</v>
      </c>
      <c r="U306" s="518">
        <f t="shared" si="39"/>
        <v>0</v>
      </c>
      <c r="W306" s="1"/>
      <c r="X306" s="65"/>
    </row>
    <row r="307" spans="1:24" s="23" customFormat="1" ht="11.25" customHeight="1" x14ac:dyDescent="0.2">
      <c r="A307" s="765"/>
      <c r="C307" s="769"/>
      <c r="D307" s="60"/>
      <c r="F307" s="503">
        <f t="shared" si="36"/>
        <v>3.0099999999999873E-2</v>
      </c>
      <c r="G307" s="503">
        <f t="shared" si="37"/>
        <v>3.0099999999999873E-2</v>
      </c>
      <c r="H307" s="504" t="str">
        <f t="shared" si="40"/>
        <v>Oroszország</v>
      </c>
      <c r="I307" s="509" t="s">
        <v>1604</v>
      </c>
      <c r="J307" s="509" t="s">
        <v>1135</v>
      </c>
      <c r="K307" s="508">
        <v>5</v>
      </c>
      <c r="L307" s="509" t="s">
        <v>1339</v>
      </c>
      <c r="M307" s="634" t="s">
        <v>1605</v>
      </c>
      <c r="N307" s="510" t="s">
        <v>507</v>
      </c>
      <c r="O307" s="511">
        <v>32591</v>
      </c>
      <c r="P307" s="512">
        <v>32</v>
      </c>
      <c r="Q307" s="513">
        <v>190</v>
      </c>
      <c r="R307" s="514">
        <v>86</v>
      </c>
      <c r="S307" s="64"/>
      <c r="T307" s="297">
        <f t="shared" si="38"/>
        <v>0</v>
      </c>
      <c r="U307" s="518">
        <f t="shared" si="39"/>
        <v>0</v>
      </c>
      <c r="W307" s="1"/>
      <c r="X307" s="65"/>
    </row>
    <row r="308" spans="1:24" s="23" customFormat="1" ht="11.25" customHeight="1" x14ac:dyDescent="0.2">
      <c r="A308" s="765"/>
      <c r="C308" s="769"/>
      <c r="D308" s="60"/>
      <c r="F308" s="503">
        <f t="shared" si="36"/>
        <v>3.0199999999999873E-2</v>
      </c>
      <c r="G308" s="503">
        <f t="shared" si="37"/>
        <v>3.0199999999999873E-2</v>
      </c>
      <c r="H308" s="504" t="str">
        <f t="shared" si="40"/>
        <v>Oroszország</v>
      </c>
      <c r="I308" s="509" t="s">
        <v>1606</v>
      </c>
      <c r="J308" s="509" t="s">
        <v>1033</v>
      </c>
      <c r="K308" s="508">
        <v>9</v>
      </c>
      <c r="L308" s="509" t="s">
        <v>1357</v>
      </c>
      <c r="M308" s="634" t="s">
        <v>1032</v>
      </c>
      <c r="N308" s="510" t="s">
        <v>507</v>
      </c>
      <c r="O308" s="511">
        <v>35496</v>
      </c>
      <c r="P308" s="512">
        <v>24</v>
      </c>
      <c r="Q308" s="513">
        <v>191</v>
      </c>
      <c r="R308" s="514">
        <v>85</v>
      </c>
      <c r="S308" s="64"/>
      <c r="T308" s="297">
        <f t="shared" si="38"/>
        <v>0</v>
      </c>
      <c r="U308" s="518">
        <f t="shared" si="39"/>
        <v>0</v>
      </c>
      <c r="W308" s="1"/>
      <c r="X308" s="65"/>
    </row>
    <row r="309" spans="1:24" s="23" customFormat="1" ht="11.25" customHeight="1" x14ac:dyDescent="0.2">
      <c r="A309" s="765"/>
      <c r="C309" s="769"/>
      <c r="D309" s="60"/>
      <c r="F309" s="503">
        <f t="shared" si="36"/>
        <v>3.0299999999999872E-2</v>
      </c>
      <c r="G309" s="503">
        <f t="shared" si="37"/>
        <v>3.0299999999999872E-2</v>
      </c>
      <c r="H309" s="504" t="str">
        <f t="shared" si="40"/>
        <v>Oroszország</v>
      </c>
      <c r="I309" s="509" t="s">
        <v>1607</v>
      </c>
      <c r="J309" s="509" t="s">
        <v>62</v>
      </c>
      <c r="K309" s="508">
        <v>10</v>
      </c>
      <c r="L309" s="509" t="s">
        <v>1357</v>
      </c>
      <c r="M309" s="634" t="s">
        <v>54</v>
      </c>
      <c r="N309" s="510" t="s">
        <v>507</v>
      </c>
      <c r="O309" s="511">
        <v>33402</v>
      </c>
      <c r="P309" s="512">
        <v>29</v>
      </c>
      <c r="Q309" s="513">
        <v>191</v>
      </c>
      <c r="R309" s="514">
        <v>90</v>
      </c>
      <c r="S309" s="64"/>
      <c r="T309" s="297">
        <f t="shared" si="38"/>
        <v>0</v>
      </c>
      <c r="U309" s="518">
        <f t="shared" si="39"/>
        <v>0</v>
      </c>
      <c r="W309" s="640"/>
      <c r="X309" s="65"/>
    </row>
    <row r="310" spans="1:24" s="23" customFormat="1" ht="11.25" customHeight="1" x14ac:dyDescent="0.2">
      <c r="A310" s="765"/>
      <c r="C310" s="769"/>
      <c r="D310" s="60"/>
      <c r="F310" s="503">
        <f t="shared" si="36"/>
        <v>3.0399999999999872E-2</v>
      </c>
      <c r="G310" s="503">
        <f t="shared" si="37"/>
        <v>3.0399999999999872E-2</v>
      </c>
      <c r="H310" s="504" t="str">
        <f t="shared" si="40"/>
        <v>Oroszország</v>
      </c>
      <c r="I310" s="509" t="s">
        <v>1608</v>
      </c>
      <c r="J310" s="509" t="s">
        <v>982</v>
      </c>
      <c r="K310" s="508">
        <v>11</v>
      </c>
      <c r="L310" s="509" t="s">
        <v>703</v>
      </c>
      <c r="M310" s="634" t="s">
        <v>1032</v>
      </c>
      <c r="N310" s="510" t="s">
        <v>507</v>
      </c>
      <c r="O310" s="511">
        <v>34376</v>
      </c>
      <c r="P310" s="512">
        <v>27</v>
      </c>
      <c r="Q310" s="513">
        <v>182</v>
      </c>
      <c r="R310" s="514">
        <v>78</v>
      </c>
      <c r="S310" s="64"/>
      <c r="T310" s="297">
        <f t="shared" si="38"/>
        <v>0</v>
      </c>
      <c r="U310" s="518">
        <f t="shared" si="39"/>
        <v>0</v>
      </c>
      <c r="W310" s="640"/>
      <c r="X310" s="65"/>
    </row>
    <row r="311" spans="1:24" s="23" customFormat="1" ht="11.25" customHeight="1" x14ac:dyDescent="0.2">
      <c r="A311" s="765"/>
      <c r="C311" s="769"/>
      <c r="D311" s="60"/>
      <c r="F311" s="503">
        <f t="shared" si="36"/>
        <v>3.0499999999999871E-2</v>
      </c>
      <c r="G311" s="503">
        <f t="shared" si="37"/>
        <v>3.0499999999999871E-2</v>
      </c>
      <c r="H311" s="504" t="str">
        <f t="shared" si="40"/>
        <v>Oroszország</v>
      </c>
      <c r="I311" s="509" t="s">
        <v>1609</v>
      </c>
      <c r="J311" s="509" t="s">
        <v>1610</v>
      </c>
      <c r="K311" s="508">
        <v>19</v>
      </c>
      <c r="L311" s="509" t="s">
        <v>703</v>
      </c>
      <c r="M311" s="634" t="s">
        <v>822</v>
      </c>
      <c r="N311" s="510" t="s">
        <v>507</v>
      </c>
      <c r="O311" s="511">
        <v>35328</v>
      </c>
      <c r="P311" s="512">
        <v>24</v>
      </c>
      <c r="Q311" s="513">
        <v>184</v>
      </c>
      <c r="R311" s="514">
        <v>80</v>
      </c>
      <c r="S311" s="64"/>
      <c r="T311" s="297">
        <f t="shared" si="38"/>
        <v>0</v>
      </c>
      <c r="U311" s="518">
        <f t="shared" si="39"/>
        <v>0</v>
      </c>
      <c r="W311" s="640"/>
      <c r="X311" s="65"/>
    </row>
    <row r="312" spans="1:24" s="23" customFormat="1" ht="11.25" customHeight="1" x14ac:dyDescent="0.2">
      <c r="A312" s="765"/>
      <c r="C312" s="769"/>
      <c r="D312" s="60"/>
      <c r="F312" s="503">
        <f t="shared" si="36"/>
        <v>3.059999999999987E-2</v>
      </c>
      <c r="G312" s="503">
        <f t="shared" si="37"/>
        <v>3.059999999999987E-2</v>
      </c>
      <c r="H312" s="504" t="str">
        <f t="shared" si="40"/>
        <v>Oroszország</v>
      </c>
      <c r="I312" s="555" t="s">
        <v>1611</v>
      </c>
      <c r="J312" s="555" t="s">
        <v>1035</v>
      </c>
      <c r="K312" s="554">
        <v>18</v>
      </c>
      <c r="L312" s="555" t="s">
        <v>1339</v>
      </c>
      <c r="M312" s="635" t="s">
        <v>1030</v>
      </c>
      <c r="N312" s="556" t="s">
        <v>507</v>
      </c>
      <c r="O312" s="557">
        <v>30548</v>
      </c>
      <c r="P312" s="558">
        <v>37</v>
      </c>
      <c r="Q312" s="559">
        <v>180</v>
      </c>
      <c r="R312" s="560">
        <v>75</v>
      </c>
      <c r="S312" s="64"/>
      <c r="T312" s="297">
        <f t="shared" si="38"/>
        <v>0</v>
      </c>
      <c r="U312" s="518">
        <f t="shared" si="39"/>
        <v>0</v>
      </c>
      <c r="W312" s="640"/>
      <c r="X312" s="65"/>
    </row>
    <row r="313" spans="1:24" s="23" customFormat="1" ht="9.75" hidden="1" customHeight="1" x14ac:dyDescent="0.2">
      <c r="A313" s="765"/>
      <c r="C313" s="769"/>
      <c r="D313" s="60"/>
      <c r="F313" s="503">
        <f t="shared" si="36"/>
        <v>3.069999999999987E-2</v>
      </c>
      <c r="G313" s="503">
        <f t="shared" si="37"/>
        <v>0</v>
      </c>
      <c r="H313" s="504" t="str">
        <f t="shared" si="40"/>
        <v>Oroszország</v>
      </c>
      <c r="I313" s="61"/>
      <c r="J313" s="61"/>
      <c r="K313" s="295"/>
      <c r="L313" s="61"/>
      <c r="M313" s="633"/>
      <c r="N313" s="256"/>
      <c r="O313" s="62"/>
      <c r="P313" s="253"/>
      <c r="Q313" s="63"/>
      <c r="R313" s="252"/>
      <c r="S313" s="64"/>
      <c r="T313" s="297" t="str">
        <f t="shared" si="38"/>
        <v/>
      </c>
      <c r="U313" s="518" t="str">
        <f t="shared" si="39"/>
        <v/>
      </c>
      <c r="W313" s="640"/>
      <c r="X313" s="65"/>
    </row>
    <row r="314" spans="1:24" s="23" customFormat="1" ht="9.75" hidden="1" customHeight="1" x14ac:dyDescent="0.2">
      <c r="A314" s="765"/>
      <c r="C314" s="769"/>
      <c r="D314" s="60"/>
      <c r="F314" s="503">
        <f t="shared" si="36"/>
        <v>3.0799999999999869E-2</v>
      </c>
      <c r="G314" s="503">
        <f t="shared" si="37"/>
        <v>0</v>
      </c>
      <c r="H314" s="504" t="str">
        <f t="shared" si="40"/>
        <v>Oroszország</v>
      </c>
      <c r="I314" s="61"/>
      <c r="J314" s="61"/>
      <c r="K314" s="295"/>
      <c r="L314" s="61"/>
      <c r="M314" s="633"/>
      <c r="N314" s="256"/>
      <c r="O314" s="62"/>
      <c r="P314" s="253"/>
      <c r="Q314" s="63"/>
      <c r="R314" s="252"/>
      <c r="S314" s="64"/>
      <c r="T314" s="297" t="str">
        <f t="shared" si="38"/>
        <v/>
      </c>
      <c r="U314" s="518" t="str">
        <f t="shared" si="39"/>
        <v/>
      </c>
      <c r="W314" s="640"/>
      <c r="X314" s="65"/>
    </row>
    <row r="315" spans="1:24" s="23" customFormat="1" ht="9.75" hidden="1" customHeight="1" x14ac:dyDescent="0.2">
      <c r="A315" s="765"/>
      <c r="C315" s="769"/>
      <c r="D315" s="60"/>
      <c r="F315" s="503">
        <f t="shared" si="36"/>
        <v>3.0899999999999869E-2</v>
      </c>
      <c r="G315" s="503">
        <f t="shared" si="37"/>
        <v>0</v>
      </c>
      <c r="H315" s="504" t="str">
        <f t="shared" si="40"/>
        <v>Oroszország</v>
      </c>
      <c r="I315" s="61"/>
      <c r="J315" s="61"/>
      <c r="K315" s="295"/>
      <c r="L315" s="61"/>
      <c r="M315" s="633"/>
      <c r="N315" s="256"/>
      <c r="O315" s="62"/>
      <c r="P315" s="253"/>
      <c r="Q315" s="63"/>
      <c r="R315" s="252"/>
      <c r="S315" s="64"/>
      <c r="T315" s="297" t="str">
        <f t="shared" si="38"/>
        <v/>
      </c>
      <c r="U315" s="518" t="str">
        <f t="shared" si="39"/>
        <v/>
      </c>
      <c r="W315" s="640"/>
      <c r="X315" s="65"/>
    </row>
    <row r="316" spans="1:24" s="23" customFormat="1" ht="9.75" hidden="1" customHeight="1" x14ac:dyDescent="0.2">
      <c r="A316" s="765"/>
      <c r="C316" s="769"/>
      <c r="D316" s="60"/>
      <c r="F316" s="503">
        <f t="shared" si="36"/>
        <v>3.0999999999999868E-2</v>
      </c>
      <c r="G316" s="503">
        <f t="shared" si="37"/>
        <v>0</v>
      </c>
      <c r="H316" s="504" t="str">
        <f t="shared" si="40"/>
        <v>Oroszország</v>
      </c>
      <c r="I316" s="61"/>
      <c r="J316" s="61"/>
      <c r="K316" s="295"/>
      <c r="L316" s="61"/>
      <c r="M316" s="633"/>
      <c r="N316" s="256"/>
      <c r="O316" s="62"/>
      <c r="P316" s="253"/>
      <c r="Q316" s="63"/>
      <c r="R316" s="252"/>
      <c r="S316" s="64"/>
      <c r="T316" s="297" t="str">
        <f t="shared" si="38"/>
        <v/>
      </c>
      <c r="U316" s="518" t="str">
        <f t="shared" si="39"/>
        <v/>
      </c>
      <c r="W316" s="640"/>
      <c r="X316" s="65"/>
    </row>
    <row r="317" spans="1:24" s="23" customFormat="1" ht="4.5" customHeight="1" x14ac:dyDescent="0.25">
      <c r="A317" s="765"/>
      <c r="C317" s="769"/>
      <c r="D317" s="60"/>
      <c r="F317" s="503">
        <f t="shared" si="36"/>
        <v>3.1099999999999867E-2</v>
      </c>
      <c r="G317" s="503"/>
      <c r="H317" s="505"/>
      <c r="I317" s="67"/>
      <c r="J317" s="67"/>
      <c r="K317" s="22"/>
      <c r="L317" s="67"/>
      <c r="M317" s="22"/>
      <c r="N317" s="68"/>
      <c r="O317" s="67"/>
      <c r="P317" s="69"/>
      <c r="Q317" s="70"/>
      <c r="R317" s="71"/>
      <c r="S317" s="71"/>
      <c r="T317" s="298"/>
      <c r="U317" s="299"/>
      <c r="W317" s="641"/>
      <c r="X317" s="67"/>
    </row>
    <row r="318" spans="1:24" s="21" customFormat="1" ht="9.75" customHeight="1" x14ac:dyDescent="0.2">
      <c r="A318" s="765"/>
      <c r="C318" s="769"/>
      <c r="D318" s="60"/>
      <c r="F318" s="503">
        <f t="shared" si="36"/>
        <v>3.1199999999999867E-2</v>
      </c>
      <c r="G318" s="503"/>
      <c r="H318" s="303"/>
      <c r="I318" s="74" t="s">
        <v>542</v>
      </c>
      <c r="J318" s="75" t="s">
        <v>67</v>
      </c>
      <c r="K318" s="75"/>
      <c r="L318" s="75"/>
      <c r="M318" s="636"/>
      <c r="N318" s="76"/>
      <c r="O318" s="74" t="s">
        <v>495</v>
      </c>
      <c r="P318" s="254">
        <f>AVERAGE(P287:P316)</f>
        <v>27.423076923076923</v>
      </c>
      <c r="Q318" s="77">
        <f>AVERAGE(Q287:Q316)</f>
        <v>184.03846153846155</v>
      </c>
      <c r="R318" s="255">
        <f>AVERAGE(R287:R316)</f>
        <v>78.115384615384613</v>
      </c>
      <c r="S318" s="78"/>
      <c r="T318" s="297">
        <f>SUM(T287:T316)</f>
        <v>0</v>
      </c>
      <c r="U318" s="518">
        <f>SUM(U287:U316)</f>
        <v>0</v>
      </c>
      <c r="W318" s="642" t="s">
        <v>879</v>
      </c>
      <c r="X318" s="79"/>
    </row>
    <row r="319" spans="1:24" ht="9.75" customHeight="1" x14ac:dyDescent="0.3">
      <c r="A319" s="765"/>
      <c r="F319" s="503">
        <f t="shared" si="36"/>
        <v>3.129999999999987E-2</v>
      </c>
      <c r="G319" s="503"/>
    </row>
    <row r="320" spans="1:24" ht="9.75" customHeight="1" x14ac:dyDescent="0.3">
      <c r="A320" s="765"/>
      <c r="F320" s="503">
        <f t="shared" si="36"/>
        <v>3.1399999999999872E-2</v>
      </c>
      <c r="G320" s="503"/>
    </row>
    <row r="321" spans="1:24" ht="9.75" customHeight="1" x14ac:dyDescent="0.3">
      <c r="A321" s="765"/>
      <c r="F321" s="503">
        <f t="shared" si="36"/>
        <v>3.1499999999999875E-2</v>
      </c>
      <c r="G321" s="503"/>
    </row>
    <row r="322" spans="1:24" ht="9.75" customHeight="1" x14ac:dyDescent="0.3">
      <c r="A322" s="765"/>
      <c r="F322" s="503">
        <f t="shared" si="36"/>
        <v>3.1599999999999878E-2</v>
      </c>
    </row>
    <row r="323" spans="1:24" ht="9.75" customHeight="1" x14ac:dyDescent="0.3">
      <c r="A323" s="765"/>
      <c r="F323" s="503">
        <f t="shared" si="36"/>
        <v>3.1699999999999881E-2</v>
      </c>
    </row>
    <row r="324" spans="1:24" ht="9.75" customHeight="1" x14ac:dyDescent="0.3">
      <c r="A324" s="765"/>
      <c r="F324" s="503">
        <f t="shared" si="36"/>
        <v>3.1799999999999884E-2</v>
      </c>
    </row>
    <row r="325" spans="1:24" ht="9.75" customHeight="1" x14ac:dyDescent="0.3">
      <c r="A325" s="765"/>
      <c r="F325" s="503">
        <f t="shared" si="36"/>
        <v>3.1899999999999887E-2</v>
      </c>
    </row>
    <row r="326" spans="1:24" s="23" customFormat="1" ht="5.25" customHeight="1" x14ac:dyDescent="0.2">
      <c r="A326" s="765"/>
      <c r="C326" s="21"/>
      <c r="F326" s="503">
        <f t="shared" si="36"/>
        <v>3.199999999999989E-2</v>
      </c>
      <c r="G326" s="506"/>
      <c r="H326" s="502"/>
      <c r="I326" s="55"/>
      <c r="J326" s="55"/>
      <c r="K326" s="56"/>
      <c r="L326" s="55"/>
      <c r="M326" s="56"/>
      <c r="N326" s="57"/>
      <c r="O326" s="57"/>
      <c r="P326" s="55"/>
      <c r="Q326" s="57"/>
      <c r="R326" s="57"/>
      <c r="S326" s="57"/>
      <c r="T326" s="58"/>
      <c r="U326" s="59"/>
      <c r="W326" s="639"/>
      <c r="X326" s="55"/>
    </row>
    <row r="327" spans="1:24" s="23" customFormat="1" ht="11.25" customHeight="1" x14ac:dyDescent="0.2">
      <c r="A327" s="765"/>
      <c r="C327" s="769" t="str">
        <f>UPPER(H327)&amp;"    ."</f>
        <v>HOLLANDIA    .</v>
      </c>
      <c r="D327" s="60"/>
      <c r="F327" s="503">
        <f t="shared" si="36"/>
        <v>3.2099999999999893E-2</v>
      </c>
      <c r="G327" s="503">
        <f t="shared" ref="G327:G356" si="41">IF(I327="",0,T327+F327)</f>
        <v>3.2099999999999893E-2</v>
      </c>
      <c r="H327" s="504" t="str">
        <f>Adatok!C2</f>
        <v>Hollandia</v>
      </c>
      <c r="I327" s="61" t="s">
        <v>68</v>
      </c>
      <c r="J327" s="61" t="s">
        <v>69</v>
      </c>
      <c r="K327" s="295">
        <v>4</v>
      </c>
      <c r="L327" s="61" t="s">
        <v>1339</v>
      </c>
      <c r="M327" s="633" t="s">
        <v>813</v>
      </c>
      <c r="N327" s="256" t="s">
        <v>1271</v>
      </c>
      <c r="O327" s="62">
        <v>34748</v>
      </c>
      <c r="P327" s="253">
        <v>26</v>
      </c>
      <c r="Q327" s="63">
        <v>180</v>
      </c>
      <c r="R327" s="252">
        <v>75</v>
      </c>
      <c r="S327" s="64"/>
      <c r="T327" s="297">
        <f t="shared" ref="T327:T356" si="42">IF(I327="","",COUNTIF(nevek.s,CONCATENATE(H327,I327)))</f>
        <v>0</v>
      </c>
      <c r="U327" s="518">
        <f t="shared" ref="U327:U356" si="43">IF(I327="","",COUNTIF(nevek.s,CONCATENATE("ö",H327,I327)))</f>
        <v>0</v>
      </c>
      <c r="W327" s="3"/>
      <c r="X327" s="65"/>
    </row>
    <row r="328" spans="1:24" s="23" customFormat="1" ht="11.25" customHeight="1" x14ac:dyDescent="0.2">
      <c r="A328" s="765"/>
      <c r="C328" s="769"/>
      <c r="D328" s="60"/>
      <c r="F328" s="503">
        <f t="shared" si="36"/>
        <v>3.2199999999999895E-2</v>
      </c>
      <c r="G328" s="503">
        <f t="shared" si="41"/>
        <v>3.2199999999999895E-2</v>
      </c>
      <c r="H328" s="504" t="str">
        <f>H327</f>
        <v>Hollandia</v>
      </c>
      <c r="I328" s="509" t="s">
        <v>70</v>
      </c>
      <c r="J328" s="509" t="s">
        <v>949</v>
      </c>
      <c r="K328" s="508">
        <v>7</v>
      </c>
      <c r="L328" s="509" t="s">
        <v>1357</v>
      </c>
      <c r="M328" s="634" t="s">
        <v>1361</v>
      </c>
      <c r="N328" s="510" t="s">
        <v>867</v>
      </c>
      <c r="O328" s="511">
        <v>33591</v>
      </c>
      <c r="P328" s="512">
        <v>29</v>
      </c>
      <c r="Q328" s="513">
        <v>182</v>
      </c>
      <c r="R328" s="514">
        <v>75</v>
      </c>
      <c r="S328" s="64"/>
      <c r="T328" s="297">
        <f t="shared" si="42"/>
        <v>0</v>
      </c>
      <c r="U328" s="518">
        <f t="shared" si="43"/>
        <v>0</v>
      </c>
      <c r="W328" s="1"/>
      <c r="X328" s="65"/>
    </row>
    <row r="329" spans="1:24" s="23" customFormat="1" ht="11.25" customHeight="1" x14ac:dyDescent="0.2">
      <c r="A329" s="765"/>
      <c r="C329" s="769"/>
      <c r="D329" s="60"/>
      <c r="F329" s="503">
        <f t="shared" ref="F329:F392" si="44">F328+0.0001</f>
        <v>3.2299999999999898E-2</v>
      </c>
      <c r="G329" s="503">
        <f t="shared" si="41"/>
        <v>3.2299999999999898E-2</v>
      </c>
      <c r="H329" s="504" t="str">
        <f t="shared" ref="H329:H356" si="45">H328</f>
        <v>Hollandia</v>
      </c>
      <c r="I329" s="509" t="s">
        <v>71</v>
      </c>
      <c r="J329" s="509" t="s">
        <v>851</v>
      </c>
      <c r="K329" s="508">
        <v>23</v>
      </c>
      <c r="L329" s="509" t="s">
        <v>704</v>
      </c>
      <c r="M329" s="634" t="s">
        <v>72</v>
      </c>
      <c r="N329" s="510" t="s">
        <v>867</v>
      </c>
      <c r="O329" s="511">
        <v>32941</v>
      </c>
      <c r="P329" s="512">
        <v>31</v>
      </c>
      <c r="Q329" s="513">
        <v>194</v>
      </c>
      <c r="R329" s="514">
        <v>85</v>
      </c>
      <c r="S329" s="64"/>
      <c r="T329" s="297">
        <f t="shared" si="42"/>
        <v>0</v>
      </c>
      <c r="U329" s="518">
        <f t="shared" si="43"/>
        <v>0</v>
      </c>
      <c r="W329" s="1"/>
      <c r="X329" s="65"/>
    </row>
    <row r="330" spans="1:24" s="23" customFormat="1" ht="11.25" customHeight="1" x14ac:dyDescent="0.2">
      <c r="A330" s="765"/>
      <c r="C330" s="769"/>
      <c r="D330" s="60"/>
      <c r="F330" s="503">
        <f t="shared" si="44"/>
        <v>3.2399999999999901E-2</v>
      </c>
      <c r="G330" s="503">
        <f t="shared" si="41"/>
        <v>3.2399999999999901E-2</v>
      </c>
      <c r="H330" s="504" t="str">
        <f t="shared" si="45"/>
        <v>Hollandia</v>
      </c>
      <c r="I330" s="509" t="s">
        <v>73</v>
      </c>
      <c r="J330" s="509" t="s">
        <v>74</v>
      </c>
      <c r="K330" s="508">
        <v>17</v>
      </c>
      <c r="L330" s="509" t="s">
        <v>1339</v>
      </c>
      <c r="M330" s="634" t="s">
        <v>866</v>
      </c>
      <c r="N330" s="510" t="s">
        <v>867</v>
      </c>
      <c r="O330" s="511">
        <v>32941</v>
      </c>
      <c r="P330" s="512">
        <v>31</v>
      </c>
      <c r="Q330" s="513">
        <v>180</v>
      </c>
      <c r="R330" s="514">
        <v>72</v>
      </c>
      <c r="S330" s="64"/>
      <c r="T330" s="297">
        <f t="shared" si="42"/>
        <v>0</v>
      </c>
      <c r="U330" s="518">
        <f t="shared" si="43"/>
        <v>0</v>
      </c>
      <c r="W330" s="1"/>
      <c r="X330" s="65"/>
    </row>
    <row r="331" spans="1:24" s="23" customFormat="1" ht="11.25" customHeight="1" x14ac:dyDescent="0.2">
      <c r="A331" s="765"/>
      <c r="C331" s="769"/>
      <c r="D331" s="60"/>
      <c r="F331" s="503">
        <f t="shared" si="44"/>
        <v>3.2499999999999904E-2</v>
      </c>
      <c r="G331" s="503">
        <f t="shared" si="41"/>
        <v>3.2499999999999904E-2</v>
      </c>
      <c r="H331" s="504" t="str">
        <f t="shared" si="45"/>
        <v>Hollandia</v>
      </c>
      <c r="I331" s="509" t="s">
        <v>75</v>
      </c>
      <c r="J331" s="509" t="s">
        <v>76</v>
      </c>
      <c r="K331" s="508">
        <v>21</v>
      </c>
      <c r="L331" s="509" t="s">
        <v>703</v>
      </c>
      <c r="M331" s="634" t="s">
        <v>750</v>
      </c>
      <c r="N331" s="510" t="s">
        <v>500</v>
      </c>
      <c r="O331" s="511">
        <v>35562</v>
      </c>
      <c r="P331" s="512">
        <v>24</v>
      </c>
      <c r="Q331" s="513">
        <v>180</v>
      </c>
      <c r="R331" s="514">
        <v>74</v>
      </c>
      <c r="S331" s="64"/>
      <c r="T331" s="297">
        <f t="shared" si="42"/>
        <v>0</v>
      </c>
      <c r="U331" s="518">
        <f t="shared" si="43"/>
        <v>0</v>
      </c>
      <c r="W331" s="1"/>
      <c r="X331" s="65"/>
    </row>
    <row r="332" spans="1:24" s="23" customFormat="1" ht="11.25" customHeight="1" x14ac:dyDescent="0.2">
      <c r="A332" s="765"/>
      <c r="C332" s="769"/>
      <c r="D332" s="60"/>
      <c r="F332" s="503">
        <f t="shared" si="44"/>
        <v>3.2599999999999907E-2</v>
      </c>
      <c r="G332" s="503">
        <f t="shared" si="41"/>
        <v>3.2599999999999907E-2</v>
      </c>
      <c r="H332" s="504" t="str">
        <f t="shared" si="45"/>
        <v>Hollandia</v>
      </c>
      <c r="I332" s="509" t="s">
        <v>77</v>
      </c>
      <c r="J332" s="509" t="s">
        <v>78</v>
      </c>
      <c r="K332" s="508">
        <v>9</v>
      </c>
      <c r="L332" s="509" t="s">
        <v>1357</v>
      </c>
      <c r="M332" s="634" t="s">
        <v>847</v>
      </c>
      <c r="N332" s="510" t="s">
        <v>500</v>
      </c>
      <c r="O332" s="511">
        <v>33112</v>
      </c>
      <c r="P332" s="512">
        <v>30</v>
      </c>
      <c r="Q332" s="513">
        <v>188</v>
      </c>
      <c r="R332" s="514">
        <v>86</v>
      </c>
      <c r="S332" s="64"/>
      <c r="T332" s="297">
        <f t="shared" si="42"/>
        <v>0</v>
      </c>
      <c r="U332" s="518">
        <f t="shared" si="43"/>
        <v>0</v>
      </c>
      <c r="W332" s="1"/>
      <c r="X332" s="65"/>
    </row>
    <row r="333" spans="1:24" s="23" customFormat="1" ht="11.25" customHeight="1" x14ac:dyDescent="0.2">
      <c r="A333" s="765"/>
      <c r="C333" s="769"/>
      <c r="D333" s="60"/>
      <c r="F333" s="503">
        <f t="shared" si="44"/>
        <v>3.269999999999991E-2</v>
      </c>
      <c r="G333" s="503">
        <f t="shared" si="41"/>
        <v>3.269999999999991E-2</v>
      </c>
      <c r="H333" s="504" t="str">
        <f t="shared" si="45"/>
        <v>Hollandia</v>
      </c>
      <c r="I333" s="509" t="s">
        <v>79</v>
      </c>
      <c r="J333" s="509" t="s">
        <v>80</v>
      </c>
      <c r="K333" s="508">
        <v>3</v>
      </c>
      <c r="L333" s="509" t="s">
        <v>1339</v>
      </c>
      <c r="M333" s="634" t="s">
        <v>917</v>
      </c>
      <c r="N333" s="510" t="s">
        <v>501</v>
      </c>
      <c r="O333" s="511">
        <v>36384</v>
      </c>
      <c r="P333" s="512">
        <v>21</v>
      </c>
      <c r="Q333" s="513">
        <v>188</v>
      </c>
      <c r="R333" s="514">
        <v>89</v>
      </c>
      <c r="S333" s="64"/>
      <c r="T333" s="297">
        <f t="shared" si="42"/>
        <v>0</v>
      </c>
      <c r="U333" s="518">
        <f t="shared" si="43"/>
        <v>0</v>
      </c>
      <c r="W333" s="1"/>
      <c r="X333" s="65"/>
    </row>
    <row r="334" spans="1:24" s="23" customFormat="1" ht="11.25" customHeight="1" x14ac:dyDescent="0.2">
      <c r="A334" s="765"/>
      <c r="C334" s="769"/>
      <c r="D334" s="60"/>
      <c r="E334" s="66"/>
      <c r="F334" s="503">
        <f t="shared" si="44"/>
        <v>3.2799999999999913E-2</v>
      </c>
      <c r="G334" s="503">
        <f t="shared" si="41"/>
        <v>3.2799999999999913E-2</v>
      </c>
      <c r="H334" s="504" t="str">
        <f t="shared" si="45"/>
        <v>Hollandia</v>
      </c>
      <c r="I334" s="509" t="s">
        <v>81</v>
      </c>
      <c r="J334" s="509" t="s">
        <v>82</v>
      </c>
      <c r="K334" s="508">
        <v>15</v>
      </c>
      <c r="L334" s="509" t="s">
        <v>703</v>
      </c>
      <c r="M334" s="634" t="s">
        <v>1429</v>
      </c>
      <c r="N334" s="510" t="s">
        <v>501</v>
      </c>
      <c r="O334" s="511">
        <v>33326</v>
      </c>
      <c r="P334" s="512">
        <v>30</v>
      </c>
      <c r="Q334" s="513">
        <v>185</v>
      </c>
      <c r="R334" s="514">
        <v>76</v>
      </c>
      <c r="S334" s="64"/>
      <c r="T334" s="297">
        <f t="shared" si="42"/>
        <v>0</v>
      </c>
      <c r="U334" s="518">
        <f t="shared" si="43"/>
        <v>0</v>
      </c>
      <c r="W334" s="1"/>
      <c r="X334" s="65"/>
    </row>
    <row r="335" spans="1:24" s="23" customFormat="1" ht="11.25" customHeight="1" x14ac:dyDescent="0.2">
      <c r="A335" s="765"/>
      <c r="C335" s="769"/>
      <c r="D335" s="60"/>
      <c r="F335" s="503">
        <f t="shared" si="44"/>
        <v>3.2899999999999915E-2</v>
      </c>
      <c r="G335" s="503">
        <f t="shared" si="41"/>
        <v>3.2899999999999915E-2</v>
      </c>
      <c r="H335" s="504" t="str">
        <f t="shared" si="45"/>
        <v>Hollandia</v>
      </c>
      <c r="I335" s="509" t="s">
        <v>83</v>
      </c>
      <c r="J335" s="509" t="s">
        <v>908</v>
      </c>
      <c r="K335" s="508">
        <v>6</v>
      </c>
      <c r="L335" s="509" t="s">
        <v>1339</v>
      </c>
      <c r="M335" s="634" t="s">
        <v>815</v>
      </c>
      <c r="N335" s="510" t="s">
        <v>501</v>
      </c>
      <c r="O335" s="511">
        <v>33639</v>
      </c>
      <c r="P335" s="512">
        <v>29</v>
      </c>
      <c r="Q335" s="513">
        <v>189</v>
      </c>
      <c r="R335" s="514">
        <v>78</v>
      </c>
      <c r="S335" s="64"/>
      <c r="T335" s="297">
        <f t="shared" si="42"/>
        <v>0</v>
      </c>
      <c r="U335" s="518">
        <f t="shared" si="43"/>
        <v>0</v>
      </c>
      <c r="W335" s="1"/>
      <c r="X335" s="65"/>
    </row>
    <row r="336" spans="1:24" s="23" customFormat="1" ht="11.25" customHeight="1" x14ac:dyDescent="0.2">
      <c r="A336" s="765"/>
      <c r="C336" s="769"/>
      <c r="D336" s="60"/>
      <c r="F336" s="503">
        <f t="shared" si="44"/>
        <v>3.2999999999999918E-2</v>
      </c>
      <c r="G336" s="503">
        <f t="shared" si="41"/>
        <v>3.2999999999999918E-2</v>
      </c>
      <c r="H336" s="504" t="str">
        <f t="shared" si="45"/>
        <v>Hollandia</v>
      </c>
      <c r="I336" s="509" t="s">
        <v>84</v>
      </c>
      <c r="J336" s="509" t="s">
        <v>85</v>
      </c>
      <c r="K336" s="508">
        <v>10</v>
      </c>
      <c r="L336" s="509" t="s">
        <v>1357</v>
      </c>
      <c r="M336" s="634" t="s">
        <v>476</v>
      </c>
      <c r="N336" s="510" t="s">
        <v>502</v>
      </c>
      <c r="O336" s="511">
        <v>34378</v>
      </c>
      <c r="P336" s="512">
        <v>27</v>
      </c>
      <c r="Q336" s="513">
        <v>176</v>
      </c>
      <c r="R336" s="514">
        <v>78</v>
      </c>
      <c r="S336" s="64"/>
      <c r="T336" s="297">
        <f t="shared" si="42"/>
        <v>0</v>
      </c>
      <c r="U336" s="518">
        <f t="shared" si="43"/>
        <v>0</v>
      </c>
      <c r="W336" s="1"/>
      <c r="X336" s="65"/>
    </row>
    <row r="337" spans="1:24" s="23" customFormat="1" ht="11.25" customHeight="1" x14ac:dyDescent="0.2">
      <c r="A337" s="765"/>
      <c r="C337" s="769"/>
      <c r="D337" s="60"/>
      <c r="F337" s="503">
        <f t="shared" si="44"/>
        <v>3.3099999999999921E-2</v>
      </c>
      <c r="G337" s="503">
        <f t="shared" si="41"/>
        <v>3.3099999999999921E-2</v>
      </c>
      <c r="H337" s="504" t="str">
        <f t="shared" si="45"/>
        <v>Hollandia</v>
      </c>
      <c r="I337" s="509" t="s">
        <v>86</v>
      </c>
      <c r="J337" s="509" t="s">
        <v>87</v>
      </c>
      <c r="K337" s="508">
        <v>22</v>
      </c>
      <c r="L337" s="509" t="s">
        <v>1339</v>
      </c>
      <c r="M337" s="634" t="s">
        <v>1434</v>
      </c>
      <c r="N337" s="510" t="s">
        <v>867</v>
      </c>
      <c r="O337" s="511">
        <v>35173</v>
      </c>
      <c r="P337" s="512">
        <v>25</v>
      </c>
      <c r="Q337" s="513">
        <v>189</v>
      </c>
      <c r="R337" s="514">
        <v>80</v>
      </c>
      <c r="S337" s="64"/>
      <c r="T337" s="297">
        <f t="shared" si="42"/>
        <v>0</v>
      </c>
      <c r="U337" s="518">
        <f t="shared" si="43"/>
        <v>0</v>
      </c>
      <c r="W337" s="1"/>
      <c r="X337" s="65"/>
    </row>
    <row r="338" spans="1:24" s="23" customFormat="1" ht="11.25" customHeight="1" x14ac:dyDescent="0.2">
      <c r="A338" s="765"/>
      <c r="C338" s="769"/>
      <c r="D338" s="60"/>
      <c r="F338" s="503">
        <f t="shared" si="44"/>
        <v>3.3199999999999924E-2</v>
      </c>
      <c r="G338" s="503">
        <f t="shared" si="41"/>
        <v>3.3199999999999924E-2</v>
      </c>
      <c r="H338" s="504" t="str">
        <f t="shared" si="45"/>
        <v>Hollandia</v>
      </c>
      <c r="I338" s="509" t="s">
        <v>1612</v>
      </c>
      <c r="J338" s="509" t="s">
        <v>1613</v>
      </c>
      <c r="K338" s="508">
        <v>26</v>
      </c>
      <c r="L338" s="509" t="s">
        <v>1357</v>
      </c>
      <c r="M338" s="634" t="s">
        <v>1434</v>
      </c>
      <c r="N338" s="510" t="s">
        <v>867</v>
      </c>
      <c r="O338" s="511">
        <v>36287</v>
      </c>
      <c r="P338" s="512">
        <v>22</v>
      </c>
      <c r="Q338" s="513">
        <v>187</v>
      </c>
      <c r="R338" s="514">
        <v>76</v>
      </c>
      <c r="S338" s="64"/>
      <c r="T338" s="297">
        <f t="shared" si="42"/>
        <v>0</v>
      </c>
      <c r="U338" s="518">
        <f t="shared" si="43"/>
        <v>0</v>
      </c>
      <c r="W338" s="1"/>
      <c r="X338" s="65"/>
    </row>
    <row r="339" spans="1:24" s="23" customFormat="1" ht="11.25" customHeight="1" x14ac:dyDescent="0.2">
      <c r="A339" s="765"/>
      <c r="C339" s="769"/>
      <c r="D339" s="60"/>
      <c r="F339" s="503">
        <f t="shared" si="44"/>
        <v>3.3299999999999927E-2</v>
      </c>
      <c r="G339" s="503">
        <f t="shared" si="41"/>
        <v>3.3299999999999927E-2</v>
      </c>
      <c r="H339" s="504" t="str">
        <f t="shared" si="45"/>
        <v>Hollandia</v>
      </c>
      <c r="I339" s="509" t="s">
        <v>1614</v>
      </c>
      <c r="J339" s="509" t="s">
        <v>927</v>
      </c>
      <c r="K339" s="508">
        <v>16</v>
      </c>
      <c r="L339" s="509" t="s">
        <v>703</v>
      </c>
      <c r="M339" s="634" t="s">
        <v>866</v>
      </c>
      <c r="N339" s="510" t="s">
        <v>867</v>
      </c>
      <c r="O339" s="511">
        <v>37392</v>
      </c>
      <c r="P339" s="512">
        <v>19</v>
      </c>
      <c r="Q339" s="513">
        <v>190</v>
      </c>
      <c r="R339" s="514">
        <v>83</v>
      </c>
      <c r="S339" s="64"/>
      <c r="T339" s="297">
        <f t="shared" si="42"/>
        <v>0</v>
      </c>
      <c r="U339" s="518">
        <f t="shared" si="43"/>
        <v>0</v>
      </c>
      <c r="W339" s="1"/>
      <c r="X339" s="65"/>
    </row>
    <row r="340" spans="1:24" s="23" customFormat="1" ht="11.25" customHeight="1" x14ac:dyDescent="0.2">
      <c r="A340" s="765"/>
      <c r="C340" s="769"/>
      <c r="D340" s="60"/>
      <c r="F340" s="503">
        <f t="shared" si="44"/>
        <v>3.339999999999993E-2</v>
      </c>
      <c r="G340" s="503">
        <f t="shared" si="41"/>
        <v>3.339999999999993E-2</v>
      </c>
      <c r="H340" s="504" t="str">
        <f t="shared" si="45"/>
        <v>Hollandia</v>
      </c>
      <c r="I340" s="509" t="s">
        <v>1615</v>
      </c>
      <c r="J340" s="509" t="s">
        <v>93</v>
      </c>
      <c r="K340" s="508">
        <v>14</v>
      </c>
      <c r="L340" s="509" t="s">
        <v>703</v>
      </c>
      <c r="M340" s="634" t="s">
        <v>866</v>
      </c>
      <c r="N340" s="510" t="s">
        <v>867</v>
      </c>
      <c r="O340" s="511">
        <v>34021</v>
      </c>
      <c r="P340" s="512">
        <v>28</v>
      </c>
      <c r="Q340" s="513">
        <v>179</v>
      </c>
      <c r="R340" s="514">
        <v>77</v>
      </c>
      <c r="S340" s="64"/>
      <c r="T340" s="297">
        <f t="shared" si="42"/>
        <v>0</v>
      </c>
      <c r="U340" s="518">
        <f t="shared" si="43"/>
        <v>0</v>
      </c>
      <c r="W340" s="1"/>
      <c r="X340" s="65"/>
    </row>
    <row r="341" spans="1:24" s="23" customFormat="1" ht="11.25" customHeight="1" x14ac:dyDescent="0.2">
      <c r="A341" s="765"/>
      <c r="C341" s="769"/>
      <c r="D341" s="60"/>
      <c r="F341" s="503">
        <f t="shared" si="44"/>
        <v>3.3499999999999933E-2</v>
      </c>
      <c r="G341" s="503">
        <f t="shared" si="41"/>
        <v>3.3499999999999933E-2</v>
      </c>
      <c r="H341" s="504" t="str">
        <f t="shared" si="45"/>
        <v>Hollandia</v>
      </c>
      <c r="I341" s="509" t="s">
        <v>1616</v>
      </c>
      <c r="J341" s="509" t="s">
        <v>1617</v>
      </c>
      <c r="K341" s="508">
        <v>24</v>
      </c>
      <c r="L341" s="509" t="s">
        <v>703</v>
      </c>
      <c r="M341" s="634" t="s">
        <v>72</v>
      </c>
      <c r="N341" s="510" t="s">
        <v>867</v>
      </c>
      <c r="O341" s="511">
        <v>35854</v>
      </c>
      <c r="P341" s="512">
        <v>23</v>
      </c>
      <c r="Q341" s="513">
        <v>183</v>
      </c>
      <c r="R341" s="514">
        <v>77</v>
      </c>
      <c r="S341" s="64"/>
      <c r="T341" s="297">
        <f t="shared" si="42"/>
        <v>0</v>
      </c>
      <c r="U341" s="518">
        <f t="shared" si="43"/>
        <v>0</v>
      </c>
      <c r="W341" s="1"/>
      <c r="X341" s="65"/>
    </row>
    <row r="342" spans="1:24" s="23" customFormat="1" ht="11.25" customHeight="1" x14ac:dyDescent="0.2">
      <c r="A342" s="765"/>
      <c r="C342" s="769"/>
      <c r="D342" s="60"/>
      <c r="F342" s="503">
        <f t="shared" si="44"/>
        <v>3.3599999999999935E-2</v>
      </c>
      <c r="G342" s="503">
        <f t="shared" si="41"/>
        <v>3.3599999999999935E-2</v>
      </c>
      <c r="H342" s="504" t="str">
        <f t="shared" si="45"/>
        <v>Hollandia</v>
      </c>
      <c r="I342" s="509" t="s">
        <v>88</v>
      </c>
      <c r="J342" s="509" t="s">
        <v>27</v>
      </c>
      <c r="K342" s="508">
        <v>13</v>
      </c>
      <c r="L342" s="509" t="s">
        <v>704</v>
      </c>
      <c r="M342" s="634" t="s">
        <v>909</v>
      </c>
      <c r="N342" s="510" t="s">
        <v>1271</v>
      </c>
      <c r="O342" s="511">
        <v>32206</v>
      </c>
      <c r="P342" s="512">
        <v>33</v>
      </c>
      <c r="Q342" s="513">
        <v>194</v>
      </c>
      <c r="R342" s="514">
        <v>83</v>
      </c>
      <c r="S342" s="64"/>
      <c r="T342" s="297">
        <f t="shared" si="42"/>
        <v>0</v>
      </c>
      <c r="U342" s="518">
        <f t="shared" si="43"/>
        <v>0</v>
      </c>
      <c r="W342" s="1"/>
      <c r="X342" s="65"/>
    </row>
    <row r="343" spans="1:24" s="23" customFormat="1" ht="11.25" customHeight="1" x14ac:dyDescent="0.2">
      <c r="A343" s="765"/>
      <c r="C343" s="769"/>
      <c r="D343" s="60"/>
      <c r="F343" s="503">
        <f t="shared" si="44"/>
        <v>3.3699999999999938E-2</v>
      </c>
      <c r="G343" s="503">
        <f t="shared" si="41"/>
        <v>3.3699999999999938E-2</v>
      </c>
      <c r="H343" s="504" t="str">
        <f t="shared" si="45"/>
        <v>Hollandia</v>
      </c>
      <c r="I343" s="509" t="s">
        <v>89</v>
      </c>
      <c r="J343" s="509" t="s">
        <v>90</v>
      </c>
      <c r="K343" s="508">
        <v>18</v>
      </c>
      <c r="L343" s="509" t="s">
        <v>1357</v>
      </c>
      <c r="M343" s="634" t="s">
        <v>1434</v>
      </c>
      <c r="N343" s="510" t="s">
        <v>867</v>
      </c>
      <c r="O343" s="511">
        <v>36179</v>
      </c>
      <c r="P343" s="512">
        <v>22</v>
      </c>
      <c r="Q343" s="513">
        <v>179</v>
      </c>
      <c r="R343" s="514">
        <v>78</v>
      </c>
      <c r="S343" s="64"/>
      <c r="T343" s="297">
        <f t="shared" si="42"/>
        <v>0</v>
      </c>
      <c r="U343" s="518">
        <f t="shared" si="43"/>
        <v>0</v>
      </c>
      <c r="W343" s="1"/>
      <c r="X343" s="65"/>
    </row>
    <row r="344" spans="1:24" s="23" customFormat="1" ht="11.25" customHeight="1" x14ac:dyDescent="0.2">
      <c r="A344" s="765"/>
      <c r="C344" s="769"/>
      <c r="D344" s="60"/>
      <c r="F344" s="503">
        <f t="shared" si="44"/>
        <v>3.3799999999999941E-2</v>
      </c>
      <c r="G344" s="503">
        <f t="shared" si="41"/>
        <v>3.3799999999999941E-2</v>
      </c>
      <c r="H344" s="504" t="str">
        <f t="shared" si="45"/>
        <v>Hollandia</v>
      </c>
      <c r="I344" s="509" t="s">
        <v>91</v>
      </c>
      <c r="J344" s="509" t="s">
        <v>92</v>
      </c>
      <c r="K344" s="508">
        <v>11</v>
      </c>
      <c r="L344" s="509" t="s">
        <v>1357</v>
      </c>
      <c r="M344" s="634" t="s">
        <v>866</v>
      </c>
      <c r="N344" s="510" t="s">
        <v>867</v>
      </c>
      <c r="O344" s="511">
        <v>33607</v>
      </c>
      <c r="P344" s="512">
        <v>29</v>
      </c>
      <c r="Q344" s="513">
        <v>175</v>
      </c>
      <c r="R344" s="514">
        <v>70</v>
      </c>
      <c r="S344" s="64"/>
      <c r="T344" s="297">
        <f t="shared" si="42"/>
        <v>0</v>
      </c>
      <c r="U344" s="518">
        <f t="shared" si="43"/>
        <v>0</v>
      </c>
      <c r="W344" s="1"/>
      <c r="X344" s="65"/>
    </row>
    <row r="345" spans="1:24" s="23" customFormat="1" ht="11.25" customHeight="1" x14ac:dyDescent="0.2">
      <c r="A345" s="765"/>
      <c r="C345" s="769"/>
      <c r="D345" s="60"/>
      <c r="F345" s="503">
        <f t="shared" si="44"/>
        <v>3.3899999999999944E-2</v>
      </c>
      <c r="G345" s="503">
        <f t="shared" si="41"/>
        <v>3.3899999999999944E-2</v>
      </c>
      <c r="H345" s="504" t="str">
        <f t="shared" si="45"/>
        <v>Hollandia</v>
      </c>
      <c r="I345" s="509" t="s">
        <v>1618</v>
      </c>
      <c r="J345" s="509" t="s">
        <v>82</v>
      </c>
      <c r="K345" s="508">
        <v>1</v>
      </c>
      <c r="L345" s="509" t="s">
        <v>704</v>
      </c>
      <c r="M345" s="634" t="s">
        <v>866</v>
      </c>
      <c r="N345" s="510" t="s">
        <v>867</v>
      </c>
      <c r="O345" s="511">
        <v>30216</v>
      </c>
      <c r="P345" s="512">
        <v>38</v>
      </c>
      <c r="Q345" s="513">
        <v>198</v>
      </c>
      <c r="R345" s="514">
        <v>92</v>
      </c>
      <c r="S345" s="64"/>
      <c r="T345" s="297">
        <f t="shared" si="42"/>
        <v>0</v>
      </c>
      <c r="U345" s="518">
        <f t="shared" si="43"/>
        <v>0</v>
      </c>
      <c r="W345" s="1"/>
      <c r="X345" s="65"/>
    </row>
    <row r="346" spans="1:24" s="23" customFormat="1" ht="11.25" customHeight="1" x14ac:dyDescent="0.2">
      <c r="A346" s="765"/>
      <c r="C346" s="769"/>
      <c r="D346" s="60"/>
      <c r="F346" s="503">
        <f t="shared" si="44"/>
        <v>3.3999999999999947E-2</v>
      </c>
      <c r="G346" s="503">
        <f t="shared" si="41"/>
        <v>3.3999999999999947E-2</v>
      </c>
      <c r="H346" s="504" t="str">
        <f t="shared" si="45"/>
        <v>Hollandia</v>
      </c>
      <c r="I346" s="509" t="s">
        <v>1619</v>
      </c>
      <c r="J346" s="509" t="s">
        <v>1620</v>
      </c>
      <c r="K346" s="508">
        <v>25</v>
      </c>
      <c r="L346" s="509" t="s">
        <v>1339</v>
      </c>
      <c r="M346" s="634" t="s">
        <v>866</v>
      </c>
      <c r="N346" s="510" t="s">
        <v>867</v>
      </c>
      <c r="O346" s="511">
        <v>37059</v>
      </c>
      <c r="P346" s="512">
        <v>19</v>
      </c>
      <c r="Q346" s="513">
        <v>179</v>
      </c>
      <c r="R346" s="514">
        <v>79</v>
      </c>
      <c r="S346" s="64"/>
      <c r="T346" s="297">
        <f t="shared" si="42"/>
        <v>0</v>
      </c>
      <c r="U346" s="518">
        <f t="shared" si="43"/>
        <v>0</v>
      </c>
      <c r="W346" s="1"/>
      <c r="X346" s="65"/>
    </row>
    <row r="347" spans="1:24" s="23" customFormat="1" ht="11.25" customHeight="1" x14ac:dyDescent="0.2">
      <c r="A347" s="765"/>
      <c r="C347" s="769"/>
      <c r="D347" s="60"/>
      <c r="F347" s="503">
        <f t="shared" si="44"/>
        <v>3.409999999999995E-2</v>
      </c>
      <c r="G347" s="503">
        <f t="shared" si="41"/>
        <v>3.409999999999995E-2</v>
      </c>
      <c r="H347" s="504" t="str">
        <f t="shared" si="45"/>
        <v>Hollandia</v>
      </c>
      <c r="I347" s="509" t="s">
        <v>97</v>
      </c>
      <c r="J347" s="509" t="s">
        <v>98</v>
      </c>
      <c r="K347" s="508">
        <v>12</v>
      </c>
      <c r="L347" s="509" t="s">
        <v>1339</v>
      </c>
      <c r="M347" s="634" t="s">
        <v>925</v>
      </c>
      <c r="N347" s="510" t="s">
        <v>1271</v>
      </c>
      <c r="O347" s="511">
        <v>33114</v>
      </c>
      <c r="P347" s="512">
        <v>30</v>
      </c>
      <c r="Q347" s="513">
        <v>175</v>
      </c>
      <c r="R347" s="514">
        <v>67</v>
      </c>
      <c r="S347" s="64"/>
      <c r="T347" s="297">
        <f t="shared" si="42"/>
        <v>0</v>
      </c>
      <c r="U347" s="518">
        <f t="shared" si="43"/>
        <v>0</v>
      </c>
      <c r="W347" s="1"/>
      <c r="X347" s="65"/>
    </row>
    <row r="348" spans="1:24" s="23" customFormat="1" ht="11.25" customHeight="1" x14ac:dyDescent="0.2">
      <c r="A348" s="765"/>
      <c r="C348" s="769"/>
      <c r="D348" s="60"/>
      <c r="F348" s="503">
        <f t="shared" si="44"/>
        <v>3.4199999999999953E-2</v>
      </c>
      <c r="G348" s="503">
        <f t="shared" si="41"/>
        <v>3.4199999999999953E-2</v>
      </c>
      <c r="H348" s="504" t="str">
        <f t="shared" si="45"/>
        <v>Hollandia</v>
      </c>
      <c r="I348" s="509" t="s">
        <v>99</v>
      </c>
      <c r="J348" s="509" t="s">
        <v>100</v>
      </c>
      <c r="K348" s="508">
        <v>20</v>
      </c>
      <c r="L348" s="509" t="s">
        <v>703</v>
      </c>
      <c r="M348" s="634" t="s">
        <v>853</v>
      </c>
      <c r="N348" s="510" t="s">
        <v>867</v>
      </c>
      <c r="O348" s="511">
        <v>35538</v>
      </c>
      <c r="P348" s="512">
        <v>24</v>
      </c>
      <c r="Q348" s="513">
        <v>184</v>
      </c>
      <c r="R348" s="514">
        <v>73</v>
      </c>
      <c r="S348" s="64"/>
      <c r="T348" s="297">
        <f t="shared" si="42"/>
        <v>0</v>
      </c>
      <c r="U348" s="518">
        <f t="shared" si="43"/>
        <v>0</v>
      </c>
      <c r="W348" s="1"/>
      <c r="X348" s="65"/>
    </row>
    <row r="349" spans="1:24" s="23" customFormat="1" ht="11.25" customHeight="1" x14ac:dyDescent="0.2">
      <c r="A349" s="765"/>
      <c r="C349" s="769"/>
      <c r="D349" s="60"/>
      <c r="F349" s="503">
        <f t="shared" si="44"/>
        <v>3.4299999999999956E-2</v>
      </c>
      <c r="G349" s="503">
        <f t="shared" si="41"/>
        <v>3.4299999999999956E-2</v>
      </c>
      <c r="H349" s="504" t="str">
        <f t="shared" si="45"/>
        <v>Hollandia</v>
      </c>
      <c r="I349" s="509" t="s">
        <v>1621</v>
      </c>
      <c r="J349" s="509" t="s">
        <v>1622</v>
      </c>
      <c r="K349" s="508">
        <v>2</v>
      </c>
      <c r="L349" s="509" t="s">
        <v>1339</v>
      </c>
      <c r="M349" s="634" t="s">
        <v>94</v>
      </c>
      <c r="N349" s="510" t="s">
        <v>1271</v>
      </c>
      <c r="O349" s="511">
        <v>33618</v>
      </c>
      <c r="P349" s="512">
        <v>29</v>
      </c>
      <c r="Q349" s="513">
        <v>184</v>
      </c>
      <c r="R349" s="514">
        <v>75</v>
      </c>
      <c r="S349" s="64"/>
      <c r="T349" s="297">
        <f t="shared" si="42"/>
        <v>0</v>
      </c>
      <c r="U349" s="518">
        <f t="shared" si="43"/>
        <v>0</v>
      </c>
      <c r="W349" s="640"/>
      <c r="X349" s="65"/>
    </row>
    <row r="350" spans="1:24" s="23" customFormat="1" ht="11.25" customHeight="1" x14ac:dyDescent="0.2">
      <c r="A350" s="765"/>
      <c r="C350" s="769"/>
      <c r="D350" s="60"/>
      <c r="F350" s="503">
        <f t="shared" si="44"/>
        <v>3.4399999999999958E-2</v>
      </c>
      <c r="G350" s="503">
        <f t="shared" si="41"/>
        <v>3.4399999999999958E-2</v>
      </c>
      <c r="H350" s="504" t="str">
        <f t="shared" si="45"/>
        <v>Hollandia</v>
      </c>
      <c r="I350" s="509" t="s">
        <v>1623</v>
      </c>
      <c r="J350" s="509" t="s">
        <v>1624</v>
      </c>
      <c r="K350" s="508">
        <v>19</v>
      </c>
      <c r="L350" s="509" t="s">
        <v>1357</v>
      </c>
      <c r="M350" s="634" t="s">
        <v>508</v>
      </c>
      <c r="N350" s="510" t="s">
        <v>867</v>
      </c>
      <c r="O350" s="511">
        <v>33823</v>
      </c>
      <c r="P350" s="512">
        <v>28</v>
      </c>
      <c r="Q350" s="513">
        <v>197</v>
      </c>
      <c r="R350" s="514">
        <v>84</v>
      </c>
      <c r="S350" s="64"/>
      <c r="T350" s="297">
        <f t="shared" si="42"/>
        <v>0</v>
      </c>
      <c r="U350" s="518">
        <f t="shared" si="43"/>
        <v>0</v>
      </c>
      <c r="W350" s="640"/>
      <c r="X350" s="65"/>
    </row>
    <row r="351" spans="1:24" s="23" customFormat="1" ht="11.25" customHeight="1" x14ac:dyDescent="0.2">
      <c r="A351" s="765"/>
      <c r="C351" s="769"/>
      <c r="D351" s="60"/>
      <c r="F351" s="503">
        <f t="shared" si="44"/>
        <v>3.4499999999999961E-2</v>
      </c>
      <c r="G351" s="503">
        <f t="shared" si="41"/>
        <v>3.4499999999999961E-2</v>
      </c>
      <c r="H351" s="504" t="str">
        <f t="shared" si="45"/>
        <v>Hollandia</v>
      </c>
      <c r="I351" s="509" t="s">
        <v>1625</v>
      </c>
      <c r="J351" s="509" t="s">
        <v>1626</v>
      </c>
      <c r="K351" s="508">
        <v>8</v>
      </c>
      <c r="L351" s="509" t="s">
        <v>703</v>
      </c>
      <c r="M351" s="634" t="s">
        <v>751</v>
      </c>
      <c r="N351" s="510" t="s">
        <v>1271</v>
      </c>
      <c r="O351" s="511">
        <v>33188</v>
      </c>
      <c r="P351" s="512">
        <v>30</v>
      </c>
      <c r="Q351" s="513">
        <v>175</v>
      </c>
      <c r="R351" s="514">
        <v>74</v>
      </c>
      <c r="S351" s="64"/>
      <c r="T351" s="297">
        <f t="shared" si="42"/>
        <v>0</v>
      </c>
      <c r="U351" s="518">
        <f t="shared" si="43"/>
        <v>0</v>
      </c>
      <c r="W351" s="640"/>
      <c r="X351" s="65"/>
    </row>
    <row r="352" spans="1:24" s="23" customFormat="1" ht="11.25" customHeight="1" x14ac:dyDescent="0.2">
      <c r="A352" s="765"/>
      <c r="C352" s="769"/>
      <c r="D352" s="60"/>
      <c r="F352" s="503">
        <f t="shared" si="44"/>
        <v>3.4599999999999964E-2</v>
      </c>
      <c r="G352" s="503">
        <f t="shared" si="41"/>
        <v>3.4599999999999964E-2</v>
      </c>
      <c r="H352" s="504" t="str">
        <f t="shared" si="45"/>
        <v>Hollandia</v>
      </c>
      <c r="I352" s="555" t="s">
        <v>1627</v>
      </c>
      <c r="J352" s="555" t="s">
        <v>1628</v>
      </c>
      <c r="K352" s="554">
        <v>5</v>
      </c>
      <c r="L352" s="555" t="s">
        <v>1339</v>
      </c>
      <c r="M352" s="635" t="s">
        <v>72</v>
      </c>
      <c r="N352" s="556" t="s">
        <v>867</v>
      </c>
      <c r="O352" s="557">
        <v>36492</v>
      </c>
      <c r="P352" s="558">
        <v>21</v>
      </c>
      <c r="Q352" s="559">
        <v>176</v>
      </c>
      <c r="R352" s="560">
        <v>65</v>
      </c>
      <c r="S352" s="64"/>
      <c r="T352" s="297">
        <f t="shared" si="42"/>
        <v>0</v>
      </c>
      <c r="U352" s="518">
        <f t="shared" si="43"/>
        <v>0</v>
      </c>
      <c r="W352" s="640"/>
      <c r="X352" s="65"/>
    </row>
    <row r="353" spans="1:24" s="23" customFormat="1" ht="9.75" hidden="1" customHeight="1" x14ac:dyDescent="0.2">
      <c r="A353" s="765"/>
      <c r="C353" s="769"/>
      <c r="D353" s="60"/>
      <c r="F353" s="503">
        <f t="shared" si="44"/>
        <v>3.4699999999999967E-2</v>
      </c>
      <c r="G353" s="503">
        <f t="shared" si="41"/>
        <v>0</v>
      </c>
      <c r="H353" s="504" t="str">
        <f t="shared" si="45"/>
        <v>Hollandia</v>
      </c>
      <c r="I353" s="61"/>
      <c r="J353" s="61"/>
      <c r="K353" s="295"/>
      <c r="L353" s="61"/>
      <c r="M353" s="633"/>
      <c r="N353" s="256"/>
      <c r="O353" s="62"/>
      <c r="P353" s="253"/>
      <c r="Q353" s="63"/>
      <c r="R353" s="252"/>
      <c r="S353" s="64"/>
      <c r="T353" s="297" t="str">
        <f t="shared" si="42"/>
        <v/>
      </c>
      <c r="U353" s="518" t="str">
        <f t="shared" si="43"/>
        <v/>
      </c>
      <c r="W353" s="640"/>
      <c r="X353" s="65"/>
    </row>
    <row r="354" spans="1:24" s="23" customFormat="1" ht="9.75" hidden="1" customHeight="1" x14ac:dyDescent="0.2">
      <c r="A354" s="765"/>
      <c r="C354" s="769"/>
      <c r="D354" s="60"/>
      <c r="F354" s="503">
        <f t="shared" si="44"/>
        <v>3.479999999999997E-2</v>
      </c>
      <c r="G354" s="503">
        <f t="shared" si="41"/>
        <v>0</v>
      </c>
      <c r="H354" s="504" t="str">
        <f t="shared" si="45"/>
        <v>Hollandia</v>
      </c>
      <c r="I354" s="61"/>
      <c r="J354" s="61"/>
      <c r="K354" s="295"/>
      <c r="L354" s="61"/>
      <c r="M354" s="633"/>
      <c r="N354" s="256"/>
      <c r="O354" s="62"/>
      <c r="P354" s="253"/>
      <c r="Q354" s="63"/>
      <c r="R354" s="252"/>
      <c r="S354" s="64"/>
      <c r="T354" s="297" t="str">
        <f t="shared" si="42"/>
        <v/>
      </c>
      <c r="U354" s="518" t="str">
        <f t="shared" si="43"/>
        <v/>
      </c>
      <c r="W354" s="640"/>
      <c r="X354" s="65"/>
    </row>
    <row r="355" spans="1:24" s="23" customFormat="1" ht="9.75" hidden="1" customHeight="1" x14ac:dyDescent="0.2">
      <c r="A355" s="765"/>
      <c r="C355" s="769"/>
      <c r="D355" s="60"/>
      <c r="F355" s="503">
        <f t="shared" si="44"/>
        <v>3.4899999999999973E-2</v>
      </c>
      <c r="G355" s="503">
        <f t="shared" si="41"/>
        <v>0</v>
      </c>
      <c r="H355" s="504" t="str">
        <f t="shared" si="45"/>
        <v>Hollandia</v>
      </c>
      <c r="I355" s="61"/>
      <c r="J355" s="61"/>
      <c r="K355" s="295"/>
      <c r="L355" s="61"/>
      <c r="M355" s="633"/>
      <c r="N355" s="256"/>
      <c r="O355" s="62"/>
      <c r="P355" s="253"/>
      <c r="Q355" s="63"/>
      <c r="R355" s="252"/>
      <c r="S355" s="64"/>
      <c r="T355" s="297" t="str">
        <f t="shared" si="42"/>
        <v/>
      </c>
      <c r="U355" s="518" t="str">
        <f t="shared" si="43"/>
        <v/>
      </c>
      <c r="W355" s="640"/>
      <c r="X355" s="65"/>
    </row>
    <row r="356" spans="1:24" s="23" customFormat="1" ht="9.75" hidden="1" customHeight="1" x14ac:dyDescent="0.2">
      <c r="A356" s="765"/>
      <c r="C356" s="769"/>
      <c r="D356" s="60"/>
      <c r="F356" s="503">
        <f t="shared" si="44"/>
        <v>3.4999999999999976E-2</v>
      </c>
      <c r="G356" s="503">
        <f t="shared" si="41"/>
        <v>0</v>
      </c>
      <c r="H356" s="504" t="str">
        <f t="shared" si="45"/>
        <v>Hollandia</v>
      </c>
      <c r="I356" s="61"/>
      <c r="J356" s="61"/>
      <c r="K356" s="295"/>
      <c r="L356" s="61"/>
      <c r="M356" s="633"/>
      <c r="N356" s="256"/>
      <c r="O356" s="62"/>
      <c r="P356" s="253"/>
      <c r="Q356" s="63"/>
      <c r="R356" s="252"/>
      <c r="S356" s="64"/>
      <c r="T356" s="297" t="str">
        <f t="shared" si="42"/>
        <v/>
      </c>
      <c r="U356" s="518" t="str">
        <f t="shared" si="43"/>
        <v/>
      </c>
      <c r="W356" s="640"/>
      <c r="X356" s="65"/>
    </row>
    <row r="357" spans="1:24" s="23" customFormat="1" ht="4.5" customHeight="1" x14ac:dyDescent="0.25">
      <c r="A357" s="765"/>
      <c r="C357" s="769"/>
      <c r="D357" s="60"/>
      <c r="F357" s="503">
        <f t="shared" si="44"/>
        <v>3.5099999999999978E-2</v>
      </c>
      <c r="G357" s="503"/>
      <c r="H357" s="505"/>
      <c r="I357" s="67"/>
      <c r="J357" s="67"/>
      <c r="K357" s="22"/>
      <c r="L357" s="67"/>
      <c r="M357" s="22"/>
      <c r="N357" s="68"/>
      <c r="O357" s="67"/>
      <c r="P357" s="69"/>
      <c r="Q357" s="70"/>
      <c r="R357" s="71"/>
      <c r="S357" s="71"/>
      <c r="T357" s="298"/>
      <c r="U357" s="299"/>
      <c r="W357" s="641"/>
      <c r="X357" s="67"/>
    </row>
    <row r="358" spans="1:24" s="21" customFormat="1" ht="9.75" customHeight="1" x14ac:dyDescent="0.2">
      <c r="A358" s="765"/>
      <c r="C358" s="769"/>
      <c r="D358" s="60"/>
      <c r="F358" s="503">
        <f t="shared" si="44"/>
        <v>3.5199999999999981E-2</v>
      </c>
      <c r="G358" s="503"/>
      <c r="H358" s="303"/>
      <c r="I358" s="74" t="s">
        <v>542</v>
      </c>
      <c r="J358" s="75" t="s">
        <v>101</v>
      </c>
      <c r="K358" s="75"/>
      <c r="L358" s="75"/>
      <c r="M358" s="636"/>
      <c r="N358" s="76"/>
      <c r="O358" s="74" t="s">
        <v>495</v>
      </c>
      <c r="P358" s="254">
        <f>AVERAGE(P327:P356)</f>
        <v>26.846153846153847</v>
      </c>
      <c r="Q358" s="77">
        <f>AVERAGE(Q327:Q356)</f>
        <v>184.07692307692307</v>
      </c>
      <c r="R358" s="255">
        <f>AVERAGE(R327:R356)</f>
        <v>77.730769230769226</v>
      </c>
      <c r="S358" s="78"/>
      <c r="T358" s="297">
        <f>SUM(T327:T356)</f>
        <v>0</v>
      </c>
      <c r="U358" s="518">
        <f>SUM(U327:U356)</f>
        <v>0</v>
      </c>
      <c r="W358" s="642" t="s">
        <v>879</v>
      </c>
      <c r="X358" s="79"/>
    </row>
    <row r="359" spans="1:24" ht="9.75" customHeight="1" x14ac:dyDescent="0.3">
      <c r="A359" s="765"/>
      <c r="F359" s="503">
        <f t="shared" si="44"/>
        <v>3.5299999999999984E-2</v>
      </c>
      <c r="G359" s="503"/>
    </row>
    <row r="360" spans="1:24" ht="9.75" customHeight="1" x14ac:dyDescent="0.3">
      <c r="A360" s="765"/>
      <c r="F360" s="503">
        <f t="shared" si="44"/>
        <v>3.5399999999999987E-2</v>
      </c>
      <c r="G360" s="503"/>
    </row>
    <row r="361" spans="1:24" ht="9.75" customHeight="1" x14ac:dyDescent="0.3">
      <c r="A361" s="765"/>
      <c r="F361" s="503">
        <f t="shared" si="44"/>
        <v>3.549999999999999E-2</v>
      </c>
      <c r="G361" s="503"/>
    </row>
    <row r="362" spans="1:24" ht="9.75" customHeight="1" x14ac:dyDescent="0.3">
      <c r="A362" s="765"/>
      <c r="F362" s="503">
        <f t="shared" si="44"/>
        <v>3.5599999999999993E-2</v>
      </c>
    </row>
    <row r="363" spans="1:24" ht="9.75" customHeight="1" x14ac:dyDescent="0.3">
      <c r="A363" s="765"/>
      <c r="F363" s="503">
        <f t="shared" si="44"/>
        <v>3.5699999999999996E-2</v>
      </c>
    </row>
    <row r="364" spans="1:24" ht="9.75" customHeight="1" x14ac:dyDescent="0.3">
      <c r="A364" s="765"/>
      <c r="F364" s="503">
        <f t="shared" si="44"/>
        <v>3.5799999999999998E-2</v>
      </c>
    </row>
    <row r="365" spans="1:24" ht="9.75" customHeight="1" x14ac:dyDescent="0.3">
      <c r="A365" s="765"/>
      <c r="F365" s="503">
        <f t="shared" si="44"/>
        <v>3.5900000000000001E-2</v>
      </c>
    </row>
    <row r="366" spans="1:24" s="23" customFormat="1" ht="5.25" customHeight="1" x14ac:dyDescent="0.2">
      <c r="A366" s="765"/>
      <c r="C366" s="21"/>
      <c r="F366" s="503">
        <f t="shared" si="44"/>
        <v>3.6000000000000004E-2</v>
      </c>
      <c r="G366" s="506"/>
      <c r="H366" s="502"/>
      <c r="I366" s="55"/>
      <c r="J366" s="55"/>
      <c r="K366" s="56"/>
      <c r="L366" s="55"/>
      <c r="M366" s="56"/>
      <c r="N366" s="57"/>
      <c r="O366" s="57"/>
      <c r="P366" s="55"/>
      <c r="Q366" s="57"/>
      <c r="R366" s="57"/>
      <c r="S366" s="57"/>
      <c r="T366" s="58"/>
      <c r="U366" s="59"/>
      <c r="W366" s="639"/>
      <c r="X366" s="55"/>
    </row>
    <row r="367" spans="1:24" s="23" customFormat="1" ht="11.25" customHeight="1" x14ac:dyDescent="0.2">
      <c r="A367" s="765"/>
      <c r="C367" s="769" t="str">
        <f>UPPER(H367)&amp;"    ."</f>
        <v>UKRAJNA    .</v>
      </c>
      <c r="D367" s="60"/>
      <c r="F367" s="503">
        <f t="shared" si="44"/>
        <v>3.6100000000000007E-2</v>
      </c>
      <c r="G367" s="503">
        <f t="shared" ref="G367:G396" si="46">IF(I367="",0,T367+F367)</f>
        <v>3.6100000000000007E-2</v>
      </c>
      <c r="H367" s="504" t="str">
        <f>Adatok!C3</f>
        <v>Ukrajna</v>
      </c>
      <c r="I367" s="61" t="s">
        <v>1629</v>
      </c>
      <c r="J367" s="61" t="s">
        <v>1095</v>
      </c>
      <c r="K367" s="295">
        <v>19</v>
      </c>
      <c r="L367" s="61" t="s">
        <v>1357</v>
      </c>
      <c r="M367" s="633" t="s">
        <v>103</v>
      </c>
      <c r="N367" s="256" t="s">
        <v>509</v>
      </c>
      <c r="O367" s="62">
        <v>35155</v>
      </c>
      <c r="P367" s="253">
        <v>25</v>
      </c>
      <c r="Q367" s="63">
        <v>185</v>
      </c>
      <c r="R367" s="252">
        <v>76</v>
      </c>
      <c r="S367" s="64"/>
      <c r="T367" s="297">
        <f t="shared" ref="T367:T396" si="47">IF(I367="","",COUNTIF(nevek.s,CONCATENATE(H367,I367)))</f>
        <v>0</v>
      </c>
      <c r="U367" s="518">
        <f t="shared" ref="U367:U396" si="48">IF(I367="","",COUNTIF(nevek.s,CONCATENATE("ö",H367,I367)))</f>
        <v>0</v>
      </c>
      <c r="W367" s="3"/>
      <c r="X367" s="65"/>
    </row>
    <row r="368" spans="1:24" s="23" customFormat="1" ht="11.25" customHeight="1" x14ac:dyDescent="0.2">
      <c r="A368" s="765"/>
      <c r="C368" s="769"/>
      <c r="D368" s="60"/>
      <c r="F368" s="503">
        <f t="shared" si="44"/>
        <v>3.620000000000001E-2</v>
      </c>
      <c r="G368" s="503">
        <f t="shared" si="46"/>
        <v>3.620000000000001E-2</v>
      </c>
      <c r="H368" s="504" t="str">
        <f>H367</f>
        <v>Ukrajna</v>
      </c>
      <c r="I368" s="509" t="s">
        <v>102</v>
      </c>
      <c r="J368" s="509" t="s">
        <v>982</v>
      </c>
      <c r="K368" s="508">
        <v>18</v>
      </c>
      <c r="L368" s="509" t="s">
        <v>703</v>
      </c>
      <c r="M368" s="634" t="s">
        <v>1166</v>
      </c>
      <c r="N368" s="510" t="s">
        <v>860</v>
      </c>
      <c r="O368" s="511">
        <v>33142</v>
      </c>
      <c r="P368" s="512">
        <v>30</v>
      </c>
      <c r="Q368" s="513">
        <v>185</v>
      </c>
      <c r="R368" s="514">
        <v>78</v>
      </c>
      <c r="S368" s="64"/>
      <c r="T368" s="297">
        <f t="shared" si="47"/>
        <v>0</v>
      </c>
      <c r="U368" s="518">
        <f t="shared" si="48"/>
        <v>0</v>
      </c>
      <c r="W368" s="1"/>
      <c r="X368" s="65"/>
    </row>
    <row r="369" spans="1:24" s="23" customFormat="1" ht="11.25" customHeight="1" x14ac:dyDescent="0.2">
      <c r="A369" s="765"/>
      <c r="C369" s="769"/>
      <c r="D369" s="60"/>
      <c r="F369" s="503">
        <f t="shared" si="44"/>
        <v>3.6300000000000013E-2</v>
      </c>
      <c r="G369" s="503">
        <f t="shared" si="46"/>
        <v>3.6300000000000013E-2</v>
      </c>
      <c r="H369" s="504" t="str">
        <f t="shared" ref="H369:H396" si="49">H368</f>
        <v>Ukrajna</v>
      </c>
      <c r="I369" s="509" t="s">
        <v>1630</v>
      </c>
      <c r="J369" s="509" t="s">
        <v>1631</v>
      </c>
      <c r="K369" s="508">
        <v>1</v>
      </c>
      <c r="L369" s="509" t="s">
        <v>704</v>
      </c>
      <c r="M369" s="634" t="s">
        <v>103</v>
      </c>
      <c r="N369" s="510" t="s">
        <v>509</v>
      </c>
      <c r="O369" s="511">
        <v>34485</v>
      </c>
      <c r="P369" s="512">
        <v>27</v>
      </c>
      <c r="Q369" s="513">
        <v>196</v>
      </c>
      <c r="R369" s="514">
        <v>84</v>
      </c>
      <c r="S369" s="64"/>
      <c r="T369" s="297">
        <f t="shared" si="47"/>
        <v>0</v>
      </c>
      <c r="U369" s="518">
        <f t="shared" si="48"/>
        <v>0</v>
      </c>
      <c r="W369" s="1"/>
      <c r="X369" s="65"/>
    </row>
    <row r="370" spans="1:24" s="23" customFormat="1" ht="11.25" customHeight="1" x14ac:dyDescent="0.2">
      <c r="A370" s="765"/>
      <c r="C370" s="769"/>
      <c r="D370" s="60"/>
      <c r="F370" s="503">
        <f t="shared" si="44"/>
        <v>3.6400000000000016E-2</v>
      </c>
      <c r="G370" s="503">
        <f t="shared" si="46"/>
        <v>3.6400000000000016E-2</v>
      </c>
      <c r="H370" s="504" t="str">
        <f t="shared" si="49"/>
        <v>Ukrajna</v>
      </c>
      <c r="I370" s="509" t="s">
        <v>105</v>
      </c>
      <c r="J370" s="509" t="s">
        <v>1031</v>
      </c>
      <c r="K370" s="508">
        <v>15</v>
      </c>
      <c r="L370" s="509" t="s">
        <v>703</v>
      </c>
      <c r="M370" s="634" t="s">
        <v>103</v>
      </c>
      <c r="N370" s="510" t="s">
        <v>509</v>
      </c>
      <c r="O370" s="511">
        <v>35749</v>
      </c>
      <c r="P370" s="512">
        <v>23</v>
      </c>
      <c r="Q370" s="513">
        <v>178</v>
      </c>
      <c r="R370" s="514">
        <v>73</v>
      </c>
      <c r="S370" s="64"/>
      <c r="T370" s="297">
        <f t="shared" si="47"/>
        <v>0</v>
      </c>
      <c r="U370" s="518">
        <f t="shared" si="48"/>
        <v>0</v>
      </c>
      <c r="W370" s="1"/>
      <c r="X370" s="65"/>
    </row>
    <row r="371" spans="1:24" s="23" customFormat="1" ht="11.25" customHeight="1" x14ac:dyDescent="0.2">
      <c r="A371" s="765"/>
      <c r="C371" s="769"/>
      <c r="D371" s="60"/>
      <c r="F371" s="503">
        <f t="shared" si="44"/>
        <v>3.6500000000000019E-2</v>
      </c>
      <c r="G371" s="503">
        <f t="shared" si="46"/>
        <v>3.6500000000000019E-2</v>
      </c>
      <c r="H371" s="504" t="str">
        <f t="shared" si="49"/>
        <v>Ukrajna</v>
      </c>
      <c r="I371" s="509" t="s">
        <v>1632</v>
      </c>
      <c r="J371" s="509" t="s">
        <v>1095</v>
      </c>
      <c r="K371" s="508">
        <v>26</v>
      </c>
      <c r="L371" s="509" t="s">
        <v>1357</v>
      </c>
      <c r="M371" s="634" t="s">
        <v>1633</v>
      </c>
      <c r="N371" s="510" t="s">
        <v>509</v>
      </c>
      <c r="O371" s="511">
        <v>35602</v>
      </c>
      <c r="P371" s="512">
        <v>23</v>
      </c>
      <c r="Q371" s="513">
        <v>184</v>
      </c>
      <c r="R371" s="514">
        <v>76</v>
      </c>
      <c r="S371" s="64"/>
      <c r="T371" s="297">
        <f t="shared" si="47"/>
        <v>0</v>
      </c>
      <c r="U371" s="518">
        <f t="shared" si="48"/>
        <v>0</v>
      </c>
      <c r="W371" s="1"/>
      <c r="X371" s="65"/>
    </row>
    <row r="372" spans="1:24" s="23" customFormat="1" ht="11.25" customHeight="1" x14ac:dyDescent="0.2">
      <c r="A372" s="765"/>
      <c r="C372" s="769"/>
      <c r="D372" s="60"/>
      <c r="F372" s="503">
        <f t="shared" si="44"/>
        <v>3.6600000000000021E-2</v>
      </c>
      <c r="G372" s="503">
        <f t="shared" si="46"/>
        <v>3.6600000000000021E-2</v>
      </c>
      <c r="H372" s="504" t="str">
        <f t="shared" si="49"/>
        <v>Ukrajna</v>
      </c>
      <c r="I372" s="509" t="s">
        <v>106</v>
      </c>
      <c r="J372" s="509" t="s">
        <v>982</v>
      </c>
      <c r="K372" s="508">
        <v>9</v>
      </c>
      <c r="L372" s="509" t="s">
        <v>1357</v>
      </c>
      <c r="M372" s="634" t="s">
        <v>1166</v>
      </c>
      <c r="N372" s="510" t="s">
        <v>860</v>
      </c>
      <c r="O372" s="511">
        <v>35030</v>
      </c>
      <c r="P372" s="512">
        <v>25</v>
      </c>
      <c r="Q372" s="513">
        <v>186</v>
      </c>
      <c r="R372" s="514">
        <v>78</v>
      </c>
      <c r="S372" s="64"/>
      <c r="T372" s="297">
        <f t="shared" si="47"/>
        <v>0</v>
      </c>
      <c r="U372" s="518">
        <f t="shared" si="48"/>
        <v>0</v>
      </c>
      <c r="W372" s="1"/>
      <c r="X372" s="65"/>
    </row>
    <row r="373" spans="1:24" s="23" customFormat="1" ht="11.25" customHeight="1" x14ac:dyDescent="0.2">
      <c r="A373" s="765"/>
      <c r="C373" s="769"/>
      <c r="D373" s="60"/>
      <c r="F373" s="503">
        <f t="shared" si="44"/>
        <v>3.6700000000000024E-2</v>
      </c>
      <c r="G373" s="503">
        <f t="shared" si="46"/>
        <v>3.6700000000000024E-2</v>
      </c>
      <c r="H373" s="504" t="str">
        <f t="shared" si="49"/>
        <v>Ukrajna</v>
      </c>
      <c r="I373" s="509" t="s">
        <v>1096</v>
      </c>
      <c r="J373" s="509" t="s">
        <v>1097</v>
      </c>
      <c r="K373" s="508">
        <v>7</v>
      </c>
      <c r="L373" s="509" t="s">
        <v>1357</v>
      </c>
      <c r="M373" s="634" t="s">
        <v>931</v>
      </c>
      <c r="N373" s="510" t="s">
        <v>1271</v>
      </c>
      <c r="O373" s="511">
        <v>32804</v>
      </c>
      <c r="P373" s="512">
        <v>31</v>
      </c>
      <c r="Q373" s="513">
        <v>189</v>
      </c>
      <c r="R373" s="514">
        <v>81</v>
      </c>
      <c r="S373" s="64"/>
      <c r="T373" s="297">
        <f t="shared" si="47"/>
        <v>0</v>
      </c>
      <c r="U373" s="518">
        <f t="shared" si="48"/>
        <v>0</v>
      </c>
      <c r="W373" s="1"/>
      <c r="X373" s="65"/>
    </row>
    <row r="374" spans="1:24" s="23" customFormat="1" ht="11.25" customHeight="1" x14ac:dyDescent="0.2">
      <c r="A374" s="765"/>
      <c r="C374" s="769"/>
      <c r="D374" s="60"/>
      <c r="E374" s="66"/>
      <c r="F374" s="503">
        <f t="shared" si="44"/>
        <v>3.6800000000000027E-2</v>
      </c>
      <c r="G374" s="503">
        <f t="shared" si="46"/>
        <v>3.6800000000000027E-2</v>
      </c>
      <c r="H374" s="504" t="str">
        <f t="shared" si="49"/>
        <v>Ukrajna</v>
      </c>
      <c r="I374" s="509" t="s">
        <v>1098</v>
      </c>
      <c r="J374" s="509" t="s">
        <v>1634</v>
      </c>
      <c r="K374" s="508">
        <v>21</v>
      </c>
      <c r="L374" s="509" t="s">
        <v>1339</v>
      </c>
      <c r="M374" s="634" t="s">
        <v>103</v>
      </c>
      <c r="N374" s="510" t="s">
        <v>509</v>
      </c>
      <c r="O374" s="511">
        <v>33757</v>
      </c>
      <c r="P374" s="512">
        <v>29</v>
      </c>
      <c r="Q374" s="513">
        <v>173</v>
      </c>
      <c r="R374" s="514">
        <v>65</v>
      </c>
      <c r="S374" s="64"/>
      <c r="T374" s="297">
        <f t="shared" si="47"/>
        <v>0</v>
      </c>
      <c r="U374" s="518">
        <f t="shared" si="48"/>
        <v>0</v>
      </c>
      <c r="W374" s="1"/>
      <c r="X374" s="65"/>
    </row>
    <row r="375" spans="1:24" s="23" customFormat="1" ht="11.25" customHeight="1" x14ac:dyDescent="0.2">
      <c r="A375" s="765"/>
      <c r="C375" s="769"/>
      <c r="D375" s="60"/>
      <c r="F375" s="503">
        <f t="shared" si="44"/>
        <v>3.690000000000003E-2</v>
      </c>
      <c r="G375" s="503">
        <f t="shared" si="46"/>
        <v>3.690000000000003E-2</v>
      </c>
      <c r="H375" s="504" t="str">
        <f t="shared" si="49"/>
        <v>Ukrajna</v>
      </c>
      <c r="I375" s="509" t="s">
        <v>108</v>
      </c>
      <c r="J375" s="509" t="s">
        <v>1101</v>
      </c>
      <c r="K375" s="508">
        <v>4</v>
      </c>
      <c r="L375" s="509" t="s">
        <v>1339</v>
      </c>
      <c r="M375" s="634" t="s">
        <v>667</v>
      </c>
      <c r="N375" s="510" t="s">
        <v>509</v>
      </c>
      <c r="O375" s="511">
        <v>33312</v>
      </c>
      <c r="P375" s="512">
        <v>30</v>
      </c>
      <c r="Q375" s="513">
        <v>186</v>
      </c>
      <c r="R375" s="514">
        <v>83</v>
      </c>
      <c r="S375" s="64"/>
      <c r="T375" s="297">
        <f t="shared" si="47"/>
        <v>0</v>
      </c>
      <c r="U375" s="518">
        <f t="shared" si="48"/>
        <v>0</v>
      </c>
      <c r="W375" s="1"/>
      <c r="X375" s="65"/>
    </row>
    <row r="376" spans="1:24" s="23" customFormat="1" ht="11.25" customHeight="1" x14ac:dyDescent="0.2">
      <c r="A376" s="765"/>
      <c r="C376" s="769"/>
      <c r="D376" s="60"/>
      <c r="F376" s="503">
        <f t="shared" si="44"/>
        <v>3.7000000000000033E-2</v>
      </c>
      <c r="G376" s="503">
        <f t="shared" si="46"/>
        <v>3.7000000000000033E-2</v>
      </c>
      <c r="H376" s="504" t="str">
        <f t="shared" si="49"/>
        <v>Ukrajna</v>
      </c>
      <c r="I376" s="509" t="s">
        <v>109</v>
      </c>
      <c r="J376" s="509" t="s">
        <v>110</v>
      </c>
      <c r="K376" s="508">
        <v>14</v>
      </c>
      <c r="L376" s="509" t="s">
        <v>703</v>
      </c>
      <c r="M376" s="634" t="s">
        <v>111</v>
      </c>
      <c r="N376" s="510" t="s">
        <v>860</v>
      </c>
      <c r="O376" s="511">
        <v>33379</v>
      </c>
      <c r="P376" s="512">
        <v>30</v>
      </c>
      <c r="Q376" s="513">
        <v>186</v>
      </c>
      <c r="R376" s="514">
        <v>75</v>
      </c>
      <c r="S376" s="64"/>
      <c r="T376" s="297">
        <f t="shared" si="47"/>
        <v>0</v>
      </c>
      <c r="U376" s="518">
        <f t="shared" si="48"/>
        <v>0</v>
      </c>
      <c r="W376" s="1"/>
      <c r="X376" s="65"/>
    </row>
    <row r="377" spans="1:24" s="23" customFormat="1" ht="11.25" customHeight="1" x14ac:dyDescent="0.2">
      <c r="A377" s="765"/>
      <c r="C377" s="769"/>
      <c r="D377" s="60"/>
      <c r="F377" s="503">
        <f t="shared" si="44"/>
        <v>3.7100000000000036E-2</v>
      </c>
      <c r="G377" s="503">
        <f t="shared" si="46"/>
        <v>3.7100000000000036E-2</v>
      </c>
      <c r="H377" s="504" t="str">
        <f t="shared" si="49"/>
        <v>Ukrajna</v>
      </c>
      <c r="I377" s="509" t="s">
        <v>112</v>
      </c>
      <c r="J377" s="509" t="s">
        <v>1099</v>
      </c>
      <c r="K377" s="508">
        <v>8</v>
      </c>
      <c r="L377" s="509" t="s">
        <v>703</v>
      </c>
      <c r="M377" s="634" t="s">
        <v>1429</v>
      </c>
      <c r="N377" s="510" t="s">
        <v>501</v>
      </c>
      <c r="O377" s="511">
        <v>34093</v>
      </c>
      <c r="P377" s="512">
        <v>28</v>
      </c>
      <c r="Q377" s="513">
        <v>180</v>
      </c>
      <c r="R377" s="514">
        <v>74</v>
      </c>
      <c r="S377" s="64"/>
      <c r="T377" s="297">
        <f t="shared" si="47"/>
        <v>0</v>
      </c>
      <c r="U377" s="518">
        <f t="shared" si="48"/>
        <v>0</v>
      </c>
      <c r="W377" s="1"/>
      <c r="X377" s="65"/>
    </row>
    <row r="378" spans="1:24" s="23" customFormat="1" ht="11.25" customHeight="1" x14ac:dyDescent="0.2">
      <c r="A378" s="765"/>
      <c r="C378" s="769"/>
      <c r="D378" s="60"/>
      <c r="F378" s="503">
        <f t="shared" si="44"/>
        <v>3.7200000000000039E-2</v>
      </c>
      <c r="G378" s="503">
        <f t="shared" si="46"/>
        <v>3.7200000000000039E-2</v>
      </c>
      <c r="H378" s="504" t="str">
        <f t="shared" si="49"/>
        <v>Ukrajna</v>
      </c>
      <c r="I378" s="509" t="s">
        <v>113</v>
      </c>
      <c r="J378" s="509"/>
      <c r="K378" s="508">
        <v>11</v>
      </c>
      <c r="L378" s="509" t="s">
        <v>703</v>
      </c>
      <c r="M378" s="634" t="s">
        <v>667</v>
      </c>
      <c r="N378" s="510" t="s">
        <v>509</v>
      </c>
      <c r="O378" s="511">
        <v>32301</v>
      </c>
      <c r="P378" s="512">
        <v>33</v>
      </c>
      <c r="Q378" s="513">
        <v>174</v>
      </c>
      <c r="R378" s="514">
        <v>69</v>
      </c>
      <c r="S378" s="64"/>
      <c r="T378" s="297">
        <f t="shared" si="47"/>
        <v>0</v>
      </c>
      <c r="U378" s="518">
        <f t="shared" si="48"/>
        <v>0</v>
      </c>
      <c r="W378" s="1"/>
      <c r="X378" s="65"/>
    </row>
    <row r="379" spans="1:24" s="23" customFormat="1" ht="11.25" customHeight="1" x14ac:dyDescent="0.2">
      <c r="A379" s="765"/>
      <c r="C379" s="769"/>
      <c r="D379" s="60"/>
      <c r="F379" s="503">
        <f t="shared" si="44"/>
        <v>3.7300000000000041E-2</v>
      </c>
      <c r="G379" s="503">
        <f t="shared" si="46"/>
        <v>3.7300000000000041E-2</v>
      </c>
      <c r="H379" s="504" t="str">
        <f t="shared" si="49"/>
        <v>Ukrajna</v>
      </c>
      <c r="I379" s="509" t="s">
        <v>114</v>
      </c>
      <c r="J379" s="509" t="s">
        <v>115</v>
      </c>
      <c r="K379" s="508">
        <v>22</v>
      </c>
      <c r="L379" s="509" t="s">
        <v>1339</v>
      </c>
      <c r="M379" s="634" t="s">
        <v>667</v>
      </c>
      <c r="N379" s="510" t="s">
        <v>509</v>
      </c>
      <c r="O379" s="511">
        <v>35187</v>
      </c>
      <c r="P379" s="512">
        <v>25</v>
      </c>
      <c r="Q379" s="513">
        <v>182</v>
      </c>
      <c r="R379" s="514">
        <v>74</v>
      </c>
      <c r="S379" s="64"/>
      <c r="T379" s="297">
        <f t="shared" si="47"/>
        <v>0</v>
      </c>
      <c r="U379" s="518">
        <f t="shared" si="48"/>
        <v>0</v>
      </c>
      <c r="W379" s="1"/>
      <c r="X379" s="65"/>
    </row>
    <row r="380" spans="1:24" s="23" customFormat="1" ht="11.25" customHeight="1" x14ac:dyDescent="0.2">
      <c r="A380" s="765"/>
      <c r="C380" s="769"/>
      <c r="D380" s="60"/>
      <c r="F380" s="503">
        <f t="shared" si="44"/>
        <v>3.7400000000000044E-2</v>
      </c>
      <c r="G380" s="503">
        <f t="shared" si="46"/>
        <v>3.7400000000000044E-2</v>
      </c>
      <c r="H380" s="504" t="str">
        <f t="shared" si="49"/>
        <v>Ukrajna</v>
      </c>
      <c r="I380" s="509" t="s">
        <v>116</v>
      </c>
      <c r="J380" s="509" t="s">
        <v>104</v>
      </c>
      <c r="K380" s="508">
        <v>16</v>
      </c>
      <c r="L380" s="509" t="s">
        <v>1339</v>
      </c>
      <c r="M380" s="634" t="s">
        <v>103</v>
      </c>
      <c r="N380" s="510" t="s">
        <v>509</v>
      </c>
      <c r="O380" s="511">
        <v>36309</v>
      </c>
      <c r="P380" s="512">
        <v>22</v>
      </c>
      <c r="Q380" s="513">
        <v>180</v>
      </c>
      <c r="R380" s="514">
        <v>71</v>
      </c>
      <c r="S380" s="64"/>
      <c r="T380" s="297">
        <f t="shared" si="47"/>
        <v>0</v>
      </c>
      <c r="U380" s="518">
        <f t="shared" si="48"/>
        <v>0</v>
      </c>
      <c r="W380" s="1"/>
      <c r="X380" s="65"/>
    </row>
    <row r="381" spans="1:24" s="23" customFormat="1" ht="11.25" customHeight="1" x14ac:dyDescent="0.2">
      <c r="A381" s="765"/>
      <c r="C381" s="769"/>
      <c r="D381" s="60"/>
      <c r="F381" s="503">
        <f t="shared" si="44"/>
        <v>3.7500000000000047E-2</v>
      </c>
      <c r="G381" s="503">
        <f t="shared" si="46"/>
        <v>3.7500000000000047E-2</v>
      </c>
      <c r="H381" s="504" t="str">
        <f t="shared" si="49"/>
        <v>Ukrajna</v>
      </c>
      <c r="I381" s="509" t="s">
        <v>1100</v>
      </c>
      <c r="J381" s="509" t="s">
        <v>1097</v>
      </c>
      <c r="K381" s="508">
        <v>12</v>
      </c>
      <c r="L381" s="509" t="s">
        <v>704</v>
      </c>
      <c r="M381" s="634" t="s">
        <v>667</v>
      </c>
      <c r="N381" s="510" t="s">
        <v>509</v>
      </c>
      <c r="O381" s="511">
        <v>30861</v>
      </c>
      <c r="P381" s="512">
        <v>36</v>
      </c>
      <c r="Q381" s="513">
        <v>190</v>
      </c>
      <c r="R381" s="514">
        <v>84</v>
      </c>
      <c r="S381" s="64"/>
      <c r="T381" s="297">
        <f t="shared" si="47"/>
        <v>0</v>
      </c>
      <c r="U381" s="518">
        <f t="shared" si="48"/>
        <v>0</v>
      </c>
      <c r="W381" s="1"/>
      <c r="X381" s="65"/>
    </row>
    <row r="382" spans="1:24" s="23" customFormat="1" ht="11.25" customHeight="1" x14ac:dyDescent="0.2">
      <c r="A382" s="765"/>
      <c r="C382" s="769"/>
      <c r="D382" s="60"/>
      <c r="F382" s="503">
        <f t="shared" si="44"/>
        <v>3.760000000000005E-2</v>
      </c>
      <c r="G382" s="503">
        <f t="shared" si="46"/>
        <v>3.760000000000005E-2</v>
      </c>
      <c r="H382" s="504" t="str">
        <f t="shared" si="49"/>
        <v>Ukrajna</v>
      </c>
      <c r="I382" s="509" t="s">
        <v>1635</v>
      </c>
      <c r="J382" s="509" t="s">
        <v>1027</v>
      </c>
      <c r="K382" s="508">
        <v>25</v>
      </c>
      <c r="L382" s="509" t="s">
        <v>1339</v>
      </c>
      <c r="M382" s="634" t="s">
        <v>103</v>
      </c>
      <c r="N382" s="510" t="s">
        <v>509</v>
      </c>
      <c r="O382" s="511">
        <v>36208</v>
      </c>
      <c r="P382" s="512">
        <v>22</v>
      </c>
      <c r="Q382" s="513">
        <v>185</v>
      </c>
      <c r="R382" s="514">
        <v>81</v>
      </c>
      <c r="S382" s="64"/>
      <c r="T382" s="297">
        <f t="shared" si="47"/>
        <v>0</v>
      </c>
      <c r="U382" s="518">
        <f t="shared" si="48"/>
        <v>0</v>
      </c>
      <c r="W382" s="1"/>
      <c r="X382" s="65"/>
    </row>
    <row r="383" spans="1:24" s="23" customFormat="1" ht="11.25" customHeight="1" x14ac:dyDescent="0.2">
      <c r="A383" s="765"/>
      <c r="C383" s="769"/>
      <c r="D383" s="60"/>
      <c r="F383" s="503">
        <f t="shared" si="44"/>
        <v>3.7700000000000053E-2</v>
      </c>
      <c r="G383" s="503">
        <f t="shared" si="46"/>
        <v>3.7700000000000053E-2</v>
      </c>
      <c r="H383" s="504" t="str">
        <f t="shared" si="49"/>
        <v>Ukrajna</v>
      </c>
      <c r="I383" s="509" t="s">
        <v>1636</v>
      </c>
      <c r="J383" s="509" t="s">
        <v>115</v>
      </c>
      <c r="K383" s="508">
        <v>10</v>
      </c>
      <c r="L383" s="509" t="s">
        <v>703</v>
      </c>
      <c r="M383" s="634" t="s">
        <v>103</v>
      </c>
      <c r="N383" s="510" t="s">
        <v>509</v>
      </c>
      <c r="O383" s="511">
        <v>36072</v>
      </c>
      <c r="P383" s="512">
        <v>22</v>
      </c>
      <c r="Q383" s="513">
        <v>180</v>
      </c>
      <c r="R383" s="514">
        <v>63</v>
      </c>
      <c r="S383" s="64"/>
      <c r="T383" s="297">
        <f t="shared" si="47"/>
        <v>0</v>
      </c>
      <c r="U383" s="518">
        <f t="shared" si="48"/>
        <v>0</v>
      </c>
      <c r="W383" s="1"/>
      <c r="X383" s="65"/>
    </row>
    <row r="384" spans="1:24" s="23" customFormat="1" ht="11.25" customHeight="1" x14ac:dyDescent="0.2">
      <c r="A384" s="765"/>
      <c r="C384" s="769"/>
      <c r="D384" s="60"/>
      <c r="F384" s="503">
        <f t="shared" si="44"/>
        <v>3.7800000000000056E-2</v>
      </c>
      <c r="G384" s="503">
        <f t="shared" si="46"/>
        <v>3.7800000000000056E-2</v>
      </c>
      <c r="H384" s="504" t="str">
        <f t="shared" si="49"/>
        <v>Ukrajna</v>
      </c>
      <c r="I384" s="509" t="s">
        <v>1637</v>
      </c>
      <c r="J384" s="509" t="s">
        <v>1101</v>
      </c>
      <c r="K384" s="508">
        <v>5</v>
      </c>
      <c r="L384" s="509" t="s">
        <v>703</v>
      </c>
      <c r="M384" s="634" t="s">
        <v>103</v>
      </c>
      <c r="N384" s="510" t="s">
        <v>509</v>
      </c>
      <c r="O384" s="511">
        <v>33360</v>
      </c>
      <c r="P384" s="512">
        <v>30</v>
      </c>
      <c r="Q384" s="513">
        <v>188</v>
      </c>
      <c r="R384" s="514">
        <v>79</v>
      </c>
      <c r="S384" s="64"/>
      <c r="T384" s="297">
        <f t="shared" si="47"/>
        <v>0</v>
      </c>
      <c r="U384" s="518">
        <f t="shared" si="48"/>
        <v>0</v>
      </c>
      <c r="W384" s="1"/>
      <c r="X384" s="65"/>
    </row>
    <row r="385" spans="1:24" s="23" customFormat="1" ht="11.25" customHeight="1" x14ac:dyDescent="0.2">
      <c r="A385" s="765"/>
      <c r="C385" s="769"/>
      <c r="D385" s="60"/>
      <c r="F385" s="503">
        <f t="shared" si="44"/>
        <v>3.7900000000000059E-2</v>
      </c>
      <c r="G385" s="503">
        <f t="shared" si="46"/>
        <v>3.7900000000000059E-2</v>
      </c>
      <c r="H385" s="504" t="str">
        <f t="shared" si="49"/>
        <v>Ukrajna</v>
      </c>
      <c r="I385" s="509" t="s">
        <v>1638</v>
      </c>
      <c r="J385" s="509" t="s">
        <v>1639</v>
      </c>
      <c r="K385" s="508">
        <v>2</v>
      </c>
      <c r="L385" s="509" t="s">
        <v>1339</v>
      </c>
      <c r="M385" s="634" t="s">
        <v>929</v>
      </c>
      <c r="N385" s="510" t="s">
        <v>860</v>
      </c>
      <c r="O385" s="511">
        <v>34809</v>
      </c>
      <c r="P385" s="512">
        <v>26</v>
      </c>
      <c r="Q385" s="513">
        <v>181</v>
      </c>
      <c r="R385" s="514">
        <v>73</v>
      </c>
      <c r="S385" s="64"/>
      <c r="T385" s="297">
        <f t="shared" si="47"/>
        <v>0</v>
      </c>
      <c r="U385" s="518">
        <f t="shared" si="48"/>
        <v>0</v>
      </c>
      <c r="W385" s="1"/>
      <c r="X385" s="65"/>
    </row>
    <row r="386" spans="1:24" s="23" customFormat="1" ht="11.25" customHeight="1" x14ac:dyDescent="0.2">
      <c r="A386" s="765"/>
      <c r="C386" s="769"/>
      <c r="D386" s="60"/>
      <c r="F386" s="503">
        <f t="shared" si="44"/>
        <v>3.8000000000000062E-2</v>
      </c>
      <c r="G386" s="503">
        <f t="shared" si="46"/>
        <v>3.8000000000000062E-2</v>
      </c>
      <c r="H386" s="504" t="str">
        <f t="shared" si="49"/>
        <v>Ukrajna</v>
      </c>
      <c r="I386" s="509" t="s">
        <v>1640</v>
      </c>
      <c r="J386" s="509" t="s">
        <v>1641</v>
      </c>
      <c r="K386" s="508">
        <v>6</v>
      </c>
      <c r="L386" s="509" t="s">
        <v>703</v>
      </c>
      <c r="M386" s="634" t="s">
        <v>667</v>
      </c>
      <c r="N386" s="510" t="s">
        <v>509</v>
      </c>
      <c r="O386" s="511">
        <v>32728</v>
      </c>
      <c r="P386" s="512">
        <v>31</v>
      </c>
      <c r="Q386" s="513">
        <v>181</v>
      </c>
      <c r="R386" s="514">
        <v>75</v>
      </c>
      <c r="S386" s="64"/>
      <c r="T386" s="297">
        <f t="shared" si="47"/>
        <v>0</v>
      </c>
      <c r="U386" s="518">
        <f t="shared" si="48"/>
        <v>0</v>
      </c>
      <c r="W386" s="1"/>
      <c r="X386" s="65"/>
    </row>
    <row r="387" spans="1:24" s="23" customFormat="1" ht="11.25" customHeight="1" x14ac:dyDescent="0.2">
      <c r="A387" s="765"/>
      <c r="C387" s="769"/>
      <c r="D387" s="60"/>
      <c r="F387" s="503">
        <f t="shared" si="44"/>
        <v>3.8100000000000064E-2</v>
      </c>
      <c r="G387" s="503">
        <f t="shared" si="46"/>
        <v>3.8100000000000064E-2</v>
      </c>
      <c r="H387" s="504" t="str">
        <f t="shared" si="49"/>
        <v>Ukrajna</v>
      </c>
      <c r="I387" s="509" t="s">
        <v>1642</v>
      </c>
      <c r="J387" s="509" t="s">
        <v>1631</v>
      </c>
      <c r="K387" s="508">
        <v>23</v>
      </c>
      <c r="L387" s="509" t="s">
        <v>703</v>
      </c>
      <c r="M387" s="634" t="s">
        <v>667</v>
      </c>
      <c r="N387" s="510" t="s">
        <v>509</v>
      </c>
      <c r="O387" s="511">
        <v>37500</v>
      </c>
      <c r="P387" s="512">
        <v>18</v>
      </c>
      <c r="Q387" s="513">
        <v>177</v>
      </c>
      <c r="R387" s="514">
        <v>68</v>
      </c>
      <c r="S387" s="64"/>
      <c r="T387" s="297">
        <f t="shared" si="47"/>
        <v>0</v>
      </c>
      <c r="U387" s="518">
        <f t="shared" si="48"/>
        <v>0</v>
      </c>
      <c r="W387" s="1"/>
      <c r="X387" s="65"/>
    </row>
    <row r="388" spans="1:24" s="23" customFormat="1" ht="11.25" customHeight="1" x14ac:dyDescent="0.2">
      <c r="A388" s="765"/>
      <c r="C388" s="769"/>
      <c r="D388" s="60"/>
      <c r="F388" s="503">
        <f t="shared" si="44"/>
        <v>3.8200000000000067E-2</v>
      </c>
      <c r="G388" s="503">
        <f t="shared" si="46"/>
        <v>3.8200000000000067E-2</v>
      </c>
      <c r="H388" s="504" t="str">
        <f t="shared" si="49"/>
        <v>Ukrajna</v>
      </c>
      <c r="I388" s="509" t="s">
        <v>1643</v>
      </c>
      <c r="J388" s="509" t="s">
        <v>1634</v>
      </c>
      <c r="K388" s="508">
        <v>24</v>
      </c>
      <c r="L388" s="509" t="s">
        <v>1339</v>
      </c>
      <c r="M388" s="634" t="s">
        <v>103</v>
      </c>
      <c r="N388" s="510" t="s">
        <v>509</v>
      </c>
      <c r="O388" s="511">
        <v>35450</v>
      </c>
      <c r="P388" s="512">
        <v>24</v>
      </c>
      <c r="Q388" s="513">
        <v>181</v>
      </c>
      <c r="R388" s="514">
        <v>67</v>
      </c>
      <c r="S388" s="64"/>
      <c r="T388" s="297">
        <f t="shared" si="47"/>
        <v>0</v>
      </c>
      <c r="U388" s="518">
        <f t="shared" si="48"/>
        <v>0</v>
      </c>
      <c r="W388" s="1"/>
      <c r="X388" s="65"/>
    </row>
    <row r="389" spans="1:24" s="23" customFormat="1" ht="11.25" customHeight="1" x14ac:dyDescent="0.2">
      <c r="A389" s="765"/>
      <c r="C389" s="769"/>
      <c r="D389" s="60"/>
      <c r="F389" s="503">
        <f t="shared" si="44"/>
        <v>3.830000000000007E-2</v>
      </c>
      <c r="G389" s="503">
        <f t="shared" si="46"/>
        <v>3.830000000000007E-2</v>
      </c>
      <c r="H389" s="504" t="str">
        <f t="shared" si="49"/>
        <v>Ukrajna</v>
      </c>
      <c r="I389" s="509" t="s">
        <v>1644</v>
      </c>
      <c r="J389" s="509" t="s">
        <v>1645</v>
      </c>
      <c r="K389" s="508">
        <v>23</v>
      </c>
      <c r="L389" s="509" t="s">
        <v>704</v>
      </c>
      <c r="M389" s="634" t="s">
        <v>667</v>
      </c>
      <c r="N389" s="510" t="s">
        <v>509</v>
      </c>
      <c r="O389" s="511">
        <v>37104</v>
      </c>
      <c r="P389" s="512">
        <v>19</v>
      </c>
      <c r="Q389" s="513">
        <v>199</v>
      </c>
      <c r="R389" s="514">
        <v>88</v>
      </c>
      <c r="S389" s="64"/>
      <c r="T389" s="297">
        <f t="shared" si="47"/>
        <v>0</v>
      </c>
      <c r="U389" s="518">
        <f t="shared" si="48"/>
        <v>0</v>
      </c>
      <c r="W389" s="640"/>
      <c r="X389" s="65"/>
    </row>
    <row r="390" spans="1:24" s="23" customFormat="1" ht="11.25" customHeight="1" x14ac:dyDescent="0.2">
      <c r="A390" s="765"/>
      <c r="C390" s="769"/>
      <c r="D390" s="60"/>
      <c r="F390" s="503">
        <f t="shared" si="44"/>
        <v>3.8400000000000073E-2</v>
      </c>
      <c r="G390" s="503">
        <f t="shared" si="46"/>
        <v>3.8400000000000073E-2</v>
      </c>
      <c r="H390" s="504" t="str">
        <f t="shared" si="49"/>
        <v>Ukrajna</v>
      </c>
      <c r="I390" s="509" t="s">
        <v>1646</v>
      </c>
      <c r="J390" s="509" t="s">
        <v>1647</v>
      </c>
      <c r="K390" s="508">
        <v>13</v>
      </c>
      <c r="L390" s="509" t="s">
        <v>1339</v>
      </c>
      <c r="M390" s="634" t="s">
        <v>103</v>
      </c>
      <c r="N390" s="510" t="s">
        <v>509</v>
      </c>
      <c r="O390" s="511">
        <v>37500</v>
      </c>
      <c r="P390" s="512">
        <v>18</v>
      </c>
      <c r="Q390" s="513">
        <v>189</v>
      </c>
      <c r="R390" s="514">
        <v>80</v>
      </c>
      <c r="S390" s="64"/>
      <c r="T390" s="297">
        <f t="shared" si="47"/>
        <v>0</v>
      </c>
      <c r="U390" s="518">
        <f t="shared" si="48"/>
        <v>0</v>
      </c>
      <c r="W390" s="640"/>
      <c r="X390" s="65"/>
    </row>
    <row r="391" spans="1:24" s="23" customFormat="1" ht="11.25" customHeight="1" x14ac:dyDescent="0.2">
      <c r="A391" s="765"/>
      <c r="C391" s="769"/>
      <c r="D391" s="60"/>
      <c r="F391" s="503">
        <f t="shared" si="44"/>
        <v>3.8500000000000076E-2</v>
      </c>
      <c r="G391" s="503">
        <f t="shared" si="46"/>
        <v>3.8500000000000076E-2</v>
      </c>
      <c r="H391" s="504" t="str">
        <f t="shared" si="49"/>
        <v>Ukrajna</v>
      </c>
      <c r="I391" s="509" t="s">
        <v>1648</v>
      </c>
      <c r="J391" s="509" t="s">
        <v>1634</v>
      </c>
      <c r="K391" s="508">
        <v>17</v>
      </c>
      <c r="L391" s="509" t="s">
        <v>1339</v>
      </c>
      <c r="M391" s="634" t="s">
        <v>813</v>
      </c>
      <c r="N391" s="510" t="s">
        <v>1271</v>
      </c>
      <c r="O391" s="511">
        <v>35414</v>
      </c>
      <c r="P391" s="512">
        <v>24</v>
      </c>
      <c r="Q391" s="513">
        <v>175</v>
      </c>
      <c r="R391" s="514">
        <v>64</v>
      </c>
      <c r="S391" s="64"/>
      <c r="T391" s="297">
        <f t="shared" si="47"/>
        <v>0</v>
      </c>
      <c r="U391" s="518">
        <f t="shared" si="48"/>
        <v>0</v>
      </c>
      <c r="W391" s="640"/>
      <c r="X391" s="65"/>
    </row>
    <row r="392" spans="1:24" s="23" customFormat="1" ht="11.25" customHeight="1" x14ac:dyDescent="0.2">
      <c r="A392" s="765"/>
      <c r="C392" s="769"/>
      <c r="D392" s="60"/>
      <c r="F392" s="503">
        <f t="shared" si="44"/>
        <v>3.8600000000000079E-2</v>
      </c>
      <c r="G392" s="503">
        <f t="shared" si="46"/>
        <v>3.8600000000000079E-2</v>
      </c>
      <c r="H392" s="504" t="str">
        <f t="shared" si="49"/>
        <v>Ukrajna</v>
      </c>
      <c r="I392" s="555" t="s">
        <v>1649</v>
      </c>
      <c r="J392" s="555" t="s">
        <v>1634</v>
      </c>
      <c r="K392" s="554">
        <v>20</v>
      </c>
      <c r="L392" s="555" t="s">
        <v>1357</v>
      </c>
      <c r="M392" s="635" t="s">
        <v>1213</v>
      </c>
      <c r="N392" s="556" t="s">
        <v>1214</v>
      </c>
      <c r="O392" s="557">
        <v>35280</v>
      </c>
      <c r="P392" s="558">
        <v>24</v>
      </c>
      <c r="Q392" s="559">
        <v>181</v>
      </c>
      <c r="R392" s="560">
        <v>70</v>
      </c>
      <c r="S392" s="64"/>
      <c r="T392" s="297">
        <f t="shared" si="47"/>
        <v>0</v>
      </c>
      <c r="U392" s="518">
        <f t="shared" si="48"/>
        <v>0</v>
      </c>
      <c r="W392" s="640"/>
      <c r="X392" s="65"/>
    </row>
    <row r="393" spans="1:24" s="23" customFormat="1" ht="9.75" hidden="1" customHeight="1" x14ac:dyDescent="0.2">
      <c r="A393" s="765"/>
      <c r="C393" s="769"/>
      <c r="D393" s="60"/>
      <c r="F393" s="503">
        <f t="shared" ref="F393:F456" si="50">F392+0.0001</f>
        <v>3.8700000000000082E-2</v>
      </c>
      <c r="G393" s="503">
        <f t="shared" si="46"/>
        <v>0</v>
      </c>
      <c r="H393" s="504" t="str">
        <f t="shared" si="49"/>
        <v>Ukrajna</v>
      </c>
      <c r="I393" s="61"/>
      <c r="J393" s="61"/>
      <c r="K393" s="295"/>
      <c r="L393" s="61"/>
      <c r="M393" s="633"/>
      <c r="N393" s="256"/>
      <c r="O393" s="62"/>
      <c r="P393" s="253"/>
      <c r="Q393" s="63"/>
      <c r="R393" s="252"/>
      <c r="S393" s="64"/>
      <c r="T393" s="297" t="str">
        <f t="shared" si="47"/>
        <v/>
      </c>
      <c r="U393" s="518" t="str">
        <f t="shared" si="48"/>
        <v/>
      </c>
      <c r="W393" s="640"/>
      <c r="X393" s="65"/>
    </row>
    <row r="394" spans="1:24" s="23" customFormat="1" ht="9.75" hidden="1" customHeight="1" x14ac:dyDescent="0.2">
      <c r="A394" s="765"/>
      <c r="C394" s="769"/>
      <c r="D394" s="60"/>
      <c r="F394" s="503">
        <f t="shared" si="50"/>
        <v>3.8800000000000084E-2</v>
      </c>
      <c r="G394" s="503">
        <f t="shared" si="46"/>
        <v>0</v>
      </c>
      <c r="H394" s="504" t="str">
        <f t="shared" si="49"/>
        <v>Ukrajna</v>
      </c>
      <c r="I394" s="61"/>
      <c r="J394" s="61"/>
      <c r="K394" s="295"/>
      <c r="L394" s="61"/>
      <c r="M394" s="633"/>
      <c r="N394" s="256"/>
      <c r="O394" s="62"/>
      <c r="P394" s="253"/>
      <c r="Q394" s="63"/>
      <c r="R394" s="252"/>
      <c r="S394" s="64"/>
      <c r="T394" s="297" t="str">
        <f t="shared" si="47"/>
        <v/>
      </c>
      <c r="U394" s="518" t="str">
        <f t="shared" si="48"/>
        <v/>
      </c>
      <c r="W394" s="640"/>
      <c r="X394" s="65"/>
    </row>
    <row r="395" spans="1:24" s="23" customFormat="1" ht="9.75" hidden="1" customHeight="1" x14ac:dyDescent="0.2">
      <c r="A395" s="765"/>
      <c r="C395" s="769"/>
      <c r="D395" s="60"/>
      <c r="F395" s="503">
        <f t="shared" si="50"/>
        <v>3.8900000000000087E-2</v>
      </c>
      <c r="G395" s="503">
        <f t="shared" si="46"/>
        <v>0</v>
      </c>
      <c r="H395" s="504" t="str">
        <f t="shared" si="49"/>
        <v>Ukrajna</v>
      </c>
      <c r="I395" s="61"/>
      <c r="J395" s="61"/>
      <c r="K395" s="295"/>
      <c r="L395" s="61"/>
      <c r="M395" s="633"/>
      <c r="N395" s="256"/>
      <c r="O395" s="62"/>
      <c r="P395" s="253"/>
      <c r="Q395" s="63"/>
      <c r="R395" s="252"/>
      <c r="S395" s="64"/>
      <c r="T395" s="297" t="str">
        <f t="shared" si="47"/>
        <v/>
      </c>
      <c r="U395" s="518" t="str">
        <f t="shared" si="48"/>
        <v/>
      </c>
      <c r="W395" s="640"/>
      <c r="X395" s="65"/>
    </row>
    <row r="396" spans="1:24" s="23" customFormat="1" ht="9.75" hidden="1" customHeight="1" x14ac:dyDescent="0.2">
      <c r="A396" s="765"/>
      <c r="C396" s="769"/>
      <c r="D396" s="60"/>
      <c r="F396" s="503">
        <f t="shared" si="50"/>
        <v>3.900000000000009E-2</v>
      </c>
      <c r="G396" s="503">
        <f t="shared" si="46"/>
        <v>0</v>
      </c>
      <c r="H396" s="504" t="str">
        <f t="shared" si="49"/>
        <v>Ukrajna</v>
      </c>
      <c r="I396" s="61"/>
      <c r="J396" s="61"/>
      <c r="K396" s="295"/>
      <c r="L396" s="61"/>
      <c r="M396" s="633"/>
      <c r="N396" s="256"/>
      <c r="O396" s="62"/>
      <c r="P396" s="253"/>
      <c r="Q396" s="63"/>
      <c r="R396" s="252"/>
      <c r="S396" s="64"/>
      <c r="T396" s="297" t="str">
        <f t="shared" si="47"/>
        <v/>
      </c>
      <c r="U396" s="518" t="str">
        <f t="shared" si="48"/>
        <v/>
      </c>
      <c r="W396" s="640"/>
      <c r="X396" s="65"/>
    </row>
    <row r="397" spans="1:24" s="23" customFormat="1" ht="4.5" customHeight="1" x14ac:dyDescent="0.25">
      <c r="A397" s="765"/>
      <c r="C397" s="769"/>
      <c r="D397" s="60"/>
      <c r="F397" s="503">
        <f t="shared" si="50"/>
        <v>3.9100000000000093E-2</v>
      </c>
      <c r="G397" s="503"/>
      <c r="H397" s="505"/>
      <c r="I397" s="67"/>
      <c r="J397" s="67"/>
      <c r="K397" s="22"/>
      <c r="L397" s="67"/>
      <c r="M397" s="22"/>
      <c r="N397" s="68"/>
      <c r="O397" s="67"/>
      <c r="P397" s="69"/>
      <c r="Q397" s="70"/>
      <c r="R397" s="71"/>
      <c r="S397" s="71"/>
      <c r="T397" s="298"/>
      <c r="U397" s="299"/>
      <c r="W397" s="641"/>
      <c r="X397" s="67"/>
    </row>
    <row r="398" spans="1:24" s="21" customFormat="1" ht="9.75" customHeight="1" x14ac:dyDescent="0.2">
      <c r="A398" s="765"/>
      <c r="C398" s="769"/>
      <c r="D398" s="60"/>
      <c r="F398" s="503">
        <f t="shared" si="50"/>
        <v>3.9200000000000096E-2</v>
      </c>
      <c r="G398" s="503"/>
      <c r="H398" s="303"/>
      <c r="I398" s="74" t="s">
        <v>542</v>
      </c>
      <c r="J398" s="75" t="s">
        <v>117</v>
      </c>
      <c r="K398" s="75"/>
      <c r="L398" s="75"/>
      <c r="M398" s="636"/>
      <c r="N398" s="76"/>
      <c r="O398" s="74" t="s">
        <v>495</v>
      </c>
      <c r="P398" s="254">
        <f>AVERAGE(P367:P396)</f>
        <v>25.96153846153846</v>
      </c>
      <c r="Q398" s="77">
        <f>AVERAGE(Q367:Q396)</f>
        <v>183.5</v>
      </c>
      <c r="R398" s="255">
        <f>AVERAGE(R367:R396)</f>
        <v>74.961538461538467</v>
      </c>
      <c r="S398" s="78"/>
      <c r="T398" s="297">
        <f>SUM(T367:T396)</f>
        <v>0</v>
      </c>
      <c r="U398" s="518">
        <f>SUM(U367:U396)</f>
        <v>0</v>
      </c>
      <c r="W398" s="642" t="s">
        <v>879</v>
      </c>
      <c r="X398" s="79"/>
    </row>
    <row r="399" spans="1:24" ht="9.75" customHeight="1" x14ac:dyDescent="0.3">
      <c r="A399" s="765"/>
      <c r="F399" s="503">
        <f t="shared" si="50"/>
        <v>3.9300000000000099E-2</v>
      </c>
      <c r="G399" s="503"/>
    </row>
    <row r="400" spans="1:24" ht="9.75" customHeight="1" x14ac:dyDescent="0.3">
      <c r="A400" s="765"/>
      <c r="F400" s="503">
        <f t="shared" si="50"/>
        <v>3.9400000000000102E-2</v>
      </c>
      <c r="G400" s="503"/>
    </row>
    <row r="401" spans="1:24" ht="9.75" customHeight="1" x14ac:dyDescent="0.3">
      <c r="A401" s="765"/>
      <c r="F401" s="503">
        <f t="shared" si="50"/>
        <v>3.9500000000000104E-2</v>
      </c>
      <c r="G401" s="503"/>
    </row>
    <row r="402" spans="1:24" ht="9.75" customHeight="1" x14ac:dyDescent="0.3">
      <c r="A402" s="765"/>
      <c r="F402" s="503">
        <f t="shared" si="50"/>
        <v>3.9600000000000107E-2</v>
      </c>
    </row>
    <row r="403" spans="1:24" ht="9.75" customHeight="1" x14ac:dyDescent="0.3">
      <c r="A403" s="765"/>
      <c r="F403" s="503">
        <f t="shared" si="50"/>
        <v>3.970000000000011E-2</v>
      </c>
    </row>
    <row r="404" spans="1:24" ht="9.75" customHeight="1" x14ac:dyDescent="0.3">
      <c r="A404" s="765"/>
      <c r="F404" s="503">
        <f t="shared" si="50"/>
        <v>3.9800000000000113E-2</v>
      </c>
    </row>
    <row r="405" spans="1:24" ht="9.75" customHeight="1" x14ac:dyDescent="0.3">
      <c r="A405" s="765"/>
      <c r="F405" s="503">
        <f t="shared" si="50"/>
        <v>3.9900000000000116E-2</v>
      </c>
    </row>
    <row r="406" spans="1:24" s="23" customFormat="1" ht="5.25" customHeight="1" x14ac:dyDescent="0.2">
      <c r="A406" s="765"/>
      <c r="C406" s="21"/>
      <c r="F406" s="503">
        <f t="shared" si="50"/>
        <v>4.0000000000000119E-2</v>
      </c>
      <c r="G406" s="506"/>
      <c r="H406" s="502"/>
      <c r="I406" s="55"/>
      <c r="J406" s="55"/>
      <c r="K406" s="56"/>
      <c r="L406" s="55"/>
      <c r="M406" s="56"/>
      <c r="N406" s="57"/>
      <c r="O406" s="57"/>
      <c r="P406" s="55"/>
      <c r="Q406" s="57"/>
      <c r="R406" s="57"/>
      <c r="S406" s="57"/>
      <c r="T406" s="58"/>
      <c r="U406" s="59"/>
      <c r="W406" s="639"/>
      <c r="X406" s="55"/>
    </row>
    <row r="407" spans="1:24" s="23" customFormat="1" ht="11.25" customHeight="1" x14ac:dyDescent="0.2">
      <c r="A407" s="765"/>
      <c r="C407" s="769" t="str">
        <f>UPPER(H407)&amp;"    ."</f>
        <v>AUSZTRIA    .</v>
      </c>
      <c r="D407" s="60"/>
      <c r="F407" s="503">
        <f t="shared" si="50"/>
        <v>4.0100000000000122E-2</v>
      </c>
      <c r="G407" s="503">
        <f t="shared" ref="G407:G436" si="51">IF(I407="",0,T407+F407)</f>
        <v>4.0100000000000122E-2</v>
      </c>
      <c r="H407" s="504" t="str">
        <f>Adatok!C4</f>
        <v>Ausztria</v>
      </c>
      <c r="I407" s="61" t="s">
        <v>1177</v>
      </c>
      <c r="J407" s="61" t="s">
        <v>864</v>
      </c>
      <c r="K407" s="295">
        <v>8</v>
      </c>
      <c r="L407" s="61" t="s">
        <v>1339</v>
      </c>
      <c r="M407" s="633" t="s">
        <v>749</v>
      </c>
      <c r="N407" s="256" t="s">
        <v>1270</v>
      </c>
      <c r="O407" s="62">
        <v>33779</v>
      </c>
      <c r="P407" s="253">
        <v>28</v>
      </c>
      <c r="Q407" s="63">
        <v>180</v>
      </c>
      <c r="R407" s="252">
        <v>70</v>
      </c>
      <c r="S407" s="64"/>
      <c r="T407" s="297">
        <f t="shared" ref="T407:T436" si="52">IF(I407="","",COUNTIF(nevek.s,CONCATENATE(H407,I407)))</f>
        <v>0</v>
      </c>
      <c r="U407" s="518">
        <f t="shared" ref="U407:U436" si="53">IF(I407="","",COUNTIF(nevek.s,CONCATENATE("ö",H407,I407)))</f>
        <v>0</v>
      </c>
      <c r="W407" s="3"/>
      <c r="X407" s="65"/>
    </row>
    <row r="408" spans="1:24" s="23" customFormat="1" ht="11.25" customHeight="1" x14ac:dyDescent="0.2">
      <c r="A408" s="765"/>
      <c r="C408" s="769"/>
      <c r="D408" s="60"/>
      <c r="F408" s="503">
        <f t="shared" si="50"/>
        <v>4.0200000000000125E-2</v>
      </c>
      <c r="G408" s="503">
        <f t="shared" si="51"/>
        <v>4.0200000000000125E-2</v>
      </c>
      <c r="H408" s="504" t="str">
        <f>H407</f>
        <v>Ausztria</v>
      </c>
      <c r="I408" s="509" t="s">
        <v>1178</v>
      </c>
      <c r="J408" s="509" t="s">
        <v>1136</v>
      </c>
      <c r="K408" s="508">
        <v>7</v>
      </c>
      <c r="L408" s="509" t="s">
        <v>1357</v>
      </c>
      <c r="M408" s="634" t="s">
        <v>118</v>
      </c>
      <c r="N408" s="510" t="s">
        <v>928</v>
      </c>
      <c r="O408" s="511">
        <v>32617</v>
      </c>
      <c r="P408" s="512">
        <v>32</v>
      </c>
      <c r="Q408" s="513">
        <v>192</v>
      </c>
      <c r="R408" s="514">
        <v>83</v>
      </c>
      <c r="S408" s="64"/>
      <c r="T408" s="297">
        <f t="shared" si="52"/>
        <v>0</v>
      </c>
      <c r="U408" s="518">
        <f t="shared" si="53"/>
        <v>0</v>
      </c>
      <c r="W408" s="1"/>
      <c r="X408" s="65"/>
    </row>
    <row r="409" spans="1:24" s="23" customFormat="1" ht="11.25" customHeight="1" x14ac:dyDescent="0.2">
      <c r="A409" s="765"/>
      <c r="C409" s="769"/>
      <c r="D409" s="60"/>
      <c r="F409" s="503">
        <f t="shared" si="50"/>
        <v>4.0300000000000127E-2</v>
      </c>
      <c r="G409" s="503">
        <f t="shared" si="51"/>
        <v>4.0300000000000127E-2</v>
      </c>
      <c r="H409" s="504" t="str">
        <f t="shared" ref="H409:H436" si="54">H408</f>
        <v>Ausztria</v>
      </c>
      <c r="I409" s="509" t="s">
        <v>1650</v>
      </c>
      <c r="J409" s="509" t="s">
        <v>947</v>
      </c>
      <c r="K409" s="508">
        <v>13</v>
      </c>
      <c r="L409" s="509" t="s">
        <v>704</v>
      </c>
      <c r="M409" s="634" t="s">
        <v>1651</v>
      </c>
      <c r="N409" s="510" t="s">
        <v>1271</v>
      </c>
      <c r="O409" s="511">
        <v>34524</v>
      </c>
      <c r="P409" s="512">
        <v>26</v>
      </c>
      <c r="Q409" s="513">
        <v>191</v>
      </c>
      <c r="R409" s="514">
        <v>81</v>
      </c>
      <c r="S409" s="64"/>
      <c r="T409" s="297">
        <f t="shared" si="52"/>
        <v>0</v>
      </c>
      <c r="U409" s="518">
        <f t="shared" si="53"/>
        <v>0</v>
      </c>
      <c r="W409" s="1"/>
      <c r="X409" s="65"/>
    </row>
    <row r="410" spans="1:24" s="23" customFormat="1" ht="11.25" customHeight="1" x14ac:dyDescent="0.2">
      <c r="A410" s="765"/>
      <c r="C410" s="769"/>
      <c r="D410" s="60"/>
      <c r="F410" s="503">
        <f t="shared" si="50"/>
        <v>4.040000000000013E-2</v>
      </c>
      <c r="G410" s="503">
        <f t="shared" si="51"/>
        <v>4.040000000000013E-2</v>
      </c>
      <c r="H410" s="504" t="str">
        <f t="shared" si="54"/>
        <v>Ausztria</v>
      </c>
      <c r="I410" s="509" t="s">
        <v>1179</v>
      </c>
      <c r="J410" s="509" t="s">
        <v>1087</v>
      </c>
      <c r="K410" s="508">
        <v>14</v>
      </c>
      <c r="L410" s="509" t="s">
        <v>703</v>
      </c>
      <c r="M410" s="634" t="s">
        <v>852</v>
      </c>
      <c r="N410" s="510" t="s">
        <v>1270</v>
      </c>
      <c r="O410" s="511">
        <v>32144</v>
      </c>
      <c r="P410" s="512">
        <v>33</v>
      </c>
      <c r="Q410" s="513">
        <v>184</v>
      </c>
      <c r="R410" s="514">
        <v>84</v>
      </c>
      <c r="S410" s="64"/>
      <c r="T410" s="297">
        <f t="shared" si="52"/>
        <v>0</v>
      </c>
      <c r="U410" s="518">
        <f t="shared" si="53"/>
        <v>0</v>
      </c>
      <c r="W410" s="1"/>
      <c r="X410" s="65"/>
    </row>
    <row r="411" spans="1:24" s="23" customFormat="1" ht="11.25" customHeight="1" x14ac:dyDescent="0.2">
      <c r="A411" s="765"/>
      <c r="C411" s="769"/>
      <c r="D411" s="60"/>
      <c r="F411" s="503">
        <f t="shared" si="50"/>
        <v>4.0500000000000133E-2</v>
      </c>
      <c r="G411" s="503">
        <f t="shared" si="51"/>
        <v>4.0500000000000133E-2</v>
      </c>
      <c r="H411" s="504" t="str">
        <f t="shared" si="54"/>
        <v>Ausztria</v>
      </c>
      <c r="I411" s="509" t="s">
        <v>1652</v>
      </c>
      <c r="J411" s="509" t="s">
        <v>1653</v>
      </c>
      <c r="K411" s="508">
        <v>19</v>
      </c>
      <c r="L411" s="509" t="s">
        <v>703</v>
      </c>
      <c r="M411" s="634" t="s">
        <v>1215</v>
      </c>
      <c r="N411" s="510" t="s">
        <v>1270</v>
      </c>
      <c r="O411" s="511">
        <v>36373</v>
      </c>
      <c r="P411" s="512">
        <v>21</v>
      </c>
      <c r="Q411" s="513">
        <v>178</v>
      </c>
      <c r="R411" s="514">
        <v>68</v>
      </c>
      <c r="S411" s="64"/>
      <c r="T411" s="297">
        <f t="shared" si="52"/>
        <v>0</v>
      </c>
      <c r="U411" s="518">
        <f t="shared" si="53"/>
        <v>0</v>
      </c>
      <c r="W411" s="1"/>
      <c r="X411" s="65"/>
    </row>
    <row r="412" spans="1:24" s="23" customFormat="1" ht="11.25" customHeight="1" x14ac:dyDescent="0.2">
      <c r="A412" s="765"/>
      <c r="C412" s="769"/>
      <c r="D412" s="60"/>
      <c r="F412" s="503">
        <f t="shared" si="50"/>
        <v>4.0600000000000136E-2</v>
      </c>
      <c r="G412" s="503">
        <f t="shared" si="51"/>
        <v>4.0600000000000136E-2</v>
      </c>
      <c r="H412" s="504" t="str">
        <f t="shared" si="54"/>
        <v>Ausztria</v>
      </c>
      <c r="I412" s="509" t="s">
        <v>1180</v>
      </c>
      <c r="J412" s="509" t="s">
        <v>1181</v>
      </c>
      <c r="K412" s="508">
        <v>3</v>
      </c>
      <c r="L412" s="509" t="s">
        <v>1339</v>
      </c>
      <c r="M412" s="634" t="s">
        <v>852</v>
      </c>
      <c r="N412" s="510" t="s">
        <v>1270</v>
      </c>
      <c r="O412" s="511">
        <v>33303</v>
      </c>
      <c r="P412" s="512">
        <v>30</v>
      </c>
      <c r="Q412" s="513">
        <v>186</v>
      </c>
      <c r="R412" s="514">
        <v>84</v>
      </c>
      <c r="S412" s="64"/>
      <c r="T412" s="297">
        <f t="shared" si="52"/>
        <v>0</v>
      </c>
      <c r="U412" s="518">
        <f t="shared" si="53"/>
        <v>0</v>
      </c>
      <c r="W412" s="1"/>
      <c r="X412" s="65"/>
    </row>
    <row r="413" spans="1:24" s="23" customFormat="1" ht="11.25" customHeight="1" x14ac:dyDescent="0.2">
      <c r="A413" s="765"/>
      <c r="C413" s="769"/>
      <c r="D413" s="60"/>
      <c r="F413" s="503">
        <f t="shared" si="50"/>
        <v>4.0700000000000139E-2</v>
      </c>
      <c r="G413" s="503">
        <f t="shared" si="51"/>
        <v>4.0700000000000139E-2</v>
      </c>
      <c r="H413" s="504" t="str">
        <f t="shared" si="54"/>
        <v>Ausztria</v>
      </c>
      <c r="I413" s="509" t="s">
        <v>119</v>
      </c>
      <c r="J413" s="509" t="s">
        <v>851</v>
      </c>
      <c r="K413" s="508">
        <v>26</v>
      </c>
      <c r="L413" s="509" t="s">
        <v>1339</v>
      </c>
      <c r="M413" s="634" t="s">
        <v>1126</v>
      </c>
      <c r="N413" s="510" t="s">
        <v>1270</v>
      </c>
      <c r="O413" s="511">
        <v>35870</v>
      </c>
      <c r="P413" s="512">
        <v>23</v>
      </c>
      <c r="Q413" s="513">
        <v>187</v>
      </c>
      <c r="R413" s="514">
        <v>71</v>
      </c>
      <c r="S413" s="64"/>
      <c r="T413" s="297">
        <f t="shared" si="52"/>
        <v>0</v>
      </c>
      <c r="U413" s="518">
        <f t="shared" si="53"/>
        <v>0</v>
      </c>
      <c r="W413" s="1"/>
      <c r="X413" s="65"/>
    </row>
    <row r="414" spans="1:24" s="23" customFormat="1" ht="11.25" customHeight="1" x14ac:dyDescent="0.2">
      <c r="A414" s="765"/>
      <c r="C414" s="769"/>
      <c r="D414" s="60"/>
      <c r="E414" s="66"/>
      <c r="F414" s="503">
        <f t="shared" si="50"/>
        <v>4.0800000000000142E-2</v>
      </c>
      <c r="G414" s="503">
        <f t="shared" si="51"/>
        <v>4.0800000000000142E-2</v>
      </c>
      <c r="H414" s="504" t="str">
        <f t="shared" si="54"/>
        <v>Ausztria</v>
      </c>
      <c r="I414" s="509" t="s">
        <v>121</v>
      </c>
      <c r="J414" s="509" t="s">
        <v>944</v>
      </c>
      <c r="K414" s="508">
        <v>11</v>
      </c>
      <c r="L414" s="509" t="s">
        <v>1357</v>
      </c>
      <c r="M414" s="634" t="s">
        <v>912</v>
      </c>
      <c r="N414" s="510" t="s">
        <v>1270</v>
      </c>
      <c r="O414" s="511">
        <v>34442</v>
      </c>
      <c r="P414" s="512">
        <v>27</v>
      </c>
      <c r="Q414" s="513">
        <v>193</v>
      </c>
      <c r="R414" s="514">
        <v>87</v>
      </c>
      <c r="S414" s="64"/>
      <c r="T414" s="297">
        <f t="shared" si="52"/>
        <v>0</v>
      </c>
      <c r="U414" s="518">
        <f t="shared" si="53"/>
        <v>0</v>
      </c>
      <c r="W414" s="1"/>
      <c r="X414" s="65"/>
    </row>
    <row r="415" spans="1:24" s="23" customFormat="1" ht="11.25" customHeight="1" x14ac:dyDescent="0.2">
      <c r="A415" s="765"/>
      <c r="C415" s="769"/>
      <c r="D415" s="60"/>
      <c r="F415" s="503">
        <f t="shared" si="50"/>
        <v>4.0900000000000145E-2</v>
      </c>
      <c r="G415" s="503">
        <f t="shared" si="51"/>
        <v>4.0900000000000145E-2</v>
      </c>
      <c r="H415" s="504" t="str">
        <f t="shared" si="54"/>
        <v>Ausztria</v>
      </c>
      <c r="I415" s="509" t="s">
        <v>122</v>
      </c>
      <c r="J415" s="509" t="s">
        <v>1185</v>
      </c>
      <c r="K415" s="508">
        <v>10</v>
      </c>
      <c r="L415" s="509" t="s">
        <v>703</v>
      </c>
      <c r="M415" s="634" t="s">
        <v>1215</v>
      </c>
      <c r="N415" s="510" t="s">
        <v>1270</v>
      </c>
      <c r="O415" s="511">
        <v>34918</v>
      </c>
      <c r="P415" s="512">
        <v>25</v>
      </c>
      <c r="Q415" s="513">
        <v>187</v>
      </c>
      <c r="R415" s="514">
        <v>77</v>
      </c>
      <c r="S415" s="64"/>
      <c r="T415" s="297">
        <f t="shared" si="52"/>
        <v>0</v>
      </c>
      <c r="U415" s="518">
        <f t="shared" si="53"/>
        <v>0</v>
      </c>
      <c r="W415" s="1"/>
      <c r="X415" s="65"/>
    </row>
    <row r="416" spans="1:24" s="23" customFormat="1" ht="11.25" customHeight="1" x14ac:dyDescent="0.2">
      <c r="A416" s="765"/>
      <c r="C416" s="769"/>
      <c r="D416" s="60"/>
      <c r="F416" s="503">
        <f t="shared" si="50"/>
        <v>4.1000000000000147E-2</v>
      </c>
      <c r="G416" s="503">
        <f t="shared" si="51"/>
        <v>4.1000000000000147E-2</v>
      </c>
      <c r="H416" s="504" t="str">
        <f t="shared" si="54"/>
        <v>Ausztria</v>
      </c>
      <c r="I416" s="509" t="s">
        <v>1182</v>
      </c>
      <c r="J416" s="509" t="s">
        <v>1052</v>
      </c>
      <c r="K416" s="508">
        <v>4</v>
      </c>
      <c r="L416" s="509" t="s">
        <v>1339</v>
      </c>
      <c r="M416" s="634" t="s">
        <v>939</v>
      </c>
      <c r="N416" s="510" t="s">
        <v>1270</v>
      </c>
      <c r="O416" s="511">
        <v>33854</v>
      </c>
      <c r="P416" s="512">
        <v>28</v>
      </c>
      <c r="Q416" s="513">
        <v>184</v>
      </c>
      <c r="R416" s="514">
        <v>83</v>
      </c>
      <c r="S416" s="64"/>
      <c r="T416" s="297">
        <f t="shared" si="52"/>
        <v>0</v>
      </c>
      <c r="U416" s="518">
        <f t="shared" si="53"/>
        <v>0</v>
      </c>
      <c r="W416" s="1"/>
      <c r="X416" s="65"/>
    </row>
    <row r="417" spans="1:24" s="23" customFormat="1" ht="11.25" customHeight="1" x14ac:dyDescent="0.2">
      <c r="A417" s="765"/>
      <c r="C417" s="769"/>
      <c r="D417" s="60"/>
      <c r="F417" s="503">
        <f t="shared" si="50"/>
        <v>4.110000000000015E-2</v>
      </c>
      <c r="G417" s="503">
        <f t="shared" si="51"/>
        <v>4.110000000000015E-2</v>
      </c>
      <c r="H417" s="504" t="str">
        <f t="shared" si="54"/>
        <v>Ausztria</v>
      </c>
      <c r="I417" s="509" t="s">
        <v>1184</v>
      </c>
      <c r="J417" s="509" t="s">
        <v>908</v>
      </c>
      <c r="K417" s="508">
        <v>6</v>
      </c>
      <c r="L417" s="509" t="s">
        <v>703</v>
      </c>
      <c r="M417" s="634" t="s">
        <v>939</v>
      </c>
      <c r="N417" s="510" t="s">
        <v>1270</v>
      </c>
      <c r="O417" s="511">
        <v>32646</v>
      </c>
      <c r="P417" s="512">
        <v>32</v>
      </c>
      <c r="Q417" s="513">
        <v>189</v>
      </c>
      <c r="R417" s="514">
        <v>86</v>
      </c>
      <c r="S417" s="64"/>
      <c r="T417" s="297">
        <f t="shared" si="52"/>
        <v>0</v>
      </c>
      <c r="U417" s="518">
        <f t="shared" si="53"/>
        <v>0</v>
      </c>
      <c r="W417" s="1"/>
      <c r="X417" s="65"/>
    </row>
    <row r="418" spans="1:24" s="23" customFormat="1" ht="11.25" customHeight="1" x14ac:dyDescent="0.2">
      <c r="A418" s="765"/>
      <c r="C418" s="769"/>
      <c r="D418" s="60"/>
      <c r="F418" s="503">
        <f t="shared" si="50"/>
        <v>4.1200000000000153E-2</v>
      </c>
      <c r="G418" s="503">
        <f t="shared" si="51"/>
        <v>4.1200000000000153E-2</v>
      </c>
      <c r="H418" s="504" t="str">
        <f t="shared" si="54"/>
        <v>Ausztria</v>
      </c>
      <c r="I418" s="509" t="s">
        <v>1654</v>
      </c>
      <c r="J418" s="509" t="s">
        <v>1655</v>
      </c>
      <c r="K418" s="508">
        <v>25</v>
      </c>
      <c r="L418" s="509" t="s">
        <v>1357</v>
      </c>
      <c r="M418" s="634" t="s">
        <v>1656</v>
      </c>
      <c r="N418" s="510" t="s">
        <v>1270</v>
      </c>
      <c r="O418" s="511">
        <v>35618</v>
      </c>
      <c r="P418" s="512">
        <v>23</v>
      </c>
      <c r="Q418" s="513">
        <v>200</v>
      </c>
      <c r="R418" s="514">
        <v>76</v>
      </c>
      <c r="S418" s="64"/>
      <c r="T418" s="297">
        <f t="shared" si="52"/>
        <v>0</v>
      </c>
      <c r="U418" s="518">
        <f t="shared" si="53"/>
        <v>0</v>
      </c>
      <c r="W418" s="1"/>
      <c r="X418" s="65"/>
    </row>
    <row r="419" spans="1:24" s="23" customFormat="1" ht="11.25" customHeight="1" x14ac:dyDescent="0.2">
      <c r="A419" s="765"/>
      <c r="C419" s="769"/>
      <c r="D419" s="60"/>
      <c r="F419" s="503">
        <f t="shared" si="50"/>
        <v>4.1300000000000156E-2</v>
      </c>
      <c r="G419" s="503">
        <f t="shared" si="51"/>
        <v>4.1300000000000156E-2</v>
      </c>
      <c r="H419" s="504" t="str">
        <f t="shared" si="54"/>
        <v>Ausztria</v>
      </c>
      <c r="I419" s="509" t="s">
        <v>123</v>
      </c>
      <c r="J419" s="509" t="s">
        <v>124</v>
      </c>
      <c r="K419" s="508">
        <v>24</v>
      </c>
      <c r="L419" s="509" t="s">
        <v>703</v>
      </c>
      <c r="M419" s="634" t="s">
        <v>1164</v>
      </c>
      <c r="N419" s="510" t="s">
        <v>1270</v>
      </c>
      <c r="O419" s="511">
        <v>35577</v>
      </c>
      <c r="P419" s="512">
        <v>24</v>
      </c>
      <c r="Q419" s="513">
        <v>180</v>
      </c>
      <c r="R419" s="514">
        <v>72</v>
      </c>
      <c r="S419" s="64"/>
      <c r="T419" s="297">
        <f t="shared" si="52"/>
        <v>0</v>
      </c>
      <c r="U419" s="518">
        <f t="shared" si="53"/>
        <v>0</v>
      </c>
      <c r="W419" s="1"/>
      <c r="X419" s="65"/>
    </row>
    <row r="420" spans="1:24" s="23" customFormat="1" ht="11.25" customHeight="1" x14ac:dyDescent="0.2">
      <c r="A420" s="765"/>
      <c r="C420" s="769"/>
      <c r="D420" s="60"/>
      <c r="F420" s="503">
        <f t="shared" si="50"/>
        <v>4.1400000000000159E-2</v>
      </c>
      <c r="G420" s="503">
        <f t="shared" si="51"/>
        <v>4.1400000000000159E-2</v>
      </c>
      <c r="H420" s="504" t="str">
        <f t="shared" si="54"/>
        <v>Ausztria</v>
      </c>
      <c r="I420" s="509" t="s">
        <v>125</v>
      </c>
      <c r="J420" s="509" t="s">
        <v>908</v>
      </c>
      <c r="K420" s="508">
        <v>21</v>
      </c>
      <c r="L420" s="509" t="s">
        <v>1339</v>
      </c>
      <c r="M420" s="634" t="s">
        <v>997</v>
      </c>
      <c r="N420" s="510" t="s">
        <v>1270</v>
      </c>
      <c r="O420" s="511">
        <v>33843</v>
      </c>
      <c r="P420" s="512">
        <v>28</v>
      </c>
      <c r="Q420" s="513">
        <v>175</v>
      </c>
      <c r="R420" s="514">
        <v>70</v>
      </c>
      <c r="S420" s="64"/>
      <c r="T420" s="297">
        <f t="shared" si="52"/>
        <v>0</v>
      </c>
      <c r="U420" s="518">
        <f t="shared" si="53"/>
        <v>0</v>
      </c>
      <c r="W420" s="1"/>
      <c r="X420" s="65"/>
    </row>
    <row r="421" spans="1:24" s="23" customFormat="1" ht="11.25" customHeight="1" x14ac:dyDescent="0.2">
      <c r="A421" s="765"/>
      <c r="C421" s="769"/>
      <c r="D421" s="60"/>
      <c r="F421" s="503">
        <f t="shared" si="50"/>
        <v>4.1500000000000162E-2</v>
      </c>
      <c r="G421" s="503">
        <f t="shared" si="51"/>
        <v>4.1500000000000162E-2</v>
      </c>
      <c r="H421" s="504" t="str">
        <f t="shared" si="54"/>
        <v>Ausztria</v>
      </c>
      <c r="I421" s="509" t="s">
        <v>126</v>
      </c>
      <c r="J421" s="509" t="s">
        <v>127</v>
      </c>
      <c r="K421" s="508">
        <v>22</v>
      </c>
      <c r="L421" s="509" t="s">
        <v>703</v>
      </c>
      <c r="M421" s="634" t="s">
        <v>997</v>
      </c>
      <c r="N421" s="510" t="s">
        <v>1270</v>
      </c>
      <c r="O421" s="511">
        <v>35148</v>
      </c>
      <c r="P421" s="512">
        <v>25</v>
      </c>
      <c r="Q421" s="513">
        <v>180</v>
      </c>
      <c r="R421" s="514">
        <v>76</v>
      </c>
      <c r="S421" s="64"/>
      <c r="T421" s="297">
        <f t="shared" si="52"/>
        <v>0</v>
      </c>
      <c r="U421" s="518">
        <f t="shared" si="53"/>
        <v>0</v>
      </c>
      <c r="W421" s="1"/>
      <c r="X421" s="65"/>
    </row>
    <row r="422" spans="1:24" s="23" customFormat="1" ht="11.25" customHeight="1" x14ac:dyDescent="0.2">
      <c r="A422" s="765"/>
      <c r="C422" s="769"/>
      <c r="D422" s="60"/>
      <c r="F422" s="503">
        <f t="shared" si="50"/>
        <v>4.1600000000000165E-2</v>
      </c>
      <c r="G422" s="503">
        <f t="shared" si="51"/>
        <v>4.1600000000000165E-2</v>
      </c>
      <c r="H422" s="504" t="str">
        <f t="shared" si="54"/>
        <v>Ausztria</v>
      </c>
      <c r="I422" s="509" t="s">
        <v>128</v>
      </c>
      <c r="J422" s="509" t="s">
        <v>129</v>
      </c>
      <c r="K422" s="508">
        <v>15</v>
      </c>
      <c r="L422" s="509" t="s">
        <v>1339</v>
      </c>
      <c r="M422" s="634" t="s">
        <v>983</v>
      </c>
      <c r="N422" s="510" t="s">
        <v>1270</v>
      </c>
      <c r="O422" s="511">
        <v>35257</v>
      </c>
      <c r="P422" s="512">
        <v>24</v>
      </c>
      <c r="Q422" s="513">
        <v>189</v>
      </c>
      <c r="R422" s="514">
        <v>83</v>
      </c>
      <c r="S422" s="64"/>
      <c r="T422" s="297">
        <f t="shared" si="52"/>
        <v>0</v>
      </c>
      <c r="U422" s="518">
        <f t="shared" si="53"/>
        <v>0</v>
      </c>
      <c r="W422" s="1"/>
      <c r="X422" s="65"/>
    </row>
    <row r="423" spans="1:24" s="23" customFormat="1" ht="11.25" customHeight="1" x14ac:dyDescent="0.2">
      <c r="A423" s="765"/>
      <c r="C423" s="769"/>
      <c r="D423" s="60"/>
      <c r="F423" s="503">
        <f t="shared" si="50"/>
        <v>4.1700000000000167E-2</v>
      </c>
      <c r="G423" s="503">
        <f t="shared" si="51"/>
        <v>4.1700000000000167E-2</v>
      </c>
      <c r="H423" s="504" t="str">
        <f t="shared" si="54"/>
        <v>Ausztria</v>
      </c>
      <c r="I423" s="509" t="s">
        <v>130</v>
      </c>
      <c r="J423" s="509" t="s">
        <v>131</v>
      </c>
      <c r="K423" s="508">
        <v>20</v>
      </c>
      <c r="L423" s="509" t="s">
        <v>1357</v>
      </c>
      <c r="M423" s="634" t="s">
        <v>940</v>
      </c>
      <c r="N423" s="510" t="s">
        <v>1270</v>
      </c>
      <c r="O423" s="511">
        <v>33680</v>
      </c>
      <c r="P423" s="512">
        <v>29</v>
      </c>
      <c r="Q423" s="513">
        <v>188</v>
      </c>
      <c r="R423" s="514">
        <v>76</v>
      </c>
      <c r="S423" s="64"/>
      <c r="T423" s="297">
        <f t="shared" si="52"/>
        <v>0</v>
      </c>
      <c r="U423" s="518">
        <f t="shared" si="53"/>
        <v>0</v>
      </c>
      <c r="W423" s="1"/>
      <c r="X423" s="65"/>
    </row>
    <row r="424" spans="1:24" s="23" customFormat="1" ht="11.25" customHeight="1" x14ac:dyDescent="0.2">
      <c r="A424" s="765"/>
      <c r="C424" s="769"/>
      <c r="D424" s="60"/>
      <c r="F424" s="503">
        <f t="shared" si="50"/>
        <v>4.180000000000017E-2</v>
      </c>
      <c r="G424" s="503">
        <f t="shared" si="51"/>
        <v>4.180000000000017E-2</v>
      </c>
      <c r="H424" s="504" t="str">
        <f t="shared" si="54"/>
        <v>Ausztria</v>
      </c>
      <c r="I424" s="509" t="s">
        <v>132</v>
      </c>
      <c r="J424" s="509" t="s">
        <v>133</v>
      </c>
      <c r="K424" s="508">
        <v>12</v>
      </c>
      <c r="L424" s="509" t="s">
        <v>704</v>
      </c>
      <c r="M424" s="634" t="s">
        <v>508</v>
      </c>
      <c r="N424" s="510" t="s">
        <v>1270</v>
      </c>
      <c r="O424" s="511">
        <v>32094</v>
      </c>
      <c r="P424" s="512">
        <v>33</v>
      </c>
      <c r="Q424" s="513">
        <v>194</v>
      </c>
      <c r="R424" s="514">
        <v>92</v>
      </c>
      <c r="S424" s="64"/>
      <c r="T424" s="297">
        <f t="shared" si="52"/>
        <v>0</v>
      </c>
      <c r="U424" s="518">
        <f t="shared" si="53"/>
        <v>0</v>
      </c>
      <c r="W424" s="1"/>
      <c r="X424" s="65"/>
    </row>
    <row r="425" spans="1:24" s="23" customFormat="1" ht="11.25" customHeight="1" x14ac:dyDescent="0.2">
      <c r="A425" s="765"/>
      <c r="C425" s="769"/>
      <c r="D425" s="60"/>
      <c r="F425" s="503">
        <f t="shared" si="50"/>
        <v>4.1900000000000173E-2</v>
      </c>
      <c r="G425" s="503">
        <f t="shared" si="51"/>
        <v>4.1900000000000173E-2</v>
      </c>
      <c r="H425" s="504" t="str">
        <f t="shared" si="54"/>
        <v>Ausztria</v>
      </c>
      <c r="I425" s="509" t="s">
        <v>134</v>
      </c>
      <c r="J425" s="509" t="s">
        <v>908</v>
      </c>
      <c r="K425" s="508">
        <v>5</v>
      </c>
      <c r="L425" s="509" t="s">
        <v>1339</v>
      </c>
      <c r="M425" s="634" t="s">
        <v>1215</v>
      </c>
      <c r="N425" s="510" t="s">
        <v>1270</v>
      </c>
      <c r="O425" s="511">
        <v>35564</v>
      </c>
      <c r="P425" s="512">
        <v>24</v>
      </c>
      <c r="Q425" s="513">
        <v>188</v>
      </c>
      <c r="R425" s="514">
        <v>82</v>
      </c>
      <c r="S425" s="64"/>
      <c r="T425" s="297">
        <f t="shared" si="52"/>
        <v>0</v>
      </c>
      <c r="U425" s="518">
        <f t="shared" si="53"/>
        <v>0</v>
      </c>
      <c r="W425" s="1"/>
      <c r="X425" s="65"/>
    </row>
    <row r="426" spans="1:24" s="23" customFormat="1" ht="11.25" customHeight="1" x14ac:dyDescent="0.2">
      <c r="A426" s="765"/>
      <c r="C426" s="769"/>
      <c r="D426" s="60"/>
      <c r="F426" s="503">
        <f t="shared" si="50"/>
        <v>4.2000000000000176E-2</v>
      </c>
      <c r="G426" s="503">
        <f t="shared" si="51"/>
        <v>4.2000000000000176E-2</v>
      </c>
      <c r="H426" s="504" t="str">
        <f t="shared" si="54"/>
        <v>Ausztria</v>
      </c>
      <c r="I426" s="509" t="s">
        <v>624</v>
      </c>
      <c r="J426" s="509" t="s">
        <v>625</v>
      </c>
      <c r="K426" s="508">
        <v>9</v>
      </c>
      <c r="L426" s="509" t="s">
        <v>703</v>
      </c>
      <c r="M426" s="634" t="s">
        <v>1164</v>
      </c>
      <c r="N426" s="510" t="s">
        <v>1270</v>
      </c>
      <c r="O426" s="511">
        <v>34410</v>
      </c>
      <c r="P426" s="512">
        <v>27</v>
      </c>
      <c r="Q426" s="513">
        <v>177</v>
      </c>
      <c r="R426" s="514">
        <v>77</v>
      </c>
      <c r="S426" s="64"/>
      <c r="T426" s="297">
        <f t="shared" si="52"/>
        <v>0</v>
      </c>
      <c r="U426" s="518">
        <f t="shared" si="53"/>
        <v>0</v>
      </c>
      <c r="W426" s="1"/>
      <c r="X426" s="65"/>
    </row>
    <row r="427" spans="1:24" s="23" customFormat="1" ht="11.25" customHeight="1" x14ac:dyDescent="0.2">
      <c r="A427" s="765"/>
      <c r="C427" s="769"/>
      <c r="D427" s="60"/>
      <c r="F427" s="503">
        <f t="shared" si="50"/>
        <v>4.2100000000000179E-2</v>
      </c>
      <c r="G427" s="503">
        <f t="shared" si="51"/>
        <v>4.2100000000000179E-2</v>
      </c>
      <c r="H427" s="504" t="str">
        <f t="shared" si="54"/>
        <v>Ausztria</v>
      </c>
      <c r="I427" s="509" t="s">
        <v>135</v>
      </c>
      <c r="J427" s="509" t="s">
        <v>136</v>
      </c>
      <c r="K427" s="508">
        <v>17</v>
      </c>
      <c r="L427" s="509" t="s">
        <v>703</v>
      </c>
      <c r="M427" s="634" t="s">
        <v>920</v>
      </c>
      <c r="N427" s="510" t="s">
        <v>915</v>
      </c>
      <c r="O427" s="511">
        <v>34697</v>
      </c>
      <c r="P427" s="512">
        <v>26</v>
      </c>
      <c r="Q427" s="513">
        <v>177</v>
      </c>
      <c r="R427" s="514">
        <v>72</v>
      </c>
      <c r="S427" s="64"/>
      <c r="T427" s="297">
        <f t="shared" si="52"/>
        <v>0</v>
      </c>
      <c r="U427" s="518">
        <f t="shared" si="53"/>
        <v>0</v>
      </c>
      <c r="W427" s="1"/>
      <c r="X427" s="65"/>
    </row>
    <row r="428" spans="1:24" s="23" customFormat="1" ht="11.25" customHeight="1" x14ac:dyDescent="0.2">
      <c r="A428" s="765"/>
      <c r="C428" s="769"/>
      <c r="D428" s="60"/>
      <c r="F428" s="503">
        <f t="shared" si="50"/>
        <v>4.2200000000000182E-2</v>
      </c>
      <c r="G428" s="503">
        <f t="shared" si="51"/>
        <v>4.2200000000000182E-2</v>
      </c>
      <c r="H428" s="504" t="str">
        <f t="shared" si="54"/>
        <v>Ausztria</v>
      </c>
      <c r="I428" s="509" t="s">
        <v>137</v>
      </c>
      <c r="J428" s="509" t="s">
        <v>138</v>
      </c>
      <c r="K428" s="508">
        <v>1</v>
      </c>
      <c r="L428" s="509" t="s">
        <v>704</v>
      </c>
      <c r="M428" s="634" t="s">
        <v>120</v>
      </c>
      <c r="N428" s="510" t="s">
        <v>924</v>
      </c>
      <c r="O428" s="511">
        <v>35096</v>
      </c>
      <c r="P428" s="512">
        <v>25</v>
      </c>
      <c r="Q428" s="513">
        <v>184</v>
      </c>
      <c r="R428" s="514">
        <v>77</v>
      </c>
      <c r="S428" s="64"/>
      <c r="T428" s="297">
        <f t="shared" si="52"/>
        <v>0</v>
      </c>
      <c r="U428" s="518">
        <f t="shared" si="53"/>
        <v>0</v>
      </c>
      <c r="W428" s="1"/>
      <c r="X428" s="65"/>
    </row>
    <row r="429" spans="1:24" s="23" customFormat="1" ht="11.25" customHeight="1" x14ac:dyDescent="0.2">
      <c r="A429" s="765"/>
      <c r="C429" s="769"/>
      <c r="D429" s="60"/>
      <c r="F429" s="503">
        <f t="shared" si="50"/>
        <v>4.2300000000000185E-2</v>
      </c>
      <c r="G429" s="503">
        <f t="shared" si="51"/>
        <v>4.2300000000000185E-2</v>
      </c>
      <c r="H429" s="504" t="str">
        <f t="shared" si="54"/>
        <v>Ausztria</v>
      </c>
      <c r="I429" s="509" t="s">
        <v>139</v>
      </c>
      <c r="J429" s="509" t="s">
        <v>140</v>
      </c>
      <c r="K429" s="508">
        <v>23</v>
      </c>
      <c r="L429" s="509" t="s">
        <v>703</v>
      </c>
      <c r="M429" s="634" t="s">
        <v>508</v>
      </c>
      <c r="N429" s="510" t="s">
        <v>1270</v>
      </c>
      <c r="O429" s="511">
        <v>35701</v>
      </c>
      <c r="P429" s="512">
        <v>23</v>
      </c>
      <c r="Q429" s="513">
        <v>175</v>
      </c>
      <c r="R429" s="514">
        <v>75</v>
      </c>
      <c r="S429" s="64"/>
      <c r="T429" s="297">
        <f t="shared" si="52"/>
        <v>0</v>
      </c>
      <c r="U429" s="518">
        <f t="shared" si="53"/>
        <v>0</v>
      </c>
      <c r="W429" s="640"/>
      <c r="X429" s="65"/>
    </row>
    <row r="430" spans="1:24" s="23" customFormat="1" ht="11.25" customHeight="1" x14ac:dyDescent="0.2">
      <c r="A430" s="765"/>
      <c r="C430" s="769"/>
      <c r="D430" s="60"/>
      <c r="F430" s="503">
        <f t="shared" si="50"/>
        <v>4.2400000000000188E-2</v>
      </c>
      <c r="G430" s="503">
        <f t="shared" si="51"/>
        <v>4.2400000000000188E-2</v>
      </c>
      <c r="H430" s="504" t="str">
        <f t="shared" si="54"/>
        <v>Ausztria</v>
      </c>
      <c r="I430" s="509" t="s">
        <v>1657</v>
      </c>
      <c r="J430" s="509" t="s">
        <v>1155</v>
      </c>
      <c r="K430" s="508">
        <v>18</v>
      </c>
      <c r="L430" s="509" t="s">
        <v>703</v>
      </c>
      <c r="M430" s="634" t="s">
        <v>1352</v>
      </c>
      <c r="N430" s="510" t="s">
        <v>1270</v>
      </c>
      <c r="O430" s="511">
        <v>34372</v>
      </c>
      <c r="P430" s="512">
        <v>27</v>
      </c>
      <c r="Q430" s="513">
        <v>178</v>
      </c>
      <c r="R430" s="514">
        <v>74</v>
      </c>
      <c r="S430" s="64"/>
      <c r="T430" s="297">
        <f t="shared" si="52"/>
        <v>0</v>
      </c>
      <c r="U430" s="518">
        <f t="shared" si="53"/>
        <v>0</v>
      </c>
      <c r="W430" s="640"/>
      <c r="X430" s="65"/>
    </row>
    <row r="431" spans="1:24" s="23" customFormat="1" ht="11.25" customHeight="1" x14ac:dyDescent="0.2">
      <c r="A431" s="765"/>
      <c r="C431" s="769"/>
      <c r="D431" s="60"/>
      <c r="F431" s="503">
        <f t="shared" si="50"/>
        <v>4.250000000000019E-2</v>
      </c>
      <c r="G431" s="503">
        <f t="shared" si="51"/>
        <v>4.250000000000019E-2</v>
      </c>
      <c r="H431" s="504" t="str">
        <f t="shared" si="54"/>
        <v>Ausztria</v>
      </c>
      <c r="I431" s="509" t="s">
        <v>1658</v>
      </c>
      <c r="J431" s="509" t="s">
        <v>1659</v>
      </c>
      <c r="K431" s="508">
        <v>16</v>
      </c>
      <c r="L431" s="509" t="s">
        <v>1339</v>
      </c>
      <c r="M431" s="634" t="s">
        <v>18</v>
      </c>
      <c r="N431" s="510" t="s">
        <v>1270</v>
      </c>
      <c r="O431" s="511">
        <v>31832</v>
      </c>
      <c r="P431" s="512">
        <v>34</v>
      </c>
      <c r="Q431" s="513">
        <v>189</v>
      </c>
      <c r="R431" s="514">
        <v>82</v>
      </c>
      <c r="S431" s="64"/>
      <c r="T431" s="297">
        <f t="shared" si="52"/>
        <v>0</v>
      </c>
      <c r="U431" s="518">
        <f t="shared" si="53"/>
        <v>0</v>
      </c>
      <c r="W431" s="640"/>
      <c r="X431" s="65"/>
    </row>
    <row r="432" spans="1:24" s="23" customFormat="1" ht="11.25" customHeight="1" x14ac:dyDescent="0.2">
      <c r="A432" s="765"/>
      <c r="C432" s="769"/>
      <c r="D432" s="60"/>
      <c r="F432" s="503">
        <f t="shared" si="50"/>
        <v>4.2600000000000193E-2</v>
      </c>
      <c r="G432" s="503">
        <f t="shared" si="51"/>
        <v>4.2600000000000193E-2</v>
      </c>
      <c r="H432" s="504" t="str">
        <f t="shared" si="54"/>
        <v>Ausztria</v>
      </c>
      <c r="I432" s="555" t="s">
        <v>1660</v>
      </c>
      <c r="J432" s="555" t="s">
        <v>1165</v>
      </c>
      <c r="K432" s="554">
        <v>2</v>
      </c>
      <c r="L432" s="555" t="s">
        <v>1339</v>
      </c>
      <c r="M432" s="635" t="s">
        <v>1183</v>
      </c>
      <c r="N432" s="556" t="s">
        <v>924</v>
      </c>
      <c r="O432" s="557">
        <v>31350</v>
      </c>
      <c r="P432" s="558">
        <v>35</v>
      </c>
      <c r="Q432" s="559">
        <v>175</v>
      </c>
      <c r="R432" s="560">
        <v>73</v>
      </c>
      <c r="S432" s="64"/>
      <c r="T432" s="297">
        <f t="shared" si="52"/>
        <v>0</v>
      </c>
      <c r="U432" s="518">
        <f t="shared" si="53"/>
        <v>0</v>
      </c>
      <c r="W432" s="640"/>
      <c r="X432" s="65"/>
    </row>
    <row r="433" spans="1:24" s="23" customFormat="1" ht="9.75" hidden="1" customHeight="1" x14ac:dyDescent="0.2">
      <c r="A433" s="765"/>
      <c r="C433" s="769"/>
      <c r="D433" s="60"/>
      <c r="F433" s="503">
        <f t="shared" si="50"/>
        <v>4.2700000000000196E-2</v>
      </c>
      <c r="G433" s="503">
        <f t="shared" si="51"/>
        <v>0</v>
      </c>
      <c r="H433" s="504" t="str">
        <f t="shared" si="54"/>
        <v>Ausztria</v>
      </c>
      <c r="I433" s="61"/>
      <c r="J433" s="61"/>
      <c r="K433" s="295"/>
      <c r="L433" s="61"/>
      <c r="M433" s="633"/>
      <c r="N433" s="256"/>
      <c r="O433" s="62"/>
      <c r="P433" s="253"/>
      <c r="Q433" s="63"/>
      <c r="R433" s="252"/>
      <c r="S433" s="64"/>
      <c r="T433" s="297" t="str">
        <f t="shared" si="52"/>
        <v/>
      </c>
      <c r="U433" s="518" t="str">
        <f t="shared" si="53"/>
        <v/>
      </c>
      <c r="W433" s="640"/>
      <c r="X433" s="65"/>
    </row>
    <row r="434" spans="1:24" s="23" customFormat="1" ht="9.75" hidden="1" customHeight="1" x14ac:dyDescent="0.2">
      <c r="A434" s="765"/>
      <c r="C434" s="769"/>
      <c r="D434" s="60"/>
      <c r="F434" s="503">
        <f t="shared" si="50"/>
        <v>4.2800000000000199E-2</v>
      </c>
      <c r="G434" s="503">
        <f t="shared" si="51"/>
        <v>0</v>
      </c>
      <c r="H434" s="504" t="str">
        <f t="shared" si="54"/>
        <v>Ausztria</v>
      </c>
      <c r="I434" s="61"/>
      <c r="J434" s="61"/>
      <c r="K434" s="295"/>
      <c r="L434" s="61"/>
      <c r="M434" s="633"/>
      <c r="N434" s="256"/>
      <c r="O434" s="62"/>
      <c r="P434" s="253"/>
      <c r="Q434" s="63"/>
      <c r="R434" s="252"/>
      <c r="S434" s="64"/>
      <c r="T434" s="297" t="str">
        <f t="shared" si="52"/>
        <v/>
      </c>
      <c r="U434" s="518" t="str">
        <f t="shared" si="53"/>
        <v/>
      </c>
      <c r="W434" s="640"/>
      <c r="X434" s="65"/>
    </row>
    <row r="435" spans="1:24" s="23" customFormat="1" ht="9.75" hidden="1" customHeight="1" x14ac:dyDescent="0.2">
      <c r="A435" s="765"/>
      <c r="C435" s="769"/>
      <c r="D435" s="60"/>
      <c r="F435" s="503">
        <f t="shared" si="50"/>
        <v>4.2900000000000202E-2</v>
      </c>
      <c r="G435" s="503">
        <f t="shared" si="51"/>
        <v>0</v>
      </c>
      <c r="H435" s="504" t="str">
        <f t="shared" si="54"/>
        <v>Ausztria</v>
      </c>
      <c r="I435" s="61"/>
      <c r="J435" s="61"/>
      <c r="K435" s="295"/>
      <c r="L435" s="61"/>
      <c r="M435" s="633"/>
      <c r="N435" s="256"/>
      <c r="O435" s="62"/>
      <c r="P435" s="253"/>
      <c r="Q435" s="63"/>
      <c r="R435" s="252"/>
      <c r="S435" s="64"/>
      <c r="T435" s="297" t="str">
        <f t="shared" si="52"/>
        <v/>
      </c>
      <c r="U435" s="518" t="str">
        <f t="shared" si="53"/>
        <v/>
      </c>
      <c r="W435" s="640"/>
      <c r="X435" s="65"/>
    </row>
    <row r="436" spans="1:24" s="23" customFormat="1" ht="9.75" hidden="1" customHeight="1" x14ac:dyDescent="0.2">
      <c r="A436" s="765"/>
      <c r="C436" s="769"/>
      <c r="D436" s="60"/>
      <c r="F436" s="503">
        <f t="shared" si="50"/>
        <v>4.3000000000000205E-2</v>
      </c>
      <c r="G436" s="503">
        <f t="shared" si="51"/>
        <v>0</v>
      </c>
      <c r="H436" s="504" t="str">
        <f t="shared" si="54"/>
        <v>Ausztria</v>
      </c>
      <c r="I436" s="61"/>
      <c r="J436" s="61"/>
      <c r="K436" s="295"/>
      <c r="L436" s="61"/>
      <c r="M436" s="633"/>
      <c r="N436" s="256"/>
      <c r="O436" s="62"/>
      <c r="P436" s="253"/>
      <c r="Q436" s="63"/>
      <c r="R436" s="252"/>
      <c r="S436" s="64"/>
      <c r="T436" s="297" t="str">
        <f t="shared" si="52"/>
        <v/>
      </c>
      <c r="U436" s="518" t="str">
        <f t="shared" si="53"/>
        <v/>
      </c>
      <c r="W436" s="640"/>
      <c r="X436" s="65"/>
    </row>
    <row r="437" spans="1:24" s="23" customFormat="1" ht="4.5" customHeight="1" x14ac:dyDescent="0.25">
      <c r="A437" s="765"/>
      <c r="C437" s="769"/>
      <c r="D437" s="60"/>
      <c r="F437" s="503">
        <f t="shared" si="50"/>
        <v>4.3100000000000208E-2</v>
      </c>
      <c r="G437" s="503"/>
      <c r="H437" s="505"/>
      <c r="I437" s="67"/>
      <c r="J437" s="67"/>
      <c r="K437" s="22"/>
      <c r="L437" s="67"/>
      <c r="M437" s="22"/>
      <c r="N437" s="68"/>
      <c r="O437" s="67"/>
      <c r="P437" s="69"/>
      <c r="Q437" s="70"/>
      <c r="R437" s="71"/>
      <c r="S437" s="71"/>
      <c r="T437" s="298"/>
      <c r="U437" s="299"/>
      <c r="W437" s="641"/>
      <c r="X437" s="67"/>
    </row>
    <row r="438" spans="1:24" s="21" customFormat="1" ht="9.75" customHeight="1" x14ac:dyDescent="0.2">
      <c r="A438" s="765"/>
      <c r="C438" s="769"/>
      <c r="D438" s="60"/>
      <c r="F438" s="503">
        <f t="shared" si="50"/>
        <v>4.320000000000021E-2</v>
      </c>
      <c r="G438" s="503"/>
      <c r="H438" s="303"/>
      <c r="I438" s="74" t="s">
        <v>542</v>
      </c>
      <c r="J438" s="75" t="s">
        <v>141</v>
      </c>
      <c r="K438" s="75"/>
      <c r="L438" s="75"/>
      <c r="M438" s="636"/>
      <c r="N438" s="76"/>
      <c r="O438" s="74" t="s">
        <v>495</v>
      </c>
      <c r="P438" s="254">
        <f>AVERAGE(P407:P436)</f>
        <v>27.384615384615383</v>
      </c>
      <c r="Q438" s="77">
        <f>AVERAGE(Q407:Q436)</f>
        <v>184.61538461538461</v>
      </c>
      <c r="R438" s="255">
        <f>AVERAGE(R407:R436)</f>
        <v>78.115384615384613</v>
      </c>
      <c r="S438" s="78"/>
      <c r="T438" s="297">
        <f>SUM(T407:T436)</f>
        <v>0</v>
      </c>
      <c r="U438" s="518">
        <f>SUM(U407:U436)</f>
        <v>0</v>
      </c>
      <c r="W438" s="642" t="s">
        <v>879</v>
      </c>
      <c r="X438" s="79"/>
    </row>
    <row r="439" spans="1:24" ht="9.75" customHeight="1" x14ac:dyDescent="0.3">
      <c r="A439" s="765"/>
      <c r="F439" s="503">
        <f t="shared" si="50"/>
        <v>4.3300000000000213E-2</v>
      </c>
      <c r="G439" s="503"/>
    </row>
    <row r="440" spans="1:24" ht="9.75" customHeight="1" x14ac:dyDescent="0.3">
      <c r="A440" s="765"/>
      <c r="F440" s="503">
        <f t="shared" si="50"/>
        <v>4.3400000000000216E-2</v>
      </c>
      <c r="G440" s="503"/>
    </row>
    <row r="441" spans="1:24" ht="9.75" customHeight="1" x14ac:dyDescent="0.3">
      <c r="A441" s="765"/>
      <c r="F441" s="503">
        <f t="shared" si="50"/>
        <v>4.3500000000000219E-2</v>
      </c>
      <c r="G441" s="503"/>
    </row>
    <row r="442" spans="1:24" ht="9.75" customHeight="1" x14ac:dyDescent="0.3">
      <c r="A442" s="765"/>
      <c r="F442" s="503">
        <f t="shared" si="50"/>
        <v>4.3600000000000222E-2</v>
      </c>
    </row>
    <row r="443" spans="1:24" ht="9.75" customHeight="1" x14ac:dyDescent="0.3">
      <c r="A443" s="765"/>
      <c r="F443" s="503">
        <f t="shared" si="50"/>
        <v>4.3700000000000225E-2</v>
      </c>
    </row>
    <row r="444" spans="1:24" ht="9.75" customHeight="1" x14ac:dyDescent="0.3">
      <c r="A444" s="765"/>
      <c r="F444" s="503">
        <f t="shared" si="50"/>
        <v>4.3800000000000228E-2</v>
      </c>
    </row>
    <row r="445" spans="1:24" ht="9.75" customHeight="1" x14ac:dyDescent="0.3">
      <c r="A445" s="765"/>
      <c r="F445" s="503">
        <f t="shared" si="50"/>
        <v>4.3900000000000231E-2</v>
      </c>
    </row>
    <row r="446" spans="1:24" s="23" customFormat="1" ht="5.25" customHeight="1" x14ac:dyDescent="0.2">
      <c r="A446" s="765"/>
      <c r="C446" s="21"/>
      <c r="F446" s="503">
        <f t="shared" si="50"/>
        <v>4.4000000000000233E-2</v>
      </c>
      <c r="G446" s="506"/>
      <c r="H446" s="502"/>
      <c r="I446" s="55"/>
      <c r="J446" s="55"/>
      <c r="K446" s="56"/>
      <c r="L446" s="55"/>
      <c r="M446" s="56"/>
      <c r="N446" s="57"/>
      <c r="O446" s="57"/>
      <c r="P446" s="55"/>
      <c r="Q446" s="57"/>
      <c r="R446" s="57"/>
      <c r="S446" s="57"/>
      <c r="T446" s="58"/>
      <c r="U446" s="59"/>
      <c r="W446" s="639"/>
      <c r="X446" s="55"/>
    </row>
    <row r="447" spans="1:24" s="23" customFormat="1" ht="11.25" customHeight="1" x14ac:dyDescent="0.2">
      <c r="A447" s="765"/>
      <c r="C447" s="769" t="str">
        <f>UPPER(H447)&amp;"    ."</f>
        <v>ÉSZAK-MACEDÓNIA    .</v>
      </c>
      <c r="D447" s="60"/>
      <c r="F447" s="503">
        <f t="shared" si="50"/>
        <v>4.4100000000000236E-2</v>
      </c>
      <c r="G447" s="503">
        <f t="shared" ref="G447:G476" si="55">IF(I447="",0,T447+F447)</f>
        <v>4.4100000000000236E-2</v>
      </c>
      <c r="H447" s="504" t="str">
        <f>Adatok!C5</f>
        <v>Észak-Macedónia</v>
      </c>
      <c r="I447" s="61" t="s">
        <v>142</v>
      </c>
      <c r="J447" s="61" t="s">
        <v>143</v>
      </c>
      <c r="K447" s="295">
        <v>5</v>
      </c>
      <c r="L447" s="61" t="s">
        <v>703</v>
      </c>
      <c r="M447" s="633" t="s">
        <v>820</v>
      </c>
      <c r="N447" s="256" t="s">
        <v>821</v>
      </c>
      <c r="O447" s="62">
        <v>33387</v>
      </c>
      <c r="P447" s="253">
        <v>30</v>
      </c>
      <c r="Q447" s="63">
        <v>184</v>
      </c>
      <c r="R447" s="252">
        <v>79</v>
      </c>
      <c r="S447" s="64"/>
      <c r="T447" s="297">
        <f t="shared" ref="T447:T476" si="56">IF(I447="","",COUNTIF(nevek.s,CONCATENATE(H447,I447)))</f>
        <v>0</v>
      </c>
      <c r="U447" s="518">
        <f t="shared" ref="U447:U476" si="57">IF(I447="","",COUNTIF(nevek.s,CONCATENATE("ö",H447,I447)))</f>
        <v>0</v>
      </c>
      <c r="W447" s="3"/>
      <c r="X447" s="65"/>
    </row>
    <row r="448" spans="1:24" s="23" customFormat="1" ht="11.25" customHeight="1" x14ac:dyDescent="0.2">
      <c r="A448" s="765"/>
      <c r="C448" s="769"/>
      <c r="D448" s="60"/>
      <c r="F448" s="503">
        <f t="shared" si="50"/>
        <v>4.4200000000000239E-2</v>
      </c>
      <c r="G448" s="503">
        <f t="shared" si="55"/>
        <v>4.4200000000000239E-2</v>
      </c>
      <c r="H448" s="504" t="str">
        <f>H447</f>
        <v>Észak-Macedónia</v>
      </c>
      <c r="I448" s="509" t="s">
        <v>144</v>
      </c>
      <c r="J448" s="509" t="s">
        <v>145</v>
      </c>
      <c r="K448" s="508">
        <v>8</v>
      </c>
      <c r="L448" s="509" t="s">
        <v>703</v>
      </c>
      <c r="M448" s="634" t="s">
        <v>1122</v>
      </c>
      <c r="N448" s="510" t="s">
        <v>1271</v>
      </c>
      <c r="O448" s="511">
        <v>33646</v>
      </c>
      <c r="P448" s="512">
        <v>29</v>
      </c>
      <c r="Q448" s="513">
        <v>172</v>
      </c>
      <c r="R448" s="514">
        <v>68</v>
      </c>
      <c r="S448" s="64"/>
      <c r="T448" s="297">
        <f t="shared" si="56"/>
        <v>0</v>
      </c>
      <c r="U448" s="518">
        <f t="shared" si="57"/>
        <v>0</v>
      </c>
      <c r="W448" s="1"/>
      <c r="X448" s="65"/>
    </row>
    <row r="449" spans="1:24" s="23" customFormat="1" ht="11.25" customHeight="1" x14ac:dyDescent="0.2">
      <c r="A449" s="765"/>
      <c r="C449" s="769"/>
      <c r="D449" s="60"/>
      <c r="F449" s="503">
        <f t="shared" si="50"/>
        <v>4.4300000000000242E-2</v>
      </c>
      <c r="G449" s="503">
        <f t="shared" si="55"/>
        <v>4.4300000000000242E-2</v>
      </c>
      <c r="H449" s="504" t="str">
        <f t="shared" ref="H449:H476" si="58">H448</f>
        <v>Észak-Macedónia</v>
      </c>
      <c r="I449" s="509" t="s">
        <v>1661</v>
      </c>
      <c r="J449" s="509" t="s">
        <v>947</v>
      </c>
      <c r="K449" s="508">
        <v>24</v>
      </c>
      <c r="L449" s="509" t="s">
        <v>703</v>
      </c>
      <c r="M449" s="634" t="s">
        <v>107</v>
      </c>
      <c r="N449" s="510" t="s">
        <v>858</v>
      </c>
      <c r="O449" s="511">
        <v>34750</v>
      </c>
      <c r="P449" s="512">
        <v>26</v>
      </c>
      <c r="Q449" s="513">
        <v>184</v>
      </c>
      <c r="R449" s="514">
        <v>69</v>
      </c>
      <c r="S449" s="64"/>
      <c r="T449" s="297">
        <f t="shared" si="56"/>
        <v>0</v>
      </c>
      <c r="U449" s="518">
        <f t="shared" si="57"/>
        <v>0</v>
      </c>
      <c r="W449" s="1"/>
      <c r="X449" s="65"/>
    </row>
    <row r="450" spans="1:24" s="23" customFormat="1" ht="11.25" customHeight="1" x14ac:dyDescent="0.2">
      <c r="A450" s="765"/>
      <c r="C450" s="769"/>
      <c r="D450" s="60"/>
      <c r="F450" s="503">
        <f t="shared" si="50"/>
        <v>4.4400000000000245E-2</v>
      </c>
      <c r="G450" s="503">
        <f t="shared" si="55"/>
        <v>4.4400000000000245E-2</v>
      </c>
      <c r="H450" s="504" t="str">
        <f t="shared" si="58"/>
        <v>Észak-Macedónia</v>
      </c>
      <c r="I450" s="509" t="s">
        <v>146</v>
      </c>
      <c r="J450" s="509" t="s">
        <v>147</v>
      </c>
      <c r="K450" s="508">
        <v>17</v>
      </c>
      <c r="L450" s="509" t="s">
        <v>703</v>
      </c>
      <c r="M450" s="634" t="s">
        <v>148</v>
      </c>
      <c r="N450" s="510" t="s">
        <v>500</v>
      </c>
      <c r="O450" s="511">
        <v>34882</v>
      </c>
      <c r="P450" s="512">
        <v>25</v>
      </c>
      <c r="Q450" s="513">
        <v>172</v>
      </c>
      <c r="R450" s="514">
        <v>70</v>
      </c>
      <c r="S450" s="64"/>
      <c r="T450" s="297">
        <f t="shared" si="56"/>
        <v>0</v>
      </c>
      <c r="U450" s="518">
        <f t="shared" si="57"/>
        <v>0</v>
      </c>
      <c r="W450" s="1"/>
      <c r="X450" s="65"/>
    </row>
    <row r="451" spans="1:24" s="23" customFormat="1" ht="11.25" customHeight="1" x14ac:dyDescent="0.2">
      <c r="A451" s="765"/>
      <c r="C451" s="769"/>
      <c r="D451" s="60"/>
      <c r="F451" s="503">
        <f t="shared" si="50"/>
        <v>4.4500000000000248E-2</v>
      </c>
      <c r="G451" s="503">
        <f t="shared" si="55"/>
        <v>4.4500000000000248E-2</v>
      </c>
      <c r="H451" s="504" t="str">
        <f t="shared" si="58"/>
        <v>Észak-Macedónia</v>
      </c>
      <c r="I451" s="509" t="s">
        <v>149</v>
      </c>
      <c r="J451" s="509" t="s">
        <v>150</v>
      </c>
      <c r="K451" s="508">
        <v>2</v>
      </c>
      <c r="L451" s="509" t="s">
        <v>1339</v>
      </c>
      <c r="M451" s="634" t="s">
        <v>151</v>
      </c>
      <c r="N451" s="510" t="s">
        <v>152</v>
      </c>
      <c r="O451" s="511">
        <v>34341</v>
      </c>
      <c r="P451" s="512">
        <v>27</v>
      </c>
      <c r="Q451" s="513">
        <v>179</v>
      </c>
      <c r="R451" s="514">
        <v>70</v>
      </c>
      <c r="S451" s="64"/>
      <c r="T451" s="297">
        <f t="shared" si="56"/>
        <v>0</v>
      </c>
      <c r="U451" s="518">
        <f t="shared" si="57"/>
        <v>0</v>
      </c>
      <c r="W451" s="1"/>
      <c r="X451" s="65"/>
    </row>
    <row r="452" spans="1:24" s="23" customFormat="1" ht="11.25" customHeight="1" x14ac:dyDescent="0.2">
      <c r="A452" s="765"/>
      <c r="C452" s="769"/>
      <c r="D452" s="60"/>
      <c r="F452" s="503">
        <f t="shared" si="50"/>
        <v>4.4600000000000251E-2</v>
      </c>
      <c r="G452" s="503">
        <f t="shared" si="55"/>
        <v>4.4600000000000251E-2</v>
      </c>
      <c r="H452" s="504" t="str">
        <f t="shared" si="58"/>
        <v>Észak-Macedónia</v>
      </c>
      <c r="I452" s="509" t="s">
        <v>1662</v>
      </c>
      <c r="J452" s="509" t="s">
        <v>161</v>
      </c>
      <c r="K452" s="508">
        <v>25</v>
      </c>
      <c r="L452" s="509" t="s">
        <v>1357</v>
      </c>
      <c r="M452" s="634" t="s">
        <v>1656</v>
      </c>
      <c r="N452" s="510" t="s">
        <v>1270</v>
      </c>
      <c r="O452" s="511">
        <v>36718</v>
      </c>
      <c r="P452" s="512">
        <v>20</v>
      </c>
      <c r="Q452" s="513">
        <v>180</v>
      </c>
      <c r="R452" s="514">
        <v>76</v>
      </c>
      <c r="S452" s="64"/>
      <c r="T452" s="297">
        <f t="shared" si="56"/>
        <v>0</v>
      </c>
      <c r="U452" s="518">
        <f t="shared" si="57"/>
        <v>0</v>
      </c>
      <c r="W452" s="1"/>
      <c r="X452" s="65"/>
    </row>
    <row r="453" spans="1:24" s="23" customFormat="1" ht="11.25" customHeight="1" x14ac:dyDescent="0.2">
      <c r="A453" s="765"/>
      <c r="C453" s="769"/>
      <c r="D453" s="60"/>
      <c r="F453" s="503">
        <f t="shared" si="50"/>
        <v>4.4700000000000253E-2</v>
      </c>
      <c r="G453" s="503">
        <f t="shared" si="55"/>
        <v>4.4700000000000253E-2</v>
      </c>
      <c r="H453" s="504" t="str">
        <f t="shared" si="58"/>
        <v>Észak-Macedónia</v>
      </c>
      <c r="I453" s="509" t="s">
        <v>153</v>
      </c>
      <c r="J453" s="509" t="s">
        <v>154</v>
      </c>
      <c r="K453" s="508">
        <v>1</v>
      </c>
      <c r="L453" s="509" t="s">
        <v>704</v>
      </c>
      <c r="M453" s="634" t="s">
        <v>1010</v>
      </c>
      <c r="N453" s="510" t="s">
        <v>500</v>
      </c>
      <c r="O453" s="511">
        <v>34328</v>
      </c>
      <c r="P453" s="512">
        <v>27</v>
      </c>
      <c r="Q453" s="513">
        <v>188</v>
      </c>
      <c r="R453" s="514">
        <v>89</v>
      </c>
      <c r="S453" s="64"/>
      <c r="T453" s="297">
        <f t="shared" si="56"/>
        <v>0</v>
      </c>
      <c r="U453" s="518">
        <f t="shared" si="57"/>
        <v>0</v>
      </c>
      <c r="W453" s="1"/>
      <c r="X453" s="65"/>
    </row>
    <row r="454" spans="1:24" s="23" customFormat="1" ht="11.25" customHeight="1" x14ac:dyDescent="0.2">
      <c r="A454" s="765"/>
      <c r="C454" s="769"/>
      <c r="D454" s="60"/>
      <c r="E454" s="66"/>
      <c r="F454" s="503">
        <f t="shared" si="50"/>
        <v>4.4800000000000256E-2</v>
      </c>
      <c r="G454" s="503">
        <f t="shared" si="55"/>
        <v>4.4800000000000256E-2</v>
      </c>
      <c r="H454" s="504" t="str">
        <f t="shared" si="58"/>
        <v>Észak-Macedónia</v>
      </c>
      <c r="I454" s="509" t="s">
        <v>155</v>
      </c>
      <c r="J454" s="509" t="s">
        <v>1663</v>
      </c>
      <c r="K454" s="508">
        <v>21</v>
      </c>
      <c r="L454" s="509" t="s">
        <v>703</v>
      </c>
      <c r="M454" s="634" t="s">
        <v>814</v>
      </c>
      <c r="N454" s="510" t="s">
        <v>501</v>
      </c>
      <c r="O454" s="511">
        <v>36427</v>
      </c>
      <c r="P454" s="512">
        <v>21</v>
      </c>
      <c r="Q454" s="513">
        <v>182</v>
      </c>
      <c r="R454" s="514">
        <v>68</v>
      </c>
      <c r="S454" s="64"/>
      <c r="T454" s="297">
        <f t="shared" si="56"/>
        <v>0</v>
      </c>
      <c r="U454" s="518">
        <f t="shared" si="57"/>
        <v>0</v>
      </c>
      <c r="W454" s="1"/>
      <c r="X454" s="65"/>
    </row>
    <row r="455" spans="1:24" s="23" customFormat="1" ht="11.25" customHeight="1" x14ac:dyDescent="0.2">
      <c r="A455" s="765"/>
      <c r="C455" s="769"/>
      <c r="D455" s="60"/>
      <c r="F455" s="503">
        <f t="shared" si="50"/>
        <v>4.4900000000000259E-2</v>
      </c>
      <c r="G455" s="503">
        <f t="shared" si="55"/>
        <v>4.4900000000000259E-2</v>
      </c>
      <c r="H455" s="504" t="str">
        <f t="shared" si="58"/>
        <v>Észak-Macedónia</v>
      </c>
      <c r="I455" s="509" t="s">
        <v>156</v>
      </c>
      <c r="J455" s="509" t="s">
        <v>157</v>
      </c>
      <c r="K455" s="508">
        <v>11</v>
      </c>
      <c r="L455" s="509" t="s">
        <v>703</v>
      </c>
      <c r="M455" s="634" t="s">
        <v>15</v>
      </c>
      <c r="N455" s="510" t="s">
        <v>1</v>
      </c>
      <c r="O455" s="511">
        <v>33042</v>
      </c>
      <c r="P455" s="512">
        <v>30</v>
      </c>
      <c r="Q455" s="513">
        <v>188</v>
      </c>
      <c r="R455" s="514">
        <v>75</v>
      </c>
      <c r="S455" s="64"/>
      <c r="T455" s="297">
        <f t="shared" si="56"/>
        <v>0</v>
      </c>
      <c r="U455" s="518">
        <f t="shared" si="57"/>
        <v>0</v>
      </c>
      <c r="W455" s="1"/>
      <c r="X455" s="65"/>
    </row>
    <row r="456" spans="1:24" s="23" customFormat="1" ht="11.25" customHeight="1" x14ac:dyDescent="0.2">
      <c r="A456" s="765"/>
      <c r="C456" s="769"/>
      <c r="D456" s="60"/>
      <c r="F456" s="503">
        <f t="shared" si="50"/>
        <v>4.5000000000000262E-2</v>
      </c>
      <c r="G456" s="503">
        <f t="shared" si="55"/>
        <v>4.5000000000000262E-2</v>
      </c>
      <c r="H456" s="504" t="str">
        <f t="shared" si="58"/>
        <v>Észak-Macedónia</v>
      </c>
      <c r="I456" s="509" t="s">
        <v>1664</v>
      </c>
      <c r="J456" s="509" t="s">
        <v>1665</v>
      </c>
      <c r="K456" s="508">
        <v>12</v>
      </c>
      <c r="L456" s="509" t="s">
        <v>704</v>
      </c>
      <c r="M456" s="634" t="s">
        <v>1666</v>
      </c>
      <c r="N456" s="510" t="s">
        <v>152</v>
      </c>
      <c r="O456" s="511">
        <v>36043</v>
      </c>
      <c r="P456" s="512">
        <v>22</v>
      </c>
      <c r="Q456" s="513">
        <v>190</v>
      </c>
      <c r="R456" s="514">
        <v>82</v>
      </c>
      <c r="S456" s="64"/>
      <c r="T456" s="297">
        <f t="shared" si="56"/>
        <v>0</v>
      </c>
      <c r="U456" s="518">
        <f t="shared" si="57"/>
        <v>0</v>
      </c>
      <c r="W456" s="1"/>
      <c r="X456" s="65"/>
    </row>
    <row r="457" spans="1:24" s="23" customFormat="1" ht="11.25" customHeight="1" x14ac:dyDescent="0.2">
      <c r="A457" s="765"/>
      <c r="C457" s="769"/>
      <c r="D457" s="60"/>
      <c r="F457" s="503">
        <f t="shared" ref="F457:F520" si="59">F456+0.0001</f>
        <v>4.5100000000000265E-2</v>
      </c>
      <c r="G457" s="503">
        <f t="shared" si="55"/>
        <v>4.5100000000000265E-2</v>
      </c>
      <c r="H457" s="504" t="str">
        <f t="shared" si="58"/>
        <v>Észak-Macedónia</v>
      </c>
      <c r="I457" s="509" t="s">
        <v>158</v>
      </c>
      <c r="J457" s="509" t="s">
        <v>159</v>
      </c>
      <c r="K457" s="508">
        <v>15</v>
      </c>
      <c r="L457" s="509" t="s">
        <v>703</v>
      </c>
      <c r="M457" s="634" t="s">
        <v>160</v>
      </c>
      <c r="N457" s="510" t="s">
        <v>1051</v>
      </c>
      <c r="O457" s="511">
        <v>35128</v>
      </c>
      <c r="P457" s="512">
        <v>25</v>
      </c>
      <c r="Q457" s="513">
        <v>178</v>
      </c>
      <c r="R457" s="514">
        <v>70</v>
      </c>
      <c r="S457" s="64"/>
      <c r="T457" s="297">
        <f t="shared" si="56"/>
        <v>0</v>
      </c>
      <c r="U457" s="518">
        <f t="shared" si="57"/>
        <v>0</v>
      </c>
      <c r="W457" s="1"/>
      <c r="X457" s="65"/>
    </row>
    <row r="458" spans="1:24" s="23" customFormat="1" ht="11.25" customHeight="1" x14ac:dyDescent="0.2">
      <c r="A458" s="765"/>
      <c r="C458" s="769"/>
      <c r="D458" s="60"/>
      <c r="F458" s="503">
        <f t="shared" si="59"/>
        <v>4.5200000000000268E-2</v>
      </c>
      <c r="G458" s="503">
        <f t="shared" si="55"/>
        <v>4.5200000000000268E-2</v>
      </c>
      <c r="H458" s="504" t="str">
        <f t="shared" si="58"/>
        <v>Észak-Macedónia</v>
      </c>
      <c r="I458" s="509" t="s">
        <v>1667</v>
      </c>
      <c r="J458" s="509" t="s">
        <v>1668</v>
      </c>
      <c r="K458" s="508">
        <v>6</v>
      </c>
      <c r="L458" s="509" t="s">
        <v>1339</v>
      </c>
      <c r="M458" s="634" t="s">
        <v>162</v>
      </c>
      <c r="N458" s="510" t="s">
        <v>1214</v>
      </c>
      <c r="O458" s="511">
        <v>34651</v>
      </c>
      <c r="P458" s="512">
        <v>26</v>
      </c>
      <c r="Q458" s="513">
        <v>186</v>
      </c>
      <c r="R458" s="514">
        <v>75</v>
      </c>
      <c r="S458" s="64"/>
      <c r="T458" s="297">
        <f t="shared" si="56"/>
        <v>0</v>
      </c>
      <c r="U458" s="518">
        <f t="shared" si="57"/>
        <v>0</v>
      </c>
      <c r="W458" s="1"/>
      <c r="X458" s="65"/>
    </row>
    <row r="459" spans="1:24" s="23" customFormat="1" ht="11.25" customHeight="1" x14ac:dyDescent="0.2">
      <c r="A459" s="765"/>
      <c r="C459" s="769"/>
      <c r="D459" s="60"/>
      <c r="F459" s="503">
        <f t="shared" si="59"/>
        <v>4.5300000000000271E-2</v>
      </c>
      <c r="G459" s="503">
        <f t="shared" si="55"/>
        <v>4.5300000000000271E-2</v>
      </c>
      <c r="H459" s="504" t="str">
        <f t="shared" si="58"/>
        <v>Észak-Macedónia</v>
      </c>
      <c r="I459" s="509" t="s">
        <v>163</v>
      </c>
      <c r="J459" s="509" t="s">
        <v>164</v>
      </c>
      <c r="K459" s="508">
        <v>16</v>
      </c>
      <c r="L459" s="509" t="s">
        <v>703</v>
      </c>
      <c r="M459" s="634" t="s">
        <v>162</v>
      </c>
      <c r="N459" s="510" t="s">
        <v>1214</v>
      </c>
      <c r="O459" s="511">
        <v>34543</v>
      </c>
      <c r="P459" s="512">
        <v>26</v>
      </c>
      <c r="Q459" s="513">
        <v>176</v>
      </c>
      <c r="R459" s="514">
        <v>72</v>
      </c>
      <c r="S459" s="64"/>
      <c r="T459" s="297">
        <f t="shared" si="56"/>
        <v>0</v>
      </c>
      <c r="U459" s="518">
        <f t="shared" si="57"/>
        <v>0</v>
      </c>
      <c r="W459" s="1"/>
      <c r="X459" s="65"/>
    </row>
    <row r="460" spans="1:24" s="23" customFormat="1" ht="11.25" customHeight="1" x14ac:dyDescent="0.2">
      <c r="A460" s="765"/>
      <c r="C460" s="769"/>
      <c r="D460" s="60"/>
      <c r="F460" s="503">
        <f t="shared" si="59"/>
        <v>4.5400000000000273E-2</v>
      </c>
      <c r="G460" s="503">
        <f t="shared" si="55"/>
        <v>4.5400000000000273E-2</v>
      </c>
      <c r="H460" s="504" t="str">
        <f t="shared" si="58"/>
        <v>Észak-Macedónia</v>
      </c>
      <c r="I460" s="509" t="s">
        <v>165</v>
      </c>
      <c r="J460" s="509" t="s">
        <v>166</v>
      </c>
      <c r="K460" s="508">
        <v>10</v>
      </c>
      <c r="L460" s="509" t="s">
        <v>1357</v>
      </c>
      <c r="M460" s="634" t="s">
        <v>849</v>
      </c>
      <c r="N460" s="510" t="s">
        <v>501</v>
      </c>
      <c r="O460" s="511">
        <v>30524</v>
      </c>
      <c r="P460" s="512">
        <v>37</v>
      </c>
      <c r="Q460" s="513">
        <v>184</v>
      </c>
      <c r="R460" s="514">
        <v>74</v>
      </c>
      <c r="S460" s="64"/>
      <c r="T460" s="297">
        <f t="shared" si="56"/>
        <v>0</v>
      </c>
      <c r="U460" s="518">
        <f t="shared" si="57"/>
        <v>0</v>
      </c>
      <c r="W460" s="1"/>
      <c r="X460" s="65"/>
    </row>
    <row r="461" spans="1:24" s="23" customFormat="1" ht="11.25" customHeight="1" x14ac:dyDescent="0.2">
      <c r="A461" s="765"/>
      <c r="C461" s="769"/>
      <c r="D461" s="60"/>
      <c r="F461" s="503">
        <f t="shared" si="59"/>
        <v>4.5500000000000276E-2</v>
      </c>
      <c r="G461" s="503">
        <f t="shared" si="55"/>
        <v>4.5500000000000276E-2</v>
      </c>
      <c r="H461" s="504" t="str">
        <f t="shared" si="58"/>
        <v>Észak-Macedónia</v>
      </c>
      <c r="I461" s="509" t="s">
        <v>1669</v>
      </c>
      <c r="J461" s="509" t="s">
        <v>1670</v>
      </c>
      <c r="K461" s="508">
        <v>23</v>
      </c>
      <c r="L461" s="509" t="s">
        <v>1357</v>
      </c>
      <c r="M461" s="634" t="s">
        <v>1671</v>
      </c>
      <c r="N461" s="510" t="s">
        <v>152</v>
      </c>
      <c r="O461" s="511">
        <v>34740</v>
      </c>
      <c r="P461" s="512">
        <v>26</v>
      </c>
      <c r="Q461" s="513">
        <v>180</v>
      </c>
      <c r="R461" s="514">
        <v>74</v>
      </c>
      <c r="S461" s="64"/>
      <c r="T461" s="297">
        <f t="shared" si="56"/>
        <v>0</v>
      </c>
      <c r="U461" s="518">
        <f t="shared" si="57"/>
        <v>0</v>
      </c>
      <c r="W461" s="1"/>
      <c r="X461" s="65"/>
    </row>
    <row r="462" spans="1:24" s="23" customFormat="1" ht="11.25" customHeight="1" x14ac:dyDescent="0.2">
      <c r="A462" s="765"/>
      <c r="C462" s="769"/>
      <c r="D462" s="60"/>
      <c r="F462" s="503">
        <f t="shared" si="59"/>
        <v>4.5600000000000279E-2</v>
      </c>
      <c r="G462" s="503">
        <f t="shared" si="55"/>
        <v>4.5600000000000279E-2</v>
      </c>
      <c r="H462" s="504" t="str">
        <f t="shared" si="58"/>
        <v>Észak-Macedónia</v>
      </c>
      <c r="I462" s="509" t="s">
        <v>167</v>
      </c>
      <c r="J462" s="509" t="s">
        <v>168</v>
      </c>
      <c r="K462" s="508">
        <v>4</v>
      </c>
      <c r="L462" s="509" t="s">
        <v>1339</v>
      </c>
      <c r="M462" s="634" t="s">
        <v>169</v>
      </c>
      <c r="N462" s="510" t="s">
        <v>1214</v>
      </c>
      <c r="O462" s="511">
        <v>33168</v>
      </c>
      <c r="P462" s="512">
        <v>30</v>
      </c>
      <c r="Q462" s="513">
        <v>188</v>
      </c>
      <c r="R462" s="514">
        <v>80</v>
      </c>
      <c r="S462" s="64"/>
      <c r="T462" s="297">
        <f t="shared" si="56"/>
        <v>0</v>
      </c>
      <c r="U462" s="518">
        <f t="shared" si="57"/>
        <v>0</v>
      </c>
      <c r="W462" s="1"/>
      <c r="X462" s="65"/>
    </row>
    <row r="463" spans="1:24" s="23" customFormat="1" ht="11.25" customHeight="1" x14ac:dyDescent="0.2">
      <c r="A463" s="765"/>
      <c r="C463" s="769"/>
      <c r="D463" s="60"/>
      <c r="F463" s="503">
        <f t="shared" si="59"/>
        <v>4.5700000000000282E-2</v>
      </c>
      <c r="G463" s="503">
        <f t="shared" si="55"/>
        <v>4.5700000000000282E-2</v>
      </c>
      <c r="H463" s="504" t="str">
        <f t="shared" si="58"/>
        <v>Észak-Macedónia</v>
      </c>
      <c r="I463" s="509" t="s">
        <v>1672</v>
      </c>
      <c r="J463" s="509" t="s">
        <v>907</v>
      </c>
      <c r="K463" s="508">
        <v>26</v>
      </c>
      <c r="L463" s="509" t="s">
        <v>703</v>
      </c>
      <c r="M463" s="634" t="s">
        <v>1673</v>
      </c>
      <c r="N463" s="510" t="s">
        <v>1051</v>
      </c>
      <c r="O463" s="511">
        <v>35893</v>
      </c>
      <c r="P463" s="512">
        <v>23</v>
      </c>
      <c r="Q463" s="513">
        <v>188</v>
      </c>
      <c r="R463" s="514">
        <v>75</v>
      </c>
      <c r="S463" s="64"/>
      <c r="T463" s="297">
        <f t="shared" si="56"/>
        <v>0</v>
      </c>
      <c r="U463" s="518">
        <f t="shared" si="57"/>
        <v>0</v>
      </c>
      <c r="W463" s="1"/>
      <c r="X463" s="65"/>
    </row>
    <row r="464" spans="1:24" s="23" customFormat="1" ht="11.25" customHeight="1" x14ac:dyDescent="0.2">
      <c r="A464" s="765"/>
      <c r="C464" s="769"/>
      <c r="D464" s="60"/>
      <c r="F464" s="503">
        <f t="shared" si="59"/>
        <v>4.5800000000000285E-2</v>
      </c>
      <c r="G464" s="503">
        <f t="shared" si="55"/>
        <v>4.5800000000000285E-2</v>
      </c>
      <c r="H464" s="504" t="str">
        <f t="shared" si="58"/>
        <v>Észak-Macedónia</v>
      </c>
      <c r="I464" s="509" t="s">
        <v>1674</v>
      </c>
      <c r="J464" s="509" t="s">
        <v>170</v>
      </c>
      <c r="K464" s="508">
        <v>13</v>
      </c>
      <c r="L464" s="509" t="s">
        <v>1339</v>
      </c>
      <c r="M464" s="634" t="s">
        <v>1212</v>
      </c>
      <c r="N464" s="510" t="s">
        <v>855</v>
      </c>
      <c r="O464" s="511">
        <v>33646</v>
      </c>
      <c r="P464" s="512">
        <v>29</v>
      </c>
      <c r="Q464" s="513">
        <v>180</v>
      </c>
      <c r="R464" s="514">
        <v>76</v>
      </c>
      <c r="S464" s="64"/>
      <c r="T464" s="297">
        <f t="shared" si="56"/>
        <v>0</v>
      </c>
      <c r="U464" s="518">
        <f t="shared" si="57"/>
        <v>0</v>
      </c>
      <c r="W464" s="1"/>
      <c r="X464" s="65"/>
    </row>
    <row r="465" spans="1:24" s="23" customFormat="1" ht="11.25" customHeight="1" x14ac:dyDescent="0.2">
      <c r="A465" s="765"/>
      <c r="C465" s="769"/>
      <c r="D465" s="60"/>
      <c r="F465" s="503">
        <f t="shared" si="59"/>
        <v>4.5900000000000288E-2</v>
      </c>
      <c r="G465" s="503">
        <f t="shared" si="55"/>
        <v>4.5900000000000288E-2</v>
      </c>
      <c r="H465" s="504" t="str">
        <f t="shared" si="58"/>
        <v>Észak-Macedónia</v>
      </c>
      <c r="I465" s="509" t="s">
        <v>171</v>
      </c>
      <c r="J465" s="509" t="s">
        <v>172</v>
      </c>
      <c r="K465" s="508">
        <v>22</v>
      </c>
      <c r="L465" s="509" t="s">
        <v>704</v>
      </c>
      <c r="M465" s="634" t="s">
        <v>173</v>
      </c>
      <c r="N465" s="510" t="s">
        <v>1470</v>
      </c>
      <c r="O465" s="511">
        <v>34776</v>
      </c>
      <c r="P465" s="512">
        <v>26</v>
      </c>
      <c r="Q465" s="513">
        <v>193</v>
      </c>
      <c r="R465" s="514">
        <v>85</v>
      </c>
      <c r="S465" s="64"/>
      <c r="T465" s="297">
        <f t="shared" si="56"/>
        <v>0</v>
      </c>
      <c r="U465" s="518">
        <f t="shared" si="57"/>
        <v>0</v>
      </c>
      <c r="W465" s="1"/>
      <c r="X465" s="65"/>
    </row>
    <row r="466" spans="1:24" s="23" customFormat="1" ht="11.25" customHeight="1" x14ac:dyDescent="0.2">
      <c r="A466" s="765"/>
      <c r="C466" s="769"/>
      <c r="D466" s="60"/>
      <c r="F466" s="503">
        <f t="shared" si="59"/>
        <v>4.6000000000000291E-2</v>
      </c>
      <c r="G466" s="503">
        <f t="shared" si="55"/>
        <v>4.6000000000000291E-2</v>
      </c>
      <c r="H466" s="504" t="str">
        <f t="shared" si="58"/>
        <v>Észak-Macedónia</v>
      </c>
      <c r="I466" s="509" t="s">
        <v>174</v>
      </c>
      <c r="J466" s="509" t="s">
        <v>170</v>
      </c>
      <c r="K466" s="508">
        <v>20</v>
      </c>
      <c r="L466" s="509" t="s">
        <v>703</v>
      </c>
      <c r="M466" s="634" t="s">
        <v>175</v>
      </c>
      <c r="N466" s="510" t="s">
        <v>1470</v>
      </c>
      <c r="O466" s="511">
        <v>33108</v>
      </c>
      <c r="P466" s="512">
        <v>30</v>
      </c>
      <c r="Q466" s="513">
        <v>186</v>
      </c>
      <c r="R466" s="514">
        <v>74</v>
      </c>
      <c r="S466" s="64"/>
      <c r="T466" s="297">
        <f t="shared" si="56"/>
        <v>0</v>
      </c>
      <c r="U466" s="518">
        <f t="shared" si="57"/>
        <v>0</v>
      </c>
      <c r="W466" s="1"/>
      <c r="X466" s="65"/>
    </row>
    <row r="467" spans="1:24" s="23" customFormat="1" ht="11.25" customHeight="1" x14ac:dyDescent="0.2">
      <c r="A467" s="765"/>
      <c r="C467" s="769"/>
      <c r="D467" s="60"/>
      <c r="F467" s="503">
        <f t="shared" si="59"/>
        <v>4.6100000000000294E-2</v>
      </c>
      <c r="G467" s="503">
        <f t="shared" si="55"/>
        <v>4.6100000000000294E-2</v>
      </c>
      <c r="H467" s="504" t="str">
        <f t="shared" si="58"/>
        <v>Észak-Macedónia</v>
      </c>
      <c r="I467" s="509" t="s">
        <v>176</v>
      </c>
      <c r="J467" s="509" t="s">
        <v>177</v>
      </c>
      <c r="K467" s="508">
        <v>18</v>
      </c>
      <c r="L467" s="509" t="s">
        <v>1357</v>
      </c>
      <c r="M467" s="634" t="s">
        <v>178</v>
      </c>
      <c r="N467" s="510" t="s">
        <v>502</v>
      </c>
      <c r="O467" s="511">
        <v>35543</v>
      </c>
      <c r="P467" s="512">
        <v>24</v>
      </c>
      <c r="Q467" s="513">
        <v>185</v>
      </c>
      <c r="R467" s="514">
        <v>75</v>
      </c>
      <c r="S467" s="64"/>
      <c r="T467" s="297">
        <f t="shared" si="56"/>
        <v>0</v>
      </c>
      <c r="U467" s="518">
        <f t="shared" si="57"/>
        <v>0</v>
      </c>
      <c r="W467" s="1"/>
      <c r="X467" s="65"/>
    </row>
    <row r="468" spans="1:24" s="23" customFormat="1" ht="11.25" customHeight="1" x14ac:dyDescent="0.2">
      <c r="A468" s="765"/>
      <c r="C468" s="769"/>
      <c r="D468" s="60"/>
      <c r="F468" s="503">
        <f t="shared" si="59"/>
        <v>4.6200000000000296E-2</v>
      </c>
      <c r="G468" s="503">
        <f t="shared" si="55"/>
        <v>4.6200000000000296E-2</v>
      </c>
      <c r="H468" s="504" t="str">
        <f t="shared" si="58"/>
        <v>Észak-Macedónia</v>
      </c>
      <c r="I468" s="509" t="s">
        <v>1675</v>
      </c>
      <c r="J468" s="509" t="s">
        <v>1676</v>
      </c>
      <c r="K468" s="508">
        <v>9</v>
      </c>
      <c r="L468" s="509" t="s">
        <v>1357</v>
      </c>
      <c r="M468" s="634" t="s">
        <v>1677</v>
      </c>
      <c r="N468" s="510" t="s">
        <v>500</v>
      </c>
      <c r="O468" s="511">
        <v>33852</v>
      </c>
      <c r="P468" s="512">
        <v>28</v>
      </c>
      <c r="Q468" s="513">
        <v>182</v>
      </c>
      <c r="R468" s="514">
        <v>73</v>
      </c>
      <c r="S468" s="64"/>
      <c r="T468" s="297">
        <f t="shared" si="56"/>
        <v>0</v>
      </c>
      <c r="U468" s="518">
        <f t="shared" si="57"/>
        <v>0</v>
      </c>
      <c r="W468" s="1"/>
      <c r="X468" s="65"/>
    </row>
    <row r="469" spans="1:24" s="23" customFormat="1" ht="11.25" customHeight="1" x14ac:dyDescent="0.2">
      <c r="A469" s="765"/>
      <c r="C469" s="769"/>
      <c r="D469" s="60"/>
      <c r="F469" s="503">
        <f t="shared" si="59"/>
        <v>4.6300000000000299E-2</v>
      </c>
      <c r="G469" s="503">
        <f t="shared" si="55"/>
        <v>4.6300000000000299E-2</v>
      </c>
      <c r="H469" s="504" t="str">
        <f t="shared" si="58"/>
        <v>Észak-Macedónia</v>
      </c>
      <c r="I469" s="509" t="s">
        <v>1678</v>
      </c>
      <c r="J469" s="509" t="s">
        <v>827</v>
      </c>
      <c r="K469" s="508">
        <v>7</v>
      </c>
      <c r="L469" s="509" t="s">
        <v>1357</v>
      </c>
      <c r="M469" s="634" t="s">
        <v>175</v>
      </c>
      <c r="N469" s="510" t="s">
        <v>1470</v>
      </c>
      <c r="O469" s="511">
        <v>31885</v>
      </c>
      <c r="P469" s="512">
        <v>34</v>
      </c>
      <c r="Q469" s="513">
        <v>184</v>
      </c>
      <c r="R469" s="514">
        <v>76</v>
      </c>
      <c r="S469" s="64"/>
      <c r="T469" s="297">
        <f t="shared" si="56"/>
        <v>0</v>
      </c>
      <c r="U469" s="518">
        <f t="shared" si="57"/>
        <v>0</v>
      </c>
      <c r="W469" s="640"/>
      <c r="X469" s="65"/>
    </row>
    <row r="470" spans="1:24" s="23" customFormat="1" ht="11.25" customHeight="1" x14ac:dyDescent="0.2">
      <c r="A470" s="765"/>
      <c r="C470" s="769"/>
      <c r="D470" s="60"/>
      <c r="F470" s="503">
        <f t="shared" si="59"/>
        <v>4.6400000000000302E-2</v>
      </c>
      <c r="G470" s="503">
        <f t="shared" si="55"/>
        <v>4.6400000000000302E-2</v>
      </c>
      <c r="H470" s="504" t="str">
        <f t="shared" si="58"/>
        <v>Észak-Macedónia</v>
      </c>
      <c r="I470" s="509" t="s">
        <v>1679</v>
      </c>
      <c r="J470" s="509" t="s">
        <v>161</v>
      </c>
      <c r="K470" s="508">
        <v>14</v>
      </c>
      <c r="L470" s="509" t="s">
        <v>1339</v>
      </c>
      <c r="M470" s="634" t="s">
        <v>1680</v>
      </c>
      <c r="N470" s="510" t="s">
        <v>821</v>
      </c>
      <c r="O470" s="511">
        <v>34871</v>
      </c>
      <c r="P470" s="512">
        <v>25</v>
      </c>
      <c r="Q470" s="513">
        <v>188</v>
      </c>
      <c r="R470" s="514">
        <v>73</v>
      </c>
      <c r="S470" s="64"/>
      <c r="T470" s="297">
        <f t="shared" si="56"/>
        <v>0</v>
      </c>
      <c r="U470" s="518">
        <f t="shared" si="57"/>
        <v>0</v>
      </c>
      <c r="W470" s="640"/>
      <c r="X470" s="65"/>
    </row>
    <row r="471" spans="1:24" s="23" customFormat="1" ht="11.25" customHeight="1" x14ac:dyDescent="0.2">
      <c r="A471" s="765"/>
      <c r="C471" s="769"/>
      <c r="D471" s="60"/>
      <c r="F471" s="503">
        <f t="shared" si="59"/>
        <v>4.6500000000000305E-2</v>
      </c>
      <c r="G471" s="503">
        <f t="shared" si="55"/>
        <v>4.6500000000000305E-2</v>
      </c>
      <c r="H471" s="504" t="str">
        <f t="shared" si="58"/>
        <v>Észak-Macedónia</v>
      </c>
      <c r="I471" s="509" t="s">
        <v>1681</v>
      </c>
      <c r="J471" s="509" t="s">
        <v>1682</v>
      </c>
      <c r="K471" s="508">
        <v>19</v>
      </c>
      <c r="L471" s="509" t="s">
        <v>1357</v>
      </c>
      <c r="M471" s="634" t="s">
        <v>1683</v>
      </c>
      <c r="N471" s="510" t="s">
        <v>1684</v>
      </c>
      <c r="O471" s="511">
        <v>32193</v>
      </c>
      <c r="P471" s="512">
        <v>33</v>
      </c>
      <c r="Q471" s="513">
        <v>178</v>
      </c>
      <c r="R471" s="514">
        <v>68</v>
      </c>
      <c r="S471" s="64"/>
      <c r="T471" s="297">
        <f t="shared" si="56"/>
        <v>0</v>
      </c>
      <c r="U471" s="518">
        <f t="shared" si="57"/>
        <v>0</v>
      </c>
      <c r="W471" s="640"/>
      <c r="X471" s="65"/>
    </row>
    <row r="472" spans="1:24" s="23" customFormat="1" ht="11.25" customHeight="1" x14ac:dyDescent="0.2">
      <c r="A472" s="765"/>
      <c r="C472" s="769"/>
      <c r="D472" s="60"/>
      <c r="F472" s="503">
        <f t="shared" si="59"/>
        <v>4.6600000000000308E-2</v>
      </c>
      <c r="G472" s="503">
        <f t="shared" si="55"/>
        <v>4.6600000000000308E-2</v>
      </c>
      <c r="H472" s="504" t="str">
        <f t="shared" si="58"/>
        <v>Észak-Macedónia</v>
      </c>
      <c r="I472" s="555" t="s">
        <v>1685</v>
      </c>
      <c r="J472" s="555" t="s">
        <v>1686</v>
      </c>
      <c r="K472" s="554">
        <v>3</v>
      </c>
      <c r="L472" s="555" t="s">
        <v>1339</v>
      </c>
      <c r="M472" s="635" t="s">
        <v>1687</v>
      </c>
      <c r="N472" s="556" t="s">
        <v>1271</v>
      </c>
      <c r="O472" s="557">
        <v>34740</v>
      </c>
      <c r="P472" s="558">
        <v>26</v>
      </c>
      <c r="Q472" s="559">
        <v>186</v>
      </c>
      <c r="R472" s="560">
        <v>80</v>
      </c>
      <c r="S472" s="64"/>
      <c r="T472" s="297">
        <f t="shared" si="56"/>
        <v>0</v>
      </c>
      <c r="U472" s="518">
        <f t="shared" si="57"/>
        <v>0</v>
      </c>
      <c r="W472" s="640"/>
      <c r="X472" s="65"/>
    </row>
    <row r="473" spans="1:24" s="23" customFormat="1" ht="9.75" hidden="1" customHeight="1" x14ac:dyDescent="0.2">
      <c r="A473" s="765"/>
      <c r="C473" s="769"/>
      <c r="D473" s="60"/>
      <c r="F473" s="503">
        <f t="shared" si="59"/>
        <v>4.6700000000000311E-2</v>
      </c>
      <c r="G473" s="503">
        <f t="shared" si="55"/>
        <v>0</v>
      </c>
      <c r="H473" s="504" t="str">
        <f t="shared" si="58"/>
        <v>Észak-Macedónia</v>
      </c>
      <c r="I473" s="61"/>
      <c r="J473" s="61"/>
      <c r="K473" s="295"/>
      <c r="L473" s="61"/>
      <c r="M473" s="633"/>
      <c r="N473" s="256"/>
      <c r="O473" s="62"/>
      <c r="P473" s="253"/>
      <c r="Q473" s="63"/>
      <c r="R473" s="252"/>
      <c r="S473" s="64"/>
      <c r="T473" s="297" t="str">
        <f t="shared" si="56"/>
        <v/>
      </c>
      <c r="U473" s="518" t="str">
        <f t="shared" si="57"/>
        <v/>
      </c>
      <c r="W473" s="640"/>
      <c r="X473" s="65"/>
    </row>
    <row r="474" spans="1:24" s="23" customFormat="1" ht="9.75" hidden="1" customHeight="1" x14ac:dyDescent="0.2">
      <c r="A474" s="765"/>
      <c r="C474" s="769"/>
      <c r="D474" s="60"/>
      <c r="F474" s="503">
        <f t="shared" si="59"/>
        <v>4.6800000000000314E-2</v>
      </c>
      <c r="G474" s="503">
        <f t="shared" si="55"/>
        <v>0</v>
      </c>
      <c r="H474" s="504" t="str">
        <f t="shared" si="58"/>
        <v>Észak-Macedónia</v>
      </c>
      <c r="I474" s="61"/>
      <c r="J474" s="61"/>
      <c r="K474" s="295"/>
      <c r="L474" s="61"/>
      <c r="M474" s="633"/>
      <c r="N474" s="256"/>
      <c r="O474" s="62"/>
      <c r="P474" s="253"/>
      <c r="Q474" s="63"/>
      <c r="R474" s="252"/>
      <c r="S474" s="64"/>
      <c r="T474" s="297" t="str">
        <f t="shared" si="56"/>
        <v/>
      </c>
      <c r="U474" s="518" t="str">
        <f t="shared" si="57"/>
        <v/>
      </c>
      <c r="W474" s="640"/>
      <c r="X474" s="65"/>
    </row>
    <row r="475" spans="1:24" s="23" customFormat="1" ht="9.75" hidden="1" customHeight="1" x14ac:dyDescent="0.2">
      <c r="A475" s="765"/>
      <c r="C475" s="769"/>
      <c r="D475" s="60"/>
      <c r="F475" s="503">
        <f t="shared" si="59"/>
        <v>4.6900000000000316E-2</v>
      </c>
      <c r="G475" s="503">
        <f t="shared" si="55"/>
        <v>0</v>
      </c>
      <c r="H475" s="504" t="str">
        <f t="shared" si="58"/>
        <v>Észak-Macedónia</v>
      </c>
      <c r="I475" s="61"/>
      <c r="J475" s="61"/>
      <c r="K475" s="295"/>
      <c r="L475" s="61"/>
      <c r="M475" s="633"/>
      <c r="N475" s="256"/>
      <c r="O475" s="62"/>
      <c r="P475" s="253"/>
      <c r="Q475" s="63"/>
      <c r="R475" s="252"/>
      <c r="S475" s="64"/>
      <c r="T475" s="297" t="str">
        <f t="shared" si="56"/>
        <v/>
      </c>
      <c r="U475" s="518" t="str">
        <f t="shared" si="57"/>
        <v/>
      </c>
      <c r="W475" s="640"/>
      <c r="X475" s="65"/>
    </row>
    <row r="476" spans="1:24" s="23" customFormat="1" ht="9.75" hidden="1" customHeight="1" x14ac:dyDescent="0.2">
      <c r="A476" s="765"/>
      <c r="C476" s="769"/>
      <c r="D476" s="60"/>
      <c r="F476" s="503">
        <f t="shared" si="59"/>
        <v>4.7000000000000319E-2</v>
      </c>
      <c r="G476" s="503">
        <f t="shared" si="55"/>
        <v>0</v>
      </c>
      <c r="H476" s="504" t="str">
        <f t="shared" si="58"/>
        <v>Észak-Macedónia</v>
      </c>
      <c r="I476" s="61"/>
      <c r="J476" s="61"/>
      <c r="K476" s="295"/>
      <c r="L476" s="61"/>
      <c r="M476" s="633"/>
      <c r="N476" s="256"/>
      <c r="O476" s="62"/>
      <c r="P476" s="253"/>
      <c r="Q476" s="63"/>
      <c r="R476" s="252"/>
      <c r="S476" s="64"/>
      <c r="T476" s="297" t="str">
        <f t="shared" si="56"/>
        <v/>
      </c>
      <c r="U476" s="518" t="str">
        <f t="shared" si="57"/>
        <v/>
      </c>
      <c r="W476" s="640"/>
      <c r="X476" s="65"/>
    </row>
    <row r="477" spans="1:24" s="23" customFormat="1" ht="4.5" customHeight="1" x14ac:dyDescent="0.25">
      <c r="A477" s="765"/>
      <c r="C477" s="769"/>
      <c r="D477" s="60"/>
      <c r="F477" s="503">
        <f t="shared" si="59"/>
        <v>4.7100000000000322E-2</v>
      </c>
      <c r="G477" s="503"/>
      <c r="H477" s="505"/>
      <c r="I477" s="67"/>
      <c r="J477" s="67"/>
      <c r="K477" s="22"/>
      <c r="L477" s="67"/>
      <c r="M477" s="22"/>
      <c r="N477" s="68"/>
      <c r="O477" s="67"/>
      <c r="P477" s="69"/>
      <c r="Q477" s="70"/>
      <c r="R477" s="71"/>
      <c r="S477" s="71"/>
      <c r="T477" s="298"/>
      <c r="U477" s="299"/>
      <c r="W477" s="641"/>
      <c r="X477" s="67"/>
    </row>
    <row r="478" spans="1:24" s="21" customFormat="1" ht="9.75" customHeight="1" x14ac:dyDescent="0.2">
      <c r="A478" s="765"/>
      <c r="C478" s="769"/>
      <c r="D478" s="60"/>
      <c r="F478" s="503">
        <f t="shared" si="59"/>
        <v>4.7200000000000325E-2</v>
      </c>
      <c r="G478" s="503"/>
      <c r="H478" s="303"/>
      <c r="I478" s="74" t="s">
        <v>542</v>
      </c>
      <c r="J478" s="75" t="s">
        <v>179</v>
      </c>
      <c r="K478" s="75"/>
      <c r="L478" s="75"/>
      <c r="M478" s="636"/>
      <c r="N478" s="76"/>
      <c r="O478" s="74" t="s">
        <v>495</v>
      </c>
      <c r="P478" s="254">
        <f>AVERAGE(P447:P476)</f>
        <v>27.115384615384617</v>
      </c>
      <c r="Q478" s="77">
        <f>AVERAGE(Q447:Q476)</f>
        <v>183.11538461538461</v>
      </c>
      <c r="R478" s="255">
        <f>AVERAGE(R447:R476)</f>
        <v>74.84615384615384</v>
      </c>
      <c r="S478" s="78"/>
      <c r="T478" s="297">
        <f>SUM(T447:T476)</f>
        <v>0</v>
      </c>
      <c r="U478" s="518">
        <f>SUM(U447:U476)</f>
        <v>0</v>
      </c>
      <c r="W478" s="642" t="s">
        <v>879</v>
      </c>
      <c r="X478" s="79"/>
    </row>
    <row r="479" spans="1:24" ht="9.75" customHeight="1" x14ac:dyDescent="0.3">
      <c r="A479" s="765"/>
      <c r="F479" s="503">
        <f t="shared" si="59"/>
        <v>4.7300000000000328E-2</v>
      </c>
      <c r="G479" s="503"/>
    </row>
    <row r="480" spans="1:24" ht="9.75" customHeight="1" x14ac:dyDescent="0.3">
      <c r="A480" s="765"/>
      <c r="F480" s="503">
        <f t="shared" si="59"/>
        <v>4.7400000000000331E-2</v>
      </c>
      <c r="G480" s="503"/>
    </row>
    <row r="481" spans="1:24" ht="9.75" customHeight="1" x14ac:dyDescent="0.3">
      <c r="A481" s="765"/>
      <c r="F481" s="503">
        <f t="shared" si="59"/>
        <v>4.7500000000000334E-2</v>
      </c>
      <c r="G481" s="503"/>
    </row>
    <row r="482" spans="1:24" ht="9.75" customHeight="1" x14ac:dyDescent="0.3">
      <c r="A482" s="765"/>
      <c r="F482" s="503">
        <f t="shared" si="59"/>
        <v>4.7600000000000336E-2</v>
      </c>
    </row>
    <row r="483" spans="1:24" ht="9.75" customHeight="1" x14ac:dyDescent="0.3">
      <c r="A483" s="765"/>
      <c r="F483" s="503">
        <f t="shared" si="59"/>
        <v>4.7700000000000339E-2</v>
      </c>
    </row>
    <row r="484" spans="1:24" ht="9.75" customHeight="1" x14ac:dyDescent="0.3">
      <c r="A484" s="765"/>
      <c r="F484" s="503">
        <f t="shared" si="59"/>
        <v>4.7800000000000342E-2</v>
      </c>
    </row>
    <row r="485" spans="1:24" ht="9.75" customHeight="1" x14ac:dyDescent="0.3">
      <c r="A485" s="765"/>
      <c r="F485" s="503">
        <f t="shared" si="59"/>
        <v>4.7900000000000345E-2</v>
      </c>
    </row>
    <row r="486" spans="1:24" s="23" customFormat="1" ht="5.25" customHeight="1" x14ac:dyDescent="0.2">
      <c r="A486" s="765"/>
      <c r="C486" s="21"/>
      <c r="F486" s="503">
        <f t="shared" si="59"/>
        <v>4.8000000000000348E-2</v>
      </c>
      <c r="G486" s="506"/>
      <c r="H486" s="502"/>
      <c r="I486" s="55"/>
      <c r="J486" s="55"/>
      <c r="K486" s="56"/>
      <c r="L486" s="55"/>
      <c r="M486" s="56"/>
      <c r="N486" s="57"/>
      <c r="O486" s="57"/>
      <c r="P486" s="55"/>
      <c r="Q486" s="57"/>
      <c r="R486" s="57"/>
      <c r="S486" s="57"/>
      <c r="T486" s="58"/>
      <c r="U486" s="59"/>
      <c r="W486" s="639"/>
      <c r="X486" s="55"/>
    </row>
    <row r="487" spans="1:24" s="23" customFormat="1" ht="11.25" customHeight="1" x14ac:dyDescent="0.2">
      <c r="A487" s="765"/>
      <c r="C487" s="769" t="str">
        <f>UPPER(H487)&amp;"    ."</f>
        <v>ANGLIA    .</v>
      </c>
      <c r="D487" s="60"/>
      <c r="F487" s="503">
        <f t="shared" si="59"/>
        <v>4.8100000000000351E-2</v>
      </c>
      <c r="G487" s="503">
        <f t="shared" ref="G487:G516" si="60">IF(I487="",0,T487+F487)</f>
        <v>4.8100000000000351E-2</v>
      </c>
      <c r="H487" s="504" t="str">
        <f>Adatok!D2</f>
        <v>Anglia</v>
      </c>
      <c r="I487" s="61" t="s">
        <v>180</v>
      </c>
      <c r="J487" s="61" t="s">
        <v>181</v>
      </c>
      <c r="K487" s="295">
        <v>22</v>
      </c>
      <c r="L487" s="61" t="s">
        <v>1339</v>
      </c>
      <c r="M487" s="633" t="s">
        <v>751</v>
      </c>
      <c r="N487" s="256" t="s">
        <v>1271</v>
      </c>
      <c r="O487" s="62">
        <v>36075</v>
      </c>
      <c r="P487" s="253">
        <v>22</v>
      </c>
      <c r="Q487" s="63">
        <v>175</v>
      </c>
      <c r="R487" s="252">
        <v>69</v>
      </c>
      <c r="S487" s="64"/>
      <c r="T487" s="297">
        <f t="shared" ref="T487:T516" si="61">IF(I487="","",COUNTIF(nevek.s,CONCATENATE(H487,I487)))</f>
        <v>0</v>
      </c>
      <c r="U487" s="518">
        <f t="shared" ref="U487:U516" si="62">IF(I487="","",COUNTIF(nevek.s,CONCATENATE("ö",H487,I487)))</f>
        <v>0</v>
      </c>
      <c r="W487" s="3"/>
      <c r="X487" s="65"/>
    </row>
    <row r="488" spans="1:24" s="23" customFormat="1" ht="11.25" customHeight="1" x14ac:dyDescent="0.2">
      <c r="A488" s="765"/>
      <c r="C488" s="769"/>
      <c r="D488" s="60"/>
      <c r="F488" s="503">
        <f t="shared" si="59"/>
        <v>4.8200000000000354E-2</v>
      </c>
      <c r="G488" s="503">
        <f t="shared" si="60"/>
        <v>4.8200000000000354E-2</v>
      </c>
      <c r="H488" s="504" t="str">
        <f>H487</f>
        <v>Anglia</v>
      </c>
      <c r="I488" s="509" t="s">
        <v>182</v>
      </c>
      <c r="J488" s="509" t="s">
        <v>183</v>
      </c>
      <c r="K488" s="508">
        <v>26</v>
      </c>
      <c r="L488" s="509" t="s">
        <v>703</v>
      </c>
      <c r="M488" s="634" t="s">
        <v>926</v>
      </c>
      <c r="N488" s="510" t="s">
        <v>1270</v>
      </c>
      <c r="O488" s="511">
        <v>37801</v>
      </c>
      <c r="P488" s="512">
        <v>17</v>
      </c>
      <c r="Q488" s="513">
        <v>186</v>
      </c>
      <c r="R488" s="514">
        <v>75</v>
      </c>
      <c r="S488" s="64"/>
      <c r="T488" s="297">
        <f t="shared" si="61"/>
        <v>0</v>
      </c>
      <c r="U488" s="518">
        <f t="shared" si="62"/>
        <v>0</v>
      </c>
      <c r="W488" s="1"/>
      <c r="X488" s="65"/>
    </row>
    <row r="489" spans="1:24" s="23" customFormat="1" ht="11.25" customHeight="1" x14ac:dyDescent="0.2">
      <c r="A489" s="765"/>
      <c r="C489" s="769"/>
      <c r="D489" s="60"/>
      <c r="F489" s="503">
        <f t="shared" si="59"/>
        <v>4.8300000000000357E-2</v>
      </c>
      <c r="G489" s="503">
        <f t="shared" si="60"/>
        <v>4.8300000000000357E-2</v>
      </c>
      <c r="H489" s="504" t="str">
        <f t="shared" ref="H489:H516" si="63">H488</f>
        <v>Anglia</v>
      </c>
      <c r="I489" s="509" t="s">
        <v>184</v>
      </c>
      <c r="J489" s="509" t="s">
        <v>185</v>
      </c>
      <c r="K489" s="508">
        <v>18</v>
      </c>
      <c r="L489" s="509" t="s">
        <v>1357</v>
      </c>
      <c r="M489" s="634" t="s">
        <v>948</v>
      </c>
      <c r="N489" s="510" t="s">
        <v>1271</v>
      </c>
      <c r="O489" s="511">
        <v>35505</v>
      </c>
      <c r="P489" s="512">
        <v>24</v>
      </c>
      <c r="Q489" s="513">
        <v>187</v>
      </c>
      <c r="R489" s="514">
        <v>75</v>
      </c>
      <c r="S489" s="64"/>
      <c r="T489" s="297">
        <f t="shared" si="61"/>
        <v>0</v>
      </c>
      <c r="U489" s="518">
        <f t="shared" si="62"/>
        <v>0</v>
      </c>
      <c r="W489" s="1"/>
      <c r="X489" s="65"/>
    </row>
    <row r="490" spans="1:24" s="23" customFormat="1" ht="11.25" customHeight="1" x14ac:dyDescent="0.2">
      <c r="A490" s="765"/>
      <c r="C490" s="769"/>
      <c r="D490" s="60"/>
      <c r="F490" s="503">
        <f t="shared" si="59"/>
        <v>4.8400000000000359E-2</v>
      </c>
      <c r="G490" s="503">
        <f t="shared" si="60"/>
        <v>4.8400000000000359E-2</v>
      </c>
      <c r="H490" s="504" t="str">
        <f t="shared" si="63"/>
        <v>Anglia</v>
      </c>
      <c r="I490" s="509" t="s">
        <v>186</v>
      </c>
      <c r="J490" s="509" t="s">
        <v>922</v>
      </c>
      <c r="K490" s="508">
        <v>21</v>
      </c>
      <c r="L490" s="509" t="s">
        <v>1339</v>
      </c>
      <c r="M490" s="634" t="s">
        <v>794</v>
      </c>
      <c r="N490" s="510" t="s">
        <v>1271</v>
      </c>
      <c r="O490" s="511">
        <v>35420</v>
      </c>
      <c r="P490" s="512">
        <v>24</v>
      </c>
      <c r="Q490" s="513">
        <v>178</v>
      </c>
      <c r="R490" s="514">
        <v>77</v>
      </c>
      <c r="S490" s="64"/>
      <c r="T490" s="297">
        <f t="shared" si="61"/>
        <v>0</v>
      </c>
      <c r="U490" s="518">
        <f t="shared" si="62"/>
        <v>0</v>
      </c>
      <c r="W490" s="1"/>
      <c r="X490" s="65"/>
    </row>
    <row r="491" spans="1:24" s="23" customFormat="1" ht="11.25" customHeight="1" x14ac:dyDescent="0.2">
      <c r="A491" s="765"/>
      <c r="C491" s="769"/>
      <c r="D491" s="60"/>
      <c r="F491" s="503">
        <f t="shared" si="59"/>
        <v>4.8500000000000362E-2</v>
      </c>
      <c r="G491" s="503">
        <f t="shared" si="60"/>
        <v>4.8500000000000362E-2</v>
      </c>
      <c r="H491" s="504" t="str">
        <f t="shared" si="63"/>
        <v>Anglia</v>
      </c>
      <c r="I491" s="509" t="s">
        <v>1688</v>
      </c>
      <c r="J491" s="509" t="s">
        <v>1689</v>
      </c>
      <c r="K491" s="508">
        <v>16</v>
      </c>
      <c r="L491" s="509" t="s">
        <v>1339</v>
      </c>
      <c r="M491" s="634" t="s">
        <v>1690</v>
      </c>
      <c r="N491" s="510" t="s">
        <v>1271</v>
      </c>
      <c r="O491" s="511">
        <v>34025</v>
      </c>
      <c r="P491" s="512">
        <v>28</v>
      </c>
      <c r="Q491" s="513">
        <v>185</v>
      </c>
      <c r="R491" s="514">
        <v>75</v>
      </c>
      <c r="S491" s="64"/>
      <c r="T491" s="297">
        <f t="shared" si="61"/>
        <v>0</v>
      </c>
      <c r="U491" s="518">
        <f t="shared" si="62"/>
        <v>0</v>
      </c>
      <c r="W491" s="1"/>
      <c r="X491" s="65"/>
    </row>
    <row r="492" spans="1:24" s="23" customFormat="1" ht="11.25" customHeight="1" x14ac:dyDescent="0.2">
      <c r="A492" s="765"/>
      <c r="C492" s="769"/>
      <c r="D492" s="60"/>
      <c r="F492" s="503">
        <f t="shared" si="59"/>
        <v>4.8600000000000365E-2</v>
      </c>
      <c r="G492" s="503">
        <f t="shared" si="60"/>
        <v>4.8600000000000365E-2</v>
      </c>
      <c r="H492" s="504" t="str">
        <f t="shared" si="63"/>
        <v>Anglia</v>
      </c>
      <c r="I492" s="509" t="s">
        <v>187</v>
      </c>
      <c r="J492" s="509" t="s">
        <v>188</v>
      </c>
      <c r="K492" s="508">
        <v>20</v>
      </c>
      <c r="L492" s="509" t="s">
        <v>703</v>
      </c>
      <c r="M492" s="634" t="s">
        <v>813</v>
      </c>
      <c r="N492" s="510" t="s">
        <v>1271</v>
      </c>
      <c r="O492" s="511">
        <v>36674</v>
      </c>
      <c r="P492" s="512">
        <v>21</v>
      </c>
      <c r="Q492" s="513">
        <v>171</v>
      </c>
      <c r="R492" s="514">
        <v>70</v>
      </c>
      <c r="S492" s="64"/>
      <c r="T492" s="297">
        <f t="shared" si="61"/>
        <v>0</v>
      </c>
      <c r="U492" s="518">
        <f t="shared" si="62"/>
        <v>0</v>
      </c>
      <c r="W492" s="1"/>
      <c r="X492" s="65"/>
    </row>
    <row r="493" spans="1:24" s="23" customFormat="1" ht="11.25" customHeight="1" x14ac:dyDescent="0.2">
      <c r="A493" s="765"/>
      <c r="C493" s="769"/>
      <c r="D493" s="60"/>
      <c r="F493" s="503">
        <f t="shared" si="59"/>
        <v>4.8700000000000368E-2</v>
      </c>
      <c r="G493" s="503">
        <f t="shared" si="60"/>
        <v>4.8700000000000368E-2</v>
      </c>
      <c r="H493" s="504" t="str">
        <f t="shared" si="63"/>
        <v>Anglia</v>
      </c>
      <c r="I493" s="509" t="s">
        <v>189</v>
      </c>
      <c r="J493" s="509" t="s">
        <v>190</v>
      </c>
      <c r="K493" s="508">
        <v>7</v>
      </c>
      <c r="L493" s="509" t="s">
        <v>703</v>
      </c>
      <c r="M493" s="634" t="s">
        <v>913</v>
      </c>
      <c r="N493" s="510" t="s">
        <v>1271</v>
      </c>
      <c r="O493" s="511">
        <v>34952</v>
      </c>
      <c r="P493" s="512">
        <v>25</v>
      </c>
      <c r="Q493" s="513">
        <v>178</v>
      </c>
      <c r="R493" s="514">
        <v>68</v>
      </c>
      <c r="S493" s="64"/>
      <c r="T493" s="297">
        <f t="shared" si="61"/>
        <v>0</v>
      </c>
      <c r="U493" s="518">
        <f t="shared" si="62"/>
        <v>0</v>
      </c>
      <c r="W493" s="1"/>
      <c r="X493" s="65"/>
    </row>
    <row r="494" spans="1:24" s="23" customFormat="1" ht="11.25" customHeight="1" x14ac:dyDescent="0.2">
      <c r="A494" s="765"/>
      <c r="C494" s="769"/>
      <c r="D494" s="60"/>
      <c r="E494" s="66"/>
      <c r="F494" s="503">
        <f t="shared" si="59"/>
        <v>4.8800000000000371E-2</v>
      </c>
      <c r="G494" s="503">
        <f t="shared" si="60"/>
        <v>4.8800000000000371E-2</v>
      </c>
      <c r="H494" s="504" t="str">
        <f t="shared" si="63"/>
        <v>Anglia</v>
      </c>
      <c r="I494" s="509" t="s">
        <v>191</v>
      </c>
      <c r="J494" s="509" t="s">
        <v>192</v>
      </c>
      <c r="K494" s="508">
        <v>13</v>
      </c>
      <c r="L494" s="509" t="s">
        <v>704</v>
      </c>
      <c r="M494" s="634" t="s">
        <v>853</v>
      </c>
      <c r="N494" s="510" t="s">
        <v>1271</v>
      </c>
      <c r="O494" s="511">
        <v>35501</v>
      </c>
      <c r="P494" s="512">
        <v>24</v>
      </c>
      <c r="Q494" s="513">
        <v>188</v>
      </c>
      <c r="R494" s="514">
        <v>85</v>
      </c>
      <c r="S494" s="64"/>
      <c r="T494" s="297">
        <f t="shared" si="61"/>
        <v>0</v>
      </c>
      <c r="U494" s="518">
        <f t="shared" si="62"/>
        <v>0</v>
      </c>
      <c r="W494" s="1"/>
      <c r="X494" s="65"/>
    </row>
    <row r="495" spans="1:24" s="23" customFormat="1" ht="11.25" customHeight="1" x14ac:dyDescent="0.2">
      <c r="A495" s="765"/>
      <c r="C495" s="769"/>
      <c r="D495" s="60"/>
      <c r="F495" s="503">
        <f t="shared" si="59"/>
        <v>4.8900000000000374E-2</v>
      </c>
      <c r="G495" s="503">
        <f t="shared" si="60"/>
        <v>4.8900000000000374E-2</v>
      </c>
      <c r="H495" s="504" t="str">
        <f t="shared" si="63"/>
        <v>Anglia</v>
      </c>
      <c r="I495" s="509" t="s">
        <v>193</v>
      </c>
      <c r="J495" s="509" t="s">
        <v>951</v>
      </c>
      <c r="K495" s="508">
        <v>8</v>
      </c>
      <c r="L495" s="509" t="s">
        <v>703</v>
      </c>
      <c r="M495" s="634" t="s">
        <v>751</v>
      </c>
      <c r="N495" s="510" t="s">
        <v>1271</v>
      </c>
      <c r="O495" s="511">
        <v>33041</v>
      </c>
      <c r="P495" s="512">
        <v>30</v>
      </c>
      <c r="Q495" s="513">
        <v>182</v>
      </c>
      <c r="R495" s="514">
        <v>68</v>
      </c>
      <c r="S495" s="64"/>
      <c r="T495" s="297">
        <f t="shared" si="61"/>
        <v>0</v>
      </c>
      <c r="U495" s="518">
        <f t="shared" si="62"/>
        <v>0</v>
      </c>
      <c r="W495" s="1"/>
      <c r="X495" s="65"/>
    </row>
    <row r="496" spans="1:24" s="23" customFormat="1" ht="11.25" customHeight="1" x14ac:dyDescent="0.2">
      <c r="A496" s="765"/>
      <c r="C496" s="769"/>
      <c r="D496" s="60"/>
      <c r="F496" s="503">
        <f t="shared" si="59"/>
        <v>4.9000000000000377E-2</v>
      </c>
      <c r="G496" s="503">
        <f t="shared" si="60"/>
        <v>4.9000000000000377E-2</v>
      </c>
      <c r="H496" s="504" t="str">
        <f t="shared" si="63"/>
        <v>Anglia</v>
      </c>
      <c r="I496" s="509" t="s">
        <v>923</v>
      </c>
      <c r="J496" s="509" t="s">
        <v>194</v>
      </c>
      <c r="K496" s="508">
        <v>24</v>
      </c>
      <c r="L496" s="509" t="s">
        <v>1339</v>
      </c>
      <c r="M496" s="634" t="s">
        <v>794</v>
      </c>
      <c r="N496" s="510" t="s">
        <v>1271</v>
      </c>
      <c r="O496" s="511">
        <v>36502</v>
      </c>
      <c r="P496" s="512">
        <v>21</v>
      </c>
      <c r="Q496" s="513">
        <v>182</v>
      </c>
      <c r="R496" s="514">
        <v>77</v>
      </c>
      <c r="S496" s="64"/>
      <c r="T496" s="297">
        <f t="shared" si="61"/>
        <v>0</v>
      </c>
      <c r="U496" s="518">
        <f t="shared" si="62"/>
        <v>0</v>
      </c>
      <c r="W496" s="1"/>
      <c r="X496" s="65"/>
    </row>
    <row r="497" spans="1:24" s="23" customFormat="1" ht="11.25" customHeight="1" x14ac:dyDescent="0.2">
      <c r="A497" s="765"/>
      <c r="C497" s="769"/>
      <c r="D497" s="60"/>
      <c r="F497" s="503">
        <f t="shared" si="59"/>
        <v>4.9100000000000379E-2</v>
      </c>
      <c r="G497" s="503">
        <f t="shared" si="60"/>
        <v>4.9100000000000379E-2</v>
      </c>
      <c r="H497" s="504" t="str">
        <f t="shared" si="63"/>
        <v>Anglia</v>
      </c>
      <c r="I497" s="509" t="s">
        <v>1691</v>
      </c>
      <c r="J497" s="509" t="s">
        <v>1692</v>
      </c>
      <c r="K497" s="508">
        <v>23</v>
      </c>
      <c r="L497" s="509" t="s">
        <v>704</v>
      </c>
      <c r="M497" s="634" t="s">
        <v>941</v>
      </c>
      <c r="N497" s="510" t="s">
        <v>1271</v>
      </c>
      <c r="O497" s="511">
        <v>34053</v>
      </c>
      <c r="P497" s="512">
        <v>28</v>
      </c>
      <c r="Q497" s="513">
        <v>191</v>
      </c>
      <c r="R497" s="514">
        <v>80</v>
      </c>
      <c r="S497" s="64"/>
      <c r="T497" s="297">
        <f t="shared" si="61"/>
        <v>0</v>
      </c>
      <c r="U497" s="518">
        <f t="shared" si="62"/>
        <v>0</v>
      </c>
      <c r="W497" s="1"/>
      <c r="X497" s="65"/>
    </row>
    <row r="498" spans="1:24" s="23" customFormat="1" ht="11.25" customHeight="1" x14ac:dyDescent="0.2">
      <c r="A498" s="765"/>
      <c r="C498" s="769"/>
      <c r="D498" s="60"/>
      <c r="F498" s="503">
        <f t="shared" si="59"/>
        <v>4.9200000000000382E-2</v>
      </c>
      <c r="G498" s="503">
        <f t="shared" si="60"/>
        <v>4.9200000000000382E-2</v>
      </c>
      <c r="H498" s="504" t="str">
        <f t="shared" si="63"/>
        <v>Anglia</v>
      </c>
      <c r="I498" s="509" t="s">
        <v>1023</v>
      </c>
      <c r="J498" s="509" t="s">
        <v>1024</v>
      </c>
      <c r="K498" s="508">
        <v>9</v>
      </c>
      <c r="L498" s="509" t="s">
        <v>1357</v>
      </c>
      <c r="M498" s="634" t="s">
        <v>816</v>
      </c>
      <c r="N498" s="510" t="s">
        <v>1271</v>
      </c>
      <c r="O498" s="511">
        <v>34178</v>
      </c>
      <c r="P498" s="512">
        <v>27</v>
      </c>
      <c r="Q498" s="513">
        <v>188</v>
      </c>
      <c r="R498" s="514">
        <v>86</v>
      </c>
      <c r="S498" s="64"/>
      <c r="T498" s="297">
        <f t="shared" si="61"/>
        <v>0</v>
      </c>
      <c r="U498" s="518">
        <f t="shared" si="62"/>
        <v>0</v>
      </c>
      <c r="W498" s="1"/>
      <c r="X498" s="65"/>
    </row>
    <row r="499" spans="1:24" s="23" customFormat="1" ht="11.25" customHeight="1" x14ac:dyDescent="0.2">
      <c r="A499" s="765"/>
      <c r="C499" s="769"/>
      <c r="D499" s="60"/>
      <c r="F499" s="503">
        <f t="shared" si="59"/>
        <v>4.9300000000000385E-2</v>
      </c>
      <c r="G499" s="503">
        <f t="shared" si="60"/>
        <v>4.9300000000000385E-2</v>
      </c>
      <c r="H499" s="504" t="str">
        <f t="shared" si="63"/>
        <v>Anglia</v>
      </c>
      <c r="I499" s="509" t="s">
        <v>195</v>
      </c>
      <c r="J499" s="509" t="s">
        <v>1024</v>
      </c>
      <c r="K499" s="508">
        <v>6</v>
      </c>
      <c r="L499" s="509" t="s">
        <v>1339</v>
      </c>
      <c r="M499" s="634" t="s">
        <v>853</v>
      </c>
      <c r="N499" s="510" t="s">
        <v>1271</v>
      </c>
      <c r="O499" s="511">
        <v>34033</v>
      </c>
      <c r="P499" s="512">
        <v>28</v>
      </c>
      <c r="Q499" s="513">
        <v>194</v>
      </c>
      <c r="R499" s="514">
        <v>100</v>
      </c>
      <c r="S499" s="64"/>
      <c r="T499" s="297">
        <f t="shared" si="61"/>
        <v>0</v>
      </c>
      <c r="U499" s="518">
        <f t="shared" si="62"/>
        <v>0</v>
      </c>
      <c r="W499" s="1"/>
      <c r="X499" s="65"/>
    </row>
    <row r="500" spans="1:24" s="23" customFormat="1" ht="11.25" customHeight="1" x14ac:dyDescent="0.2">
      <c r="A500" s="765"/>
      <c r="C500" s="769"/>
      <c r="D500" s="60"/>
      <c r="F500" s="503">
        <f t="shared" si="59"/>
        <v>4.9400000000000388E-2</v>
      </c>
      <c r="G500" s="503">
        <f t="shared" si="60"/>
        <v>4.9400000000000388E-2</v>
      </c>
      <c r="H500" s="504" t="str">
        <f t="shared" si="63"/>
        <v>Anglia</v>
      </c>
      <c r="I500" s="509" t="s">
        <v>196</v>
      </c>
      <c r="J500" s="509" t="s">
        <v>197</v>
      </c>
      <c r="K500" s="508">
        <v>15</v>
      </c>
      <c r="L500" s="509" t="s">
        <v>1339</v>
      </c>
      <c r="M500" s="634" t="s">
        <v>913</v>
      </c>
      <c r="N500" s="510" t="s">
        <v>1271</v>
      </c>
      <c r="O500" s="511">
        <v>34041</v>
      </c>
      <c r="P500" s="512">
        <v>28</v>
      </c>
      <c r="Q500" s="513">
        <v>196</v>
      </c>
      <c r="R500" s="514">
        <v>78</v>
      </c>
      <c r="S500" s="64"/>
      <c r="T500" s="297">
        <f t="shared" si="61"/>
        <v>0</v>
      </c>
      <c r="U500" s="518">
        <f t="shared" si="62"/>
        <v>0</v>
      </c>
      <c r="W500" s="1"/>
      <c r="X500" s="65"/>
    </row>
    <row r="501" spans="1:24" s="23" customFormat="1" ht="11.25" customHeight="1" x14ac:dyDescent="0.2">
      <c r="A501" s="765"/>
      <c r="C501" s="769"/>
      <c r="D501" s="60"/>
      <c r="F501" s="503">
        <f t="shared" si="59"/>
        <v>4.9500000000000391E-2</v>
      </c>
      <c r="G501" s="503">
        <f t="shared" si="60"/>
        <v>4.9500000000000391E-2</v>
      </c>
      <c r="H501" s="504" t="str">
        <f t="shared" si="63"/>
        <v>Anglia</v>
      </c>
      <c r="I501" s="509" t="s">
        <v>198</v>
      </c>
      <c r="J501" s="509" t="s">
        <v>199</v>
      </c>
      <c r="K501" s="508">
        <v>19</v>
      </c>
      <c r="L501" s="509" t="s">
        <v>703</v>
      </c>
      <c r="M501" s="634" t="s">
        <v>794</v>
      </c>
      <c r="N501" s="510" t="s">
        <v>1271</v>
      </c>
      <c r="O501" s="511">
        <v>36170</v>
      </c>
      <c r="P501" s="512">
        <v>22</v>
      </c>
      <c r="Q501" s="513">
        <v>178</v>
      </c>
      <c r="R501" s="514">
        <v>70</v>
      </c>
      <c r="S501" s="64"/>
      <c r="T501" s="297">
        <f t="shared" si="61"/>
        <v>0</v>
      </c>
      <c r="U501" s="518">
        <f t="shared" si="62"/>
        <v>0</v>
      </c>
      <c r="W501" s="1"/>
      <c r="X501" s="65"/>
    </row>
    <row r="502" spans="1:24" s="23" customFormat="1" ht="11.25" customHeight="1" x14ac:dyDescent="0.2">
      <c r="A502" s="765"/>
      <c r="C502" s="769"/>
      <c r="D502" s="60"/>
      <c r="F502" s="503">
        <f t="shared" si="59"/>
        <v>4.9600000000000394E-2</v>
      </c>
      <c r="G502" s="503">
        <f t="shared" si="60"/>
        <v>4.9600000000000394E-2</v>
      </c>
      <c r="H502" s="504" t="str">
        <f t="shared" si="63"/>
        <v>Anglia</v>
      </c>
      <c r="I502" s="509" t="s">
        <v>1693</v>
      </c>
      <c r="J502" s="509" t="s">
        <v>1694</v>
      </c>
      <c r="K502" s="508">
        <v>14</v>
      </c>
      <c r="L502" s="509" t="s">
        <v>703</v>
      </c>
      <c r="M502" s="634" t="s">
        <v>1122</v>
      </c>
      <c r="N502" s="510" t="s">
        <v>1271</v>
      </c>
      <c r="O502" s="511">
        <v>35035</v>
      </c>
      <c r="P502" s="512">
        <v>25</v>
      </c>
      <c r="Q502" s="513">
        <v>178</v>
      </c>
      <c r="R502" s="514">
        <v>73</v>
      </c>
      <c r="S502" s="64"/>
      <c r="T502" s="297">
        <f t="shared" si="61"/>
        <v>0</v>
      </c>
      <c r="U502" s="518">
        <f t="shared" si="62"/>
        <v>0</v>
      </c>
      <c r="W502" s="1"/>
      <c r="X502" s="65"/>
    </row>
    <row r="503" spans="1:24" s="23" customFormat="1" ht="11.25" customHeight="1" x14ac:dyDescent="0.2">
      <c r="A503" s="765"/>
      <c r="C503" s="769"/>
      <c r="D503" s="60"/>
      <c r="F503" s="503">
        <f t="shared" si="59"/>
        <v>4.9700000000000397E-2</v>
      </c>
      <c r="G503" s="503">
        <f t="shared" si="60"/>
        <v>4.9700000000000397E-2</v>
      </c>
      <c r="H503" s="504" t="str">
        <f t="shared" si="63"/>
        <v>Anglia</v>
      </c>
      <c r="I503" s="509" t="s">
        <v>200</v>
      </c>
      <c r="J503" s="509" t="s">
        <v>951</v>
      </c>
      <c r="K503" s="508">
        <v>1</v>
      </c>
      <c r="L503" s="509" t="s">
        <v>704</v>
      </c>
      <c r="M503" s="634" t="s">
        <v>948</v>
      </c>
      <c r="N503" s="510" t="s">
        <v>1271</v>
      </c>
      <c r="O503" s="511">
        <v>34400</v>
      </c>
      <c r="P503" s="512">
        <v>27</v>
      </c>
      <c r="Q503" s="513">
        <v>185</v>
      </c>
      <c r="R503" s="514">
        <v>77</v>
      </c>
      <c r="S503" s="64"/>
      <c r="T503" s="297">
        <f t="shared" si="61"/>
        <v>0</v>
      </c>
      <c r="U503" s="518">
        <f t="shared" si="62"/>
        <v>0</v>
      </c>
      <c r="W503" s="1"/>
      <c r="X503" s="65"/>
    </row>
    <row r="504" spans="1:24" s="23" customFormat="1" ht="11.25" customHeight="1" x14ac:dyDescent="0.2">
      <c r="A504" s="765"/>
      <c r="C504" s="769"/>
      <c r="D504" s="60"/>
      <c r="F504" s="503">
        <f t="shared" si="59"/>
        <v>4.98000000000004E-2</v>
      </c>
      <c r="G504" s="503">
        <f t="shared" si="60"/>
        <v>4.98000000000004E-2</v>
      </c>
      <c r="H504" s="504" t="str">
        <f t="shared" si="63"/>
        <v>Anglia</v>
      </c>
      <c r="I504" s="509" t="s">
        <v>1061</v>
      </c>
      <c r="J504" s="509" t="s">
        <v>1159</v>
      </c>
      <c r="K504" s="508">
        <v>11</v>
      </c>
      <c r="L504" s="509" t="s">
        <v>1357</v>
      </c>
      <c r="M504" s="634" t="s">
        <v>853</v>
      </c>
      <c r="N504" s="510" t="s">
        <v>1271</v>
      </c>
      <c r="O504" s="511">
        <v>35734</v>
      </c>
      <c r="P504" s="512">
        <v>23</v>
      </c>
      <c r="Q504" s="513">
        <v>187</v>
      </c>
      <c r="R504" s="514">
        <v>72</v>
      </c>
      <c r="S504" s="64"/>
      <c r="T504" s="297">
        <f t="shared" si="61"/>
        <v>0</v>
      </c>
      <c r="U504" s="518">
        <f t="shared" si="62"/>
        <v>0</v>
      </c>
      <c r="W504" s="1"/>
      <c r="X504" s="65"/>
    </row>
    <row r="505" spans="1:24" s="23" customFormat="1" ht="11.25" customHeight="1" x14ac:dyDescent="0.2">
      <c r="A505" s="765"/>
      <c r="C505" s="769"/>
      <c r="D505" s="60"/>
      <c r="F505" s="503">
        <f t="shared" si="59"/>
        <v>4.9900000000000402E-2</v>
      </c>
      <c r="G505" s="503">
        <f t="shared" si="60"/>
        <v>4.9900000000000402E-2</v>
      </c>
      <c r="H505" s="504" t="str">
        <f t="shared" si="63"/>
        <v>Anglia</v>
      </c>
      <c r="I505" s="509" t="s">
        <v>201</v>
      </c>
      <c r="J505" s="509" t="s">
        <v>202</v>
      </c>
      <c r="K505" s="508">
        <v>4</v>
      </c>
      <c r="L505" s="509" t="s">
        <v>703</v>
      </c>
      <c r="M505" s="634" t="s">
        <v>931</v>
      </c>
      <c r="N505" s="510" t="s">
        <v>1271</v>
      </c>
      <c r="O505" s="511">
        <v>36174</v>
      </c>
      <c r="P505" s="512">
        <v>22</v>
      </c>
      <c r="Q505" s="513">
        <v>185</v>
      </c>
      <c r="R505" s="514">
        <v>80</v>
      </c>
      <c r="S505" s="64"/>
      <c r="T505" s="297">
        <f t="shared" si="61"/>
        <v>0</v>
      </c>
      <c r="U505" s="518">
        <f t="shared" si="62"/>
        <v>0</v>
      </c>
      <c r="W505" s="1"/>
      <c r="X505" s="65"/>
    </row>
    <row r="506" spans="1:24" s="23" customFormat="1" ht="11.25" customHeight="1" x14ac:dyDescent="0.2">
      <c r="A506" s="765"/>
      <c r="C506" s="769"/>
      <c r="D506" s="60"/>
      <c r="F506" s="503">
        <f t="shared" si="59"/>
        <v>5.0000000000000405E-2</v>
      </c>
      <c r="G506" s="503">
        <f t="shared" si="60"/>
        <v>5.0000000000000405E-2</v>
      </c>
      <c r="H506" s="504" t="str">
        <f t="shared" si="63"/>
        <v>Anglia</v>
      </c>
      <c r="I506" s="509" t="s">
        <v>1695</v>
      </c>
      <c r="J506" s="509" t="s">
        <v>1696</v>
      </c>
      <c r="K506" s="508">
        <v>25</v>
      </c>
      <c r="L506" s="509" t="s">
        <v>703</v>
      </c>
      <c r="M506" s="634" t="s">
        <v>862</v>
      </c>
      <c r="N506" s="510" t="s">
        <v>1271</v>
      </c>
      <c r="O506" s="511">
        <v>37139</v>
      </c>
      <c r="P506" s="512">
        <v>19</v>
      </c>
      <c r="Q506" s="513">
        <v>178</v>
      </c>
      <c r="R506" s="514">
        <v>65</v>
      </c>
      <c r="S506" s="64"/>
      <c r="T506" s="297">
        <f t="shared" si="61"/>
        <v>0</v>
      </c>
      <c r="U506" s="518">
        <f t="shared" si="62"/>
        <v>0</v>
      </c>
      <c r="W506" s="1"/>
      <c r="X506" s="65"/>
    </row>
    <row r="507" spans="1:24" s="23" customFormat="1" ht="11.25" customHeight="1" x14ac:dyDescent="0.2">
      <c r="A507" s="765"/>
      <c r="C507" s="769"/>
      <c r="D507" s="60"/>
      <c r="F507" s="503">
        <f t="shared" si="59"/>
        <v>5.0100000000000408E-2</v>
      </c>
      <c r="G507" s="503">
        <f t="shared" si="60"/>
        <v>5.0100000000000408E-2</v>
      </c>
      <c r="H507" s="504" t="str">
        <f t="shared" si="63"/>
        <v>Anglia</v>
      </c>
      <c r="I507" s="509" t="s">
        <v>203</v>
      </c>
      <c r="J507" s="509" t="s">
        <v>204</v>
      </c>
      <c r="K507" s="508">
        <v>17</v>
      </c>
      <c r="L507" s="509" t="s">
        <v>1357</v>
      </c>
      <c r="M507" s="634" t="s">
        <v>926</v>
      </c>
      <c r="N507" s="510" t="s">
        <v>1270</v>
      </c>
      <c r="O507" s="511">
        <v>36610</v>
      </c>
      <c r="P507" s="512">
        <v>21</v>
      </c>
      <c r="Q507" s="513">
        <v>180</v>
      </c>
      <c r="R507" s="514">
        <v>76</v>
      </c>
      <c r="S507" s="64"/>
      <c r="T507" s="297">
        <f t="shared" si="61"/>
        <v>0</v>
      </c>
      <c r="U507" s="518">
        <f t="shared" si="62"/>
        <v>0</v>
      </c>
      <c r="W507" s="1"/>
      <c r="X507" s="65"/>
    </row>
    <row r="508" spans="1:24" s="23" customFormat="1" ht="11.25" customHeight="1" x14ac:dyDescent="0.2">
      <c r="A508" s="765"/>
      <c r="C508" s="769"/>
      <c r="D508" s="60"/>
      <c r="F508" s="503">
        <f t="shared" si="59"/>
        <v>5.0200000000000411E-2</v>
      </c>
      <c r="G508" s="503">
        <f t="shared" si="60"/>
        <v>5.0200000000000411E-2</v>
      </c>
      <c r="H508" s="504" t="str">
        <f t="shared" si="63"/>
        <v>Anglia</v>
      </c>
      <c r="I508" s="509" t="s">
        <v>1697</v>
      </c>
      <c r="J508" s="509" t="s">
        <v>1698</v>
      </c>
      <c r="K508" s="508">
        <v>3</v>
      </c>
      <c r="L508" s="509" t="s">
        <v>1339</v>
      </c>
      <c r="M508" s="634" t="s">
        <v>853</v>
      </c>
      <c r="N508" s="510" t="s">
        <v>1271</v>
      </c>
      <c r="O508" s="511">
        <v>34892</v>
      </c>
      <c r="P508" s="512">
        <v>25</v>
      </c>
      <c r="Q508" s="513">
        <v>185</v>
      </c>
      <c r="R508" s="514">
        <v>75</v>
      </c>
      <c r="S508" s="64"/>
      <c r="T508" s="297">
        <f t="shared" si="61"/>
        <v>0</v>
      </c>
      <c r="U508" s="518">
        <f t="shared" si="62"/>
        <v>0</v>
      </c>
      <c r="W508" s="1"/>
      <c r="X508" s="65"/>
    </row>
    <row r="509" spans="1:24" s="23" customFormat="1" ht="11.25" customHeight="1" x14ac:dyDescent="0.2">
      <c r="A509" s="765"/>
      <c r="C509" s="769"/>
      <c r="D509" s="60"/>
      <c r="F509" s="503">
        <f t="shared" si="59"/>
        <v>5.0300000000000414E-2</v>
      </c>
      <c r="G509" s="503">
        <f t="shared" si="60"/>
        <v>5.0300000000000414E-2</v>
      </c>
      <c r="H509" s="504" t="str">
        <f t="shared" si="63"/>
        <v>Anglia</v>
      </c>
      <c r="I509" s="509" t="s">
        <v>1699</v>
      </c>
      <c r="J509" s="509" t="s">
        <v>1700</v>
      </c>
      <c r="K509" s="508">
        <v>10</v>
      </c>
      <c r="L509" s="509" t="s">
        <v>1357</v>
      </c>
      <c r="M509" s="634" t="s">
        <v>813</v>
      </c>
      <c r="N509" s="510" t="s">
        <v>1271</v>
      </c>
      <c r="O509" s="511">
        <v>34676</v>
      </c>
      <c r="P509" s="512">
        <v>26</v>
      </c>
      <c r="Q509" s="513">
        <v>170</v>
      </c>
      <c r="R509" s="514">
        <v>69</v>
      </c>
      <c r="S509" s="64"/>
      <c r="T509" s="297">
        <f t="shared" si="61"/>
        <v>0</v>
      </c>
      <c r="U509" s="518">
        <f t="shared" si="62"/>
        <v>0</v>
      </c>
      <c r="W509" s="640"/>
      <c r="X509" s="65"/>
    </row>
    <row r="510" spans="1:24" s="23" customFormat="1" ht="11.25" customHeight="1" x14ac:dyDescent="0.2">
      <c r="A510" s="765"/>
      <c r="C510" s="769"/>
      <c r="D510" s="60"/>
      <c r="F510" s="503">
        <f t="shared" si="59"/>
        <v>5.0400000000000417E-2</v>
      </c>
      <c r="G510" s="503">
        <f t="shared" si="60"/>
        <v>5.0400000000000417E-2</v>
      </c>
      <c r="H510" s="504" t="str">
        <f t="shared" si="63"/>
        <v>Anglia</v>
      </c>
      <c r="I510" s="509" t="s">
        <v>1701</v>
      </c>
      <c r="J510" s="509" t="s">
        <v>1220</v>
      </c>
      <c r="K510" s="508">
        <v>5</v>
      </c>
      <c r="L510" s="509" t="s">
        <v>1339</v>
      </c>
      <c r="M510" s="634" t="s">
        <v>813</v>
      </c>
      <c r="N510" s="510" t="s">
        <v>1271</v>
      </c>
      <c r="O510" s="511">
        <v>34482</v>
      </c>
      <c r="P510" s="512">
        <v>27</v>
      </c>
      <c r="Q510" s="513">
        <v>188</v>
      </c>
      <c r="R510" s="514">
        <v>75</v>
      </c>
      <c r="S510" s="64"/>
      <c r="T510" s="297">
        <f t="shared" si="61"/>
        <v>0</v>
      </c>
      <c r="U510" s="518">
        <f t="shared" si="62"/>
        <v>0</v>
      </c>
      <c r="W510" s="640"/>
      <c r="X510" s="65"/>
    </row>
    <row r="511" spans="1:24" s="23" customFormat="1" ht="11.25" customHeight="1" x14ac:dyDescent="0.2">
      <c r="A511" s="765"/>
      <c r="C511" s="769"/>
      <c r="D511" s="60"/>
      <c r="F511" s="503">
        <f t="shared" si="59"/>
        <v>5.050000000000042E-2</v>
      </c>
      <c r="G511" s="503">
        <f t="shared" si="60"/>
        <v>5.050000000000042E-2</v>
      </c>
      <c r="H511" s="504" t="str">
        <f t="shared" si="63"/>
        <v>Anglia</v>
      </c>
      <c r="I511" s="509" t="s">
        <v>1702</v>
      </c>
      <c r="J511" s="509" t="s">
        <v>1703</v>
      </c>
      <c r="K511" s="508">
        <v>12</v>
      </c>
      <c r="L511" s="509" t="s">
        <v>1339</v>
      </c>
      <c r="M511" s="634" t="s">
        <v>863</v>
      </c>
      <c r="N511" s="510" t="s">
        <v>500</v>
      </c>
      <c r="O511" s="511">
        <v>33135</v>
      </c>
      <c r="P511" s="512">
        <v>30</v>
      </c>
      <c r="Q511" s="513">
        <v>173</v>
      </c>
      <c r="R511" s="514">
        <v>71</v>
      </c>
      <c r="S511" s="64"/>
      <c r="T511" s="297">
        <f t="shared" si="61"/>
        <v>0</v>
      </c>
      <c r="U511" s="518">
        <f t="shared" si="62"/>
        <v>0</v>
      </c>
      <c r="W511" s="640"/>
      <c r="X511" s="65"/>
    </row>
    <row r="512" spans="1:24" s="23" customFormat="1" ht="11.25" customHeight="1" x14ac:dyDescent="0.2">
      <c r="A512" s="765"/>
      <c r="C512" s="769"/>
      <c r="D512" s="60"/>
      <c r="F512" s="503">
        <f t="shared" si="59"/>
        <v>5.0600000000000422E-2</v>
      </c>
      <c r="G512" s="503">
        <f t="shared" si="60"/>
        <v>5.0600000000000422E-2</v>
      </c>
      <c r="H512" s="504" t="str">
        <f t="shared" si="63"/>
        <v>Anglia</v>
      </c>
      <c r="I512" s="555" t="s">
        <v>1704</v>
      </c>
      <c r="J512" s="555" t="s">
        <v>1705</v>
      </c>
      <c r="K512" s="554">
        <v>2</v>
      </c>
      <c r="L512" s="555" t="s">
        <v>1339</v>
      </c>
      <c r="M512" s="635" t="s">
        <v>813</v>
      </c>
      <c r="N512" s="556" t="s">
        <v>1271</v>
      </c>
      <c r="O512" s="557">
        <v>33021</v>
      </c>
      <c r="P512" s="558">
        <v>31</v>
      </c>
      <c r="Q512" s="559">
        <v>183</v>
      </c>
      <c r="R512" s="560">
        <v>70</v>
      </c>
      <c r="S512" s="64"/>
      <c r="T512" s="297">
        <f t="shared" si="61"/>
        <v>0</v>
      </c>
      <c r="U512" s="518">
        <f t="shared" si="62"/>
        <v>0</v>
      </c>
      <c r="W512" s="640"/>
      <c r="X512" s="65"/>
    </row>
    <row r="513" spans="1:24" s="23" customFormat="1" ht="9.75" hidden="1" customHeight="1" x14ac:dyDescent="0.2">
      <c r="A513" s="765"/>
      <c r="C513" s="769"/>
      <c r="D513" s="60"/>
      <c r="F513" s="503">
        <f t="shared" si="59"/>
        <v>5.0700000000000425E-2</v>
      </c>
      <c r="G513" s="503">
        <f t="shared" si="60"/>
        <v>0</v>
      </c>
      <c r="H513" s="504" t="str">
        <f t="shared" si="63"/>
        <v>Anglia</v>
      </c>
      <c r="I513" s="61"/>
      <c r="J513" s="61"/>
      <c r="K513" s="295"/>
      <c r="L513" s="61"/>
      <c r="M513" s="633"/>
      <c r="N513" s="256"/>
      <c r="O513" s="62"/>
      <c r="P513" s="253"/>
      <c r="Q513" s="63"/>
      <c r="R513" s="252"/>
      <c r="S513" s="64"/>
      <c r="T513" s="297" t="str">
        <f t="shared" si="61"/>
        <v/>
      </c>
      <c r="U513" s="518" t="str">
        <f t="shared" si="62"/>
        <v/>
      </c>
      <c r="W513" s="640"/>
      <c r="X513" s="65"/>
    </row>
    <row r="514" spans="1:24" s="23" customFormat="1" ht="9.75" hidden="1" customHeight="1" x14ac:dyDescent="0.2">
      <c r="A514" s="765"/>
      <c r="C514" s="769"/>
      <c r="D514" s="60"/>
      <c r="F514" s="503">
        <f t="shared" si="59"/>
        <v>5.0800000000000428E-2</v>
      </c>
      <c r="G514" s="503">
        <f t="shared" si="60"/>
        <v>0</v>
      </c>
      <c r="H514" s="504" t="str">
        <f t="shared" si="63"/>
        <v>Anglia</v>
      </c>
      <c r="I514" s="61"/>
      <c r="J514" s="61"/>
      <c r="K514" s="295"/>
      <c r="L514" s="61"/>
      <c r="M514" s="633"/>
      <c r="N514" s="256"/>
      <c r="O514" s="62"/>
      <c r="P514" s="253"/>
      <c r="Q514" s="63"/>
      <c r="R514" s="252"/>
      <c r="S514" s="64"/>
      <c r="T514" s="297" t="str">
        <f t="shared" si="61"/>
        <v/>
      </c>
      <c r="U514" s="518" t="str">
        <f t="shared" si="62"/>
        <v/>
      </c>
      <c r="W514" s="640"/>
      <c r="X514" s="65"/>
    </row>
    <row r="515" spans="1:24" s="23" customFormat="1" ht="9.75" hidden="1" customHeight="1" x14ac:dyDescent="0.2">
      <c r="A515" s="765"/>
      <c r="C515" s="769"/>
      <c r="D515" s="60"/>
      <c r="F515" s="503">
        <f t="shared" si="59"/>
        <v>5.0900000000000431E-2</v>
      </c>
      <c r="G515" s="503">
        <f t="shared" si="60"/>
        <v>0</v>
      </c>
      <c r="H515" s="504" t="str">
        <f t="shared" si="63"/>
        <v>Anglia</v>
      </c>
      <c r="I515" s="61"/>
      <c r="J515" s="61"/>
      <c r="K515" s="295"/>
      <c r="L515" s="61"/>
      <c r="M515" s="633"/>
      <c r="N515" s="256"/>
      <c r="O515" s="62"/>
      <c r="P515" s="253"/>
      <c r="Q515" s="63"/>
      <c r="R515" s="252"/>
      <c r="S515" s="64"/>
      <c r="T515" s="297" t="str">
        <f t="shared" si="61"/>
        <v/>
      </c>
      <c r="U515" s="518" t="str">
        <f t="shared" si="62"/>
        <v/>
      </c>
      <c r="W515" s="640"/>
      <c r="X515" s="65"/>
    </row>
    <row r="516" spans="1:24" s="23" customFormat="1" ht="9.75" hidden="1" customHeight="1" x14ac:dyDescent="0.2">
      <c r="A516" s="765"/>
      <c r="C516" s="769"/>
      <c r="D516" s="60"/>
      <c r="F516" s="503">
        <f t="shared" si="59"/>
        <v>5.1000000000000434E-2</v>
      </c>
      <c r="G516" s="503">
        <f t="shared" si="60"/>
        <v>0</v>
      </c>
      <c r="H516" s="504" t="str">
        <f t="shared" si="63"/>
        <v>Anglia</v>
      </c>
      <c r="I516" s="61"/>
      <c r="J516" s="61"/>
      <c r="K516" s="295"/>
      <c r="L516" s="61"/>
      <c r="M516" s="633"/>
      <c r="N516" s="256"/>
      <c r="O516" s="62"/>
      <c r="P516" s="253"/>
      <c r="Q516" s="63"/>
      <c r="R516" s="252"/>
      <c r="S516" s="64"/>
      <c r="T516" s="297" t="str">
        <f t="shared" si="61"/>
        <v/>
      </c>
      <c r="U516" s="518" t="str">
        <f t="shared" si="62"/>
        <v/>
      </c>
      <c r="W516" s="640"/>
      <c r="X516" s="65"/>
    </row>
    <row r="517" spans="1:24" s="23" customFormat="1" ht="4.5" customHeight="1" x14ac:dyDescent="0.25">
      <c r="A517" s="765"/>
      <c r="C517" s="769"/>
      <c r="D517" s="60"/>
      <c r="F517" s="503">
        <f t="shared" si="59"/>
        <v>5.1100000000000437E-2</v>
      </c>
      <c r="G517" s="503"/>
      <c r="H517" s="505"/>
      <c r="I517" s="67"/>
      <c r="J517" s="67"/>
      <c r="K517" s="22"/>
      <c r="L517" s="67"/>
      <c r="M517" s="22"/>
      <c r="N517" s="68"/>
      <c r="O517" s="67"/>
      <c r="P517" s="69"/>
      <c r="Q517" s="70"/>
      <c r="R517" s="71"/>
      <c r="S517" s="71"/>
      <c r="T517" s="298"/>
      <c r="U517" s="299"/>
      <c r="W517" s="641"/>
      <c r="X517" s="67"/>
    </row>
    <row r="518" spans="1:24" s="21" customFormat="1" ht="9.75" customHeight="1" x14ac:dyDescent="0.2">
      <c r="A518" s="765"/>
      <c r="C518" s="769"/>
      <c r="D518" s="60"/>
      <c r="F518" s="503">
        <f t="shared" si="59"/>
        <v>5.120000000000044E-2</v>
      </c>
      <c r="G518" s="503"/>
      <c r="H518" s="303"/>
      <c r="I518" s="74" t="s">
        <v>542</v>
      </c>
      <c r="J518" s="75" t="s">
        <v>205</v>
      </c>
      <c r="K518" s="75"/>
      <c r="L518" s="75"/>
      <c r="M518" s="636"/>
      <c r="N518" s="76"/>
      <c r="O518" s="74" t="s">
        <v>495</v>
      </c>
      <c r="P518" s="254">
        <f>AVERAGE(P487:P516)</f>
        <v>24.807692307692307</v>
      </c>
      <c r="Q518" s="77">
        <f>AVERAGE(Q487:Q516)</f>
        <v>182.73076923076923</v>
      </c>
      <c r="R518" s="255">
        <f>AVERAGE(R487:R516)</f>
        <v>75.230769230769226</v>
      </c>
      <c r="S518" s="78"/>
      <c r="T518" s="297">
        <f>SUM(T487:T516)</f>
        <v>0</v>
      </c>
      <c r="U518" s="518">
        <f>SUM(U487:U516)</f>
        <v>0</v>
      </c>
      <c r="W518" s="642" t="s">
        <v>879</v>
      </c>
      <c r="X518" s="79"/>
    </row>
    <row r="519" spans="1:24" ht="9.75" customHeight="1" x14ac:dyDescent="0.3">
      <c r="A519" s="765"/>
      <c r="F519" s="503">
        <f t="shared" si="59"/>
        <v>5.1300000000000442E-2</v>
      </c>
      <c r="G519" s="503"/>
    </row>
    <row r="520" spans="1:24" ht="9.75" customHeight="1" x14ac:dyDescent="0.3">
      <c r="A520" s="765"/>
      <c r="F520" s="503">
        <f t="shared" si="59"/>
        <v>5.1400000000000445E-2</v>
      </c>
      <c r="G520" s="503"/>
    </row>
    <row r="521" spans="1:24" ht="9.75" customHeight="1" x14ac:dyDescent="0.3">
      <c r="A521" s="765"/>
      <c r="F521" s="503">
        <f t="shared" ref="F521:F584" si="64">F520+0.0001</f>
        <v>5.1500000000000448E-2</v>
      </c>
      <c r="G521" s="503"/>
    </row>
    <row r="522" spans="1:24" ht="9.75" customHeight="1" x14ac:dyDescent="0.3">
      <c r="A522" s="765"/>
      <c r="F522" s="503">
        <f t="shared" si="64"/>
        <v>5.1600000000000451E-2</v>
      </c>
    </row>
    <row r="523" spans="1:24" ht="9.75" customHeight="1" x14ac:dyDescent="0.3">
      <c r="A523" s="765"/>
      <c r="F523" s="503">
        <f t="shared" si="64"/>
        <v>5.1700000000000454E-2</v>
      </c>
    </row>
    <row r="524" spans="1:24" ht="9.75" customHeight="1" x14ac:dyDescent="0.3">
      <c r="A524" s="765"/>
      <c r="F524" s="503">
        <f t="shared" si="64"/>
        <v>5.1800000000000457E-2</v>
      </c>
    </row>
    <row r="525" spans="1:24" ht="9.75" customHeight="1" x14ac:dyDescent="0.3">
      <c r="A525" s="765"/>
      <c r="F525" s="503">
        <f t="shared" si="64"/>
        <v>5.190000000000046E-2</v>
      </c>
    </row>
    <row r="526" spans="1:24" s="23" customFormat="1" ht="5.25" customHeight="1" x14ac:dyDescent="0.2">
      <c r="A526" s="765"/>
      <c r="C526" s="21"/>
      <c r="F526" s="503">
        <f t="shared" si="64"/>
        <v>5.2000000000000463E-2</v>
      </c>
      <c r="G526" s="506"/>
      <c r="H526" s="502"/>
      <c r="I526" s="55"/>
      <c r="J526" s="55"/>
      <c r="K526" s="56"/>
      <c r="L526" s="55"/>
      <c r="M526" s="56"/>
      <c r="N526" s="57"/>
      <c r="O526" s="57"/>
      <c r="P526" s="55"/>
      <c r="Q526" s="57"/>
      <c r="R526" s="57"/>
      <c r="S526" s="57"/>
      <c r="T526" s="58"/>
      <c r="U526" s="59"/>
      <c r="W526" s="639"/>
      <c r="X526" s="55"/>
    </row>
    <row r="527" spans="1:24" s="23" customFormat="1" ht="11.25" customHeight="1" x14ac:dyDescent="0.2">
      <c r="A527" s="765"/>
      <c r="C527" s="769" t="str">
        <f>UPPER(H527)&amp;"    ."</f>
        <v>HORVÁTORSZÁG    .</v>
      </c>
      <c r="D527" s="60"/>
      <c r="F527" s="503">
        <f t="shared" si="64"/>
        <v>5.2100000000000465E-2</v>
      </c>
      <c r="G527" s="503">
        <f t="shared" ref="G527:G556" si="65">IF(I527="",0,T527+F527)</f>
        <v>5.2100000000000465E-2</v>
      </c>
      <c r="H527" s="504" t="str">
        <f>Adatok!D3</f>
        <v>Horvátország</v>
      </c>
      <c r="I527" s="61" t="s">
        <v>1131</v>
      </c>
      <c r="J527" s="61" t="s">
        <v>907</v>
      </c>
      <c r="K527" s="295">
        <v>19</v>
      </c>
      <c r="L527" s="61" t="s">
        <v>703</v>
      </c>
      <c r="M527" s="633" t="s">
        <v>849</v>
      </c>
      <c r="N527" s="256" t="s">
        <v>501</v>
      </c>
      <c r="O527" s="62">
        <v>32564</v>
      </c>
      <c r="P527" s="253">
        <v>32</v>
      </c>
      <c r="Q527" s="63">
        <v>186</v>
      </c>
      <c r="R527" s="252">
        <v>76</v>
      </c>
      <c r="S527" s="64"/>
      <c r="T527" s="297">
        <f t="shared" ref="T527:T556" si="66">IF(I527="","",COUNTIF(nevek.s,CONCATENATE(H527,I527)))</f>
        <v>0</v>
      </c>
      <c r="U527" s="518">
        <f t="shared" ref="U527:U556" si="67">IF(I527="","",COUNTIF(nevek.s,CONCATENATE("ö",H527,I527)))</f>
        <v>0</v>
      </c>
      <c r="W527" s="3"/>
      <c r="X527" s="65"/>
    </row>
    <row r="528" spans="1:24" s="23" customFormat="1" ht="11.25" customHeight="1" x14ac:dyDescent="0.2">
      <c r="A528" s="765"/>
      <c r="C528" s="769"/>
      <c r="D528" s="60"/>
      <c r="F528" s="503">
        <f t="shared" si="64"/>
        <v>5.2200000000000468E-2</v>
      </c>
      <c r="G528" s="503">
        <f t="shared" si="65"/>
        <v>5.2200000000000468E-2</v>
      </c>
      <c r="H528" s="504" t="str">
        <f>H527</f>
        <v>Horvátország</v>
      </c>
      <c r="I528" s="509" t="s">
        <v>206</v>
      </c>
      <c r="J528" s="509" t="s">
        <v>207</v>
      </c>
      <c r="K528" s="508">
        <v>3</v>
      </c>
      <c r="L528" s="509" t="s">
        <v>1339</v>
      </c>
      <c r="M528" s="634" t="s">
        <v>4</v>
      </c>
      <c r="N528" s="510" t="s">
        <v>935</v>
      </c>
      <c r="O528" s="511">
        <v>33918</v>
      </c>
      <c r="P528" s="512">
        <v>28</v>
      </c>
      <c r="Q528" s="513">
        <v>186</v>
      </c>
      <c r="R528" s="514">
        <v>79</v>
      </c>
      <c r="S528" s="64"/>
      <c r="T528" s="297">
        <f t="shared" si="66"/>
        <v>0</v>
      </c>
      <c r="U528" s="518">
        <f t="shared" si="67"/>
        <v>0</v>
      </c>
      <c r="W528" s="1"/>
      <c r="X528" s="65"/>
    </row>
    <row r="529" spans="1:24" s="23" customFormat="1" ht="11.25" customHeight="1" x14ac:dyDescent="0.2">
      <c r="A529" s="765"/>
      <c r="C529" s="769"/>
      <c r="D529" s="60"/>
      <c r="F529" s="503">
        <f t="shared" si="64"/>
        <v>5.2300000000000471E-2</v>
      </c>
      <c r="G529" s="503">
        <f t="shared" si="65"/>
        <v>5.2300000000000471E-2</v>
      </c>
      <c r="H529" s="504" t="str">
        <f t="shared" ref="H529:H556" si="68">H528</f>
        <v>Horvátország</v>
      </c>
      <c r="I529" s="509" t="s">
        <v>208</v>
      </c>
      <c r="J529" s="509" t="s">
        <v>598</v>
      </c>
      <c r="K529" s="508">
        <v>24</v>
      </c>
      <c r="L529" s="509" t="s">
        <v>1339</v>
      </c>
      <c r="M529" s="634" t="s">
        <v>1345</v>
      </c>
      <c r="N529" s="510" t="s">
        <v>502</v>
      </c>
      <c r="O529" s="511">
        <v>36504</v>
      </c>
      <c r="P529" s="512">
        <v>21</v>
      </c>
      <c r="Q529" s="513">
        <v>178</v>
      </c>
      <c r="R529" s="514">
        <v>69</v>
      </c>
      <c r="S529" s="64"/>
      <c r="T529" s="297">
        <f t="shared" si="66"/>
        <v>0</v>
      </c>
      <c r="U529" s="518">
        <f t="shared" si="67"/>
        <v>0</v>
      </c>
      <c r="W529" s="1"/>
      <c r="X529" s="65"/>
    </row>
    <row r="530" spans="1:24" s="23" customFormat="1" ht="11.25" customHeight="1" x14ac:dyDescent="0.2">
      <c r="A530" s="765"/>
      <c r="C530" s="769"/>
      <c r="D530" s="60"/>
      <c r="F530" s="503">
        <f t="shared" si="64"/>
        <v>5.2400000000000474E-2</v>
      </c>
      <c r="G530" s="503">
        <f t="shared" si="65"/>
        <v>5.2400000000000474E-2</v>
      </c>
      <c r="H530" s="504" t="str">
        <f t="shared" si="68"/>
        <v>Horvátország</v>
      </c>
      <c r="I530" s="509" t="s">
        <v>209</v>
      </c>
      <c r="J530" s="509" t="s">
        <v>210</v>
      </c>
      <c r="K530" s="508">
        <v>7</v>
      </c>
      <c r="L530" s="509" t="s">
        <v>703</v>
      </c>
      <c r="M530" s="634" t="s">
        <v>508</v>
      </c>
      <c r="N530" s="510" t="s">
        <v>1270</v>
      </c>
      <c r="O530" s="511">
        <v>35969</v>
      </c>
      <c r="P530" s="512">
        <v>22</v>
      </c>
      <c r="Q530" s="513">
        <v>175</v>
      </c>
      <c r="R530" s="514">
        <v>70</v>
      </c>
      <c r="S530" s="64"/>
      <c r="T530" s="297">
        <f t="shared" si="66"/>
        <v>0</v>
      </c>
      <c r="U530" s="518">
        <f t="shared" si="67"/>
        <v>0</v>
      </c>
      <c r="W530" s="1"/>
      <c r="X530" s="65"/>
    </row>
    <row r="531" spans="1:24" s="23" customFormat="1" ht="11.25" customHeight="1" x14ac:dyDescent="0.2">
      <c r="A531" s="765"/>
      <c r="C531" s="769"/>
      <c r="D531" s="60"/>
      <c r="F531" s="503">
        <f t="shared" si="64"/>
        <v>5.2500000000000477E-2</v>
      </c>
      <c r="G531" s="503">
        <f t="shared" si="65"/>
        <v>5.2500000000000477E-2</v>
      </c>
      <c r="H531" s="504" t="str">
        <f t="shared" si="68"/>
        <v>Horvátország</v>
      </c>
      <c r="I531" s="509" t="s">
        <v>819</v>
      </c>
      <c r="J531" s="509" t="s">
        <v>641</v>
      </c>
      <c r="K531" s="508">
        <v>11</v>
      </c>
      <c r="L531" s="509" t="s">
        <v>703</v>
      </c>
      <c r="M531" s="634" t="s">
        <v>815</v>
      </c>
      <c r="N531" s="510" t="s">
        <v>501</v>
      </c>
      <c r="O531" s="511">
        <v>33924</v>
      </c>
      <c r="P531" s="512">
        <v>28</v>
      </c>
      <c r="Q531" s="513">
        <v>181</v>
      </c>
      <c r="R531" s="514">
        <v>68</v>
      </c>
      <c r="S531" s="64"/>
      <c r="T531" s="297">
        <f t="shared" si="66"/>
        <v>0</v>
      </c>
      <c r="U531" s="518">
        <f t="shared" si="67"/>
        <v>0</v>
      </c>
      <c r="W531" s="1"/>
      <c r="X531" s="65"/>
    </row>
    <row r="532" spans="1:24" s="23" customFormat="1" ht="11.25" customHeight="1" x14ac:dyDescent="0.2">
      <c r="A532" s="765"/>
      <c r="C532" s="769"/>
      <c r="D532" s="60"/>
      <c r="F532" s="503">
        <f t="shared" si="64"/>
        <v>5.260000000000048E-2</v>
      </c>
      <c r="G532" s="503">
        <f t="shared" si="65"/>
        <v>5.260000000000048E-2</v>
      </c>
      <c r="H532" s="504" t="str">
        <f t="shared" si="68"/>
        <v>Horvátország</v>
      </c>
      <c r="I532" s="509" t="s">
        <v>211</v>
      </c>
      <c r="J532" s="509" t="s">
        <v>596</v>
      </c>
      <c r="K532" s="508">
        <v>14</v>
      </c>
      <c r="L532" s="509" t="s">
        <v>1357</v>
      </c>
      <c r="M532" s="634" t="s">
        <v>212</v>
      </c>
      <c r="N532" s="510" t="s">
        <v>500</v>
      </c>
      <c r="O532" s="511">
        <v>33441</v>
      </c>
      <c r="P532" s="512">
        <v>29</v>
      </c>
      <c r="Q532" s="513">
        <v>190</v>
      </c>
      <c r="R532" s="514">
        <v>82</v>
      </c>
      <c r="S532" s="64"/>
      <c r="T532" s="297">
        <f t="shared" si="66"/>
        <v>0</v>
      </c>
      <c r="U532" s="518">
        <f t="shared" si="67"/>
        <v>0</v>
      </c>
      <c r="W532" s="1"/>
      <c r="X532" s="65"/>
    </row>
    <row r="533" spans="1:24" s="23" customFormat="1" ht="11.25" customHeight="1" x14ac:dyDescent="0.2">
      <c r="A533" s="765"/>
      <c r="C533" s="769"/>
      <c r="D533" s="60"/>
      <c r="F533" s="503">
        <f t="shared" si="64"/>
        <v>5.2700000000000483E-2</v>
      </c>
      <c r="G533" s="503">
        <f t="shared" si="65"/>
        <v>5.2700000000000483E-2</v>
      </c>
      <c r="H533" s="504" t="str">
        <f t="shared" si="68"/>
        <v>Horvátország</v>
      </c>
      <c r="I533" s="509" t="s">
        <v>213</v>
      </c>
      <c r="J533" s="509" t="s">
        <v>1132</v>
      </c>
      <c r="K533" s="508">
        <v>5</v>
      </c>
      <c r="L533" s="509" t="s">
        <v>1339</v>
      </c>
      <c r="M533" s="634" t="s">
        <v>96</v>
      </c>
      <c r="N533" s="510" t="s">
        <v>502</v>
      </c>
      <c r="O533" s="511">
        <v>35325</v>
      </c>
      <c r="P533" s="512">
        <v>24</v>
      </c>
      <c r="Q533" s="513">
        <v>192</v>
      </c>
      <c r="R533" s="514">
        <v>89</v>
      </c>
      <c r="S533" s="64"/>
      <c r="T533" s="297">
        <f t="shared" si="66"/>
        <v>0</v>
      </c>
      <c r="U533" s="518">
        <f t="shared" si="67"/>
        <v>0</v>
      </c>
      <c r="W533" s="1"/>
      <c r="X533" s="65"/>
    </row>
    <row r="534" spans="1:24" s="23" customFormat="1" ht="11.25" customHeight="1" x14ac:dyDescent="0.2">
      <c r="A534" s="765"/>
      <c r="C534" s="769"/>
      <c r="D534" s="60"/>
      <c r="E534" s="66"/>
      <c r="F534" s="503">
        <f t="shared" si="64"/>
        <v>5.2800000000000485E-2</v>
      </c>
      <c r="G534" s="503">
        <f t="shared" si="65"/>
        <v>5.2800000000000485E-2</v>
      </c>
      <c r="H534" s="504" t="str">
        <f t="shared" si="68"/>
        <v>Horvátország</v>
      </c>
      <c r="I534" s="509" t="s">
        <v>1706</v>
      </c>
      <c r="J534" s="509" t="s">
        <v>1707</v>
      </c>
      <c r="K534" s="508">
        <v>25</v>
      </c>
      <c r="L534" s="509" t="s">
        <v>1339</v>
      </c>
      <c r="M534" s="634" t="s">
        <v>820</v>
      </c>
      <c r="N534" s="510" t="s">
        <v>821</v>
      </c>
      <c r="O534" s="511">
        <v>37279</v>
      </c>
      <c r="P534" s="512">
        <v>19</v>
      </c>
      <c r="Q534" s="513">
        <v>185</v>
      </c>
      <c r="R534" s="514">
        <v>80</v>
      </c>
      <c r="S534" s="64"/>
      <c r="T534" s="297">
        <f t="shared" si="66"/>
        <v>0</v>
      </c>
      <c r="U534" s="518">
        <f t="shared" si="67"/>
        <v>0</v>
      </c>
      <c r="W534" s="1"/>
      <c r="X534" s="65"/>
    </row>
    <row r="535" spans="1:24" s="23" customFormat="1" ht="11.25" customHeight="1" x14ac:dyDescent="0.2">
      <c r="A535" s="765"/>
      <c r="C535" s="769"/>
      <c r="D535" s="60"/>
      <c r="F535" s="503">
        <f t="shared" si="64"/>
        <v>5.2900000000000488E-2</v>
      </c>
      <c r="G535" s="503">
        <f t="shared" si="65"/>
        <v>5.2900000000000488E-2</v>
      </c>
      <c r="H535" s="504" t="str">
        <f t="shared" si="68"/>
        <v>Horvátország</v>
      </c>
      <c r="I535" s="509" t="s">
        <v>1708</v>
      </c>
      <c r="J535" s="509" t="s">
        <v>829</v>
      </c>
      <c r="K535" s="508">
        <v>26</v>
      </c>
      <c r="L535" s="509" t="s">
        <v>703</v>
      </c>
      <c r="M535" s="634" t="s">
        <v>820</v>
      </c>
      <c r="N535" s="510" t="s">
        <v>821</v>
      </c>
      <c r="O535" s="511">
        <v>36125</v>
      </c>
      <c r="P535" s="512">
        <v>22</v>
      </c>
      <c r="Q535" s="513">
        <v>175</v>
      </c>
      <c r="R535" s="514">
        <v>76</v>
      </c>
      <c r="S535" s="64"/>
      <c r="T535" s="297">
        <f t="shared" si="66"/>
        <v>0</v>
      </c>
      <c r="U535" s="518">
        <f t="shared" si="67"/>
        <v>0</v>
      </c>
      <c r="W535" s="1"/>
      <c r="X535" s="65"/>
    </row>
    <row r="536" spans="1:24" s="23" customFormat="1" ht="11.25" customHeight="1" x14ac:dyDescent="0.2">
      <c r="A536" s="765"/>
      <c r="C536" s="769"/>
      <c r="D536" s="60"/>
      <c r="F536" s="503">
        <f t="shared" si="64"/>
        <v>5.3000000000000491E-2</v>
      </c>
      <c r="G536" s="503">
        <f t="shared" si="65"/>
        <v>5.3000000000000491E-2</v>
      </c>
      <c r="H536" s="504" t="str">
        <f t="shared" si="68"/>
        <v>Horvátország</v>
      </c>
      <c r="I536" s="509" t="s">
        <v>214</v>
      </c>
      <c r="J536" s="509" t="s">
        <v>210</v>
      </c>
      <c r="K536" s="508">
        <v>22</v>
      </c>
      <c r="L536" s="509" t="s">
        <v>1339</v>
      </c>
      <c r="M536" s="634" t="s">
        <v>1064</v>
      </c>
      <c r="N536" s="510" t="s">
        <v>1065</v>
      </c>
      <c r="O536" s="511">
        <v>34927</v>
      </c>
      <c r="P536" s="512">
        <v>25</v>
      </c>
      <c r="Q536" s="513">
        <v>173</v>
      </c>
      <c r="R536" s="514">
        <v>69</v>
      </c>
      <c r="S536" s="64"/>
      <c r="T536" s="297">
        <f t="shared" si="66"/>
        <v>0</v>
      </c>
      <c r="U536" s="518">
        <f t="shared" si="67"/>
        <v>0</v>
      </c>
      <c r="W536" s="1"/>
      <c r="X536" s="65"/>
    </row>
    <row r="537" spans="1:24" s="23" customFormat="1" ht="11.25" customHeight="1" x14ac:dyDescent="0.2">
      <c r="A537" s="765"/>
      <c r="C537" s="769"/>
      <c r="D537" s="60"/>
      <c r="F537" s="503">
        <f t="shared" si="64"/>
        <v>5.3100000000000494E-2</v>
      </c>
      <c r="G537" s="503">
        <f t="shared" si="65"/>
        <v>5.3100000000000494E-2</v>
      </c>
      <c r="H537" s="504" t="str">
        <f t="shared" si="68"/>
        <v>Horvátország</v>
      </c>
      <c r="I537" s="509" t="s">
        <v>215</v>
      </c>
      <c r="J537" s="509" t="s">
        <v>1133</v>
      </c>
      <c r="K537" s="508">
        <v>12</v>
      </c>
      <c r="L537" s="509" t="s">
        <v>704</v>
      </c>
      <c r="M537" s="634" t="s">
        <v>913</v>
      </c>
      <c r="N537" s="510" t="s">
        <v>1271</v>
      </c>
      <c r="O537" s="511">
        <v>32966</v>
      </c>
      <c r="P537" s="512">
        <v>31</v>
      </c>
      <c r="Q537" s="513">
        <v>201</v>
      </c>
      <c r="R537" s="514">
        <v>96</v>
      </c>
      <c r="S537" s="64"/>
      <c r="T537" s="297">
        <f t="shared" si="66"/>
        <v>0</v>
      </c>
      <c r="U537" s="518">
        <f t="shared" si="67"/>
        <v>0</v>
      </c>
      <c r="W537" s="1"/>
      <c r="X537" s="65"/>
    </row>
    <row r="538" spans="1:24" s="23" customFormat="1" ht="11.25" customHeight="1" x14ac:dyDescent="0.2">
      <c r="A538" s="765"/>
      <c r="C538" s="769"/>
      <c r="D538" s="60"/>
      <c r="F538" s="503">
        <f t="shared" si="64"/>
        <v>5.3200000000000497E-2</v>
      </c>
      <c r="G538" s="503">
        <f t="shared" si="65"/>
        <v>5.3200000000000497E-2</v>
      </c>
      <c r="H538" s="504" t="str">
        <f t="shared" si="68"/>
        <v>Horvátország</v>
      </c>
      <c r="I538" s="509" t="s">
        <v>823</v>
      </c>
      <c r="J538" s="509" t="s">
        <v>824</v>
      </c>
      <c r="K538" s="508">
        <v>8</v>
      </c>
      <c r="L538" s="509" t="s">
        <v>703</v>
      </c>
      <c r="M538" s="634" t="s">
        <v>794</v>
      </c>
      <c r="N538" s="510" t="s">
        <v>1271</v>
      </c>
      <c r="O538" s="511">
        <v>34460</v>
      </c>
      <c r="P538" s="512">
        <v>27</v>
      </c>
      <c r="Q538" s="513">
        <v>176</v>
      </c>
      <c r="R538" s="514">
        <v>78</v>
      </c>
      <c r="S538" s="64"/>
      <c r="T538" s="297">
        <f t="shared" si="66"/>
        <v>0</v>
      </c>
      <c r="U538" s="518">
        <f t="shared" si="67"/>
        <v>0</v>
      </c>
      <c r="W538" s="1"/>
      <c r="X538" s="65"/>
    </row>
    <row r="539" spans="1:24" s="23" customFormat="1" ht="11.25" customHeight="1" x14ac:dyDescent="0.2">
      <c r="A539" s="765"/>
      <c r="C539" s="769"/>
      <c r="D539" s="60"/>
      <c r="F539" s="503">
        <f t="shared" si="64"/>
        <v>5.33000000000005E-2</v>
      </c>
      <c r="G539" s="503">
        <f t="shared" si="65"/>
        <v>5.33000000000005E-2</v>
      </c>
      <c r="H539" s="504" t="str">
        <f t="shared" si="68"/>
        <v>Horvátország</v>
      </c>
      <c r="I539" s="509" t="s">
        <v>1134</v>
      </c>
      <c r="J539" s="509" t="s">
        <v>1135</v>
      </c>
      <c r="K539" s="508">
        <v>9</v>
      </c>
      <c r="L539" s="509" t="s">
        <v>1357</v>
      </c>
      <c r="M539" s="634" t="s">
        <v>1215</v>
      </c>
      <c r="N539" s="510" t="s">
        <v>1270</v>
      </c>
      <c r="O539" s="511">
        <v>33408</v>
      </c>
      <c r="P539" s="512">
        <v>29</v>
      </c>
      <c r="Q539" s="513">
        <v>177</v>
      </c>
      <c r="R539" s="514">
        <v>73</v>
      </c>
      <c r="S539" s="64"/>
      <c r="T539" s="297">
        <f t="shared" si="66"/>
        <v>0</v>
      </c>
      <c r="U539" s="518">
        <f t="shared" si="67"/>
        <v>0</v>
      </c>
      <c r="W539" s="1"/>
      <c r="X539" s="65"/>
    </row>
    <row r="540" spans="1:24" s="23" customFormat="1" ht="11.25" customHeight="1" x14ac:dyDescent="0.2">
      <c r="A540" s="765"/>
      <c r="C540" s="769"/>
      <c r="D540" s="60"/>
      <c r="F540" s="503">
        <f t="shared" si="64"/>
        <v>5.3400000000000503E-2</v>
      </c>
      <c r="G540" s="503">
        <f t="shared" si="65"/>
        <v>5.3400000000000503E-2</v>
      </c>
      <c r="H540" s="504" t="str">
        <f t="shared" si="68"/>
        <v>Horvátország</v>
      </c>
      <c r="I540" s="509" t="s">
        <v>216</v>
      </c>
      <c r="J540" s="509" t="s">
        <v>217</v>
      </c>
      <c r="K540" s="508">
        <v>1</v>
      </c>
      <c r="L540" s="509" t="s">
        <v>704</v>
      </c>
      <c r="M540" s="634" t="s">
        <v>820</v>
      </c>
      <c r="N540" s="510" t="s">
        <v>821</v>
      </c>
      <c r="O540" s="511">
        <v>34708</v>
      </c>
      <c r="P540" s="512">
        <v>26</v>
      </c>
      <c r="Q540" s="513">
        <v>187</v>
      </c>
      <c r="R540" s="514">
        <v>79</v>
      </c>
      <c r="S540" s="64"/>
      <c r="T540" s="297">
        <f t="shared" si="66"/>
        <v>0</v>
      </c>
      <c r="U540" s="518">
        <f t="shared" si="67"/>
        <v>0</v>
      </c>
      <c r="W540" s="1"/>
      <c r="X540" s="65"/>
    </row>
    <row r="541" spans="1:24" s="23" customFormat="1" ht="11.25" customHeight="1" x14ac:dyDescent="0.2">
      <c r="A541" s="765"/>
      <c r="C541" s="769"/>
      <c r="D541" s="60"/>
      <c r="F541" s="503">
        <f t="shared" si="64"/>
        <v>5.3500000000000505E-2</v>
      </c>
      <c r="G541" s="503">
        <f t="shared" si="65"/>
        <v>5.3500000000000505E-2</v>
      </c>
      <c r="H541" s="504" t="str">
        <f t="shared" si="68"/>
        <v>Horvátország</v>
      </c>
      <c r="I541" s="509" t="s">
        <v>218</v>
      </c>
      <c r="J541" s="509" t="s">
        <v>219</v>
      </c>
      <c r="K541" s="508">
        <v>6</v>
      </c>
      <c r="L541" s="509" t="s">
        <v>1339</v>
      </c>
      <c r="M541" s="634" t="s">
        <v>1030</v>
      </c>
      <c r="N541" s="510" t="s">
        <v>507</v>
      </c>
      <c r="O541" s="511">
        <v>32694</v>
      </c>
      <c r="P541" s="512">
        <v>31</v>
      </c>
      <c r="Q541" s="513">
        <v>188</v>
      </c>
      <c r="R541" s="514">
        <v>84</v>
      </c>
      <c r="S541" s="64"/>
      <c r="T541" s="297">
        <f t="shared" si="66"/>
        <v>0</v>
      </c>
      <c r="U541" s="518">
        <f t="shared" si="67"/>
        <v>0</v>
      </c>
      <c r="W541" s="1"/>
      <c r="X541" s="65"/>
    </row>
    <row r="542" spans="1:24" s="23" customFormat="1" ht="11.25" customHeight="1" x14ac:dyDescent="0.2">
      <c r="A542" s="765"/>
      <c r="C542" s="769"/>
      <c r="D542" s="60"/>
      <c r="F542" s="503">
        <f t="shared" si="64"/>
        <v>5.3600000000000508E-2</v>
      </c>
      <c r="G542" s="503">
        <f t="shared" si="65"/>
        <v>5.3600000000000508E-2</v>
      </c>
      <c r="H542" s="504" t="str">
        <f t="shared" si="68"/>
        <v>Horvátország</v>
      </c>
      <c r="I542" s="509" t="s">
        <v>828</v>
      </c>
      <c r="J542" s="509" t="s">
        <v>829</v>
      </c>
      <c r="K542" s="508">
        <v>10</v>
      </c>
      <c r="L542" s="509" t="s">
        <v>703</v>
      </c>
      <c r="M542" s="634" t="s">
        <v>747</v>
      </c>
      <c r="N542" s="510" t="s">
        <v>500</v>
      </c>
      <c r="O542" s="511">
        <v>31299</v>
      </c>
      <c r="P542" s="512">
        <v>35</v>
      </c>
      <c r="Q542" s="513">
        <v>172</v>
      </c>
      <c r="R542" s="514">
        <v>66</v>
      </c>
      <c r="S542" s="64"/>
      <c r="T542" s="297">
        <f t="shared" si="66"/>
        <v>0</v>
      </c>
      <c r="U542" s="518">
        <f t="shared" si="67"/>
        <v>0</v>
      </c>
      <c r="W542" s="1"/>
      <c r="X542" s="65"/>
    </row>
    <row r="543" spans="1:24" s="23" customFormat="1" ht="11.25" customHeight="1" x14ac:dyDescent="0.2">
      <c r="A543" s="765"/>
      <c r="C543" s="769"/>
      <c r="D543" s="60"/>
      <c r="F543" s="503">
        <f t="shared" si="64"/>
        <v>5.3700000000000511E-2</v>
      </c>
      <c r="G543" s="503">
        <f t="shared" si="65"/>
        <v>5.3700000000000511E-2</v>
      </c>
      <c r="H543" s="504" t="str">
        <f t="shared" si="68"/>
        <v>Horvátország</v>
      </c>
      <c r="I543" s="509" t="s">
        <v>220</v>
      </c>
      <c r="J543" s="509" t="s">
        <v>221</v>
      </c>
      <c r="K543" s="508">
        <v>18</v>
      </c>
      <c r="L543" s="509" t="s">
        <v>1357</v>
      </c>
      <c r="M543" s="634" t="s">
        <v>820</v>
      </c>
      <c r="N543" s="510" t="s">
        <v>821</v>
      </c>
      <c r="O543" s="511">
        <v>33967</v>
      </c>
      <c r="P543" s="512">
        <v>28</v>
      </c>
      <c r="Q543" s="513">
        <v>179</v>
      </c>
      <c r="R543" s="514">
        <v>69</v>
      </c>
      <c r="S543" s="64"/>
      <c r="T543" s="297">
        <f t="shared" si="66"/>
        <v>0</v>
      </c>
      <c r="U543" s="518">
        <f t="shared" si="67"/>
        <v>0</v>
      </c>
      <c r="W543" s="1"/>
      <c r="X543" s="65"/>
    </row>
    <row r="544" spans="1:24" s="23" customFormat="1" ht="11.25" customHeight="1" x14ac:dyDescent="0.2">
      <c r="A544" s="765"/>
      <c r="C544" s="769"/>
      <c r="D544" s="60"/>
      <c r="F544" s="503">
        <f t="shared" si="64"/>
        <v>5.3800000000000514E-2</v>
      </c>
      <c r="G544" s="503">
        <f t="shared" si="65"/>
        <v>5.3800000000000514E-2</v>
      </c>
      <c r="H544" s="504" t="str">
        <f t="shared" si="68"/>
        <v>Horvátország</v>
      </c>
      <c r="I544" s="509" t="s">
        <v>222</v>
      </c>
      <c r="J544" s="509" t="s">
        <v>826</v>
      </c>
      <c r="K544" s="508">
        <v>15</v>
      </c>
      <c r="L544" s="509" t="s">
        <v>703</v>
      </c>
      <c r="M544" s="634" t="s">
        <v>1429</v>
      </c>
      <c r="N544" s="510" t="s">
        <v>501</v>
      </c>
      <c r="O544" s="511">
        <v>34739</v>
      </c>
      <c r="P544" s="512">
        <v>26</v>
      </c>
      <c r="Q544" s="513">
        <v>188</v>
      </c>
      <c r="R544" s="514">
        <v>82</v>
      </c>
      <c r="S544" s="64"/>
      <c r="T544" s="297">
        <f t="shared" si="66"/>
        <v>0</v>
      </c>
      <c r="U544" s="518">
        <f t="shared" si="67"/>
        <v>0</v>
      </c>
      <c r="W544" s="1"/>
      <c r="X544" s="65"/>
    </row>
    <row r="545" spans="1:24" s="23" customFormat="1" ht="11.25" customHeight="1" x14ac:dyDescent="0.2">
      <c r="A545" s="765"/>
      <c r="C545" s="769"/>
      <c r="D545" s="60"/>
      <c r="F545" s="503">
        <f t="shared" si="64"/>
        <v>5.3900000000000517E-2</v>
      </c>
      <c r="G545" s="503">
        <f t="shared" si="65"/>
        <v>5.3900000000000517E-2</v>
      </c>
      <c r="H545" s="504" t="str">
        <f t="shared" si="68"/>
        <v>Horvátország</v>
      </c>
      <c r="I545" s="509" t="s">
        <v>830</v>
      </c>
      <c r="J545" s="509" t="s">
        <v>827</v>
      </c>
      <c r="K545" s="508">
        <v>4</v>
      </c>
      <c r="L545" s="509" t="s">
        <v>703</v>
      </c>
      <c r="M545" s="634" t="s">
        <v>815</v>
      </c>
      <c r="N545" s="510" t="s">
        <v>501</v>
      </c>
      <c r="O545" s="511">
        <v>32541</v>
      </c>
      <c r="P545" s="512">
        <v>32</v>
      </c>
      <c r="Q545" s="513">
        <v>186</v>
      </c>
      <c r="R545" s="514">
        <v>80</v>
      </c>
      <c r="S545" s="64"/>
      <c r="T545" s="297">
        <f t="shared" si="66"/>
        <v>0</v>
      </c>
      <c r="U545" s="518">
        <f t="shared" si="67"/>
        <v>0</v>
      </c>
      <c r="W545" s="1"/>
      <c r="X545" s="65"/>
    </row>
    <row r="546" spans="1:24" s="23" customFormat="1" ht="11.25" customHeight="1" x14ac:dyDescent="0.2">
      <c r="A546" s="765"/>
      <c r="C546" s="769"/>
      <c r="D546" s="60"/>
      <c r="F546" s="503">
        <f t="shared" si="64"/>
        <v>5.400000000000052E-2</v>
      </c>
      <c r="G546" s="503">
        <f t="shared" si="65"/>
        <v>5.400000000000052E-2</v>
      </c>
      <c r="H546" s="504" t="str">
        <f t="shared" si="68"/>
        <v>Horvátország</v>
      </c>
      <c r="I546" s="509" t="s">
        <v>223</v>
      </c>
      <c r="J546" s="509" t="s">
        <v>911</v>
      </c>
      <c r="K546" s="508">
        <v>20</v>
      </c>
      <c r="L546" s="509" t="s">
        <v>1357</v>
      </c>
      <c r="M546" s="634" t="s">
        <v>820</v>
      </c>
      <c r="N546" s="510" t="s">
        <v>821</v>
      </c>
      <c r="O546" s="511">
        <v>34593</v>
      </c>
      <c r="P546" s="512">
        <v>26</v>
      </c>
      <c r="Q546" s="513">
        <v>193</v>
      </c>
      <c r="R546" s="514">
        <v>88</v>
      </c>
      <c r="S546" s="64"/>
      <c r="T546" s="297">
        <f t="shared" si="66"/>
        <v>0</v>
      </c>
      <c r="U546" s="518">
        <f t="shared" si="67"/>
        <v>0</v>
      </c>
      <c r="W546" s="1"/>
      <c r="X546" s="65"/>
    </row>
    <row r="547" spans="1:24" s="23" customFormat="1" ht="11.25" customHeight="1" x14ac:dyDescent="0.2">
      <c r="A547" s="765"/>
      <c r="C547" s="769"/>
      <c r="D547" s="60"/>
      <c r="F547" s="503">
        <f t="shared" si="64"/>
        <v>5.4100000000000523E-2</v>
      </c>
      <c r="G547" s="503">
        <f t="shared" si="65"/>
        <v>5.4100000000000523E-2</v>
      </c>
      <c r="H547" s="504" t="str">
        <f t="shared" si="68"/>
        <v>Horvátország</v>
      </c>
      <c r="I547" s="509" t="s">
        <v>224</v>
      </c>
      <c r="J547" s="509" t="s">
        <v>596</v>
      </c>
      <c r="K547" s="508">
        <v>17</v>
      </c>
      <c r="L547" s="509" t="s">
        <v>1357</v>
      </c>
      <c r="M547" s="634" t="s">
        <v>1081</v>
      </c>
      <c r="N547" s="510" t="s">
        <v>501</v>
      </c>
      <c r="O547" s="511">
        <v>34233</v>
      </c>
      <c r="P547" s="512">
        <v>27</v>
      </c>
      <c r="Q547" s="513">
        <v>185</v>
      </c>
      <c r="R547" s="514">
        <v>78</v>
      </c>
      <c r="S547" s="64"/>
      <c r="T547" s="297">
        <f t="shared" si="66"/>
        <v>0</v>
      </c>
      <c r="U547" s="518">
        <f t="shared" si="67"/>
        <v>0</v>
      </c>
      <c r="W547" s="1"/>
      <c r="X547" s="65"/>
    </row>
    <row r="548" spans="1:24" s="23" customFormat="1" ht="11.25" customHeight="1" x14ac:dyDescent="0.2">
      <c r="A548" s="765"/>
      <c r="C548" s="769"/>
      <c r="D548" s="60"/>
      <c r="F548" s="503">
        <f t="shared" si="64"/>
        <v>5.4200000000000526E-2</v>
      </c>
      <c r="G548" s="503">
        <f t="shared" si="65"/>
        <v>5.4200000000000526E-2</v>
      </c>
      <c r="H548" s="504" t="str">
        <f t="shared" si="68"/>
        <v>Horvátország</v>
      </c>
      <c r="I548" s="509" t="s">
        <v>1709</v>
      </c>
      <c r="J548" s="509" t="s">
        <v>1710</v>
      </c>
      <c r="K548" s="508">
        <v>16</v>
      </c>
      <c r="L548" s="509" t="s">
        <v>1339</v>
      </c>
      <c r="M548" s="634" t="s">
        <v>225</v>
      </c>
      <c r="N548" s="510" t="s">
        <v>821</v>
      </c>
      <c r="O548" s="511">
        <v>33408</v>
      </c>
      <c r="P548" s="512">
        <v>29</v>
      </c>
      <c r="Q548" s="513">
        <v>187</v>
      </c>
      <c r="R548" s="514">
        <v>80</v>
      </c>
      <c r="S548" s="64"/>
      <c r="T548" s="297">
        <f t="shared" si="66"/>
        <v>0</v>
      </c>
      <c r="U548" s="518">
        <f t="shared" si="67"/>
        <v>0</v>
      </c>
      <c r="W548" s="1"/>
      <c r="X548" s="65"/>
    </row>
    <row r="549" spans="1:24" s="23" customFormat="1" ht="11.25" customHeight="1" x14ac:dyDescent="0.2">
      <c r="A549" s="765"/>
      <c r="C549" s="769"/>
      <c r="D549" s="60"/>
      <c r="F549" s="503">
        <f t="shared" si="64"/>
        <v>5.4300000000000528E-2</v>
      </c>
      <c r="G549" s="503">
        <f t="shared" si="65"/>
        <v>5.4300000000000528E-2</v>
      </c>
      <c r="H549" s="504" t="str">
        <f t="shared" si="68"/>
        <v>Horvátország</v>
      </c>
      <c r="I549" s="509" t="s">
        <v>1711</v>
      </c>
      <c r="J549" s="509" t="s">
        <v>1043</v>
      </c>
      <c r="K549" s="508">
        <v>23</v>
      </c>
      <c r="L549" s="509" t="s">
        <v>704</v>
      </c>
      <c r="M549" s="634" t="s">
        <v>1405</v>
      </c>
      <c r="N549" s="510" t="s">
        <v>1271</v>
      </c>
      <c r="O549" s="511">
        <v>34045</v>
      </c>
      <c r="P549" s="512">
        <v>28</v>
      </c>
      <c r="Q549" s="513">
        <v>190</v>
      </c>
      <c r="R549" s="514">
        <v>84</v>
      </c>
      <c r="S549" s="64"/>
      <c r="T549" s="297">
        <f t="shared" si="66"/>
        <v>0</v>
      </c>
      <c r="U549" s="518">
        <f t="shared" si="67"/>
        <v>0</v>
      </c>
      <c r="W549" s="640"/>
      <c r="X549" s="65"/>
    </row>
    <row r="550" spans="1:24" s="23" customFormat="1" ht="11.25" customHeight="1" x14ac:dyDescent="0.2">
      <c r="A550" s="765"/>
      <c r="C550" s="769"/>
      <c r="D550" s="60"/>
      <c r="F550" s="503">
        <f t="shared" si="64"/>
        <v>5.4400000000000531E-2</v>
      </c>
      <c r="G550" s="503">
        <f t="shared" si="65"/>
        <v>5.4400000000000531E-2</v>
      </c>
      <c r="H550" s="504" t="str">
        <f t="shared" si="68"/>
        <v>Horvátország</v>
      </c>
      <c r="I550" s="509" t="s">
        <v>1712</v>
      </c>
      <c r="J550" s="509" t="s">
        <v>598</v>
      </c>
      <c r="K550" s="508">
        <v>21</v>
      </c>
      <c r="L550" s="509" t="s">
        <v>1339</v>
      </c>
      <c r="M550" s="634" t="s">
        <v>859</v>
      </c>
      <c r="N550" s="510" t="s">
        <v>858</v>
      </c>
      <c r="O550" s="511">
        <v>32627</v>
      </c>
      <c r="P550" s="512">
        <v>32</v>
      </c>
      <c r="Q550" s="513">
        <v>184</v>
      </c>
      <c r="R550" s="514">
        <v>76</v>
      </c>
      <c r="S550" s="64"/>
      <c r="T550" s="297">
        <f t="shared" si="66"/>
        <v>0</v>
      </c>
      <c r="U550" s="518">
        <f t="shared" si="67"/>
        <v>0</v>
      </c>
      <c r="W550" s="640"/>
      <c r="X550" s="65"/>
    </row>
    <row r="551" spans="1:24" s="23" customFormat="1" ht="11.25" customHeight="1" x14ac:dyDescent="0.2">
      <c r="A551" s="765"/>
      <c r="C551" s="769"/>
      <c r="D551" s="60"/>
      <c r="F551" s="503">
        <f t="shared" si="64"/>
        <v>5.4500000000000534E-2</v>
      </c>
      <c r="G551" s="503">
        <f t="shared" si="65"/>
        <v>5.4500000000000534E-2</v>
      </c>
      <c r="H551" s="504" t="str">
        <f t="shared" si="68"/>
        <v>Horvátország</v>
      </c>
      <c r="I551" s="509" t="s">
        <v>1713</v>
      </c>
      <c r="J551" s="509" t="s">
        <v>1714</v>
      </c>
      <c r="K551" s="508">
        <v>13</v>
      </c>
      <c r="L551" s="509" t="s">
        <v>703</v>
      </c>
      <c r="M551" s="634" t="s">
        <v>1219</v>
      </c>
      <c r="N551" s="510" t="s">
        <v>507</v>
      </c>
      <c r="O551" s="511">
        <v>35707</v>
      </c>
      <c r="P551" s="512">
        <v>23</v>
      </c>
      <c r="Q551" s="513">
        <v>178</v>
      </c>
      <c r="R551" s="514">
        <v>79</v>
      </c>
      <c r="S551" s="64"/>
      <c r="T551" s="297">
        <f t="shared" si="66"/>
        <v>0</v>
      </c>
      <c r="U551" s="518">
        <f t="shared" si="67"/>
        <v>0</v>
      </c>
      <c r="W551" s="640"/>
      <c r="X551" s="65"/>
    </row>
    <row r="552" spans="1:24" s="23" customFormat="1" ht="11.25" customHeight="1" x14ac:dyDescent="0.2">
      <c r="A552" s="765"/>
      <c r="C552" s="769"/>
      <c r="D552" s="60"/>
      <c r="F552" s="503">
        <f t="shared" si="64"/>
        <v>5.4600000000000537E-2</v>
      </c>
      <c r="G552" s="503">
        <f t="shared" si="65"/>
        <v>5.4600000000000537E-2</v>
      </c>
      <c r="H552" s="504" t="str">
        <f t="shared" si="68"/>
        <v>Horvátország</v>
      </c>
      <c r="I552" s="555" t="s">
        <v>1715</v>
      </c>
      <c r="J552" s="555" t="s">
        <v>1716</v>
      </c>
      <c r="K552" s="554">
        <v>2</v>
      </c>
      <c r="L552" s="555" t="s">
        <v>1339</v>
      </c>
      <c r="M552" s="635" t="s">
        <v>863</v>
      </c>
      <c r="N552" s="556" t="s">
        <v>500</v>
      </c>
      <c r="O552" s="557">
        <v>33613</v>
      </c>
      <c r="P552" s="558">
        <v>29</v>
      </c>
      <c r="Q552" s="559">
        <v>181</v>
      </c>
      <c r="R552" s="560">
        <v>76</v>
      </c>
      <c r="S552" s="64"/>
      <c r="T552" s="297">
        <f t="shared" si="66"/>
        <v>0</v>
      </c>
      <c r="U552" s="518">
        <f t="shared" si="67"/>
        <v>0</v>
      </c>
      <c r="W552" s="640"/>
      <c r="X552" s="65"/>
    </row>
    <row r="553" spans="1:24" s="23" customFormat="1" ht="9.75" hidden="1" customHeight="1" x14ac:dyDescent="0.2">
      <c r="A553" s="765"/>
      <c r="C553" s="769"/>
      <c r="D553" s="60"/>
      <c r="F553" s="503">
        <f t="shared" si="64"/>
        <v>5.470000000000054E-2</v>
      </c>
      <c r="G553" s="503">
        <f t="shared" si="65"/>
        <v>0</v>
      </c>
      <c r="H553" s="504" t="str">
        <f t="shared" si="68"/>
        <v>Horvátország</v>
      </c>
      <c r="I553" s="61"/>
      <c r="J553" s="61"/>
      <c r="K553" s="295"/>
      <c r="L553" s="61"/>
      <c r="M553" s="633"/>
      <c r="N553" s="256"/>
      <c r="O553" s="62"/>
      <c r="P553" s="253"/>
      <c r="Q553" s="63"/>
      <c r="R553" s="252"/>
      <c r="S553" s="64"/>
      <c r="T553" s="297" t="str">
        <f t="shared" si="66"/>
        <v/>
      </c>
      <c r="U553" s="518" t="str">
        <f t="shared" si="67"/>
        <v/>
      </c>
      <c r="W553" s="640"/>
      <c r="X553" s="65"/>
    </row>
    <row r="554" spans="1:24" s="23" customFormat="1" ht="9.75" hidden="1" customHeight="1" x14ac:dyDescent="0.2">
      <c r="A554" s="765"/>
      <c r="C554" s="769"/>
      <c r="D554" s="60"/>
      <c r="F554" s="503">
        <f t="shared" si="64"/>
        <v>5.4800000000000543E-2</v>
      </c>
      <c r="G554" s="503">
        <f t="shared" si="65"/>
        <v>0</v>
      </c>
      <c r="H554" s="504" t="str">
        <f t="shared" si="68"/>
        <v>Horvátország</v>
      </c>
      <c r="I554" s="61"/>
      <c r="J554" s="61"/>
      <c r="K554" s="295"/>
      <c r="L554" s="61"/>
      <c r="M554" s="633"/>
      <c r="N554" s="256"/>
      <c r="O554" s="62"/>
      <c r="P554" s="253"/>
      <c r="Q554" s="63"/>
      <c r="R554" s="252"/>
      <c r="S554" s="64"/>
      <c r="T554" s="297" t="str">
        <f t="shared" si="66"/>
        <v/>
      </c>
      <c r="U554" s="518" t="str">
        <f t="shared" si="67"/>
        <v/>
      </c>
      <c r="W554" s="640"/>
      <c r="X554" s="65"/>
    </row>
    <row r="555" spans="1:24" s="23" customFormat="1" ht="9.75" hidden="1" customHeight="1" x14ac:dyDescent="0.2">
      <c r="A555" s="765"/>
      <c r="C555" s="769"/>
      <c r="D555" s="60"/>
      <c r="F555" s="503">
        <f t="shared" si="64"/>
        <v>5.4900000000000546E-2</v>
      </c>
      <c r="G555" s="503">
        <f t="shared" si="65"/>
        <v>0</v>
      </c>
      <c r="H555" s="504" t="str">
        <f t="shared" si="68"/>
        <v>Horvátország</v>
      </c>
      <c r="I555" s="61"/>
      <c r="J555" s="61"/>
      <c r="K555" s="295"/>
      <c r="L555" s="61"/>
      <c r="M555" s="633"/>
      <c r="N555" s="256"/>
      <c r="O555" s="62"/>
      <c r="P555" s="253"/>
      <c r="Q555" s="63"/>
      <c r="R555" s="252"/>
      <c r="S555" s="64"/>
      <c r="T555" s="297" t="str">
        <f t="shared" si="66"/>
        <v/>
      </c>
      <c r="U555" s="518" t="str">
        <f t="shared" si="67"/>
        <v/>
      </c>
      <c r="W555" s="640"/>
      <c r="X555" s="65"/>
    </row>
    <row r="556" spans="1:24" s="23" customFormat="1" ht="9.75" hidden="1" customHeight="1" x14ac:dyDescent="0.2">
      <c r="A556" s="765"/>
      <c r="C556" s="769"/>
      <c r="D556" s="60"/>
      <c r="F556" s="503">
        <f t="shared" si="64"/>
        <v>5.5000000000000548E-2</v>
      </c>
      <c r="G556" s="503">
        <f t="shared" si="65"/>
        <v>0</v>
      </c>
      <c r="H556" s="504" t="str">
        <f t="shared" si="68"/>
        <v>Horvátország</v>
      </c>
      <c r="I556" s="61"/>
      <c r="J556" s="61"/>
      <c r="K556" s="295"/>
      <c r="L556" s="61"/>
      <c r="M556" s="633"/>
      <c r="N556" s="256"/>
      <c r="O556" s="62"/>
      <c r="P556" s="253"/>
      <c r="Q556" s="63"/>
      <c r="R556" s="252"/>
      <c r="S556" s="64"/>
      <c r="T556" s="297" t="str">
        <f t="shared" si="66"/>
        <v/>
      </c>
      <c r="U556" s="518" t="str">
        <f t="shared" si="67"/>
        <v/>
      </c>
      <c r="W556" s="640"/>
      <c r="X556" s="65"/>
    </row>
    <row r="557" spans="1:24" s="23" customFormat="1" ht="4.5" customHeight="1" x14ac:dyDescent="0.25">
      <c r="A557" s="765"/>
      <c r="C557" s="769"/>
      <c r="D557" s="60"/>
      <c r="F557" s="503">
        <f t="shared" si="64"/>
        <v>5.5100000000000551E-2</v>
      </c>
      <c r="G557" s="503"/>
      <c r="H557" s="505"/>
      <c r="I557" s="67"/>
      <c r="J557" s="67"/>
      <c r="K557" s="22"/>
      <c r="L557" s="67"/>
      <c r="M557" s="22"/>
      <c r="N557" s="68"/>
      <c r="O557" s="67"/>
      <c r="P557" s="69"/>
      <c r="Q557" s="70"/>
      <c r="R557" s="71"/>
      <c r="S557" s="71"/>
      <c r="T557" s="298"/>
      <c r="U557" s="299"/>
      <c r="W557" s="641"/>
      <c r="X557" s="67"/>
    </row>
    <row r="558" spans="1:24" s="21" customFormat="1" ht="9.75" customHeight="1" x14ac:dyDescent="0.2">
      <c r="A558" s="765"/>
      <c r="C558" s="769"/>
      <c r="D558" s="60"/>
      <c r="F558" s="503">
        <f t="shared" si="64"/>
        <v>5.5200000000000554E-2</v>
      </c>
      <c r="G558" s="503"/>
      <c r="H558" s="303"/>
      <c r="I558" s="74" t="s">
        <v>542</v>
      </c>
      <c r="J558" s="75" t="s">
        <v>226</v>
      </c>
      <c r="K558" s="75"/>
      <c r="L558" s="75"/>
      <c r="M558" s="636"/>
      <c r="N558" s="76"/>
      <c r="O558" s="74" t="s">
        <v>495</v>
      </c>
      <c r="P558" s="254">
        <f>AVERAGE(P527:P556)</f>
        <v>27.26923076923077</v>
      </c>
      <c r="Q558" s="77">
        <f>AVERAGE(Q527:Q556)</f>
        <v>183.57692307692307</v>
      </c>
      <c r="R558" s="255">
        <f>AVERAGE(R527:R556)</f>
        <v>77.92307692307692</v>
      </c>
      <c r="S558" s="78"/>
      <c r="T558" s="297">
        <f>SUM(T527:T556)</f>
        <v>0</v>
      </c>
      <c r="U558" s="518">
        <f>SUM(U527:U556)</f>
        <v>0</v>
      </c>
      <c r="W558" s="642" t="s">
        <v>879</v>
      </c>
      <c r="X558" s="79"/>
    </row>
    <row r="559" spans="1:24" ht="9.75" customHeight="1" x14ac:dyDescent="0.3">
      <c r="A559" s="765"/>
      <c r="F559" s="503">
        <f t="shared" si="64"/>
        <v>5.5300000000000557E-2</v>
      </c>
      <c r="G559" s="503"/>
    </row>
    <row r="560" spans="1:24" ht="9.75" customHeight="1" x14ac:dyDescent="0.3">
      <c r="A560" s="765"/>
      <c r="F560" s="503">
        <f t="shared" si="64"/>
        <v>5.540000000000056E-2</v>
      </c>
      <c r="G560" s="503"/>
    </row>
    <row r="561" spans="1:24" ht="9.75" customHeight="1" x14ac:dyDescent="0.3">
      <c r="A561" s="765"/>
      <c r="F561" s="503">
        <f t="shared" si="64"/>
        <v>5.5500000000000563E-2</v>
      </c>
      <c r="G561" s="503"/>
    </row>
    <row r="562" spans="1:24" ht="9.75" customHeight="1" x14ac:dyDescent="0.3">
      <c r="A562" s="765"/>
      <c r="F562" s="503">
        <f t="shared" si="64"/>
        <v>5.5600000000000566E-2</v>
      </c>
    </row>
    <row r="563" spans="1:24" ht="9.75" customHeight="1" x14ac:dyDescent="0.3">
      <c r="A563" s="765"/>
      <c r="F563" s="503">
        <f t="shared" si="64"/>
        <v>5.5700000000000569E-2</v>
      </c>
    </row>
    <row r="564" spans="1:24" ht="9.75" customHeight="1" x14ac:dyDescent="0.3">
      <c r="A564" s="765"/>
      <c r="F564" s="503">
        <f t="shared" si="64"/>
        <v>5.5800000000000571E-2</v>
      </c>
    </row>
    <row r="565" spans="1:24" ht="9.75" customHeight="1" x14ac:dyDescent="0.3">
      <c r="A565" s="765"/>
      <c r="F565" s="503">
        <f t="shared" si="64"/>
        <v>5.5900000000000574E-2</v>
      </c>
    </row>
    <row r="566" spans="1:24" s="23" customFormat="1" ht="5.25" customHeight="1" x14ac:dyDescent="0.2">
      <c r="A566" s="765"/>
      <c r="C566" s="21"/>
      <c r="F566" s="503">
        <f t="shared" si="64"/>
        <v>5.6000000000000577E-2</v>
      </c>
      <c r="G566" s="506"/>
      <c r="H566" s="502"/>
      <c r="I566" s="55"/>
      <c r="J566" s="55"/>
      <c r="K566" s="56"/>
      <c r="L566" s="55"/>
      <c r="M566" s="56"/>
      <c r="N566" s="57"/>
      <c r="O566" s="57"/>
      <c r="P566" s="55"/>
      <c r="Q566" s="57"/>
      <c r="R566" s="57"/>
      <c r="S566" s="57"/>
      <c r="T566" s="58"/>
      <c r="U566" s="59"/>
      <c r="W566" s="639"/>
      <c r="X566" s="55"/>
    </row>
    <row r="567" spans="1:24" s="23" customFormat="1" ht="11.25" customHeight="1" x14ac:dyDescent="0.2">
      <c r="A567" s="765"/>
      <c r="C567" s="769" t="str">
        <f>UPPER(H567)&amp;"    ."</f>
        <v>SKÓCIA    .</v>
      </c>
      <c r="D567" s="60"/>
      <c r="F567" s="503">
        <f t="shared" si="64"/>
        <v>5.610000000000058E-2</v>
      </c>
      <c r="G567" s="503">
        <f t="shared" ref="G567:G596" si="69">IF(I567="",0,T567+F567)</f>
        <v>5.610000000000058E-2</v>
      </c>
      <c r="H567" s="504" t="str">
        <f>Adatok!D4</f>
        <v>Skócia</v>
      </c>
      <c r="I567" s="61" t="s">
        <v>1717</v>
      </c>
      <c r="J567" s="61" t="s">
        <v>1718</v>
      </c>
      <c r="K567" s="295">
        <v>10</v>
      </c>
      <c r="L567" s="61" t="s">
        <v>1357</v>
      </c>
      <c r="M567" s="633" t="s">
        <v>825</v>
      </c>
      <c r="N567" s="256" t="s">
        <v>1271</v>
      </c>
      <c r="O567" s="62">
        <v>35259</v>
      </c>
      <c r="P567" s="253">
        <v>24</v>
      </c>
      <c r="Q567" s="63">
        <v>175</v>
      </c>
      <c r="R567" s="252">
        <v>70</v>
      </c>
      <c r="S567" s="64"/>
      <c r="T567" s="297">
        <f t="shared" ref="T567:T596" si="70">IF(I567="","",COUNTIF(nevek.s,CONCATENATE(H567,I567)))</f>
        <v>0</v>
      </c>
      <c r="U567" s="518">
        <f t="shared" ref="U567:U596" si="71">IF(I567="","",COUNTIF(nevek.s,CONCATENATE("ö",H567,I567)))</f>
        <v>0</v>
      </c>
      <c r="W567" s="3"/>
      <c r="X567" s="65"/>
    </row>
    <row r="568" spans="1:24" s="23" customFormat="1" ht="11.25" customHeight="1" x14ac:dyDescent="0.2">
      <c r="A568" s="765"/>
      <c r="C568" s="769"/>
      <c r="D568" s="60"/>
      <c r="F568" s="503">
        <f t="shared" si="64"/>
        <v>5.6200000000000583E-2</v>
      </c>
      <c r="G568" s="503">
        <f t="shared" si="69"/>
        <v>5.6200000000000583E-2</v>
      </c>
      <c r="H568" s="504" t="str">
        <f>H567</f>
        <v>Skócia</v>
      </c>
      <c r="I568" s="509" t="s">
        <v>227</v>
      </c>
      <c r="J568" s="509" t="s">
        <v>1121</v>
      </c>
      <c r="K568" s="508">
        <v>17</v>
      </c>
      <c r="L568" s="509" t="s">
        <v>703</v>
      </c>
      <c r="M568" s="634" t="s">
        <v>825</v>
      </c>
      <c r="N568" s="510" t="s">
        <v>1271</v>
      </c>
      <c r="O568" s="511">
        <v>33693</v>
      </c>
      <c r="P568" s="512">
        <v>29</v>
      </c>
      <c r="Q568" s="513">
        <v>183</v>
      </c>
      <c r="R568" s="514">
        <v>75</v>
      </c>
      <c r="S568" s="64"/>
      <c r="T568" s="297">
        <f t="shared" si="70"/>
        <v>0</v>
      </c>
      <c r="U568" s="518">
        <f t="shared" si="71"/>
        <v>0</v>
      </c>
      <c r="W568" s="1"/>
      <c r="X568" s="65"/>
    </row>
    <row r="569" spans="1:24" s="23" customFormat="1" ht="11.25" customHeight="1" x14ac:dyDescent="0.2">
      <c r="A569" s="765"/>
      <c r="C569" s="769"/>
      <c r="D569" s="60"/>
      <c r="F569" s="503">
        <f t="shared" si="64"/>
        <v>5.6300000000000586E-2</v>
      </c>
      <c r="G569" s="503">
        <f t="shared" si="69"/>
        <v>5.6300000000000586E-2</v>
      </c>
      <c r="H569" s="504" t="str">
        <f t="shared" ref="H569:H596" si="72">H568</f>
        <v>Skócia</v>
      </c>
      <c r="I569" s="509" t="s">
        <v>1156</v>
      </c>
      <c r="J569" s="509" t="s">
        <v>927</v>
      </c>
      <c r="K569" s="508">
        <v>11</v>
      </c>
      <c r="L569" s="509" t="s">
        <v>703</v>
      </c>
      <c r="M569" s="634" t="s">
        <v>934</v>
      </c>
      <c r="N569" s="510" t="s">
        <v>935</v>
      </c>
      <c r="O569" s="511">
        <v>34752</v>
      </c>
      <c r="P569" s="512">
        <v>26</v>
      </c>
      <c r="Q569" s="513">
        <v>178</v>
      </c>
      <c r="R569" s="514">
        <v>70</v>
      </c>
      <c r="S569" s="64"/>
      <c r="T569" s="297">
        <f t="shared" si="70"/>
        <v>0</v>
      </c>
      <c r="U569" s="518">
        <f t="shared" si="71"/>
        <v>0</v>
      </c>
      <c r="W569" s="1"/>
      <c r="X569" s="65"/>
    </row>
    <row r="570" spans="1:24" s="23" customFormat="1" ht="11.25" customHeight="1" x14ac:dyDescent="0.2">
      <c r="A570" s="765"/>
      <c r="C570" s="769"/>
      <c r="D570" s="60"/>
      <c r="F570" s="503">
        <f t="shared" si="64"/>
        <v>5.6400000000000589E-2</v>
      </c>
      <c r="G570" s="503">
        <f t="shared" si="69"/>
        <v>5.6400000000000589E-2</v>
      </c>
      <c r="H570" s="504" t="str">
        <f t="shared" si="72"/>
        <v>Skócia</v>
      </c>
      <c r="I570" s="509" t="s">
        <v>229</v>
      </c>
      <c r="J570" s="509" t="s">
        <v>230</v>
      </c>
      <c r="K570" s="508">
        <v>16</v>
      </c>
      <c r="L570" s="509" t="s">
        <v>1339</v>
      </c>
      <c r="M570" s="634" t="s">
        <v>1122</v>
      </c>
      <c r="N570" s="510" t="s">
        <v>1271</v>
      </c>
      <c r="O570" s="511">
        <v>33480</v>
      </c>
      <c r="P570" s="512">
        <v>29</v>
      </c>
      <c r="Q570" s="513">
        <v>188</v>
      </c>
      <c r="R570" s="514">
        <v>86</v>
      </c>
      <c r="S570" s="64"/>
      <c r="T570" s="297">
        <f t="shared" si="70"/>
        <v>0</v>
      </c>
      <c r="U570" s="518">
        <f t="shared" si="71"/>
        <v>0</v>
      </c>
      <c r="W570" s="1"/>
      <c r="X570" s="65"/>
    </row>
    <row r="571" spans="1:24" s="23" customFormat="1" ht="11.25" customHeight="1" x14ac:dyDescent="0.2">
      <c r="A571" s="765"/>
      <c r="C571" s="769"/>
      <c r="D571" s="60"/>
      <c r="F571" s="503">
        <f t="shared" si="64"/>
        <v>5.6500000000000591E-2</v>
      </c>
      <c r="G571" s="503">
        <f t="shared" si="69"/>
        <v>5.6500000000000591E-2</v>
      </c>
      <c r="H571" s="504" t="str">
        <f t="shared" si="72"/>
        <v>Skócia</v>
      </c>
      <c r="I571" s="509" t="s">
        <v>231</v>
      </c>
      <c r="J571" s="509" t="s">
        <v>232</v>
      </c>
      <c r="K571" s="508">
        <v>9</v>
      </c>
      <c r="L571" s="509" t="s">
        <v>1357</v>
      </c>
      <c r="M571" s="634" t="s">
        <v>233</v>
      </c>
      <c r="N571" s="510" t="s">
        <v>1271</v>
      </c>
      <c r="O571" s="511">
        <v>34979</v>
      </c>
      <c r="P571" s="512">
        <v>25</v>
      </c>
      <c r="Q571" s="513">
        <v>194</v>
      </c>
      <c r="R571" s="514">
        <v>84</v>
      </c>
      <c r="S571" s="64"/>
      <c r="T571" s="297">
        <f t="shared" si="70"/>
        <v>0</v>
      </c>
      <c r="U571" s="518">
        <f t="shared" si="71"/>
        <v>0</v>
      </c>
      <c r="W571" s="1"/>
      <c r="X571" s="65"/>
    </row>
    <row r="572" spans="1:24" s="23" customFormat="1" ht="11.25" customHeight="1" x14ac:dyDescent="0.2">
      <c r="A572" s="765"/>
      <c r="C572" s="769"/>
      <c r="D572" s="60"/>
      <c r="F572" s="503">
        <f t="shared" si="64"/>
        <v>5.6600000000000594E-2</v>
      </c>
      <c r="G572" s="503">
        <f t="shared" si="69"/>
        <v>5.6600000000000594E-2</v>
      </c>
      <c r="H572" s="504" t="str">
        <f t="shared" si="72"/>
        <v>Skócia</v>
      </c>
      <c r="I572" s="509" t="s">
        <v>234</v>
      </c>
      <c r="J572" s="509" t="s">
        <v>1220</v>
      </c>
      <c r="K572" s="508">
        <v>14</v>
      </c>
      <c r="L572" s="509" t="s">
        <v>703</v>
      </c>
      <c r="M572" s="634" t="s">
        <v>1397</v>
      </c>
      <c r="N572" s="510" t="s">
        <v>1271</v>
      </c>
      <c r="O572" s="511">
        <v>33474</v>
      </c>
      <c r="P572" s="512">
        <v>29</v>
      </c>
      <c r="Q572" s="513">
        <v>171</v>
      </c>
      <c r="R572" s="514">
        <v>73</v>
      </c>
      <c r="S572" s="64"/>
      <c r="T572" s="297">
        <f t="shared" si="70"/>
        <v>0</v>
      </c>
      <c r="U572" s="518">
        <f t="shared" si="71"/>
        <v>0</v>
      </c>
      <c r="W572" s="1"/>
      <c r="X572" s="65"/>
    </row>
    <row r="573" spans="1:24" s="23" customFormat="1" ht="11.25" customHeight="1" x14ac:dyDescent="0.2">
      <c r="A573" s="765"/>
      <c r="C573" s="769"/>
      <c r="D573" s="60"/>
      <c r="F573" s="503">
        <f t="shared" si="64"/>
        <v>5.6700000000000597E-2</v>
      </c>
      <c r="G573" s="503">
        <f t="shared" si="69"/>
        <v>5.6700000000000597E-2</v>
      </c>
      <c r="H573" s="504" t="str">
        <f t="shared" si="72"/>
        <v>Skócia</v>
      </c>
      <c r="I573" s="509" t="s">
        <v>235</v>
      </c>
      <c r="J573" s="509" t="s">
        <v>923</v>
      </c>
      <c r="K573" s="508">
        <v>25</v>
      </c>
      <c r="L573" s="509" t="s">
        <v>1357</v>
      </c>
      <c r="M573" s="634" t="s">
        <v>934</v>
      </c>
      <c r="N573" s="510" t="s">
        <v>935</v>
      </c>
      <c r="O573" s="511">
        <v>34389</v>
      </c>
      <c r="P573" s="512">
        <v>27</v>
      </c>
      <c r="Q573" s="513">
        <v>175</v>
      </c>
      <c r="R573" s="514">
        <v>68</v>
      </c>
      <c r="S573" s="64"/>
      <c r="T573" s="297">
        <f t="shared" si="70"/>
        <v>0</v>
      </c>
      <c r="U573" s="518">
        <f t="shared" si="71"/>
        <v>0</v>
      </c>
      <c r="W573" s="1"/>
      <c r="X573" s="65"/>
    </row>
    <row r="574" spans="1:24" s="23" customFormat="1" ht="11.25" customHeight="1" x14ac:dyDescent="0.2">
      <c r="A574" s="765"/>
      <c r="C574" s="769"/>
      <c r="D574" s="60"/>
      <c r="E574" s="66"/>
      <c r="F574" s="503">
        <f t="shared" si="64"/>
        <v>5.68000000000006E-2</v>
      </c>
      <c r="G574" s="503">
        <f t="shared" si="69"/>
        <v>5.68000000000006E-2</v>
      </c>
      <c r="H574" s="504" t="str">
        <f t="shared" si="72"/>
        <v>Skócia</v>
      </c>
      <c r="I574" s="509" t="s">
        <v>1060</v>
      </c>
      <c r="J574" s="509" t="s">
        <v>927</v>
      </c>
      <c r="K574" s="508">
        <v>20</v>
      </c>
      <c r="L574" s="509" t="s">
        <v>1357</v>
      </c>
      <c r="M574" s="634" t="s">
        <v>910</v>
      </c>
      <c r="N574" s="510" t="s">
        <v>1271</v>
      </c>
      <c r="O574" s="511">
        <v>34389</v>
      </c>
      <c r="P574" s="512">
        <v>27</v>
      </c>
      <c r="Q574" s="513">
        <v>163</v>
      </c>
      <c r="R574" s="514">
        <v>70</v>
      </c>
      <c r="S574" s="64"/>
      <c r="T574" s="297">
        <f t="shared" si="70"/>
        <v>0</v>
      </c>
      <c r="U574" s="518">
        <f t="shared" si="71"/>
        <v>0</v>
      </c>
      <c r="W574" s="1"/>
      <c r="X574" s="65"/>
    </row>
    <row r="575" spans="1:24" s="23" customFormat="1" ht="11.25" customHeight="1" x14ac:dyDescent="0.2">
      <c r="A575" s="765"/>
      <c r="C575" s="769"/>
      <c r="D575" s="60"/>
      <c r="F575" s="503">
        <f t="shared" si="64"/>
        <v>5.6900000000000603E-2</v>
      </c>
      <c r="G575" s="503">
        <f t="shared" si="69"/>
        <v>5.6900000000000603E-2</v>
      </c>
      <c r="H575" s="504" t="str">
        <f t="shared" si="72"/>
        <v>Skócia</v>
      </c>
      <c r="I575" s="509" t="s">
        <v>236</v>
      </c>
      <c r="J575" s="509" t="s">
        <v>202</v>
      </c>
      <c r="K575" s="508">
        <v>15</v>
      </c>
      <c r="L575" s="509" t="s">
        <v>1339</v>
      </c>
      <c r="M575" s="634" t="s">
        <v>237</v>
      </c>
      <c r="N575" s="510" t="s">
        <v>935</v>
      </c>
      <c r="O575" s="511">
        <v>33282</v>
      </c>
      <c r="P575" s="512">
        <v>30</v>
      </c>
      <c r="Q575" s="513">
        <v>196</v>
      </c>
      <c r="R575" s="514">
        <v>93</v>
      </c>
      <c r="S575" s="64"/>
      <c r="T575" s="297">
        <f t="shared" si="70"/>
        <v>0</v>
      </c>
      <c r="U575" s="518">
        <f t="shared" si="71"/>
        <v>0</v>
      </c>
      <c r="W575" s="1"/>
      <c r="X575" s="65"/>
    </row>
    <row r="576" spans="1:24" s="23" customFormat="1" ht="11.25" customHeight="1" x14ac:dyDescent="0.2">
      <c r="A576" s="765"/>
      <c r="C576" s="769"/>
      <c r="D576" s="60"/>
      <c r="F576" s="503">
        <f t="shared" si="64"/>
        <v>5.7000000000000606E-2</v>
      </c>
      <c r="G576" s="503">
        <f t="shared" si="69"/>
        <v>5.7000000000000606E-2</v>
      </c>
      <c r="H576" s="504" t="str">
        <f t="shared" si="72"/>
        <v>Skócia</v>
      </c>
      <c r="I576" s="509" t="s">
        <v>1719</v>
      </c>
      <c r="J576" s="509" t="s">
        <v>1720</v>
      </c>
      <c r="K576" s="508">
        <v>23</v>
      </c>
      <c r="L576" s="509" t="s">
        <v>703</v>
      </c>
      <c r="M576" s="634" t="s">
        <v>794</v>
      </c>
      <c r="N576" s="510" t="s">
        <v>1271</v>
      </c>
      <c r="O576" s="511">
        <v>37053</v>
      </c>
      <c r="P576" s="512">
        <v>20</v>
      </c>
      <c r="Q576" s="513">
        <v>170</v>
      </c>
      <c r="R576" s="514">
        <v>60</v>
      </c>
      <c r="S576" s="64"/>
      <c r="T576" s="297">
        <f t="shared" si="70"/>
        <v>0</v>
      </c>
      <c r="U576" s="518">
        <f t="shared" si="71"/>
        <v>0</v>
      </c>
      <c r="W576" s="1"/>
      <c r="X576" s="65"/>
    </row>
    <row r="577" spans="1:24" s="23" customFormat="1" ht="11.25" customHeight="1" x14ac:dyDescent="0.2">
      <c r="A577" s="765"/>
      <c r="C577" s="769"/>
      <c r="D577" s="60"/>
      <c r="F577" s="503">
        <f t="shared" si="64"/>
        <v>5.7100000000000609E-2</v>
      </c>
      <c r="G577" s="503">
        <f t="shared" si="69"/>
        <v>5.7100000000000609E-2</v>
      </c>
      <c r="H577" s="504" t="str">
        <f t="shared" si="72"/>
        <v>Skócia</v>
      </c>
      <c r="I577" s="509" t="s">
        <v>597</v>
      </c>
      <c r="J577" s="509" t="s">
        <v>1120</v>
      </c>
      <c r="K577" s="508">
        <v>12</v>
      </c>
      <c r="L577" s="509" t="s">
        <v>704</v>
      </c>
      <c r="M577" s="634" t="s">
        <v>238</v>
      </c>
      <c r="N577" s="510" t="s">
        <v>935</v>
      </c>
      <c r="O577" s="511">
        <v>30316</v>
      </c>
      <c r="P577" s="512">
        <v>38</v>
      </c>
      <c r="Q577" s="513">
        <v>193</v>
      </c>
      <c r="R577" s="514">
        <v>83</v>
      </c>
      <c r="S577" s="64"/>
      <c r="T577" s="297">
        <f t="shared" si="70"/>
        <v>0</v>
      </c>
      <c r="U577" s="518">
        <f t="shared" si="71"/>
        <v>0</v>
      </c>
      <c r="W577" s="1"/>
      <c r="X577" s="65"/>
    </row>
    <row r="578" spans="1:24" s="23" customFormat="1" ht="11.25" customHeight="1" x14ac:dyDescent="0.2">
      <c r="A578" s="765"/>
      <c r="C578" s="769"/>
      <c r="D578" s="60"/>
      <c r="F578" s="503">
        <f t="shared" si="64"/>
        <v>5.7200000000000611E-2</v>
      </c>
      <c r="G578" s="503">
        <f t="shared" si="69"/>
        <v>5.7200000000000611E-2</v>
      </c>
      <c r="H578" s="504" t="str">
        <f t="shared" si="72"/>
        <v>Skócia</v>
      </c>
      <c r="I578" s="509" t="s">
        <v>239</v>
      </c>
      <c r="J578" s="509" t="s">
        <v>240</v>
      </c>
      <c r="K578" s="508">
        <v>5</v>
      </c>
      <c r="L578" s="509" t="s">
        <v>1339</v>
      </c>
      <c r="M578" s="634" t="s">
        <v>909</v>
      </c>
      <c r="N578" s="510" t="s">
        <v>1271</v>
      </c>
      <c r="O578" s="511">
        <v>33562</v>
      </c>
      <c r="P578" s="512">
        <v>29</v>
      </c>
      <c r="Q578" s="513">
        <v>187</v>
      </c>
      <c r="R578" s="514">
        <v>81</v>
      </c>
      <c r="S578" s="64"/>
      <c r="T578" s="297">
        <f t="shared" si="70"/>
        <v>0</v>
      </c>
      <c r="U578" s="518">
        <f t="shared" si="71"/>
        <v>0</v>
      </c>
      <c r="W578" s="1"/>
      <c r="X578" s="65"/>
    </row>
    <row r="579" spans="1:24" s="23" customFormat="1" ht="11.25" customHeight="1" x14ac:dyDescent="0.2">
      <c r="A579" s="765"/>
      <c r="C579" s="769"/>
      <c r="D579" s="60"/>
      <c r="F579" s="503">
        <f t="shared" si="64"/>
        <v>5.7300000000000614E-2</v>
      </c>
      <c r="G579" s="503">
        <f t="shared" si="69"/>
        <v>5.7300000000000614E-2</v>
      </c>
      <c r="H579" s="504" t="str">
        <f t="shared" si="72"/>
        <v>Skócia</v>
      </c>
      <c r="I579" s="509" t="s">
        <v>1721</v>
      </c>
      <c r="J579" s="509" t="s">
        <v>190</v>
      </c>
      <c r="K579" s="508">
        <v>24</v>
      </c>
      <c r="L579" s="509" t="s">
        <v>1339</v>
      </c>
      <c r="M579" s="634" t="s">
        <v>1722</v>
      </c>
      <c r="N579" s="510" t="s">
        <v>860</v>
      </c>
      <c r="O579" s="511">
        <v>34826</v>
      </c>
      <c r="P579" s="512">
        <v>26</v>
      </c>
      <c r="Q579" s="513">
        <v>193</v>
      </c>
      <c r="R579" s="514">
        <v>86</v>
      </c>
      <c r="S579" s="64"/>
      <c r="T579" s="297">
        <f t="shared" si="70"/>
        <v>0</v>
      </c>
      <c r="U579" s="518">
        <f t="shared" si="71"/>
        <v>0</v>
      </c>
      <c r="W579" s="1"/>
      <c r="X579" s="65"/>
    </row>
    <row r="580" spans="1:24" s="23" customFormat="1" ht="11.25" customHeight="1" x14ac:dyDescent="0.2">
      <c r="A580" s="765"/>
      <c r="C580" s="769"/>
      <c r="D580" s="60"/>
      <c r="F580" s="503">
        <f t="shared" si="64"/>
        <v>5.7400000000000617E-2</v>
      </c>
      <c r="G580" s="503">
        <f t="shared" si="69"/>
        <v>5.7400000000000617E-2</v>
      </c>
      <c r="H580" s="504" t="str">
        <f t="shared" si="72"/>
        <v>Skócia</v>
      </c>
      <c r="I580" s="509" t="s">
        <v>241</v>
      </c>
      <c r="J580" s="509" t="s">
        <v>864</v>
      </c>
      <c r="K580" s="508">
        <v>1</v>
      </c>
      <c r="L580" s="509" t="s">
        <v>704</v>
      </c>
      <c r="M580" s="634" t="s">
        <v>1119</v>
      </c>
      <c r="N580" s="510" t="s">
        <v>1271</v>
      </c>
      <c r="O580" s="511">
        <v>31111</v>
      </c>
      <c r="P580" s="512">
        <v>36</v>
      </c>
      <c r="Q580" s="513">
        <v>190</v>
      </c>
      <c r="R580" s="514">
        <v>93</v>
      </c>
      <c r="S580" s="64"/>
      <c r="T580" s="297">
        <f t="shared" si="70"/>
        <v>0</v>
      </c>
      <c r="U580" s="518">
        <f t="shared" si="71"/>
        <v>0</v>
      </c>
      <c r="W580" s="1"/>
      <c r="X580" s="65"/>
    </row>
    <row r="581" spans="1:24" s="23" customFormat="1" ht="11.25" customHeight="1" x14ac:dyDescent="0.2">
      <c r="A581" s="765"/>
      <c r="C581" s="769"/>
      <c r="D581" s="60"/>
      <c r="F581" s="503">
        <f t="shared" si="64"/>
        <v>5.750000000000062E-2</v>
      </c>
      <c r="G581" s="503">
        <f t="shared" si="69"/>
        <v>5.750000000000062E-2</v>
      </c>
      <c r="H581" s="504" t="str">
        <f t="shared" si="72"/>
        <v>Skócia</v>
      </c>
      <c r="I581" s="509" t="s">
        <v>1123</v>
      </c>
      <c r="J581" s="509" t="s">
        <v>1220</v>
      </c>
      <c r="K581" s="508">
        <v>7</v>
      </c>
      <c r="L581" s="509" t="s">
        <v>703</v>
      </c>
      <c r="M581" s="634" t="s">
        <v>913</v>
      </c>
      <c r="N581" s="510" t="s">
        <v>1271</v>
      </c>
      <c r="O581" s="511">
        <v>34625</v>
      </c>
      <c r="P581" s="512">
        <v>26</v>
      </c>
      <c r="Q581" s="513">
        <v>178</v>
      </c>
      <c r="R581" s="514">
        <v>68</v>
      </c>
      <c r="S581" s="64"/>
      <c r="T581" s="297">
        <f t="shared" si="70"/>
        <v>0</v>
      </c>
      <c r="U581" s="518">
        <f t="shared" si="71"/>
        <v>0</v>
      </c>
      <c r="W581" s="1"/>
      <c r="X581" s="65"/>
    </row>
    <row r="582" spans="1:24" s="23" customFormat="1" ht="11.25" customHeight="1" x14ac:dyDescent="0.2">
      <c r="A582" s="765"/>
      <c r="C582" s="769"/>
      <c r="D582" s="60"/>
      <c r="F582" s="503">
        <f t="shared" si="64"/>
        <v>5.7600000000000623E-2</v>
      </c>
      <c r="G582" s="503">
        <f t="shared" si="69"/>
        <v>5.7600000000000623E-2</v>
      </c>
      <c r="H582" s="504" t="str">
        <f t="shared" si="72"/>
        <v>Skócia</v>
      </c>
      <c r="I582" s="509" t="s">
        <v>242</v>
      </c>
      <c r="J582" s="509" t="s">
        <v>243</v>
      </c>
      <c r="K582" s="508">
        <v>8</v>
      </c>
      <c r="L582" s="509" t="s">
        <v>703</v>
      </c>
      <c r="M582" s="634" t="s">
        <v>934</v>
      </c>
      <c r="N582" s="510" t="s">
        <v>935</v>
      </c>
      <c r="O582" s="511">
        <v>34134</v>
      </c>
      <c r="P582" s="512">
        <v>27</v>
      </c>
      <c r="Q582" s="513">
        <v>178</v>
      </c>
      <c r="R582" s="514">
        <v>73</v>
      </c>
      <c r="S582" s="64"/>
      <c r="T582" s="297">
        <f t="shared" si="70"/>
        <v>0</v>
      </c>
      <c r="U582" s="518">
        <f t="shared" si="71"/>
        <v>0</v>
      </c>
      <c r="W582" s="1"/>
      <c r="X582" s="65"/>
    </row>
    <row r="583" spans="1:24" s="23" customFormat="1" ht="11.25" customHeight="1" x14ac:dyDescent="0.2">
      <c r="A583" s="765"/>
      <c r="C583" s="769"/>
      <c r="D583" s="60"/>
      <c r="F583" s="503">
        <f t="shared" si="64"/>
        <v>5.7700000000000626E-2</v>
      </c>
      <c r="G583" s="503">
        <f t="shared" si="69"/>
        <v>5.7700000000000626E-2</v>
      </c>
      <c r="H583" s="504" t="str">
        <f t="shared" si="72"/>
        <v>Skócia</v>
      </c>
      <c r="I583" s="509" t="s">
        <v>244</v>
      </c>
      <c r="J583" s="509" t="s">
        <v>245</v>
      </c>
      <c r="K583" s="508">
        <v>26</v>
      </c>
      <c r="L583" s="509" t="s">
        <v>1339</v>
      </c>
      <c r="M583" s="634" t="s">
        <v>580</v>
      </c>
      <c r="N583" s="510" t="s">
        <v>1271</v>
      </c>
      <c r="O583" s="511">
        <v>35381</v>
      </c>
      <c r="P583" s="512">
        <v>24</v>
      </c>
      <c r="Q583" s="513">
        <v>188</v>
      </c>
      <c r="R583" s="514">
        <v>73</v>
      </c>
      <c r="S583" s="64"/>
      <c r="T583" s="297">
        <f t="shared" si="70"/>
        <v>0</v>
      </c>
      <c r="U583" s="518">
        <f t="shared" si="71"/>
        <v>0</v>
      </c>
      <c r="W583" s="1"/>
      <c r="X583" s="65"/>
    </row>
    <row r="584" spans="1:24" s="23" customFormat="1" ht="11.25" customHeight="1" x14ac:dyDescent="0.2">
      <c r="A584" s="765"/>
      <c r="C584" s="769"/>
      <c r="D584" s="60"/>
      <c r="F584" s="503">
        <f t="shared" si="64"/>
        <v>5.7800000000000629E-2</v>
      </c>
      <c r="G584" s="503">
        <f t="shared" si="69"/>
        <v>5.7800000000000629E-2</v>
      </c>
      <c r="H584" s="504" t="str">
        <f t="shared" si="72"/>
        <v>Skócia</v>
      </c>
      <c r="I584" s="509" t="s">
        <v>591</v>
      </c>
      <c r="J584" s="509" t="s">
        <v>246</v>
      </c>
      <c r="K584" s="508">
        <v>21</v>
      </c>
      <c r="L584" s="509" t="s">
        <v>704</v>
      </c>
      <c r="M584" s="634" t="s">
        <v>4</v>
      </c>
      <c r="N584" s="510" t="s">
        <v>935</v>
      </c>
      <c r="O584" s="511">
        <v>32029</v>
      </c>
      <c r="P584" s="512">
        <v>33</v>
      </c>
      <c r="Q584" s="513">
        <v>191</v>
      </c>
      <c r="R584" s="514">
        <v>83</v>
      </c>
      <c r="S584" s="64"/>
      <c r="T584" s="297">
        <f t="shared" si="70"/>
        <v>0</v>
      </c>
      <c r="U584" s="518">
        <f t="shared" si="71"/>
        <v>0</v>
      </c>
      <c r="W584" s="1"/>
      <c r="X584" s="65"/>
    </row>
    <row r="585" spans="1:24" s="23" customFormat="1" ht="11.25" customHeight="1" x14ac:dyDescent="0.2">
      <c r="A585" s="765"/>
      <c r="C585" s="769"/>
      <c r="D585" s="60"/>
      <c r="F585" s="503">
        <f t="shared" ref="F585:F648" si="73">F584+0.0001</f>
        <v>5.7900000000000632E-2</v>
      </c>
      <c r="G585" s="503">
        <f t="shared" si="69"/>
        <v>5.7900000000000632E-2</v>
      </c>
      <c r="H585" s="504" t="str">
        <f t="shared" si="72"/>
        <v>Skócia</v>
      </c>
      <c r="I585" s="509" t="s">
        <v>247</v>
      </c>
      <c r="J585" s="509" t="s">
        <v>245</v>
      </c>
      <c r="K585" s="508">
        <v>4</v>
      </c>
      <c r="L585" s="509" t="s">
        <v>703</v>
      </c>
      <c r="M585" s="634" t="s">
        <v>853</v>
      </c>
      <c r="N585" s="510" t="s">
        <v>1271</v>
      </c>
      <c r="O585" s="511">
        <v>35407</v>
      </c>
      <c r="P585" s="512">
        <v>24</v>
      </c>
      <c r="Q585" s="513">
        <v>193</v>
      </c>
      <c r="R585" s="514">
        <v>85</v>
      </c>
      <c r="S585" s="64"/>
      <c r="T585" s="297">
        <f t="shared" si="70"/>
        <v>0</v>
      </c>
      <c r="U585" s="518">
        <f t="shared" si="71"/>
        <v>0</v>
      </c>
      <c r="W585" s="1"/>
      <c r="X585" s="65"/>
    </row>
    <row r="586" spans="1:24" s="23" customFormat="1" ht="11.25" customHeight="1" x14ac:dyDescent="0.2">
      <c r="A586" s="765"/>
      <c r="C586" s="769"/>
      <c r="D586" s="60"/>
      <c r="F586" s="503">
        <f t="shared" si="73"/>
        <v>5.8000000000000634E-2</v>
      </c>
      <c r="G586" s="503">
        <f t="shared" si="69"/>
        <v>5.8000000000000634E-2</v>
      </c>
      <c r="H586" s="504" t="str">
        <f t="shared" si="72"/>
        <v>Skócia</v>
      </c>
      <c r="I586" s="509" t="s">
        <v>1723</v>
      </c>
      <c r="J586" s="509" t="s">
        <v>1094</v>
      </c>
      <c r="K586" s="508">
        <v>19</v>
      </c>
      <c r="L586" s="509" t="s">
        <v>1357</v>
      </c>
      <c r="M586" s="634" t="s">
        <v>1724</v>
      </c>
      <c r="N586" s="510" t="s">
        <v>935</v>
      </c>
      <c r="O586" s="511">
        <v>35497</v>
      </c>
      <c r="P586" s="512">
        <v>24</v>
      </c>
      <c r="Q586" s="513">
        <v>180</v>
      </c>
      <c r="R586" s="514">
        <v>70</v>
      </c>
      <c r="S586" s="64"/>
      <c r="T586" s="297">
        <f t="shared" si="70"/>
        <v>0</v>
      </c>
      <c r="U586" s="518">
        <f t="shared" si="71"/>
        <v>0</v>
      </c>
      <c r="W586" s="1"/>
      <c r="X586" s="65"/>
    </row>
    <row r="587" spans="1:24" s="23" customFormat="1" ht="11.25" customHeight="1" x14ac:dyDescent="0.2">
      <c r="A587" s="765"/>
      <c r="C587" s="769"/>
      <c r="D587" s="60"/>
      <c r="F587" s="503">
        <f t="shared" si="73"/>
        <v>5.8100000000000637E-2</v>
      </c>
      <c r="G587" s="503">
        <f t="shared" si="69"/>
        <v>5.8100000000000637E-2</v>
      </c>
      <c r="H587" s="504" t="str">
        <f t="shared" si="72"/>
        <v>Skócia</v>
      </c>
      <c r="I587" s="509" t="s">
        <v>248</v>
      </c>
      <c r="J587" s="509" t="s">
        <v>609</v>
      </c>
      <c r="K587" s="508">
        <v>2</v>
      </c>
      <c r="L587" s="509" t="s">
        <v>1339</v>
      </c>
      <c r="M587" s="634" t="s">
        <v>237</v>
      </c>
      <c r="N587" s="510" t="s">
        <v>935</v>
      </c>
      <c r="O587" s="511">
        <v>33735</v>
      </c>
      <c r="P587" s="512">
        <v>29</v>
      </c>
      <c r="Q587" s="513">
        <v>188</v>
      </c>
      <c r="R587" s="514">
        <v>88</v>
      </c>
      <c r="S587" s="64"/>
      <c r="T587" s="297">
        <f t="shared" si="70"/>
        <v>0</v>
      </c>
      <c r="U587" s="518">
        <f t="shared" si="71"/>
        <v>0</v>
      </c>
      <c r="W587" s="1"/>
      <c r="X587" s="65"/>
    </row>
    <row r="588" spans="1:24" s="23" customFormat="1" ht="11.25" customHeight="1" x14ac:dyDescent="0.2">
      <c r="A588" s="765"/>
      <c r="C588" s="769"/>
      <c r="D588" s="60"/>
      <c r="F588" s="503">
        <f t="shared" si="73"/>
        <v>5.820000000000064E-2</v>
      </c>
      <c r="G588" s="503">
        <f t="shared" si="69"/>
        <v>5.820000000000064E-2</v>
      </c>
      <c r="H588" s="504" t="str">
        <f t="shared" si="72"/>
        <v>Skócia</v>
      </c>
      <c r="I588" s="509" t="s">
        <v>1725</v>
      </c>
      <c r="J588" s="509" t="s">
        <v>69</v>
      </c>
      <c r="K588" s="508">
        <v>22</v>
      </c>
      <c r="L588" s="509" t="s">
        <v>1339</v>
      </c>
      <c r="M588" s="634" t="s">
        <v>4</v>
      </c>
      <c r="N588" s="510" t="s">
        <v>935</v>
      </c>
      <c r="O588" s="511">
        <v>37180</v>
      </c>
      <c r="P588" s="512">
        <v>19</v>
      </c>
      <c r="Q588" s="513">
        <v>183</v>
      </c>
      <c r="R588" s="514">
        <v>72</v>
      </c>
      <c r="S588" s="64"/>
      <c r="T588" s="297">
        <f t="shared" si="70"/>
        <v>0</v>
      </c>
      <c r="U588" s="518">
        <f t="shared" si="71"/>
        <v>0</v>
      </c>
      <c r="W588" s="1"/>
      <c r="X588" s="65"/>
    </row>
    <row r="589" spans="1:24" s="23" customFormat="1" ht="11.25" customHeight="1" x14ac:dyDescent="0.2">
      <c r="A589" s="765"/>
      <c r="C589" s="769"/>
      <c r="D589" s="60"/>
      <c r="F589" s="503">
        <f t="shared" si="73"/>
        <v>5.8300000000000643E-2</v>
      </c>
      <c r="G589" s="503">
        <f t="shared" si="69"/>
        <v>5.8300000000000643E-2</v>
      </c>
      <c r="H589" s="504" t="str">
        <f t="shared" si="72"/>
        <v>Skócia</v>
      </c>
      <c r="I589" s="509" t="s">
        <v>1726</v>
      </c>
      <c r="J589" s="509" t="s">
        <v>228</v>
      </c>
      <c r="K589" s="508">
        <v>3</v>
      </c>
      <c r="L589" s="509" t="s">
        <v>1339</v>
      </c>
      <c r="M589" s="634" t="s">
        <v>751</v>
      </c>
      <c r="N589" s="510" t="s">
        <v>1271</v>
      </c>
      <c r="O589" s="511">
        <v>34404</v>
      </c>
      <c r="P589" s="512">
        <v>27</v>
      </c>
      <c r="Q589" s="513">
        <v>178</v>
      </c>
      <c r="R589" s="514">
        <v>64</v>
      </c>
      <c r="S589" s="64"/>
      <c r="T589" s="297">
        <f t="shared" si="70"/>
        <v>0</v>
      </c>
      <c r="U589" s="518">
        <f t="shared" si="71"/>
        <v>0</v>
      </c>
      <c r="W589" s="640"/>
      <c r="X589" s="65"/>
    </row>
    <row r="590" spans="1:24" s="23" customFormat="1" ht="11.25" customHeight="1" x14ac:dyDescent="0.2">
      <c r="A590" s="765"/>
      <c r="C590" s="769"/>
      <c r="D590" s="60"/>
      <c r="F590" s="503">
        <f t="shared" si="73"/>
        <v>5.8400000000000646E-2</v>
      </c>
      <c r="G590" s="503">
        <f t="shared" si="69"/>
        <v>5.8400000000000646E-2</v>
      </c>
      <c r="H590" s="504" t="str">
        <f t="shared" si="72"/>
        <v>Skócia</v>
      </c>
      <c r="I590" s="509" t="s">
        <v>1566</v>
      </c>
      <c r="J590" s="509" t="s">
        <v>1727</v>
      </c>
      <c r="K590" s="508">
        <v>13</v>
      </c>
      <c r="L590" s="509" t="s">
        <v>1339</v>
      </c>
      <c r="M590" s="634" t="s">
        <v>934</v>
      </c>
      <c r="N590" s="510" t="s">
        <v>935</v>
      </c>
      <c r="O590" s="511">
        <v>35739</v>
      </c>
      <c r="P590" s="512">
        <v>23</v>
      </c>
      <c r="Q590" s="513">
        <v>175</v>
      </c>
      <c r="R590" s="514">
        <v>62</v>
      </c>
      <c r="S590" s="64"/>
      <c r="T590" s="297">
        <f t="shared" si="70"/>
        <v>0</v>
      </c>
      <c r="U590" s="518">
        <f t="shared" si="71"/>
        <v>0</v>
      </c>
      <c r="W590" s="640"/>
      <c r="X590" s="65"/>
    </row>
    <row r="591" spans="1:24" s="23" customFormat="1" ht="11.25" customHeight="1" x14ac:dyDescent="0.2">
      <c r="A591" s="765"/>
      <c r="C591" s="769"/>
      <c r="D591" s="60"/>
      <c r="F591" s="503">
        <f t="shared" si="73"/>
        <v>5.8500000000000649E-2</v>
      </c>
      <c r="G591" s="503">
        <f t="shared" si="69"/>
        <v>5.8500000000000649E-2</v>
      </c>
      <c r="H591" s="504" t="str">
        <f t="shared" si="72"/>
        <v>Skócia</v>
      </c>
      <c r="I591" s="509" t="s">
        <v>1728</v>
      </c>
      <c r="J591" s="509" t="s">
        <v>1703</v>
      </c>
      <c r="K591" s="508">
        <v>6</v>
      </c>
      <c r="L591" s="509" t="s">
        <v>1339</v>
      </c>
      <c r="M591" s="634" t="s">
        <v>862</v>
      </c>
      <c r="N591" s="510" t="s">
        <v>1271</v>
      </c>
      <c r="O591" s="511">
        <v>35586</v>
      </c>
      <c r="P591" s="512">
        <v>24</v>
      </c>
      <c r="Q591" s="513">
        <v>178</v>
      </c>
      <c r="R591" s="514">
        <v>70</v>
      </c>
      <c r="S591" s="64"/>
      <c r="T591" s="297">
        <f t="shared" si="70"/>
        <v>0</v>
      </c>
      <c r="U591" s="518">
        <f t="shared" si="71"/>
        <v>0</v>
      </c>
      <c r="W591" s="640"/>
      <c r="X591" s="65"/>
    </row>
    <row r="592" spans="1:24" s="23" customFormat="1" ht="11.25" customHeight="1" x14ac:dyDescent="0.2">
      <c r="A592" s="765"/>
      <c r="C592" s="769"/>
      <c r="D592" s="60"/>
      <c r="F592" s="503">
        <f t="shared" si="73"/>
        <v>5.8600000000000652E-2</v>
      </c>
      <c r="G592" s="503">
        <f t="shared" si="69"/>
        <v>5.8600000000000652E-2</v>
      </c>
      <c r="H592" s="504" t="str">
        <f t="shared" si="72"/>
        <v>Skócia</v>
      </c>
      <c r="I592" s="555" t="s">
        <v>1729</v>
      </c>
      <c r="J592" s="555" t="s">
        <v>864</v>
      </c>
      <c r="K592" s="554">
        <v>18</v>
      </c>
      <c r="L592" s="555" t="s">
        <v>703</v>
      </c>
      <c r="M592" s="635" t="s">
        <v>934</v>
      </c>
      <c r="N592" s="556" t="s">
        <v>935</v>
      </c>
      <c r="O592" s="557">
        <v>36351</v>
      </c>
      <c r="P592" s="558">
        <v>21</v>
      </c>
      <c r="Q592" s="559">
        <v>185</v>
      </c>
      <c r="R592" s="560">
        <v>75</v>
      </c>
      <c r="S592" s="64"/>
      <c r="T592" s="297">
        <f t="shared" si="70"/>
        <v>0</v>
      </c>
      <c r="U592" s="518">
        <f t="shared" si="71"/>
        <v>0</v>
      </c>
      <c r="W592" s="640"/>
      <c r="X592" s="65"/>
    </row>
    <row r="593" spans="1:24" s="23" customFormat="1" ht="9.75" hidden="1" customHeight="1" x14ac:dyDescent="0.2">
      <c r="A593" s="765"/>
      <c r="C593" s="769"/>
      <c r="D593" s="60"/>
      <c r="F593" s="503">
        <f t="shared" si="73"/>
        <v>5.8700000000000654E-2</v>
      </c>
      <c r="G593" s="503">
        <f t="shared" si="69"/>
        <v>0</v>
      </c>
      <c r="H593" s="504" t="str">
        <f t="shared" si="72"/>
        <v>Skócia</v>
      </c>
      <c r="I593" s="61"/>
      <c r="J593" s="61"/>
      <c r="K593" s="295"/>
      <c r="L593" s="61"/>
      <c r="M593" s="633"/>
      <c r="N593" s="256"/>
      <c r="O593" s="62"/>
      <c r="P593" s="253"/>
      <c r="Q593" s="63"/>
      <c r="R593" s="252"/>
      <c r="S593" s="64"/>
      <c r="T593" s="297" t="str">
        <f t="shared" si="70"/>
        <v/>
      </c>
      <c r="U593" s="518" t="str">
        <f t="shared" si="71"/>
        <v/>
      </c>
      <c r="W593" s="640"/>
      <c r="X593" s="65"/>
    </row>
    <row r="594" spans="1:24" s="23" customFormat="1" ht="9.75" hidden="1" customHeight="1" x14ac:dyDescent="0.2">
      <c r="A594" s="765"/>
      <c r="C594" s="769"/>
      <c r="D594" s="60"/>
      <c r="F594" s="503">
        <f t="shared" si="73"/>
        <v>5.8800000000000657E-2</v>
      </c>
      <c r="G594" s="503">
        <f t="shared" si="69"/>
        <v>0</v>
      </c>
      <c r="H594" s="504" t="str">
        <f t="shared" si="72"/>
        <v>Skócia</v>
      </c>
      <c r="I594" s="61"/>
      <c r="J594" s="61"/>
      <c r="K594" s="295"/>
      <c r="L594" s="61"/>
      <c r="M594" s="633"/>
      <c r="N594" s="256"/>
      <c r="O594" s="62"/>
      <c r="P594" s="253"/>
      <c r="Q594" s="63"/>
      <c r="R594" s="252"/>
      <c r="S594" s="64"/>
      <c r="T594" s="297" t="str">
        <f t="shared" si="70"/>
        <v/>
      </c>
      <c r="U594" s="518" t="str">
        <f t="shared" si="71"/>
        <v/>
      </c>
      <c r="W594" s="640"/>
      <c r="X594" s="65"/>
    </row>
    <row r="595" spans="1:24" s="23" customFormat="1" ht="9.75" hidden="1" customHeight="1" x14ac:dyDescent="0.2">
      <c r="A595" s="765"/>
      <c r="C595" s="769"/>
      <c r="D595" s="60"/>
      <c r="F595" s="503">
        <f t="shared" si="73"/>
        <v>5.890000000000066E-2</v>
      </c>
      <c r="G595" s="503">
        <f t="shared" si="69"/>
        <v>0</v>
      </c>
      <c r="H595" s="504" t="str">
        <f t="shared" si="72"/>
        <v>Skócia</v>
      </c>
      <c r="I595" s="61"/>
      <c r="J595" s="61"/>
      <c r="K595" s="295"/>
      <c r="L595" s="61"/>
      <c r="M595" s="633"/>
      <c r="N595" s="256"/>
      <c r="O595" s="62"/>
      <c r="P595" s="253"/>
      <c r="Q595" s="63"/>
      <c r="R595" s="252"/>
      <c r="S595" s="64"/>
      <c r="T595" s="297" t="str">
        <f t="shared" si="70"/>
        <v/>
      </c>
      <c r="U595" s="518" t="str">
        <f t="shared" si="71"/>
        <v/>
      </c>
      <c r="W595" s="640"/>
      <c r="X595" s="65"/>
    </row>
    <row r="596" spans="1:24" s="23" customFormat="1" ht="9.75" hidden="1" customHeight="1" x14ac:dyDescent="0.2">
      <c r="A596" s="765"/>
      <c r="C596" s="769"/>
      <c r="D596" s="60"/>
      <c r="F596" s="503">
        <f t="shared" si="73"/>
        <v>5.9000000000000663E-2</v>
      </c>
      <c r="G596" s="503">
        <f t="shared" si="69"/>
        <v>0</v>
      </c>
      <c r="H596" s="504" t="str">
        <f t="shared" si="72"/>
        <v>Skócia</v>
      </c>
      <c r="I596" s="61"/>
      <c r="J596" s="61"/>
      <c r="K596" s="295"/>
      <c r="L596" s="61"/>
      <c r="M596" s="633"/>
      <c r="N596" s="256"/>
      <c r="O596" s="62"/>
      <c r="P596" s="253"/>
      <c r="Q596" s="63"/>
      <c r="R596" s="252"/>
      <c r="S596" s="64"/>
      <c r="T596" s="297" t="str">
        <f t="shared" si="70"/>
        <v/>
      </c>
      <c r="U596" s="518" t="str">
        <f t="shared" si="71"/>
        <v/>
      </c>
      <c r="W596" s="640"/>
      <c r="X596" s="65"/>
    </row>
    <row r="597" spans="1:24" s="23" customFormat="1" ht="4.5" customHeight="1" x14ac:dyDescent="0.25">
      <c r="A597" s="765"/>
      <c r="C597" s="769"/>
      <c r="D597" s="60"/>
      <c r="F597" s="503">
        <f t="shared" si="73"/>
        <v>5.9100000000000666E-2</v>
      </c>
      <c r="G597" s="503"/>
      <c r="H597" s="505"/>
      <c r="I597" s="67"/>
      <c r="J597" s="67"/>
      <c r="K597" s="22"/>
      <c r="L597" s="67"/>
      <c r="M597" s="22"/>
      <c r="N597" s="68"/>
      <c r="O597" s="67"/>
      <c r="P597" s="69"/>
      <c r="Q597" s="70"/>
      <c r="R597" s="71"/>
      <c r="S597" s="71"/>
      <c r="T597" s="298"/>
      <c r="U597" s="299"/>
      <c r="W597" s="641"/>
      <c r="X597" s="67"/>
    </row>
    <row r="598" spans="1:24" s="21" customFormat="1" ht="9.75" customHeight="1" x14ac:dyDescent="0.2">
      <c r="A598" s="765"/>
      <c r="C598" s="769"/>
      <c r="D598" s="60"/>
      <c r="F598" s="503">
        <f t="shared" si="73"/>
        <v>5.9200000000000669E-2</v>
      </c>
      <c r="G598" s="503"/>
      <c r="H598" s="303"/>
      <c r="I598" s="74" t="s">
        <v>542</v>
      </c>
      <c r="J598" s="75" t="s">
        <v>249</v>
      </c>
      <c r="K598" s="75"/>
      <c r="L598" s="75"/>
      <c r="M598" s="636"/>
      <c r="N598" s="76"/>
      <c r="O598" s="74" t="s">
        <v>495</v>
      </c>
      <c r="P598" s="254">
        <f>AVERAGE(P567:P596)</f>
        <v>26.76923076923077</v>
      </c>
      <c r="Q598" s="77">
        <f>AVERAGE(Q567:Q596)</f>
        <v>182.73076923076923</v>
      </c>
      <c r="R598" s="255">
        <f>AVERAGE(R567:R596)</f>
        <v>75.961538461538467</v>
      </c>
      <c r="S598" s="78"/>
      <c r="T598" s="297">
        <f>SUM(T567:T596)</f>
        <v>0</v>
      </c>
      <c r="U598" s="518">
        <f>SUM(U567:U596)</f>
        <v>0</v>
      </c>
      <c r="W598" s="642" t="s">
        <v>879</v>
      </c>
      <c r="X598" s="79"/>
    </row>
    <row r="599" spans="1:24" ht="9.75" customHeight="1" x14ac:dyDescent="0.3">
      <c r="A599" s="765"/>
      <c r="F599" s="503">
        <f t="shared" si="73"/>
        <v>5.9300000000000672E-2</v>
      </c>
      <c r="G599" s="503"/>
    </row>
    <row r="600" spans="1:24" ht="9.75" customHeight="1" x14ac:dyDescent="0.3">
      <c r="A600" s="765"/>
      <c r="F600" s="503">
        <f t="shared" si="73"/>
        <v>5.9400000000000674E-2</v>
      </c>
      <c r="G600" s="503"/>
    </row>
    <row r="601" spans="1:24" ht="9.75" customHeight="1" x14ac:dyDescent="0.3">
      <c r="A601" s="765"/>
      <c r="F601" s="503">
        <f t="shared" si="73"/>
        <v>5.9500000000000677E-2</v>
      </c>
      <c r="G601" s="503"/>
    </row>
    <row r="602" spans="1:24" ht="9.75" customHeight="1" x14ac:dyDescent="0.3">
      <c r="A602" s="765"/>
      <c r="F602" s="503">
        <f t="shared" si="73"/>
        <v>5.960000000000068E-2</v>
      </c>
    </row>
    <row r="603" spans="1:24" ht="9.75" customHeight="1" x14ac:dyDescent="0.3">
      <c r="A603" s="765"/>
      <c r="F603" s="503">
        <f t="shared" si="73"/>
        <v>5.9700000000000683E-2</v>
      </c>
    </row>
    <row r="604" spans="1:24" ht="9.75" customHeight="1" x14ac:dyDescent="0.3">
      <c r="A604" s="765"/>
      <c r="F604" s="503">
        <f t="shared" si="73"/>
        <v>5.9800000000000686E-2</v>
      </c>
    </row>
    <row r="605" spans="1:24" ht="9.75" customHeight="1" x14ac:dyDescent="0.3">
      <c r="A605" s="765"/>
      <c r="F605" s="503">
        <f t="shared" si="73"/>
        <v>5.9900000000000689E-2</v>
      </c>
    </row>
    <row r="606" spans="1:24" s="23" customFormat="1" ht="5.25" customHeight="1" x14ac:dyDescent="0.2">
      <c r="A606" s="765"/>
      <c r="C606" s="21"/>
      <c r="F606" s="503">
        <f t="shared" si="73"/>
        <v>6.0000000000000692E-2</v>
      </c>
      <c r="G606" s="506"/>
      <c r="H606" s="502"/>
      <c r="I606" s="55"/>
      <c r="J606" s="55"/>
      <c r="K606" s="56"/>
      <c r="L606" s="55"/>
      <c r="M606" s="56"/>
      <c r="N606" s="57"/>
      <c r="O606" s="57"/>
      <c r="P606" s="55"/>
      <c r="Q606" s="57"/>
      <c r="R606" s="57"/>
      <c r="S606" s="57"/>
      <c r="T606" s="58"/>
      <c r="U606" s="59"/>
      <c r="W606" s="639"/>
      <c r="X606" s="55"/>
    </row>
    <row r="607" spans="1:24" s="23" customFormat="1" ht="11.25" customHeight="1" x14ac:dyDescent="0.2">
      <c r="A607" s="765"/>
      <c r="C607" s="769" t="str">
        <f>UPPER(H607)&amp;"    ."</f>
        <v>CSEHORSZÁG    .</v>
      </c>
      <c r="D607" s="60"/>
      <c r="F607" s="503">
        <f t="shared" si="73"/>
        <v>6.0100000000000695E-2</v>
      </c>
      <c r="G607" s="503">
        <f t="shared" ref="G607:G636" si="74">IF(I607="",0,T607+F607)</f>
        <v>6.0100000000000695E-2</v>
      </c>
      <c r="H607" s="504" t="str">
        <f>Adatok!D5</f>
        <v>Csehország</v>
      </c>
      <c r="I607" s="61" t="s">
        <v>250</v>
      </c>
      <c r="J607" s="61" t="s">
        <v>251</v>
      </c>
      <c r="K607" s="295">
        <v>7</v>
      </c>
      <c r="L607" s="61" t="s">
        <v>703</v>
      </c>
      <c r="M607" s="633" t="s">
        <v>1176</v>
      </c>
      <c r="N607" s="256" t="s">
        <v>501</v>
      </c>
      <c r="O607" s="62">
        <v>34671</v>
      </c>
      <c r="P607" s="253">
        <v>26</v>
      </c>
      <c r="Q607" s="63">
        <v>190</v>
      </c>
      <c r="R607" s="252">
        <v>86</v>
      </c>
      <c r="S607" s="64"/>
      <c r="T607" s="297">
        <f t="shared" ref="T607:T636" si="75">IF(I607="","",COUNTIF(nevek.s,CONCATENATE(H607,I607)))</f>
        <v>0</v>
      </c>
      <c r="U607" s="518">
        <f t="shared" ref="U607:U636" si="76">IF(I607="","",COUNTIF(nevek.s,CONCATENATE("ö",H607,I607)))</f>
        <v>0</v>
      </c>
      <c r="W607" s="3"/>
      <c r="X607" s="65"/>
    </row>
    <row r="608" spans="1:24" s="23" customFormat="1" ht="11.25" customHeight="1" x14ac:dyDescent="0.2">
      <c r="A608" s="765"/>
      <c r="C608" s="769"/>
      <c r="D608" s="60"/>
      <c r="F608" s="503">
        <f t="shared" si="73"/>
        <v>6.0200000000000697E-2</v>
      </c>
      <c r="G608" s="503">
        <f t="shared" si="74"/>
        <v>6.0200000000000697E-2</v>
      </c>
      <c r="H608" s="504" t="str">
        <f>H607</f>
        <v>Csehország</v>
      </c>
      <c r="I608" s="509" t="s">
        <v>252</v>
      </c>
      <c r="J608" s="509" t="s">
        <v>604</v>
      </c>
      <c r="K608" s="508">
        <v>18</v>
      </c>
      <c r="L608" s="509" t="s">
        <v>1339</v>
      </c>
      <c r="M608" s="634" t="s">
        <v>593</v>
      </c>
      <c r="N608" s="510" t="s">
        <v>1014</v>
      </c>
      <c r="O608" s="511">
        <v>33249</v>
      </c>
      <c r="P608" s="512">
        <v>30</v>
      </c>
      <c r="Q608" s="513">
        <v>175</v>
      </c>
      <c r="R608" s="514">
        <v>75</v>
      </c>
      <c r="S608" s="64"/>
      <c r="T608" s="297">
        <f t="shared" si="75"/>
        <v>0</v>
      </c>
      <c r="U608" s="518">
        <f t="shared" si="76"/>
        <v>0</v>
      </c>
      <c r="W608" s="1"/>
      <c r="X608" s="65"/>
    </row>
    <row r="609" spans="1:24" s="23" customFormat="1" ht="11.25" customHeight="1" x14ac:dyDescent="0.2">
      <c r="A609" s="765"/>
      <c r="C609" s="769"/>
      <c r="D609" s="60"/>
      <c r="F609" s="503">
        <f t="shared" si="73"/>
        <v>6.03000000000007E-2</v>
      </c>
      <c r="G609" s="503">
        <f t="shared" si="74"/>
        <v>6.03000000000007E-2</v>
      </c>
      <c r="H609" s="504" t="str">
        <f t="shared" ref="H609:H636" si="77">H608</f>
        <v>Csehország</v>
      </c>
      <c r="I609" s="509" t="s">
        <v>253</v>
      </c>
      <c r="J609" s="509" t="s">
        <v>1103</v>
      </c>
      <c r="K609" s="508">
        <v>4</v>
      </c>
      <c r="L609" s="509" t="s">
        <v>1339</v>
      </c>
      <c r="M609" s="634" t="s">
        <v>1069</v>
      </c>
      <c r="N609" s="510" t="s">
        <v>1014</v>
      </c>
      <c r="O609" s="511">
        <v>33822</v>
      </c>
      <c r="P609" s="512">
        <v>28</v>
      </c>
      <c r="Q609" s="513">
        <v>186</v>
      </c>
      <c r="R609" s="514">
        <v>79</v>
      </c>
      <c r="S609" s="64"/>
      <c r="T609" s="297">
        <f t="shared" si="75"/>
        <v>0</v>
      </c>
      <c r="U609" s="518">
        <f t="shared" si="76"/>
        <v>0</v>
      </c>
      <c r="W609" s="1"/>
      <c r="X609" s="65"/>
    </row>
    <row r="610" spans="1:24" s="23" customFormat="1" ht="11.25" customHeight="1" x14ac:dyDescent="0.2">
      <c r="A610" s="765"/>
      <c r="C610" s="769"/>
      <c r="D610" s="60"/>
      <c r="F610" s="503">
        <f t="shared" si="73"/>
        <v>6.0400000000000703E-2</v>
      </c>
      <c r="G610" s="503">
        <f t="shared" si="74"/>
        <v>6.0400000000000703E-2</v>
      </c>
      <c r="H610" s="504" t="str">
        <f t="shared" si="77"/>
        <v>Csehország</v>
      </c>
      <c r="I610" s="509" t="s">
        <v>254</v>
      </c>
      <c r="J610" s="509" t="s">
        <v>1063</v>
      </c>
      <c r="K610" s="508">
        <v>3</v>
      </c>
      <c r="L610" s="509" t="s">
        <v>1339</v>
      </c>
      <c r="M610" s="634" t="s">
        <v>1124</v>
      </c>
      <c r="N610" s="510" t="s">
        <v>1014</v>
      </c>
      <c r="O610" s="511">
        <v>32677</v>
      </c>
      <c r="P610" s="512">
        <v>31</v>
      </c>
      <c r="Q610" s="513">
        <v>186</v>
      </c>
      <c r="R610" s="514">
        <v>80</v>
      </c>
      <c r="S610" s="64"/>
      <c r="T610" s="297">
        <f t="shared" si="75"/>
        <v>0</v>
      </c>
      <c r="U610" s="518">
        <f t="shared" si="76"/>
        <v>0</v>
      </c>
      <c r="W610" s="1"/>
      <c r="X610" s="65"/>
    </row>
    <row r="611" spans="1:24" s="23" customFormat="1" ht="11.25" customHeight="1" x14ac:dyDescent="0.2">
      <c r="A611" s="765"/>
      <c r="C611" s="769"/>
      <c r="D611" s="60"/>
      <c r="F611" s="503">
        <f t="shared" si="73"/>
        <v>6.0500000000000706E-2</v>
      </c>
      <c r="G611" s="503">
        <f t="shared" si="74"/>
        <v>6.0500000000000706E-2</v>
      </c>
      <c r="H611" s="504" t="str">
        <f t="shared" si="77"/>
        <v>Csehország</v>
      </c>
      <c r="I611" s="509" t="s">
        <v>255</v>
      </c>
      <c r="J611" s="509" t="s">
        <v>1084</v>
      </c>
      <c r="K611" s="508">
        <v>5</v>
      </c>
      <c r="L611" s="509" t="s">
        <v>1339</v>
      </c>
      <c r="M611" s="634" t="s">
        <v>931</v>
      </c>
      <c r="N611" s="510" t="s">
        <v>1271</v>
      </c>
      <c r="O611" s="511">
        <v>33838</v>
      </c>
      <c r="P611" s="512">
        <v>28</v>
      </c>
      <c r="Q611" s="513">
        <v>179</v>
      </c>
      <c r="R611" s="514">
        <v>76</v>
      </c>
      <c r="S611" s="64"/>
      <c r="T611" s="297">
        <f t="shared" si="75"/>
        <v>0</v>
      </c>
      <c r="U611" s="518">
        <f t="shared" si="76"/>
        <v>0</v>
      </c>
      <c r="W611" s="1"/>
      <c r="X611" s="65"/>
    </row>
    <row r="612" spans="1:24" s="23" customFormat="1" ht="11.25" customHeight="1" x14ac:dyDescent="0.2">
      <c r="A612" s="765"/>
      <c r="C612" s="769"/>
      <c r="D612" s="60"/>
      <c r="F612" s="503">
        <f t="shared" si="73"/>
        <v>6.0600000000000709E-2</v>
      </c>
      <c r="G612" s="503">
        <f t="shared" si="74"/>
        <v>6.0600000000000709E-2</v>
      </c>
      <c r="H612" s="504" t="str">
        <f t="shared" si="77"/>
        <v>Csehország</v>
      </c>
      <c r="I612" s="509" t="s">
        <v>1125</v>
      </c>
      <c r="J612" s="509" t="s">
        <v>1084</v>
      </c>
      <c r="K612" s="508">
        <v>8</v>
      </c>
      <c r="L612" s="509" t="s">
        <v>703</v>
      </c>
      <c r="M612" s="634" t="s">
        <v>1019</v>
      </c>
      <c r="N612" s="510" t="s">
        <v>1270</v>
      </c>
      <c r="O612" s="511">
        <v>33093</v>
      </c>
      <c r="P612" s="512">
        <v>30</v>
      </c>
      <c r="Q612" s="513">
        <v>172</v>
      </c>
      <c r="R612" s="514">
        <v>67</v>
      </c>
      <c r="S612" s="64"/>
      <c r="T612" s="297">
        <f t="shared" si="75"/>
        <v>0</v>
      </c>
      <c r="U612" s="518">
        <f t="shared" si="76"/>
        <v>0</v>
      </c>
      <c r="W612" s="1"/>
      <c r="X612" s="65"/>
    </row>
    <row r="613" spans="1:24" s="23" customFormat="1" ht="11.25" customHeight="1" x14ac:dyDescent="0.2">
      <c r="A613" s="765"/>
      <c r="C613" s="769"/>
      <c r="D613" s="60"/>
      <c r="F613" s="503">
        <f t="shared" si="73"/>
        <v>6.0700000000000712E-2</v>
      </c>
      <c r="G613" s="503">
        <f t="shared" si="74"/>
        <v>6.0700000000000712E-2</v>
      </c>
      <c r="H613" s="504" t="str">
        <f t="shared" si="77"/>
        <v>Csehország</v>
      </c>
      <c r="I613" s="509" t="s">
        <v>1730</v>
      </c>
      <c r="J613" s="509" t="s">
        <v>930</v>
      </c>
      <c r="K613" s="508">
        <v>19</v>
      </c>
      <c r="L613" s="509" t="s">
        <v>1357</v>
      </c>
      <c r="M613" s="634" t="s">
        <v>1124</v>
      </c>
      <c r="N613" s="510" t="s">
        <v>1014</v>
      </c>
      <c r="O613" s="511">
        <v>37462</v>
      </c>
      <c r="P613" s="512">
        <v>18</v>
      </c>
      <c r="Q613" s="513">
        <v>188</v>
      </c>
      <c r="R613" s="514">
        <v>74</v>
      </c>
      <c r="S613" s="64"/>
      <c r="T613" s="297">
        <f t="shared" si="75"/>
        <v>0</v>
      </c>
      <c r="U613" s="518">
        <f t="shared" si="76"/>
        <v>0</v>
      </c>
      <c r="W613" s="1"/>
      <c r="X613" s="65"/>
    </row>
    <row r="614" spans="1:24" s="23" customFormat="1" ht="11.25" customHeight="1" x14ac:dyDescent="0.2">
      <c r="A614" s="765"/>
      <c r="C614" s="769"/>
      <c r="D614" s="60"/>
      <c r="E614" s="66"/>
      <c r="F614" s="503">
        <f t="shared" si="73"/>
        <v>6.0800000000000715E-2</v>
      </c>
      <c r="G614" s="503">
        <f t="shared" si="74"/>
        <v>6.0800000000000715E-2</v>
      </c>
      <c r="H614" s="504" t="str">
        <f t="shared" si="77"/>
        <v>Csehország</v>
      </c>
      <c r="I614" s="509" t="s">
        <v>256</v>
      </c>
      <c r="J614" s="509" t="s">
        <v>1078</v>
      </c>
      <c r="K614" s="508">
        <v>9</v>
      </c>
      <c r="L614" s="509" t="s">
        <v>1339</v>
      </c>
      <c r="M614" s="634" t="s">
        <v>593</v>
      </c>
      <c r="N614" s="510" t="s">
        <v>1014</v>
      </c>
      <c r="O614" s="511">
        <v>34059</v>
      </c>
      <c r="P614" s="512">
        <v>28</v>
      </c>
      <c r="Q614" s="513">
        <v>180</v>
      </c>
      <c r="R614" s="514">
        <v>73</v>
      </c>
      <c r="S614" s="64"/>
      <c r="T614" s="297">
        <f t="shared" si="75"/>
        <v>0</v>
      </c>
      <c r="U614" s="518">
        <f t="shared" si="76"/>
        <v>0</v>
      </c>
      <c r="W614" s="1"/>
      <c r="X614" s="65"/>
    </row>
    <row r="615" spans="1:24" s="23" customFormat="1" ht="11.25" customHeight="1" x14ac:dyDescent="0.2">
      <c r="A615" s="765"/>
      <c r="C615" s="769"/>
      <c r="D615" s="60"/>
      <c r="F615" s="503">
        <f t="shared" si="73"/>
        <v>6.0900000000000717E-2</v>
      </c>
      <c r="G615" s="503">
        <f t="shared" si="74"/>
        <v>6.0900000000000717E-2</v>
      </c>
      <c r="H615" s="504" t="str">
        <f t="shared" si="77"/>
        <v>Csehország</v>
      </c>
      <c r="I615" s="509" t="s">
        <v>257</v>
      </c>
      <c r="J615" s="509" t="s">
        <v>1103</v>
      </c>
      <c r="K615" s="508">
        <v>14</v>
      </c>
      <c r="L615" s="509" t="s">
        <v>703</v>
      </c>
      <c r="M615" s="634" t="s">
        <v>1153</v>
      </c>
      <c r="N615" s="510" t="s">
        <v>501</v>
      </c>
      <c r="O615" s="511">
        <v>35083</v>
      </c>
      <c r="P615" s="512">
        <v>25</v>
      </c>
      <c r="Q615" s="513">
        <v>184</v>
      </c>
      <c r="R615" s="514">
        <v>74</v>
      </c>
      <c r="S615" s="64"/>
      <c r="T615" s="297">
        <f t="shared" si="75"/>
        <v>0</v>
      </c>
      <c r="U615" s="518">
        <f t="shared" si="76"/>
        <v>0</v>
      </c>
      <c r="W615" s="1"/>
      <c r="X615" s="65"/>
    </row>
    <row r="616" spans="1:24" s="23" customFormat="1" ht="11.25" customHeight="1" x14ac:dyDescent="0.2">
      <c r="A616" s="765"/>
      <c r="C616" s="769"/>
      <c r="D616" s="60"/>
      <c r="F616" s="503">
        <f t="shared" si="73"/>
        <v>6.100000000000072E-2</v>
      </c>
      <c r="G616" s="503">
        <f t="shared" si="74"/>
        <v>6.100000000000072E-2</v>
      </c>
      <c r="H616" s="504" t="str">
        <f t="shared" si="77"/>
        <v>Csehország</v>
      </c>
      <c r="I616" s="509" t="s">
        <v>1127</v>
      </c>
      <c r="J616" s="509" t="s">
        <v>1036</v>
      </c>
      <c r="K616" s="508">
        <v>2</v>
      </c>
      <c r="L616" s="509" t="s">
        <v>1339</v>
      </c>
      <c r="M616" s="634" t="s">
        <v>1215</v>
      </c>
      <c r="N616" s="510" t="s">
        <v>1270</v>
      </c>
      <c r="O616" s="511">
        <v>33719</v>
      </c>
      <c r="P616" s="512">
        <v>29</v>
      </c>
      <c r="Q616" s="513">
        <v>182</v>
      </c>
      <c r="R616" s="514">
        <v>81</v>
      </c>
      <c r="S616" s="64"/>
      <c r="T616" s="297">
        <f t="shared" si="75"/>
        <v>0</v>
      </c>
      <c r="U616" s="518">
        <f t="shared" si="76"/>
        <v>0</v>
      </c>
      <c r="W616" s="1"/>
      <c r="X616" s="65"/>
    </row>
    <row r="617" spans="1:24" s="23" customFormat="1" ht="11.25" customHeight="1" x14ac:dyDescent="0.2">
      <c r="A617" s="765"/>
      <c r="C617" s="769"/>
      <c r="D617" s="60"/>
      <c r="F617" s="503">
        <f t="shared" si="73"/>
        <v>6.1100000000000723E-2</v>
      </c>
      <c r="G617" s="503">
        <f t="shared" si="74"/>
        <v>6.1100000000000723E-2</v>
      </c>
      <c r="H617" s="504" t="str">
        <f t="shared" si="77"/>
        <v>Csehország</v>
      </c>
      <c r="I617" s="509" t="s">
        <v>258</v>
      </c>
      <c r="J617" s="509" t="s">
        <v>1078</v>
      </c>
      <c r="K617" s="508">
        <v>6</v>
      </c>
      <c r="L617" s="509" t="s">
        <v>1339</v>
      </c>
      <c r="M617" s="634" t="s">
        <v>259</v>
      </c>
      <c r="N617" s="510" t="s">
        <v>1271</v>
      </c>
      <c r="O617" s="511">
        <v>34104</v>
      </c>
      <c r="P617" s="512">
        <v>28</v>
      </c>
      <c r="Q617" s="513">
        <v>183</v>
      </c>
      <c r="R617" s="514">
        <v>80</v>
      </c>
      <c r="S617" s="64"/>
      <c r="T617" s="297">
        <f t="shared" si="75"/>
        <v>0</v>
      </c>
      <c r="U617" s="518">
        <f t="shared" si="76"/>
        <v>0</v>
      </c>
      <c r="W617" s="1"/>
      <c r="X617" s="65"/>
    </row>
    <row r="618" spans="1:24" s="23" customFormat="1" ht="11.25" customHeight="1" x14ac:dyDescent="0.2">
      <c r="A618" s="765"/>
      <c r="C618" s="769"/>
      <c r="D618" s="60"/>
      <c r="F618" s="503">
        <f t="shared" si="73"/>
        <v>6.1200000000000726E-2</v>
      </c>
      <c r="G618" s="503">
        <f t="shared" si="74"/>
        <v>6.1200000000000726E-2</v>
      </c>
      <c r="H618" s="504" t="str">
        <f t="shared" si="77"/>
        <v>Csehország</v>
      </c>
      <c r="I618" s="509" t="s">
        <v>261</v>
      </c>
      <c r="J618" s="509" t="s">
        <v>1392</v>
      </c>
      <c r="K618" s="508">
        <v>21</v>
      </c>
      <c r="L618" s="509" t="s">
        <v>703</v>
      </c>
      <c r="M618" s="634" t="s">
        <v>1032</v>
      </c>
      <c r="N618" s="510" t="s">
        <v>507</v>
      </c>
      <c r="O618" s="511">
        <v>35934</v>
      </c>
      <c r="P618" s="512">
        <v>23</v>
      </c>
      <c r="Q618" s="513">
        <v>186</v>
      </c>
      <c r="R618" s="514">
        <v>80</v>
      </c>
      <c r="S618" s="64"/>
      <c r="T618" s="297">
        <f t="shared" si="75"/>
        <v>0</v>
      </c>
      <c r="U618" s="518">
        <f t="shared" si="76"/>
        <v>0</v>
      </c>
      <c r="W618" s="1"/>
      <c r="X618" s="65"/>
    </row>
    <row r="619" spans="1:24" s="23" customFormat="1" ht="11.25" customHeight="1" x14ac:dyDescent="0.2">
      <c r="A619" s="765"/>
      <c r="C619" s="769"/>
      <c r="D619" s="60"/>
      <c r="F619" s="503">
        <f t="shared" si="73"/>
        <v>6.1300000000000729E-2</v>
      </c>
      <c r="G619" s="503">
        <f t="shared" si="74"/>
        <v>6.1300000000000729E-2</v>
      </c>
      <c r="H619" s="504" t="str">
        <f t="shared" si="77"/>
        <v>Csehország</v>
      </c>
      <c r="I619" s="509" t="s">
        <v>262</v>
      </c>
      <c r="J619" s="509" t="s">
        <v>944</v>
      </c>
      <c r="K619" s="508">
        <v>11</v>
      </c>
      <c r="L619" s="509" t="s">
        <v>1357</v>
      </c>
      <c r="M619" s="634" t="s">
        <v>932</v>
      </c>
      <c r="N619" s="510" t="s">
        <v>1270</v>
      </c>
      <c r="O619" s="511">
        <v>34043</v>
      </c>
      <c r="P619" s="512">
        <v>28</v>
      </c>
      <c r="Q619" s="513">
        <v>191</v>
      </c>
      <c r="R619" s="514">
        <v>93</v>
      </c>
      <c r="S619" s="64"/>
      <c r="T619" s="297">
        <f t="shared" si="75"/>
        <v>0</v>
      </c>
      <c r="U619" s="518">
        <f t="shared" si="76"/>
        <v>0</v>
      </c>
      <c r="W619" s="1"/>
      <c r="X619" s="65"/>
    </row>
    <row r="620" spans="1:24" s="23" customFormat="1" ht="11.25" customHeight="1" x14ac:dyDescent="0.2">
      <c r="A620" s="765"/>
      <c r="C620" s="769"/>
      <c r="D620" s="60"/>
      <c r="F620" s="503">
        <f t="shared" si="73"/>
        <v>6.1400000000000732E-2</v>
      </c>
      <c r="G620" s="503">
        <f t="shared" si="74"/>
        <v>6.1400000000000732E-2</v>
      </c>
      <c r="H620" s="504" t="str">
        <f t="shared" si="77"/>
        <v>Csehország</v>
      </c>
      <c r="I620" s="509" t="s">
        <v>1731</v>
      </c>
      <c r="J620" s="509" t="s">
        <v>265</v>
      </c>
      <c r="K620" s="508">
        <v>16</v>
      </c>
      <c r="L620" s="509" t="s">
        <v>704</v>
      </c>
      <c r="M620" s="634" t="s">
        <v>1732</v>
      </c>
      <c r="N620" s="510" t="s">
        <v>1014</v>
      </c>
      <c r="O620" s="511">
        <v>33715</v>
      </c>
      <c r="P620" s="512">
        <v>29</v>
      </c>
      <c r="Q620" s="513">
        <v>185</v>
      </c>
      <c r="R620" s="514">
        <v>85</v>
      </c>
      <c r="S620" s="64"/>
      <c r="T620" s="297">
        <f t="shared" si="75"/>
        <v>0</v>
      </c>
      <c r="U620" s="518">
        <f t="shared" si="76"/>
        <v>0</v>
      </c>
      <c r="W620" s="1"/>
      <c r="X620" s="65"/>
    </row>
    <row r="621" spans="1:24" s="23" customFormat="1" ht="11.25" customHeight="1" x14ac:dyDescent="0.2">
      <c r="A621" s="765"/>
      <c r="C621" s="769"/>
      <c r="D621" s="60"/>
      <c r="F621" s="503">
        <f t="shared" si="73"/>
        <v>6.1500000000000735E-2</v>
      </c>
      <c r="G621" s="503">
        <f t="shared" si="74"/>
        <v>6.1500000000000735E-2</v>
      </c>
      <c r="H621" s="504" t="str">
        <f t="shared" si="77"/>
        <v>Csehország</v>
      </c>
      <c r="I621" s="509" t="s">
        <v>263</v>
      </c>
      <c r="J621" s="509" t="s">
        <v>260</v>
      </c>
      <c r="K621" s="508">
        <v>12</v>
      </c>
      <c r="L621" s="509" t="s">
        <v>703</v>
      </c>
      <c r="M621" s="634" t="s">
        <v>593</v>
      </c>
      <c r="N621" s="510" t="s">
        <v>1014</v>
      </c>
      <c r="O621" s="511">
        <v>34012</v>
      </c>
      <c r="P621" s="512">
        <v>28</v>
      </c>
      <c r="Q621" s="513">
        <v>179</v>
      </c>
      <c r="R621" s="514">
        <v>76</v>
      </c>
      <c r="S621" s="64"/>
      <c r="T621" s="297">
        <f t="shared" si="75"/>
        <v>0</v>
      </c>
      <c r="U621" s="518">
        <f t="shared" si="76"/>
        <v>0</v>
      </c>
      <c r="W621" s="1"/>
      <c r="X621" s="65"/>
    </row>
    <row r="622" spans="1:24" s="23" customFormat="1" ht="11.25" customHeight="1" x14ac:dyDescent="0.2">
      <c r="A622" s="765"/>
      <c r="C622" s="769"/>
      <c r="D622" s="60"/>
      <c r="F622" s="503">
        <f t="shared" si="73"/>
        <v>6.1600000000000737E-2</v>
      </c>
      <c r="G622" s="503">
        <f t="shared" si="74"/>
        <v>6.1600000000000737E-2</v>
      </c>
      <c r="H622" s="504" t="str">
        <f t="shared" si="77"/>
        <v>Csehország</v>
      </c>
      <c r="I622" s="509" t="s">
        <v>264</v>
      </c>
      <c r="J622" s="509" t="s">
        <v>265</v>
      </c>
      <c r="K622" s="508">
        <v>22</v>
      </c>
      <c r="L622" s="509" t="s">
        <v>1339</v>
      </c>
      <c r="M622" s="634" t="s">
        <v>1480</v>
      </c>
      <c r="N622" s="510" t="s">
        <v>501</v>
      </c>
      <c r="O622" s="511">
        <v>35219</v>
      </c>
      <c r="P622" s="512">
        <v>25</v>
      </c>
      <c r="Q622" s="513">
        <v>185</v>
      </c>
      <c r="R622" s="514">
        <v>80</v>
      </c>
      <c r="S622" s="64"/>
      <c r="T622" s="297">
        <f t="shared" si="75"/>
        <v>0</v>
      </c>
      <c r="U622" s="518">
        <f t="shared" si="76"/>
        <v>0</v>
      </c>
      <c r="W622" s="1"/>
      <c r="X622" s="65"/>
    </row>
    <row r="623" spans="1:24" s="23" customFormat="1" ht="11.25" customHeight="1" x14ac:dyDescent="0.2">
      <c r="A623" s="765"/>
      <c r="C623" s="769"/>
      <c r="D623" s="60"/>
      <c r="F623" s="503">
        <f t="shared" si="73"/>
        <v>6.170000000000074E-2</v>
      </c>
      <c r="G623" s="503">
        <f t="shared" si="74"/>
        <v>6.170000000000074E-2</v>
      </c>
      <c r="H623" s="504" t="str">
        <f t="shared" si="77"/>
        <v>Csehország</v>
      </c>
      <c r="I623" s="509" t="s">
        <v>1733</v>
      </c>
      <c r="J623" s="509" t="s">
        <v>1734</v>
      </c>
      <c r="K623" s="508">
        <v>23</v>
      </c>
      <c r="L623" s="509" t="s">
        <v>704</v>
      </c>
      <c r="M623" s="634" t="s">
        <v>1126</v>
      </c>
      <c r="N623" s="510" t="s">
        <v>1270</v>
      </c>
      <c r="O623" s="511">
        <v>33708</v>
      </c>
      <c r="P623" s="512">
        <v>29</v>
      </c>
      <c r="Q623" s="513">
        <v>196</v>
      </c>
      <c r="R623" s="514">
        <v>81</v>
      </c>
      <c r="S623" s="64"/>
      <c r="T623" s="297">
        <f t="shared" si="75"/>
        <v>0</v>
      </c>
      <c r="U623" s="518">
        <f t="shared" si="76"/>
        <v>0</v>
      </c>
      <c r="W623" s="1"/>
      <c r="X623" s="65"/>
    </row>
    <row r="624" spans="1:24" s="23" customFormat="1" ht="11.25" customHeight="1" x14ac:dyDescent="0.2">
      <c r="A624" s="765"/>
      <c r="C624" s="769"/>
      <c r="D624" s="60"/>
      <c r="F624" s="503">
        <f t="shared" si="73"/>
        <v>6.1800000000000743E-2</v>
      </c>
      <c r="G624" s="503">
        <f t="shared" si="74"/>
        <v>6.1800000000000743E-2</v>
      </c>
      <c r="H624" s="504" t="str">
        <f t="shared" si="77"/>
        <v>Csehország</v>
      </c>
      <c r="I624" s="509" t="s">
        <v>1735</v>
      </c>
      <c r="J624" s="509" t="s">
        <v>1078</v>
      </c>
      <c r="K624" s="508">
        <v>24</v>
      </c>
      <c r="L624" s="509" t="s">
        <v>1357</v>
      </c>
      <c r="M624" s="634" t="s">
        <v>1064</v>
      </c>
      <c r="N624" s="510" t="s">
        <v>1065</v>
      </c>
      <c r="O624" s="511">
        <v>32654</v>
      </c>
      <c r="P624" s="512">
        <v>32</v>
      </c>
      <c r="Q624" s="513">
        <v>194</v>
      </c>
      <c r="R624" s="514">
        <v>91</v>
      </c>
      <c r="S624" s="64"/>
      <c r="T624" s="297">
        <f t="shared" si="75"/>
        <v>0</v>
      </c>
      <c r="U624" s="518">
        <f t="shared" si="76"/>
        <v>0</v>
      </c>
      <c r="W624" s="1"/>
      <c r="X624" s="65"/>
    </row>
    <row r="625" spans="1:24" s="23" customFormat="1" ht="11.25" customHeight="1" x14ac:dyDescent="0.2">
      <c r="A625" s="765"/>
      <c r="C625" s="769"/>
      <c r="D625" s="60"/>
      <c r="F625" s="503">
        <f t="shared" si="73"/>
        <v>6.1900000000000746E-2</v>
      </c>
      <c r="G625" s="503">
        <f t="shared" si="74"/>
        <v>6.1900000000000746E-2</v>
      </c>
      <c r="H625" s="504" t="str">
        <f t="shared" si="77"/>
        <v>Csehország</v>
      </c>
      <c r="I625" s="509" t="s">
        <v>1736</v>
      </c>
      <c r="J625" s="509" t="s">
        <v>1103</v>
      </c>
      <c r="K625" s="508">
        <v>25</v>
      </c>
      <c r="L625" s="509" t="s">
        <v>703</v>
      </c>
      <c r="M625" s="634" t="s">
        <v>1737</v>
      </c>
      <c r="N625" s="510" t="s">
        <v>1014</v>
      </c>
      <c r="O625" s="511">
        <v>34144</v>
      </c>
      <c r="P625" s="512">
        <v>27</v>
      </c>
      <c r="Q625" s="513">
        <v>174</v>
      </c>
      <c r="R625" s="514">
        <v>63</v>
      </c>
      <c r="S625" s="64"/>
      <c r="T625" s="297">
        <f t="shared" si="75"/>
        <v>0</v>
      </c>
      <c r="U625" s="518">
        <f t="shared" si="76"/>
        <v>0</v>
      </c>
      <c r="W625" s="1"/>
      <c r="X625" s="65"/>
    </row>
    <row r="626" spans="1:24" s="23" customFormat="1" ht="11.25" customHeight="1" x14ac:dyDescent="0.2">
      <c r="A626" s="765"/>
      <c r="C626" s="769"/>
      <c r="D626" s="60"/>
      <c r="F626" s="503">
        <f t="shared" si="73"/>
        <v>6.2000000000000749E-2</v>
      </c>
      <c r="G626" s="503">
        <f t="shared" si="74"/>
        <v>6.2000000000000749E-2</v>
      </c>
      <c r="H626" s="504" t="str">
        <f t="shared" si="77"/>
        <v>Csehország</v>
      </c>
      <c r="I626" s="509" t="s">
        <v>1738</v>
      </c>
      <c r="J626" s="509" t="s">
        <v>1068</v>
      </c>
      <c r="K626" s="508">
        <v>26</v>
      </c>
      <c r="L626" s="509" t="s">
        <v>703</v>
      </c>
      <c r="M626" s="634" t="s">
        <v>1434</v>
      </c>
      <c r="N626" s="510" t="s">
        <v>867</v>
      </c>
      <c r="O626" s="511">
        <v>36311</v>
      </c>
      <c r="P626" s="512">
        <v>22</v>
      </c>
      <c r="Q626" s="513">
        <v>169</v>
      </c>
      <c r="R626" s="514">
        <v>65</v>
      </c>
      <c r="S626" s="64"/>
      <c r="T626" s="297">
        <f t="shared" si="75"/>
        <v>0</v>
      </c>
      <c r="U626" s="518">
        <f t="shared" si="76"/>
        <v>0</v>
      </c>
      <c r="W626" s="1"/>
      <c r="X626" s="65"/>
    </row>
    <row r="627" spans="1:24" s="23" customFormat="1" ht="11.25" customHeight="1" x14ac:dyDescent="0.2">
      <c r="A627" s="765"/>
      <c r="C627" s="769"/>
      <c r="D627" s="60"/>
      <c r="F627" s="503">
        <f t="shared" si="73"/>
        <v>6.2100000000000752E-2</v>
      </c>
      <c r="G627" s="503">
        <f t="shared" si="74"/>
        <v>6.2100000000000752E-2</v>
      </c>
      <c r="H627" s="504" t="str">
        <f t="shared" si="77"/>
        <v>Csehország</v>
      </c>
      <c r="I627" s="509" t="s">
        <v>1739</v>
      </c>
      <c r="J627" s="509" t="s">
        <v>1076</v>
      </c>
      <c r="K627" s="508">
        <v>10</v>
      </c>
      <c r="L627" s="509" t="s">
        <v>1357</v>
      </c>
      <c r="M627" s="634" t="s">
        <v>1164</v>
      </c>
      <c r="N627" s="510" t="s">
        <v>1270</v>
      </c>
      <c r="O627" s="511">
        <v>35088</v>
      </c>
      <c r="P627" s="512">
        <v>25</v>
      </c>
      <c r="Q627" s="513">
        <v>186</v>
      </c>
      <c r="R627" s="514">
        <v>71</v>
      </c>
      <c r="S627" s="64"/>
      <c r="T627" s="297">
        <f t="shared" si="75"/>
        <v>0</v>
      </c>
      <c r="U627" s="518">
        <f t="shared" si="76"/>
        <v>0</v>
      </c>
      <c r="W627" s="1"/>
      <c r="X627" s="65"/>
    </row>
    <row r="628" spans="1:24" s="23" customFormat="1" ht="11.25" customHeight="1" x14ac:dyDescent="0.2">
      <c r="A628" s="765"/>
      <c r="C628" s="769"/>
      <c r="D628" s="60"/>
      <c r="F628" s="503">
        <f t="shared" si="73"/>
        <v>6.2200000000000755E-2</v>
      </c>
      <c r="G628" s="503">
        <f t="shared" si="74"/>
        <v>6.2200000000000755E-2</v>
      </c>
      <c r="H628" s="504" t="str">
        <f t="shared" si="77"/>
        <v>Csehország</v>
      </c>
      <c r="I628" s="509" t="s">
        <v>1740</v>
      </c>
      <c r="J628" s="509" t="s">
        <v>1741</v>
      </c>
      <c r="K628" s="508">
        <v>13</v>
      </c>
      <c r="L628" s="509" t="s">
        <v>703</v>
      </c>
      <c r="M628" s="634" t="s">
        <v>593</v>
      </c>
      <c r="N628" s="510" t="s">
        <v>1014</v>
      </c>
      <c r="O628" s="511">
        <v>34458</v>
      </c>
      <c r="P628" s="512">
        <v>27</v>
      </c>
      <c r="Q628" s="513">
        <v>172</v>
      </c>
      <c r="R628" s="514">
        <v>65</v>
      </c>
      <c r="S628" s="64"/>
      <c r="T628" s="297">
        <f t="shared" si="75"/>
        <v>0</v>
      </c>
      <c r="U628" s="518">
        <f t="shared" si="76"/>
        <v>0</v>
      </c>
      <c r="W628" s="1"/>
      <c r="X628" s="65"/>
    </row>
    <row r="629" spans="1:24" s="23" customFormat="1" ht="11.25" customHeight="1" x14ac:dyDescent="0.2">
      <c r="A629" s="765"/>
      <c r="C629" s="769"/>
      <c r="D629" s="60"/>
      <c r="F629" s="503">
        <f t="shared" si="73"/>
        <v>6.2300000000000758E-2</v>
      </c>
      <c r="G629" s="503">
        <f t="shared" si="74"/>
        <v>6.2300000000000758E-2</v>
      </c>
      <c r="H629" s="504" t="str">
        <f t="shared" si="77"/>
        <v>Csehország</v>
      </c>
      <c r="I629" s="509" t="s">
        <v>1742</v>
      </c>
      <c r="J629" s="509" t="s">
        <v>1078</v>
      </c>
      <c r="K629" s="508">
        <v>15</v>
      </c>
      <c r="L629" s="509" t="s">
        <v>703</v>
      </c>
      <c r="M629" s="634" t="s">
        <v>931</v>
      </c>
      <c r="N629" s="510" t="s">
        <v>1271</v>
      </c>
      <c r="O629" s="511">
        <v>34757</v>
      </c>
      <c r="P629" s="512">
        <v>26</v>
      </c>
      <c r="Q629" s="513">
        <v>192</v>
      </c>
      <c r="R629" s="514">
        <v>86</v>
      </c>
      <c r="S629" s="64"/>
      <c r="T629" s="297">
        <f t="shared" si="75"/>
        <v>0</v>
      </c>
      <c r="U629" s="518">
        <f t="shared" si="76"/>
        <v>0</v>
      </c>
      <c r="W629" s="640"/>
      <c r="X629" s="65"/>
    </row>
    <row r="630" spans="1:24" s="23" customFormat="1" ht="11.25" customHeight="1" x14ac:dyDescent="0.2">
      <c r="A630" s="765"/>
      <c r="C630" s="769"/>
      <c r="D630" s="60"/>
      <c r="F630" s="503">
        <f t="shared" si="73"/>
        <v>6.240000000000076E-2</v>
      </c>
      <c r="G630" s="503">
        <f t="shared" si="74"/>
        <v>6.240000000000076E-2</v>
      </c>
      <c r="H630" s="504" t="str">
        <f t="shared" si="77"/>
        <v>Csehország</v>
      </c>
      <c r="I630" s="509" t="s">
        <v>1743</v>
      </c>
      <c r="J630" s="509" t="s">
        <v>1078</v>
      </c>
      <c r="K630" s="508">
        <v>1</v>
      </c>
      <c r="L630" s="509" t="s">
        <v>704</v>
      </c>
      <c r="M630" s="634" t="s">
        <v>847</v>
      </c>
      <c r="N630" s="510" t="s">
        <v>500</v>
      </c>
      <c r="O630" s="511">
        <v>32596</v>
      </c>
      <c r="P630" s="512">
        <v>32</v>
      </c>
      <c r="Q630" s="513">
        <v>188</v>
      </c>
      <c r="R630" s="514">
        <v>85</v>
      </c>
      <c r="S630" s="64"/>
      <c r="T630" s="297">
        <f t="shared" si="75"/>
        <v>0</v>
      </c>
      <c r="U630" s="518">
        <f t="shared" si="76"/>
        <v>0</v>
      </c>
      <c r="W630" s="640"/>
      <c r="X630" s="65"/>
    </row>
    <row r="631" spans="1:24" s="23" customFormat="1" ht="11.25" customHeight="1" x14ac:dyDescent="0.2">
      <c r="A631" s="765"/>
      <c r="C631" s="769"/>
      <c r="D631" s="60"/>
      <c r="F631" s="503">
        <f t="shared" si="73"/>
        <v>6.2500000000000763E-2</v>
      </c>
      <c r="G631" s="503">
        <f t="shared" si="74"/>
        <v>6.2500000000000763E-2</v>
      </c>
      <c r="H631" s="504" t="str">
        <f t="shared" si="77"/>
        <v>Csehország</v>
      </c>
      <c r="I631" s="509" t="s">
        <v>1744</v>
      </c>
      <c r="J631" s="509" t="s">
        <v>1745</v>
      </c>
      <c r="K631" s="508">
        <v>20</v>
      </c>
      <c r="L631" s="509" t="s">
        <v>1357</v>
      </c>
      <c r="M631" s="634" t="s">
        <v>1022</v>
      </c>
      <c r="N631" s="510" t="s">
        <v>1271</v>
      </c>
      <c r="O631" s="511">
        <v>33725</v>
      </c>
      <c r="P631" s="512">
        <v>29</v>
      </c>
      <c r="Q631" s="513">
        <v>180</v>
      </c>
      <c r="R631" s="514">
        <v>74</v>
      </c>
      <c r="S631" s="64"/>
      <c r="T631" s="297">
        <f t="shared" si="75"/>
        <v>0</v>
      </c>
      <c r="U631" s="518">
        <f t="shared" si="76"/>
        <v>0</v>
      </c>
      <c r="W631" s="640"/>
      <c r="X631" s="65"/>
    </row>
    <row r="632" spans="1:24" s="23" customFormat="1" ht="11.25" customHeight="1" x14ac:dyDescent="0.2">
      <c r="A632" s="765"/>
      <c r="C632" s="769"/>
      <c r="D632" s="60"/>
      <c r="F632" s="503">
        <f t="shared" si="73"/>
        <v>6.2600000000000766E-2</v>
      </c>
      <c r="G632" s="503">
        <f t="shared" si="74"/>
        <v>6.2600000000000766E-2</v>
      </c>
      <c r="H632" s="504" t="str">
        <f t="shared" si="77"/>
        <v>Csehország</v>
      </c>
      <c r="I632" s="555" t="s">
        <v>1746</v>
      </c>
      <c r="J632" s="555" t="s">
        <v>864</v>
      </c>
      <c r="K632" s="554">
        <v>17</v>
      </c>
      <c r="L632" s="555" t="s">
        <v>1339</v>
      </c>
      <c r="M632" s="635" t="s">
        <v>593</v>
      </c>
      <c r="N632" s="556" t="s">
        <v>1014</v>
      </c>
      <c r="O632" s="557">
        <v>36838</v>
      </c>
      <c r="P632" s="558">
        <v>20</v>
      </c>
      <c r="Q632" s="559">
        <v>190</v>
      </c>
      <c r="R632" s="560">
        <v>78</v>
      </c>
      <c r="S632" s="64"/>
      <c r="T632" s="297">
        <f t="shared" si="75"/>
        <v>0</v>
      </c>
      <c r="U632" s="518">
        <f t="shared" si="76"/>
        <v>0</v>
      </c>
      <c r="W632" s="640"/>
      <c r="X632" s="65"/>
    </row>
    <row r="633" spans="1:24" s="23" customFormat="1" ht="9.75" hidden="1" customHeight="1" x14ac:dyDescent="0.2">
      <c r="A633" s="765"/>
      <c r="C633" s="769"/>
      <c r="D633" s="60"/>
      <c r="F633" s="503">
        <f t="shared" si="73"/>
        <v>6.2700000000000769E-2</v>
      </c>
      <c r="G633" s="503">
        <f t="shared" si="74"/>
        <v>0</v>
      </c>
      <c r="H633" s="504" t="str">
        <f t="shared" si="77"/>
        <v>Csehország</v>
      </c>
      <c r="I633" s="61"/>
      <c r="J633" s="61"/>
      <c r="K633" s="295"/>
      <c r="L633" s="61"/>
      <c r="M633" s="633"/>
      <c r="N633" s="256"/>
      <c r="O633" s="62"/>
      <c r="P633" s="253"/>
      <c r="Q633" s="63"/>
      <c r="R633" s="252"/>
      <c r="S633" s="64"/>
      <c r="T633" s="297" t="str">
        <f t="shared" si="75"/>
        <v/>
      </c>
      <c r="U633" s="518" t="str">
        <f t="shared" si="76"/>
        <v/>
      </c>
      <c r="W633" s="640"/>
      <c r="X633" s="65"/>
    </row>
    <row r="634" spans="1:24" s="23" customFormat="1" ht="9.75" hidden="1" customHeight="1" x14ac:dyDescent="0.2">
      <c r="A634" s="765"/>
      <c r="C634" s="769"/>
      <c r="D634" s="60"/>
      <c r="F634" s="503">
        <f t="shared" si="73"/>
        <v>6.2800000000000772E-2</v>
      </c>
      <c r="G634" s="503">
        <f t="shared" si="74"/>
        <v>0</v>
      </c>
      <c r="H634" s="504" t="str">
        <f t="shared" si="77"/>
        <v>Csehország</v>
      </c>
      <c r="I634" s="61"/>
      <c r="J634" s="61"/>
      <c r="K634" s="295"/>
      <c r="L634" s="61"/>
      <c r="M634" s="633"/>
      <c r="N634" s="256"/>
      <c r="O634" s="62"/>
      <c r="P634" s="253"/>
      <c r="Q634" s="63"/>
      <c r="R634" s="252"/>
      <c r="S634" s="64"/>
      <c r="T634" s="297" t="str">
        <f t="shared" si="75"/>
        <v/>
      </c>
      <c r="U634" s="518" t="str">
        <f t="shared" si="76"/>
        <v/>
      </c>
      <c r="W634" s="640"/>
      <c r="X634" s="65"/>
    </row>
    <row r="635" spans="1:24" s="23" customFormat="1" ht="9.75" hidden="1" customHeight="1" x14ac:dyDescent="0.2">
      <c r="A635" s="765"/>
      <c r="C635" s="769"/>
      <c r="D635" s="60"/>
      <c r="F635" s="503">
        <f t="shared" si="73"/>
        <v>6.2900000000000775E-2</v>
      </c>
      <c r="G635" s="503">
        <f t="shared" si="74"/>
        <v>0</v>
      </c>
      <c r="H635" s="504" t="str">
        <f t="shared" si="77"/>
        <v>Csehország</v>
      </c>
      <c r="I635" s="61"/>
      <c r="J635" s="61"/>
      <c r="K635" s="295"/>
      <c r="L635" s="61"/>
      <c r="M635" s="633"/>
      <c r="N635" s="256"/>
      <c r="O635" s="62"/>
      <c r="P635" s="253"/>
      <c r="Q635" s="63"/>
      <c r="R635" s="252"/>
      <c r="S635" s="64"/>
      <c r="T635" s="297" t="str">
        <f t="shared" si="75"/>
        <v/>
      </c>
      <c r="U635" s="518" t="str">
        <f t="shared" si="76"/>
        <v/>
      </c>
      <c r="W635" s="640"/>
      <c r="X635" s="65"/>
    </row>
    <row r="636" spans="1:24" s="23" customFormat="1" ht="9.75" hidden="1" customHeight="1" x14ac:dyDescent="0.2">
      <c r="A636" s="765"/>
      <c r="C636" s="769"/>
      <c r="D636" s="60"/>
      <c r="F636" s="503">
        <f t="shared" si="73"/>
        <v>6.3000000000000778E-2</v>
      </c>
      <c r="G636" s="503">
        <f t="shared" si="74"/>
        <v>0</v>
      </c>
      <c r="H636" s="504" t="str">
        <f t="shared" si="77"/>
        <v>Csehország</v>
      </c>
      <c r="I636" s="61"/>
      <c r="J636" s="61"/>
      <c r="K636" s="295"/>
      <c r="L636" s="61"/>
      <c r="M636" s="633"/>
      <c r="N636" s="256"/>
      <c r="O636" s="62"/>
      <c r="P636" s="253"/>
      <c r="Q636" s="63"/>
      <c r="R636" s="252"/>
      <c r="S636" s="64"/>
      <c r="T636" s="297" t="str">
        <f t="shared" si="75"/>
        <v/>
      </c>
      <c r="U636" s="518" t="str">
        <f t="shared" si="76"/>
        <v/>
      </c>
      <c r="W636" s="640"/>
      <c r="X636" s="65"/>
    </row>
    <row r="637" spans="1:24" s="23" customFormat="1" ht="4.5" customHeight="1" x14ac:dyDescent="0.25">
      <c r="A637" s="765"/>
      <c r="C637" s="769"/>
      <c r="D637" s="60"/>
      <c r="F637" s="503">
        <f t="shared" si="73"/>
        <v>6.310000000000078E-2</v>
      </c>
      <c r="G637" s="503"/>
      <c r="H637" s="505"/>
      <c r="I637" s="67"/>
      <c r="J637" s="67"/>
      <c r="K637" s="22"/>
      <c r="L637" s="67"/>
      <c r="M637" s="22"/>
      <c r="N637" s="68"/>
      <c r="O637" s="67"/>
      <c r="P637" s="69"/>
      <c r="Q637" s="70"/>
      <c r="R637" s="71"/>
      <c r="S637" s="71"/>
      <c r="T637" s="298"/>
      <c r="U637" s="299"/>
      <c r="W637" s="641"/>
      <c r="X637" s="67"/>
    </row>
    <row r="638" spans="1:24" s="21" customFormat="1" ht="9.75" customHeight="1" x14ac:dyDescent="0.2">
      <c r="A638" s="765"/>
      <c r="C638" s="769"/>
      <c r="D638" s="60"/>
      <c r="F638" s="503">
        <f t="shared" si="73"/>
        <v>6.3200000000000783E-2</v>
      </c>
      <c r="G638" s="503"/>
      <c r="H638" s="303"/>
      <c r="I638" s="74" t="s">
        <v>542</v>
      </c>
      <c r="J638" s="75" t="s">
        <v>266</v>
      </c>
      <c r="K638" s="75"/>
      <c r="L638" s="75"/>
      <c r="M638" s="636"/>
      <c r="N638" s="76"/>
      <c r="O638" s="74" t="s">
        <v>495</v>
      </c>
      <c r="P638" s="254">
        <f>AVERAGE(P607:P636)</f>
        <v>27.03846153846154</v>
      </c>
      <c r="Q638" s="77">
        <f>AVERAGE(Q607:Q636)</f>
        <v>183.53846153846155</v>
      </c>
      <c r="R638" s="255">
        <f>AVERAGE(R607:R636)</f>
        <v>77.615384615384613</v>
      </c>
      <c r="S638" s="78"/>
      <c r="T638" s="297">
        <f>SUM(T607:T636)</f>
        <v>0</v>
      </c>
      <c r="U638" s="518">
        <f>SUM(U607:U636)</f>
        <v>0</v>
      </c>
      <c r="W638" s="642" t="s">
        <v>879</v>
      </c>
      <c r="X638" s="79"/>
    </row>
    <row r="639" spans="1:24" ht="9.75" customHeight="1" x14ac:dyDescent="0.3">
      <c r="A639" s="765"/>
      <c r="F639" s="503">
        <f t="shared" si="73"/>
        <v>6.3300000000000786E-2</v>
      </c>
      <c r="G639" s="503"/>
    </row>
    <row r="640" spans="1:24" ht="9.75" customHeight="1" x14ac:dyDescent="0.3">
      <c r="A640" s="765"/>
      <c r="F640" s="503">
        <f t="shared" si="73"/>
        <v>6.3400000000000789E-2</v>
      </c>
      <c r="G640" s="503"/>
    </row>
    <row r="641" spans="1:24" ht="9.75" customHeight="1" x14ac:dyDescent="0.3">
      <c r="A641" s="765"/>
      <c r="F641" s="503">
        <f t="shared" si="73"/>
        <v>6.3500000000000792E-2</v>
      </c>
      <c r="G641" s="503"/>
    </row>
    <row r="642" spans="1:24" ht="9.75" customHeight="1" x14ac:dyDescent="0.3">
      <c r="A642" s="765"/>
      <c r="F642" s="503">
        <f t="shared" si="73"/>
        <v>6.3600000000000795E-2</v>
      </c>
    </row>
    <row r="643" spans="1:24" ht="9.75" customHeight="1" x14ac:dyDescent="0.3">
      <c r="A643" s="765"/>
      <c r="F643" s="503">
        <f t="shared" si="73"/>
        <v>6.3700000000000798E-2</v>
      </c>
    </row>
    <row r="644" spans="1:24" ht="9.75" customHeight="1" x14ac:dyDescent="0.3">
      <c r="A644" s="765"/>
      <c r="F644" s="503">
        <f t="shared" si="73"/>
        <v>6.3800000000000801E-2</v>
      </c>
    </row>
    <row r="645" spans="1:24" ht="9.75" customHeight="1" x14ac:dyDescent="0.3">
      <c r="A645" s="765"/>
      <c r="F645" s="503">
        <f t="shared" si="73"/>
        <v>6.3900000000000803E-2</v>
      </c>
    </row>
    <row r="646" spans="1:24" s="23" customFormat="1" ht="5.25" customHeight="1" x14ac:dyDescent="0.2">
      <c r="A646" s="765"/>
      <c r="C646" s="21"/>
      <c r="F646" s="503">
        <f t="shared" si="73"/>
        <v>6.4000000000000806E-2</v>
      </c>
      <c r="G646" s="506"/>
      <c r="H646" s="502"/>
      <c r="I646" s="55"/>
      <c r="J646" s="55"/>
      <c r="K646" s="56"/>
      <c r="L646" s="55"/>
      <c r="M646" s="56"/>
      <c r="N646" s="57"/>
      <c r="O646" s="57"/>
      <c r="P646" s="55"/>
      <c r="Q646" s="57"/>
      <c r="R646" s="57"/>
      <c r="S646" s="57"/>
      <c r="T646" s="58"/>
      <c r="U646" s="59"/>
      <c r="W646" s="639"/>
      <c r="X646" s="55"/>
    </row>
    <row r="647" spans="1:24" s="23" customFormat="1" ht="11.25" customHeight="1" x14ac:dyDescent="0.2">
      <c r="A647" s="765"/>
      <c r="C647" s="769" t="str">
        <f>UPPER(H647)&amp;"    ."</f>
        <v>SPANYOLORSZÁG    .</v>
      </c>
      <c r="D647" s="60"/>
      <c r="F647" s="503">
        <f t="shared" si="73"/>
        <v>6.4100000000000809E-2</v>
      </c>
      <c r="G647" s="503">
        <f t="shared" ref="G647:G676" si="78">IF(I647="",0,T647+F647)</f>
        <v>6.4100000000000809E-2</v>
      </c>
      <c r="H647" s="504" t="str">
        <f>Adatok!E2</f>
        <v>Spanyolország</v>
      </c>
      <c r="I647" s="61" t="s">
        <v>267</v>
      </c>
      <c r="J647" s="61" t="s">
        <v>268</v>
      </c>
      <c r="K647" s="295">
        <v>18</v>
      </c>
      <c r="L647" s="61" t="s">
        <v>1339</v>
      </c>
      <c r="M647" s="633" t="s">
        <v>750</v>
      </c>
      <c r="N647" s="256" t="s">
        <v>500</v>
      </c>
      <c r="O647" s="62">
        <v>32588</v>
      </c>
      <c r="P647" s="253">
        <v>32</v>
      </c>
      <c r="Q647" s="63">
        <v>170</v>
      </c>
      <c r="R647" s="252">
        <v>68</v>
      </c>
      <c r="S647" s="64"/>
      <c r="T647" s="297">
        <f t="shared" ref="T647:T676" si="79">IF(I647="","",COUNTIF(nevek.s,CONCATENATE(H647,I647)))</f>
        <v>0</v>
      </c>
      <c r="U647" s="518">
        <f t="shared" ref="U647:U676" si="80">IF(I647="","",COUNTIF(nevek.s,CONCATENATE("ö",H647,I647)))</f>
        <v>0</v>
      </c>
      <c r="W647" s="3"/>
      <c r="X647" s="65"/>
    </row>
    <row r="648" spans="1:24" s="23" customFormat="1" ht="11.25" customHeight="1" x14ac:dyDescent="0.2">
      <c r="A648" s="765"/>
      <c r="C648" s="769"/>
      <c r="D648" s="60"/>
      <c r="F648" s="503">
        <f t="shared" si="73"/>
        <v>6.4200000000000812E-2</v>
      </c>
      <c r="G648" s="503">
        <f t="shared" si="78"/>
        <v>6.4200000000000812E-2</v>
      </c>
      <c r="H648" s="504" t="str">
        <f>H647</f>
        <v>Spanyolország</v>
      </c>
      <c r="I648" s="509" t="s">
        <v>270</v>
      </c>
      <c r="J648" s="509" t="s">
        <v>817</v>
      </c>
      <c r="K648" s="508">
        <v>10</v>
      </c>
      <c r="L648" s="509" t="s">
        <v>703</v>
      </c>
      <c r="M648" s="634" t="s">
        <v>751</v>
      </c>
      <c r="N648" s="510" t="s">
        <v>1271</v>
      </c>
      <c r="O648" s="511">
        <v>33339</v>
      </c>
      <c r="P648" s="512">
        <v>30</v>
      </c>
      <c r="Q648" s="513">
        <v>174</v>
      </c>
      <c r="R648" s="514">
        <v>70</v>
      </c>
      <c r="S648" s="64"/>
      <c r="T648" s="297">
        <f t="shared" si="79"/>
        <v>0</v>
      </c>
      <c r="U648" s="518">
        <f t="shared" si="80"/>
        <v>0</v>
      </c>
      <c r="W648" s="1"/>
      <c r="X648" s="65"/>
    </row>
    <row r="649" spans="1:24" s="23" customFormat="1" ht="11.25" customHeight="1" x14ac:dyDescent="0.2">
      <c r="A649" s="765"/>
      <c r="C649" s="769"/>
      <c r="D649" s="60"/>
      <c r="F649" s="503">
        <f t="shared" ref="F649:F712" si="81">F648+0.0001</f>
        <v>6.4300000000000815E-2</v>
      </c>
      <c r="G649" s="503">
        <f t="shared" si="78"/>
        <v>6.4300000000000815E-2</v>
      </c>
      <c r="H649" s="504" t="str">
        <f t="shared" ref="H649:H676" si="82">H648</f>
        <v>Spanyolország</v>
      </c>
      <c r="I649" s="509" t="s">
        <v>1747</v>
      </c>
      <c r="J649" s="509" t="s">
        <v>1748</v>
      </c>
      <c r="K649" s="508">
        <v>2</v>
      </c>
      <c r="L649" s="509" t="s">
        <v>1339</v>
      </c>
      <c r="M649" s="634" t="s">
        <v>794</v>
      </c>
      <c r="N649" s="510" t="s">
        <v>1271</v>
      </c>
      <c r="O649" s="511">
        <v>32748</v>
      </c>
      <c r="P649" s="512">
        <v>31</v>
      </c>
      <c r="Q649" s="513">
        <v>178</v>
      </c>
      <c r="R649" s="514">
        <v>75</v>
      </c>
      <c r="S649" s="64"/>
      <c r="T649" s="297">
        <f t="shared" si="79"/>
        <v>0</v>
      </c>
      <c r="U649" s="518">
        <f t="shared" si="80"/>
        <v>0</v>
      </c>
      <c r="W649" s="1"/>
      <c r="X649" s="65"/>
    </row>
    <row r="650" spans="1:24" s="23" customFormat="1" ht="11.25" customHeight="1" x14ac:dyDescent="0.2">
      <c r="A650" s="765"/>
      <c r="C650" s="769"/>
      <c r="D650" s="60"/>
      <c r="F650" s="503">
        <f t="shared" si="81"/>
        <v>6.4400000000000818E-2</v>
      </c>
      <c r="G650" s="503">
        <f t="shared" si="78"/>
        <v>6.4400000000000818E-2</v>
      </c>
      <c r="H650" s="504" t="str">
        <f t="shared" si="82"/>
        <v>Spanyolország</v>
      </c>
      <c r="I650" s="509" t="s">
        <v>271</v>
      </c>
      <c r="J650" s="509" t="s">
        <v>272</v>
      </c>
      <c r="K650" s="508">
        <v>5</v>
      </c>
      <c r="L650" s="509" t="s">
        <v>703</v>
      </c>
      <c r="M650" s="634" t="s">
        <v>750</v>
      </c>
      <c r="N650" s="510" t="s">
        <v>500</v>
      </c>
      <c r="O650" s="511">
        <v>32340</v>
      </c>
      <c r="P650" s="512">
        <v>32</v>
      </c>
      <c r="Q650" s="513">
        <v>189</v>
      </c>
      <c r="R650" s="514">
        <v>76</v>
      </c>
      <c r="S650" s="64"/>
      <c r="T650" s="297">
        <f t="shared" si="79"/>
        <v>0</v>
      </c>
      <c r="U650" s="518">
        <f t="shared" si="80"/>
        <v>0</v>
      </c>
      <c r="W650" s="1"/>
      <c r="X650" s="65"/>
    </row>
    <row r="651" spans="1:24" s="23" customFormat="1" ht="11.25" customHeight="1" x14ac:dyDescent="0.2">
      <c r="A651" s="765"/>
      <c r="C651" s="769"/>
      <c r="D651" s="60"/>
      <c r="F651" s="503">
        <f t="shared" si="81"/>
        <v>6.4500000000000821E-2</v>
      </c>
      <c r="G651" s="503">
        <f t="shared" si="78"/>
        <v>6.4500000000000821E-2</v>
      </c>
      <c r="H651" s="504" t="str">
        <f t="shared" si="82"/>
        <v>Spanyolország</v>
      </c>
      <c r="I651" s="509" t="s">
        <v>275</v>
      </c>
      <c r="J651" s="509" t="s">
        <v>864</v>
      </c>
      <c r="K651" s="508">
        <v>1</v>
      </c>
      <c r="L651" s="509" t="s">
        <v>704</v>
      </c>
      <c r="M651" s="634" t="s">
        <v>853</v>
      </c>
      <c r="N651" s="510" t="s">
        <v>1271</v>
      </c>
      <c r="O651" s="511">
        <v>33184</v>
      </c>
      <c r="P651" s="512">
        <v>30</v>
      </c>
      <c r="Q651" s="513">
        <v>193</v>
      </c>
      <c r="R651" s="514">
        <v>82</v>
      </c>
      <c r="S651" s="64"/>
      <c r="T651" s="297">
        <f t="shared" si="79"/>
        <v>0</v>
      </c>
      <c r="U651" s="518">
        <f t="shared" si="80"/>
        <v>0</v>
      </c>
      <c r="W651" s="1"/>
      <c r="X651" s="65"/>
    </row>
    <row r="652" spans="1:24" s="23" customFormat="1" ht="11.25" customHeight="1" x14ac:dyDescent="0.2">
      <c r="A652" s="765"/>
      <c r="C652" s="769"/>
      <c r="D652" s="60"/>
      <c r="F652" s="503">
        <f t="shared" si="81"/>
        <v>6.4600000000000823E-2</v>
      </c>
      <c r="G652" s="503">
        <f t="shared" si="78"/>
        <v>6.4600000000000823E-2</v>
      </c>
      <c r="H652" s="504" t="str">
        <f t="shared" si="82"/>
        <v>Spanyolország</v>
      </c>
      <c r="I652" s="509" t="s">
        <v>276</v>
      </c>
      <c r="J652" s="509" t="s">
        <v>1059</v>
      </c>
      <c r="K652" s="508">
        <v>12</v>
      </c>
      <c r="L652" s="509" t="s">
        <v>1339</v>
      </c>
      <c r="M652" s="634" t="s">
        <v>813</v>
      </c>
      <c r="N652" s="510" t="s">
        <v>1271</v>
      </c>
      <c r="O652" s="511">
        <v>36900</v>
      </c>
      <c r="P652" s="512">
        <v>20</v>
      </c>
      <c r="Q652" s="513">
        <v>182</v>
      </c>
      <c r="R652" s="514">
        <v>79</v>
      </c>
      <c r="S652" s="64"/>
      <c r="T652" s="297">
        <f t="shared" si="79"/>
        <v>0</v>
      </c>
      <c r="U652" s="518">
        <f t="shared" si="80"/>
        <v>0</v>
      </c>
      <c r="W652" s="1"/>
      <c r="X652" s="65"/>
    </row>
    <row r="653" spans="1:24" s="23" customFormat="1" ht="11.25" customHeight="1" x14ac:dyDescent="0.2">
      <c r="A653" s="765"/>
      <c r="C653" s="769"/>
      <c r="D653" s="60"/>
      <c r="F653" s="503">
        <f t="shared" si="81"/>
        <v>6.4700000000000826E-2</v>
      </c>
      <c r="G653" s="503">
        <f t="shared" si="78"/>
        <v>6.4700000000000826E-2</v>
      </c>
      <c r="H653" s="504" t="str">
        <f t="shared" si="82"/>
        <v>Spanyolország</v>
      </c>
      <c r="I653" s="509" t="s">
        <v>277</v>
      </c>
      <c r="J653" s="509" t="s">
        <v>278</v>
      </c>
      <c r="K653" s="508">
        <v>14</v>
      </c>
      <c r="L653" s="509" t="s">
        <v>1339</v>
      </c>
      <c r="M653" s="634" t="s">
        <v>919</v>
      </c>
      <c r="N653" s="510" t="s">
        <v>500</v>
      </c>
      <c r="O653" s="511">
        <v>34844</v>
      </c>
      <c r="P653" s="512">
        <v>26</v>
      </c>
      <c r="Q653" s="513">
        <v>172</v>
      </c>
      <c r="R653" s="514">
        <v>66</v>
      </c>
      <c r="S653" s="64"/>
      <c r="T653" s="297">
        <f t="shared" si="79"/>
        <v>0</v>
      </c>
      <c r="U653" s="518">
        <f t="shared" si="80"/>
        <v>0</v>
      </c>
      <c r="W653" s="1"/>
      <c r="X653" s="65"/>
    </row>
    <row r="654" spans="1:24" s="23" customFormat="1" ht="11.25" customHeight="1" x14ac:dyDescent="0.2">
      <c r="A654" s="765"/>
      <c r="C654" s="769"/>
      <c r="D654" s="60"/>
      <c r="E654" s="66"/>
      <c r="F654" s="503">
        <f t="shared" si="81"/>
        <v>6.4800000000000829E-2</v>
      </c>
      <c r="G654" s="503">
        <f t="shared" si="78"/>
        <v>6.4800000000000829E-2</v>
      </c>
      <c r="H654" s="504" t="str">
        <f t="shared" si="82"/>
        <v>Spanyolország</v>
      </c>
      <c r="I654" s="509" t="s">
        <v>279</v>
      </c>
      <c r="J654" s="509"/>
      <c r="K654" s="508">
        <v>8</v>
      </c>
      <c r="L654" s="509" t="s">
        <v>703</v>
      </c>
      <c r="M654" s="634" t="s">
        <v>863</v>
      </c>
      <c r="N654" s="510" t="s">
        <v>500</v>
      </c>
      <c r="O654" s="511">
        <v>33611</v>
      </c>
      <c r="P654" s="512">
        <v>29</v>
      </c>
      <c r="Q654" s="513">
        <v>176</v>
      </c>
      <c r="R654" s="514">
        <v>77</v>
      </c>
      <c r="S654" s="64"/>
      <c r="T654" s="297">
        <f t="shared" si="79"/>
        <v>0</v>
      </c>
      <c r="U654" s="518">
        <f t="shared" si="80"/>
        <v>0</v>
      </c>
      <c r="W654" s="1"/>
      <c r="X654" s="65"/>
    </row>
    <row r="655" spans="1:24" s="23" customFormat="1" ht="11.25" customHeight="1" x14ac:dyDescent="0.2">
      <c r="A655" s="765"/>
      <c r="C655" s="769"/>
      <c r="D655" s="60"/>
      <c r="F655" s="503">
        <f t="shared" si="81"/>
        <v>6.4900000000000832E-2</v>
      </c>
      <c r="G655" s="503">
        <f t="shared" si="78"/>
        <v>6.4900000000000832E-2</v>
      </c>
      <c r="H655" s="504" t="str">
        <f t="shared" si="82"/>
        <v>Spanyolország</v>
      </c>
      <c r="I655" s="509" t="s">
        <v>1749</v>
      </c>
      <c r="J655" s="509" t="s">
        <v>392</v>
      </c>
      <c r="K655" s="508">
        <v>24</v>
      </c>
      <c r="L655" s="509" t="s">
        <v>1339</v>
      </c>
      <c r="M655" s="634" t="s">
        <v>813</v>
      </c>
      <c r="N655" s="510" t="s">
        <v>1271</v>
      </c>
      <c r="O655" s="511">
        <v>34481</v>
      </c>
      <c r="P655" s="512">
        <v>27</v>
      </c>
      <c r="Q655" s="513">
        <v>189</v>
      </c>
      <c r="R655" s="514">
        <v>85</v>
      </c>
      <c r="S655" s="64"/>
      <c r="T655" s="297">
        <f t="shared" si="79"/>
        <v>0</v>
      </c>
      <c r="U655" s="518">
        <f t="shared" si="80"/>
        <v>0</v>
      </c>
      <c r="W655" s="1"/>
      <c r="X655" s="65"/>
    </row>
    <row r="656" spans="1:24" s="23" customFormat="1" ht="11.25" customHeight="1" x14ac:dyDescent="0.2">
      <c r="A656" s="765"/>
      <c r="C656" s="769"/>
      <c r="D656" s="60"/>
      <c r="F656" s="503">
        <f t="shared" si="81"/>
        <v>6.5000000000000835E-2</v>
      </c>
      <c r="G656" s="503">
        <f t="shared" si="78"/>
        <v>6.5000000000000835E-2</v>
      </c>
      <c r="H656" s="504" t="str">
        <f t="shared" si="82"/>
        <v>Spanyolország</v>
      </c>
      <c r="I656" s="509" t="s">
        <v>1750</v>
      </c>
      <c r="J656" s="509" t="s">
        <v>280</v>
      </c>
      <c r="K656" s="508">
        <v>3</v>
      </c>
      <c r="L656" s="509" t="s">
        <v>1339</v>
      </c>
      <c r="M656" s="634" t="s">
        <v>1122</v>
      </c>
      <c r="N656" s="510" t="s">
        <v>1271</v>
      </c>
      <c r="O656" s="511">
        <v>34197</v>
      </c>
      <c r="P656" s="512">
        <v>27</v>
      </c>
      <c r="Q656" s="513">
        <v>186</v>
      </c>
      <c r="R656" s="514">
        <v>76</v>
      </c>
      <c r="S656" s="64"/>
      <c r="T656" s="297">
        <f t="shared" si="79"/>
        <v>0</v>
      </c>
      <c r="U656" s="518">
        <f t="shared" si="80"/>
        <v>0</v>
      </c>
      <c r="W656" s="1"/>
      <c r="X656" s="65"/>
    </row>
    <row r="657" spans="1:24" s="23" customFormat="1" ht="11.25" customHeight="1" x14ac:dyDescent="0.2">
      <c r="A657" s="765"/>
      <c r="C657" s="769"/>
      <c r="D657" s="60"/>
      <c r="F657" s="503">
        <f t="shared" si="81"/>
        <v>6.5100000000000838E-2</v>
      </c>
      <c r="G657" s="503">
        <f t="shared" si="78"/>
        <v>6.5100000000000838E-2</v>
      </c>
      <c r="H657" s="504" t="str">
        <f t="shared" si="82"/>
        <v>Spanyolország</v>
      </c>
      <c r="I657" s="509" t="s">
        <v>1751</v>
      </c>
      <c r="J657" s="509" t="s">
        <v>1752</v>
      </c>
      <c r="K657" s="508">
        <v>6</v>
      </c>
      <c r="L657" s="509" t="s">
        <v>703</v>
      </c>
      <c r="M657" s="634" t="s">
        <v>863</v>
      </c>
      <c r="N657" s="510" t="s">
        <v>500</v>
      </c>
      <c r="O657" s="511">
        <v>34729</v>
      </c>
      <c r="P657" s="512">
        <v>26</v>
      </c>
      <c r="Q657" s="513">
        <v>182</v>
      </c>
      <c r="R657" s="514">
        <v>71</v>
      </c>
      <c r="S657" s="64"/>
      <c r="T657" s="297">
        <f t="shared" si="79"/>
        <v>0</v>
      </c>
      <c r="U657" s="518">
        <f t="shared" si="80"/>
        <v>0</v>
      </c>
      <c r="W657" s="1"/>
      <c r="X657" s="65"/>
    </row>
    <row r="658" spans="1:24" s="23" customFormat="1" ht="11.25" customHeight="1" x14ac:dyDescent="0.2">
      <c r="A658" s="765"/>
      <c r="C658" s="769"/>
      <c r="D658" s="60"/>
      <c r="F658" s="503">
        <f t="shared" si="81"/>
        <v>6.5200000000000841E-2</v>
      </c>
      <c r="G658" s="503">
        <f t="shared" si="78"/>
        <v>6.5200000000000841E-2</v>
      </c>
      <c r="H658" s="504" t="str">
        <f t="shared" si="82"/>
        <v>Spanyolország</v>
      </c>
      <c r="I658" s="509" t="s">
        <v>282</v>
      </c>
      <c r="J658" s="509" t="s">
        <v>283</v>
      </c>
      <c r="K658" s="508">
        <v>7</v>
      </c>
      <c r="L658" s="509" t="s">
        <v>1357</v>
      </c>
      <c r="M658" s="634" t="s">
        <v>917</v>
      </c>
      <c r="N658" s="510" t="s">
        <v>500</v>
      </c>
      <c r="O658" s="511">
        <v>33900</v>
      </c>
      <c r="P658" s="512">
        <v>28</v>
      </c>
      <c r="Q658" s="513">
        <v>190</v>
      </c>
      <c r="R658" s="514">
        <v>84</v>
      </c>
      <c r="S658" s="64"/>
      <c r="T658" s="297">
        <f t="shared" si="79"/>
        <v>0</v>
      </c>
      <c r="U658" s="518">
        <f t="shared" si="80"/>
        <v>0</v>
      </c>
      <c r="W658" s="1"/>
      <c r="X658" s="65"/>
    </row>
    <row r="659" spans="1:24" s="23" customFormat="1" ht="11.25" customHeight="1" x14ac:dyDescent="0.2">
      <c r="A659" s="765"/>
      <c r="C659" s="769"/>
      <c r="D659" s="60"/>
      <c r="F659" s="503">
        <f t="shared" si="81"/>
        <v>6.5300000000000843E-2</v>
      </c>
      <c r="G659" s="503">
        <f t="shared" si="78"/>
        <v>6.5300000000000843E-2</v>
      </c>
      <c r="H659" s="504" t="str">
        <f t="shared" si="82"/>
        <v>Spanyolország</v>
      </c>
      <c r="I659" s="509" t="s">
        <v>284</v>
      </c>
      <c r="J659" s="509" t="s">
        <v>285</v>
      </c>
      <c r="K659" s="508">
        <v>9</v>
      </c>
      <c r="L659" s="509" t="s">
        <v>1357</v>
      </c>
      <c r="M659" s="634" t="s">
        <v>269</v>
      </c>
      <c r="N659" s="510" t="s">
        <v>500</v>
      </c>
      <c r="O659" s="511">
        <v>33701</v>
      </c>
      <c r="P659" s="512">
        <v>29</v>
      </c>
      <c r="Q659" s="513">
        <v>180</v>
      </c>
      <c r="R659" s="514">
        <v>77</v>
      </c>
      <c r="S659" s="64"/>
      <c r="T659" s="297">
        <f t="shared" si="79"/>
        <v>0</v>
      </c>
      <c r="U659" s="518">
        <f t="shared" si="80"/>
        <v>0</v>
      </c>
      <c r="W659" s="1"/>
      <c r="X659" s="65"/>
    </row>
    <row r="660" spans="1:24" s="23" customFormat="1" ht="11.25" customHeight="1" x14ac:dyDescent="0.2">
      <c r="A660" s="765"/>
      <c r="C660" s="769"/>
      <c r="D660" s="60"/>
      <c r="F660" s="503">
        <f t="shared" si="81"/>
        <v>6.5400000000000846E-2</v>
      </c>
      <c r="G660" s="503">
        <f t="shared" si="78"/>
        <v>6.5400000000000846E-2</v>
      </c>
      <c r="H660" s="504" t="str">
        <f t="shared" si="82"/>
        <v>Spanyolország</v>
      </c>
      <c r="I660" s="509" t="s">
        <v>1753</v>
      </c>
      <c r="J660" s="509" t="s">
        <v>274</v>
      </c>
      <c r="K660" s="508">
        <v>19</v>
      </c>
      <c r="L660" s="509" t="s">
        <v>703</v>
      </c>
      <c r="M660" s="634" t="s">
        <v>1164</v>
      </c>
      <c r="N660" s="510" t="s">
        <v>1270</v>
      </c>
      <c r="O660" s="511">
        <v>35922</v>
      </c>
      <c r="P660" s="512">
        <v>23</v>
      </c>
      <c r="Q660" s="513">
        <v>176</v>
      </c>
      <c r="R660" s="514">
        <v>68</v>
      </c>
      <c r="S660" s="64"/>
      <c r="T660" s="297">
        <f t="shared" si="79"/>
        <v>0</v>
      </c>
      <c r="U660" s="518">
        <f t="shared" si="80"/>
        <v>0</v>
      </c>
      <c r="W660" s="1"/>
      <c r="X660" s="65"/>
    </row>
    <row r="661" spans="1:24" s="23" customFormat="1" ht="11.25" customHeight="1" x14ac:dyDescent="0.2">
      <c r="A661" s="765"/>
      <c r="C661" s="769"/>
      <c r="D661" s="60"/>
      <c r="F661" s="503">
        <f t="shared" si="81"/>
        <v>6.5500000000000849E-2</v>
      </c>
      <c r="G661" s="503">
        <f t="shared" si="78"/>
        <v>6.5500000000000849E-2</v>
      </c>
      <c r="H661" s="504" t="str">
        <f t="shared" si="82"/>
        <v>Spanyolország</v>
      </c>
      <c r="I661" s="509" t="s">
        <v>286</v>
      </c>
      <c r="J661" s="509" t="s">
        <v>281</v>
      </c>
      <c r="K661" s="508">
        <v>21</v>
      </c>
      <c r="L661" s="509" t="s">
        <v>1357</v>
      </c>
      <c r="M661" s="634" t="s">
        <v>42</v>
      </c>
      <c r="N661" s="510" t="s">
        <v>500</v>
      </c>
      <c r="O661" s="511">
        <v>35541</v>
      </c>
      <c r="P661" s="512">
        <v>24</v>
      </c>
      <c r="Q661" s="513">
        <v>181</v>
      </c>
      <c r="R661" s="514">
        <v>79</v>
      </c>
      <c r="S661" s="64"/>
      <c r="T661" s="297">
        <f t="shared" si="79"/>
        <v>0</v>
      </c>
      <c r="U661" s="518">
        <f t="shared" si="80"/>
        <v>0</v>
      </c>
      <c r="W661" s="1"/>
      <c r="X661" s="65"/>
    </row>
    <row r="662" spans="1:24" s="23" customFormat="1" ht="11.25" customHeight="1" x14ac:dyDescent="0.2">
      <c r="A662" s="765"/>
      <c r="C662" s="769"/>
      <c r="D662" s="60"/>
      <c r="F662" s="503">
        <f t="shared" si="81"/>
        <v>6.5600000000000852E-2</v>
      </c>
      <c r="G662" s="503">
        <f t="shared" si="78"/>
        <v>6.5600000000000852E-2</v>
      </c>
      <c r="H662" s="504" t="str">
        <f t="shared" si="82"/>
        <v>Spanyolország</v>
      </c>
      <c r="I662" s="509" t="s">
        <v>1754</v>
      </c>
      <c r="J662" s="509"/>
      <c r="K662" s="508">
        <v>26</v>
      </c>
      <c r="L662" s="509" t="s">
        <v>1357</v>
      </c>
      <c r="M662" s="634" t="s">
        <v>750</v>
      </c>
      <c r="N662" s="510" t="s">
        <v>500</v>
      </c>
      <c r="O662" s="511">
        <v>37585</v>
      </c>
      <c r="P662" s="512">
        <v>18</v>
      </c>
      <c r="Q662" s="513">
        <v>174</v>
      </c>
      <c r="R662" s="514">
        <v>60</v>
      </c>
      <c r="S662" s="64"/>
      <c r="T662" s="297">
        <f t="shared" si="79"/>
        <v>0</v>
      </c>
      <c r="U662" s="518">
        <f t="shared" si="80"/>
        <v>0</v>
      </c>
      <c r="W662" s="1"/>
      <c r="X662" s="65"/>
    </row>
    <row r="663" spans="1:24" s="23" customFormat="1" ht="11.25" customHeight="1" x14ac:dyDescent="0.2">
      <c r="A663" s="765"/>
      <c r="C663" s="769"/>
      <c r="D663" s="60"/>
      <c r="F663" s="503">
        <f t="shared" si="81"/>
        <v>6.5700000000000855E-2</v>
      </c>
      <c r="G663" s="503">
        <f t="shared" si="78"/>
        <v>6.5700000000000855E-2</v>
      </c>
      <c r="H663" s="504" t="str">
        <f t="shared" si="82"/>
        <v>Spanyolország</v>
      </c>
      <c r="I663" s="509" t="s">
        <v>287</v>
      </c>
      <c r="J663" s="509"/>
      <c r="K663" s="508">
        <v>16</v>
      </c>
      <c r="L663" s="509" t="s">
        <v>703</v>
      </c>
      <c r="M663" s="634" t="s">
        <v>813</v>
      </c>
      <c r="N663" s="510" t="s">
        <v>1271</v>
      </c>
      <c r="O663" s="511">
        <v>35238</v>
      </c>
      <c r="P663" s="512">
        <v>24</v>
      </c>
      <c r="Q663" s="513">
        <v>191</v>
      </c>
      <c r="R663" s="514">
        <v>82</v>
      </c>
      <c r="S663" s="64"/>
      <c r="T663" s="297">
        <f t="shared" si="79"/>
        <v>0</v>
      </c>
      <c r="U663" s="518">
        <f t="shared" si="80"/>
        <v>0</v>
      </c>
      <c r="W663" s="1"/>
      <c r="X663" s="65"/>
    </row>
    <row r="664" spans="1:24" s="23" customFormat="1" ht="11.25" customHeight="1" x14ac:dyDescent="0.2">
      <c r="A664" s="765"/>
      <c r="C664" s="769"/>
      <c r="D664" s="60"/>
      <c r="F664" s="503">
        <f t="shared" si="81"/>
        <v>6.5800000000000858E-2</v>
      </c>
      <c r="G664" s="503">
        <f t="shared" si="78"/>
        <v>6.5800000000000858E-2</v>
      </c>
      <c r="H664" s="504" t="str">
        <f t="shared" si="82"/>
        <v>Spanyolország</v>
      </c>
      <c r="I664" s="509" t="s">
        <v>288</v>
      </c>
      <c r="J664" s="509" t="s">
        <v>289</v>
      </c>
      <c r="K664" s="508">
        <v>17</v>
      </c>
      <c r="L664" s="509" t="s">
        <v>703</v>
      </c>
      <c r="M664" s="634" t="s">
        <v>814</v>
      </c>
      <c r="N664" s="510" t="s">
        <v>501</v>
      </c>
      <c r="O664" s="511">
        <v>35158</v>
      </c>
      <c r="P664" s="512">
        <v>25</v>
      </c>
      <c r="Q664" s="513">
        <v>189</v>
      </c>
      <c r="R664" s="514">
        <v>70</v>
      </c>
      <c r="S664" s="64"/>
      <c r="T664" s="297">
        <f t="shared" si="79"/>
        <v>0</v>
      </c>
      <c r="U664" s="518">
        <f t="shared" si="80"/>
        <v>0</v>
      </c>
      <c r="W664" s="1"/>
      <c r="X664" s="65"/>
    </row>
    <row r="665" spans="1:24" s="23" customFormat="1" ht="11.25" customHeight="1" x14ac:dyDescent="0.2">
      <c r="A665" s="765"/>
      <c r="C665" s="769"/>
      <c r="D665" s="60"/>
      <c r="F665" s="503">
        <f t="shared" si="81"/>
        <v>6.5900000000000861E-2</v>
      </c>
      <c r="G665" s="503">
        <f t="shared" si="78"/>
        <v>6.5900000000000861E-2</v>
      </c>
      <c r="H665" s="504" t="str">
        <f t="shared" si="82"/>
        <v>Spanyolország</v>
      </c>
      <c r="I665" s="509" t="s">
        <v>1755</v>
      </c>
      <c r="J665" s="509" t="s">
        <v>1112</v>
      </c>
      <c r="K665" s="508">
        <v>13</v>
      </c>
      <c r="L665" s="509" t="s">
        <v>704</v>
      </c>
      <c r="M665" s="634" t="s">
        <v>1756</v>
      </c>
      <c r="N665" s="510" t="s">
        <v>1271</v>
      </c>
      <c r="O665" s="511">
        <v>35752</v>
      </c>
      <c r="P665" s="512">
        <v>23</v>
      </c>
      <c r="Q665" s="513">
        <v>197</v>
      </c>
      <c r="R665" s="514">
        <v>90</v>
      </c>
      <c r="S665" s="64"/>
      <c r="T665" s="297">
        <f t="shared" si="79"/>
        <v>0</v>
      </c>
      <c r="U665" s="518">
        <f t="shared" si="80"/>
        <v>0</v>
      </c>
      <c r="W665" s="1"/>
      <c r="X665" s="65"/>
    </row>
    <row r="666" spans="1:24" s="23" customFormat="1" ht="11.25" customHeight="1" x14ac:dyDescent="0.2">
      <c r="A666" s="765"/>
      <c r="C666" s="769"/>
      <c r="D666" s="60"/>
      <c r="F666" s="503">
        <f t="shared" si="81"/>
        <v>6.6000000000000864E-2</v>
      </c>
      <c r="G666" s="503">
        <f t="shared" si="78"/>
        <v>6.6000000000000864E-2</v>
      </c>
      <c r="H666" s="504" t="str">
        <f t="shared" si="82"/>
        <v>Spanyolország</v>
      </c>
      <c r="I666" s="509" t="s">
        <v>1757</v>
      </c>
      <c r="J666" s="509" t="s">
        <v>95</v>
      </c>
      <c r="K666" s="508">
        <v>22</v>
      </c>
      <c r="L666" s="509" t="s">
        <v>703</v>
      </c>
      <c r="M666" s="634" t="s">
        <v>1758</v>
      </c>
      <c r="N666" s="510" t="s">
        <v>502</v>
      </c>
      <c r="O666" s="511">
        <v>33735</v>
      </c>
      <c r="P666" s="512">
        <v>29</v>
      </c>
      <c r="Q666" s="513">
        <v>177</v>
      </c>
      <c r="R666" s="514">
        <v>70</v>
      </c>
      <c r="S666" s="64"/>
      <c r="T666" s="297">
        <f t="shared" si="79"/>
        <v>0</v>
      </c>
      <c r="U666" s="518">
        <f t="shared" si="80"/>
        <v>0</v>
      </c>
      <c r="W666" s="1"/>
      <c r="X666" s="65"/>
    </row>
    <row r="667" spans="1:24" s="23" customFormat="1" ht="11.25" customHeight="1" x14ac:dyDescent="0.2">
      <c r="A667" s="765"/>
      <c r="C667" s="769"/>
      <c r="D667" s="60"/>
      <c r="F667" s="503">
        <f t="shared" si="81"/>
        <v>6.6100000000000866E-2</v>
      </c>
      <c r="G667" s="503">
        <f t="shared" si="78"/>
        <v>6.6100000000000866E-2</v>
      </c>
      <c r="H667" s="504" t="str">
        <f t="shared" si="82"/>
        <v>Spanyolország</v>
      </c>
      <c r="I667" s="509" t="s">
        <v>1759</v>
      </c>
      <c r="J667" s="509" t="s">
        <v>1760</v>
      </c>
      <c r="K667" s="508">
        <v>23</v>
      </c>
      <c r="L667" s="509" t="s">
        <v>704</v>
      </c>
      <c r="M667" s="634" t="s">
        <v>592</v>
      </c>
      <c r="N667" s="510" t="s">
        <v>500</v>
      </c>
      <c r="O667" s="511">
        <v>35592</v>
      </c>
      <c r="P667" s="512">
        <v>24</v>
      </c>
      <c r="Q667" s="513">
        <v>190</v>
      </c>
      <c r="R667" s="514">
        <v>88</v>
      </c>
      <c r="S667" s="64"/>
      <c r="T667" s="297">
        <f t="shared" si="79"/>
        <v>0</v>
      </c>
      <c r="U667" s="518">
        <f t="shared" si="80"/>
        <v>0</v>
      </c>
      <c r="W667" s="1"/>
      <c r="X667" s="65"/>
    </row>
    <row r="668" spans="1:24" s="23" customFormat="1" ht="11.25" customHeight="1" x14ac:dyDescent="0.2">
      <c r="A668" s="765"/>
      <c r="C668" s="769"/>
      <c r="D668" s="60"/>
      <c r="F668" s="503">
        <f t="shared" si="81"/>
        <v>6.6200000000000869E-2</v>
      </c>
      <c r="G668" s="503">
        <f t="shared" si="78"/>
        <v>6.6200000000000869E-2</v>
      </c>
      <c r="H668" s="504" t="str">
        <f t="shared" si="82"/>
        <v>Spanyolország</v>
      </c>
      <c r="I668" s="509" t="s">
        <v>1761</v>
      </c>
      <c r="J668" s="509" t="s">
        <v>1762</v>
      </c>
      <c r="K668" s="508">
        <v>11</v>
      </c>
      <c r="L668" s="509" t="s">
        <v>703</v>
      </c>
      <c r="M668" s="634" t="s">
        <v>813</v>
      </c>
      <c r="N668" s="510" t="s">
        <v>500</v>
      </c>
      <c r="O668" s="511">
        <v>36585</v>
      </c>
      <c r="P668" s="512">
        <v>21</v>
      </c>
      <c r="Q668" s="513">
        <v>184</v>
      </c>
      <c r="R668" s="514">
        <v>77</v>
      </c>
      <c r="S668" s="64"/>
      <c r="T668" s="297">
        <f t="shared" si="79"/>
        <v>0</v>
      </c>
      <c r="U668" s="518">
        <f t="shared" si="80"/>
        <v>0</v>
      </c>
      <c r="W668" s="1"/>
      <c r="X668" s="65"/>
    </row>
    <row r="669" spans="1:24" s="23" customFormat="1" ht="11.25" customHeight="1" x14ac:dyDescent="0.2">
      <c r="A669" s="765"/>
      <c r="C669" s="769"/>
      <c r="D669" s="60"/>
      <c r="F669" s="503">
        <f t="shared" si="81"/>
        <v>6.6300000000000872E-2</v>
      </c>
      <c r="G669" s="503">
        <f t="shared" si="78"/>
        <v>6.6300000000000872E-2</v>
      </c>
      <c r="H669" s="504" t="str">
        <f t="shared" si="82"/>
        <v>Spanyolország</v>
      </c>
      <c r="I669" s="509" t="s">
        <v>1763</v>
      </c>
      <c r="J669" s="509" t="s">
        <v>1764</v>
      </c>
      <c r="K669" s="508">
        <v>4</v>
      </c>
      <c r="L669" s="509" t="s">
        <v>1339</v>
      </c>
      <c r="M669" s="634" t="s">
        <v>269</v>
      </c>
      <c r="N669" s="510" t="s">
        <v>500</v>
      </c>
      <c r="O669" s="511">
        <v>35446</v>
      </c>
      <c r="P669" s="512">
        <v>24</v>
      </c>
      <c r="Q669" s="513">
        <v>191</v>
      </c>
      <c r="R669" s="514">
        <v>80</v>
      </c>
      <c r="S669" s="64"/>
      <c r="T669" s="297">
        <f t="shared" si="79"/>
        <v>0</v>
      </c>
      <c r="U669" s="518">
        <f t="shared" si="80"/>
        <v>0</v>
      </c>
      <c r="W669" s="640"/>
      <c r="X669" s="65"/>
    </row>
    <row r="670" spans="1:24" s="23" customFormat="1" ht="11.25" customHeight="1" x14ac:dyDescent="0.2">
      <c r="A670" s="765"/>
      <c r="C670" s="769"/>
      <c r="D670" s="60"/>
      <c r="F670" s="503">
        <f t="shared" si="81"/>
        <v>6.6400000000000875E-2</v>
      </c>
      <c r="G670" s="503">
        <f t="shared" si="78"/>
        <v>6.6400000000000875E-2</v>
      </c>
      <c r="H670" s="504" t="str">
        <f t="shared" si="82"/>
        <v>Spanyolország</v>
      </c>
      <c r="I670" s="509" t="s">
        <v>1765</v>
      </c>
      <c r="J670" s="509" t="s">
        <v>1766</v>
      </c>
      <c r="K670" s="508">
        <v>20</v>
      </c>
      <c r="L670" s="509" t="s">
        <v>1357</v>
      </c>
      <c r="M670" s="634" t="s">
        <v>1044</v>
      </c>
      <c r="N670" s="510" t="s">
        <v>1271</v>
      </c>
      <c r="O670" s="511">
        <v>35089</v>
      </c>
      <c r="P670" s="512">
        <v>25</v>
      </c>
      <c r="Q670" s="513">
        <v>178</v>
      </c>
      <c r="R670" s="514">
        <v>72</v>
      </c>
      <c r="S670" s="64"/>
      <c r="T670" s="297">
        <f t="shared" si="79"/>
        <v>0</v>
      </c>
      <c r="U670" s="518">
        <f t="shared" si="80"/>
        <v>0</v>
      </c>
      <c r="W670" s="640"/>
      <c r="X670" s="65"/>
    </row>
    <row r="671" spans="1:24" s="23" customFormat="1" ht="11.25" customHeight="1" x14ac:dyDescent="0.2">
      <c r="A671" s="765"/>
      <c r="C671" s="769"/>
      <c r="D671" s="60"/>
      <c r="F671" s="503">
        <f t="shared" si="81"/>
        <v>6.6500000000000878E-2</v>
      </c>
      <c r="G671" s="503">
        <f t="shared" si="78"/>
        <v>0</v>
      </c>
      <c r="H671" s="504" t="str">
        <f t="shared" si="82"/>
        <v>Spanyolország</v>
      </c>
      <c r="I671" s="509"/>
      <c r="J671" s="509"/>
      <c r="K671" s="508"/>
      <c r="L671" s="509"/>
      <c r="M671" s="634"/>
      <c r="N671" s="510"/>
      <c r="O671" s="511"/>
      <c r="P671" s="512"/>
      <c r="Q671" s="513"/>
      <c r="R671" s="514"/>
      <c r="S671" s="64"/>
      <c r="T671" s="297" t="str">
        <f t="shared" si="79"/>
        <v/>
      </c>
      <c r="U671" s="518" t="str">
        <f t="shared" si="80"/>
        <v/>
      </c>
      <c r="W671" s="640"/>
      <c r="X671" s="65"/>
    </row>
    <row r="672" spans="1:24" s="23" customFormat="1" ht="11.25" customHeight="1" x14ac:dyDescent="0.2">
      <c r="A672" s="765"/>
      <c r="C672" s="769"/>
      <c r="D672" s="60"/>
      <c r="F672" s="503">
        <f t="shared" si="81"/>
        <v>6.6600000000000881E-2</v>
      </c>
      <c r="G672" s="503">
        <f t="shared" si="78"/>
        <v>0</v>
      </c>
      <c r="H672" s="504" t="str">
        <f t="shared" si="82"/>
        <v>Spanyolország</v>
      </c>
      <c r="I672" s="555"/>
      <c r="J672" s="555"/>
      <c r="K672" s="554"/>
      <c r="L672" s="555"/>
      <c r="M672" s="635"/>
      <c r="N672" s="556"/>
      <c r="O672" s="557"/>
      <c r="P672" s="558"/>
      <c r="Q672" s="559"/>
      <c r="R672" s="560"/>
      <c r="S672" s="64"/>
      <c r="T672" s="297" t="str">
        <f t="shared" si="79"/>
        <v/>
      </c>
      <c r="U672" s="518" t="str">
        <f t="shared" si="80"/>
        <v/>
      </c>
      <c r="W672" s="640"/>
      <c r="X672" s="65"/>
    </row>
    <row r="673" spans="1:24" s="23" customFormat="1" ht="9.75" hidden="1" customHeight="1" x14ac:dyDescent="0.2">
      <c r="A673" s="765"/>
      <c r="C673" s="769"/>
      <c r="D673" s="60"/>
      <c r="F673" s="503">
        <f t="shared" si="81"/>
        <v>6.6700000000000884E-2</v>
      </c>
      <c r="G673" s="503">
        <f t="shared" si="78"/>
        <v>0</v>
      </c>
      <c r="H673" s="504" t="str">
        <f t="shared" si="82"/>
        <v>Spanyolország</v>
      </c>
      <c r="I673" s="61"/>
      <c r="J673" s="61"/>
      <c r="K673" s="295"/>
      <c r="L673" s="61"/>
      <c r="M673" s="633"/>
      <c r="N673" s="256"/>
      <c r="O673" s="62"/>
      <c r="P673" s="253"/>
      <c r="Q673" s="63"/>
      <c r="R673" s="252"/>
      <c r="S673" s="64"/>
      <c r="T673" s="297" t="str">
        <f t="shared" si="79"/>
        <v/>
      </c>
      <c r="U673" s="518" t="str">
        <f t="shared" si="80"/>
        <v/>
      </c>
      <c r="W673" s="640"/>
      <c r="X673" s="65"/>
    </row>
    <row r="674" spans="1:24" s="23" customFormat="1" ht="9.75" hidden="1" customHeight="1" x14ac:dyDescent="0.2">
      <c r="A674" s="765"/>
      <c r="C674" s="769"/>
      <c r="D674" s="60"/>
      <c r="F674" s="503">
        <f t="shared" si="81"/>
        <v>6.6800000000000886E-2</v>
      </c>
      <c r="G674" s="503">
        <f t="shared" si="78"/>
        <v>0</v>
      </c>
      <c r="H674" s="504" t="str">
        <f t="shared" si="82"/>
        <v>Spanyolország</v>
      </c>
      <c r="I674" s="61"/>
      <c r="J674" s="61"/>
      <c r="K674" s="295"/>
      <c r="L674" s="61"/>
      <c r="M674" s="633"/>
      <c r="N674" s="256"/>
      <c r="O674" s="62"/>
      <c r="P674" s="253"/>
      <c r="Q674" s="63"/>
      <c r="R674" s="252"/>
      <c r="S674" s="64"/>
      <c r="T674" s="297" t="str">
        <f t="shared" si="79"/>
        <v/>
      </c>
      <c r="U674" s="518" t="str">
        <f t="shared" si="80"/>
        <v/>
      </c>
      <c r="W674" s="640"/>
      <c r="X674" s="65"/>
    </row>
    <row r="675" spans="1:24" s="23" customFormat="1" ht="9.75" hidden="1" customHeight="1" x14ac:dyDescent="0.2">
      <c r="A675" s="765"/>
      <c r="C675" s="769"/>
      <c r="D675" s="60"/>
      <c r="F675" s="503">
        <f t="shared" si="81"/>
        <v>6.6900000000000889E-2</v>
      </c>
      <c r="G675" s="503">
        <f t="shared" si="78"/>
        <v>0</v>
      </c>
      <c r="H675" s="504" t="str">
        <f t="shared" si="82"/>
        <v>Spanyolország</v>
      </c>
      <c r="I675" s="61"/>
      <c r="J675" s="61"/>
      <c r="K675" s="295"/>
      <c r="L675" s="61"/>
      <c r="M675" s="633"/>
      <c r="N675" s="256"/>
      <c r="O675" s="62"/>
      <c r="P675" s="253"/>
      <c r="Q675" s="63"/>
      <c r="R675" s="252"/>
      <c r="S675" s="64"/>
      <c r="T675" s="297" t="str">
        <f t="shared" si="79"/>
        <v/>
      </c>
      <c r="U675" s="518" t="str">
        <f t="shared" si="80"/>
        <v/>
      </c>
      <c r="W675" s="640"/>
      <c r="X675" s="65"/>
    </row>
    <row r="676" spans="1:24" s="23" customFormat="1" ht="9.75" hidden="1" customHeight="1" x14ac:dyDescent="0.2">
      <c r="A676" s="765"/>
      <c r="C676" s="769"/>
      <c r="D676" s="60"/>
      <c r="F676" s="503">
        <f t="shared" si="81"/>
        <v>6.7000000000000892E-2</v>
      </c>
      <c r="G676" s="503">
        <f t="shared" si="78"/>
        <v>0</v>
      </c>
      <c r="H676" s="504" t="str">
        <f t="shared" si="82"/>
        <v>Spanyolország</v>
      </c>
      <c r="I676" s="61"/>
      <c r="J676" s="61"/>
      <c r="K676" s="295"/>
      <c r="L676" s="61"/>
      <c r="M676" s="633"/>
      <c r="N676" s="256"/>
      <c r="O676" s="62"/>
      <c r="P676" s="253"/>
      <c r="Q676" s="63"/>
      <c r="R676" s="252"/>
      <c r="S676" s="64"/>
      <c r="T676" s="297" t="str">
        <f t="shared" si="79"/>
        <v/>
      </c>
      <c r="U676" s="518" t="str">
        <f t="shared" si="80"/>
        <v/>
      </c>
      <c r="W676" s="640"/>
      <c r="X676" s="65"/>
    </row>
    <row r="677" spans="1:24" s="23" customFormat="1" ht="4.5" customHeight="1" x14ac:dyDescent="0.25">
      <c r="A677" s="765"/>
      <c r="C677" s="769"/>
      <c r="D677" s="60"/>
      <c r="F677" s="503">
        <f t="shared" si="81"/>
        <v>6.7100000000000895E-2</v>
      </c>
      <c r="G677" s="503"/>
      <c r="H677" s="505"/>
      <c r="I677" s="67"/>
      <c r="J677" s="67"/>
      <c r="K677" s="22"/>
      <c r="L677" s="67"/>
      <c r="M677" s="22"/>
      <c r="N677" s="68"/>
      <c r="O677" s="67"/>
      <c r="P677" s="69"/>
      <c r="Q677" s="70"/>
      <c r="R677" s="71"/>
      <c r="S677" s="71"/>
      <c r="T677" s="298"/>
      <c r="U677" s="299"/>
      <c r="W677" s="641"/>
      <c r="X677" s="67"/>
    </row>
    <row r="678" spans="1:24" s="21" customFormat="1" ht="9.75" customHeight="1" x14ac:dyDescent="0.2">
      <c r="A678" s="765"/>
      <c r="C678" s="769"/>
      <c r="D678" s="60"/>
      <c r="F678" s="503">
        <f t="shared" si="81"/>
        <v>6.7200000000000898E-2</v>
      </c>
      <c r="G678" s="503"/>
      <c r="H678" s="303"/>
      <c r="I678" s="74" t="s">
        <v>542</v>
      </c>
      <c r="J678" s="75" t="s">
        <v>290</v>
      </c>
      <c r="K678" s="75"/>
      <c r="L678" s="75"/>
      <c r="M678" s="636"/>
      <c r="N678" s="76"/>
      <c r="O678" s="74" t="s">
        <v>495</v>
      </c>
      <c r="P678" s="254">
        <f>AVERAGE(P647:P676)</f>
        <v>26.125</v>
      </c>
      <c r="Q678" s="77">
        <f>AVERAGE(Q647:Q676)</f>
        <v>182.875</v>
      </c>
      <c r="R678" s="255">
        <f>AVERAGE(R647:R676)</f>
        <v>75.916666666666671</v>
      </c>
      <c r="S678" s="78"/>
      <c r="T678" s="297">
        <f>SUM(T647:T676)</f>
        <v>0</v>
      </c>
      <c r="U678" s="518">
        <f>SUM(U647:U676)</f>
        <v>0</v>
      </c>
      <c r="W678" s="642" t="s">
        <v>879</v>
      </c>
      <c r="X678" s="79"/>
    </row>
    <row r="679" spans="1:24" ht="9.75" customHeight="1" x14ac:dyDescent="0.3">
      <c r="A679" s="765"/>
      <c r="F679" s="503">
        <f t="shared" si="81"/>
        <v>6.7300000000000901E-2</v>
      </c>
      <c r="G679" s="503"/>
    </row>
    <row r="680" spans="1:24" ht="9.75" customHeight="1" x14ac:dyDescent="0.3">
      <c r="A680" s="765"/>
      <c r="F680" s="503">
        <f t="shared" si="81"/>
        <v>6.7400000000000904E-2</v>
      </c>
      <c r="G680" s="503"/>
    </row>
    <row r="681" spans="1:24" ht="9.75" customHeight="1" x14ac:dyDescent="0.3">
      <c r="A681" s="765"/>
      <c r="F681" s="503">
        <f t="shared" si="81"/>
        <v>6.7500000000000906E-2</v>
      </c>
      <c r="G681" s="503"/>
    </row>
    <row r="682" spans="1:24" ht="9.75" customHeight="1" x14ac:dyDescent="0.3">
      <c r="A682" s="765"/>
      <c r="F682" s="503">
        <f t="shared" si="81"/>
        <v>6.7600000000000909E-2</v>
      </c>
    </row>
    <row r="683" spans="1:24" ht="9.75" customHeight="1" x14ac:dyDescent="0.3">
      <c r="A683" s="765"/>
      <c r="F683" s="503">
        <f t="shared" si="81"/>
        <v>6.7700000000000912E-2</v>
      </c>
    </row>
    <row r="684" spans="1:24" ht="9.75" customHeight="1" x14ac:dyDescent="0.3">
      <c r="A684" s="765"/>
      <c r="F684" s="503">
        <f t="shared" si="81"/>
        <v>6.7800000000000915E-2</v>
      </c>
    </row>
    <row r="685" spans="1:24" ht="9.75" customHeight="1" x14ac:dyDescent="0.3">
      <c r="A685" s="765"/>
      <c r="F685" s="503">
        <f t="shared" si="81"/>
        <v>6.7900000000000918E-2</v>
      </c>
    </row>
    <row r="686" spans="1:24" s="23" customFormat="1" ht="5.25" customHeight="1" x14ac:dyDescent="0.2">
      <c r="A686" s="765"/>
      <c r="C686" s="21"/>
      <c r="F686" s="503">
        <f t="shared" si="81"/>
        <v>6.8000000000000921E-2</v>
      </c>
      <c r="G686" s="506"/>
      <c r="H686" s="502"/>
      <c r="I686" s="55"/>
      <c r="J686" s="55"/>
      <c r="K686" s="56"/>
      <c r="L686" s="55"/>
      <c r="M686" s="56"/>
      <c r="N686" s="57"/>
      <c r="O686" s="57"/>
      <c r="P686" s="55"/>
      <c r="Q686" s="57"/>
      <c r="R686" s="57"/>
      <c r="S686" s="57"/>
      <c r="T686" s="58"/>
      <c r="U686" s="59"/>
      <c r="W686" s="639"/>
      <c r="X686" s="55"/>
    </row>
    <row r="687" spans="1:24" s="23" customFormat="1" ht="11.25" customHeight="1" x14ac:dyDescent="0.2">
      <c r="A687" s="765"/>
      <c r="C687" s="769" t="str">
        <f>UPPER(H687)&amp;"    ."</f>
        <v>SVÉDORSZÁG    .</v>
      </c>
      <c r="D687" s="60"/>
      <c r="F687" s="503">
        <f t="shared" si="81"/>
        <v>6.8100000000000924E-2</v>
      </c>
      <c r="G687" s="503">
        <f t="shared" ref="G687:G716" si="83">IF(I687="",0,T687+F687)</f>
        <v>6.8100000000000924E-2</v>
      </c>
      <c r="H687" s="504" t="str">
        <f>Adatok!E3</f>
        <v>Svédország</v>
      </c>
      <c r="I687" s="61" t="s">
        <v>610</v>
      </c>
      <c r="J687" s="61" t="s">
        <v>611</v>
      </c>
      <c r="K687" s="295">
        <v>6</v>
      </c>
      <c r="L687" s="61" t="s">
        <v>1339</v>
      </c>
      <c r="M687" s="633" t="s">
        <v>1126</v>
      </c>
      <c r="N687" s="256" t="s">
        <v>1270</v>
      </c>
      <c r="O687" s="62">
        <v>34445</v>
      </c>
      <c r="P687" s="253">
        <v>27</v>
      </c>
      <c r="Q687" s="63">
        <v>181</v>
      </c>
      <c r="R687" s="252">
        <v>75</v>
      </c>
      <c r="S687" s="64"/>
      <c r="T687" s="297">
        <f t="shared" ref="T687:T716" si="84">IF(I687="","",COUNTIF(nevek.s,CONCATENATE(H687,I687)))</f>
        <v>0</v>
      </c>
      <c r="U687" s="518">
        <f t="shared" ref="U687:U716" si="85">IF(I687="","",COUNTIF(nevek.s,CONCATENATE("ö",H687,I687)))</f>
        <v>0</v>
      </c>
      <c r="W687" s="3"/>
      <c r="X687" s="65"/>
    </row>
    <row r="688" spans="1:24" s="23" customFormat="1" ht="11.25" customHeight="1" x14ac:dyDescent="0.2">
      <c r="A688" s="765"/>
      <c r="C688" s="769"/>
      <c r="D688" s="60"/>
      <c r="F688" s="503">
        <f t="shared" si="81"/>
        <v>6.8200000000000927E-2</v>
      </c>
      <c r="G688" s="503">
        <f t="shared" si="83"/>
        <v>6.8200000000000927E-2</v>
      </c>
      <c r="H688" s="504" t="str">
        <f>H687</f>
        <v>Svédország</v>
      </c>
      <c r="I688" s="509" t="s">
        <v>291</v>
      </c>
      <c r="J688" s="509" t="s">
        <v>292</v>
      </c>
      <c r="K688" s="508">
        <v>5</v>
      </c>
      <c r="L688" s="509" t="s">
        <v>1339</v>
      </c>
      <c r="M688" s="634" t="s">
        <v>1767</v>
      </c>
      <c r="N688" s="510" t="s">
        <v>946</v>
      </c>
      <c r="O688" s="511">
        <v>32245</v>
      </c>
      <c r="P688" s="512">
        <v>33</v>
      </c>
      <c r="Q688" s="513">
        <v>175</v>
      </c>
      <c r="R688" s="514">
        <v>77</v>
      </c>
      <c r="S688" s="64"/>
      <c r="T688" s="297">
        <f t="shared" si="84"/>
        <v>0</v>
      </c>
      <c r="U688" s="518">
        <f t="shared" si="85"/>
        <v>0</v>
      </c>
      <c r="W688" s="1"/>
      <c r="X688" s="65"/>
    </row>
    <row r="689" spans="1:24" s="23" customFormat="1" ht="11.25" customHeight="1" x14ac:dyDescent="0.2">
      <c r="A689" s="765"/>
      <c r="C689" s="769"/>
      <c r="D689" s="60"/>
      <c r="F689" s="503">
        <f t="shared" si="81"/>
        <v>6.8300000000000929E-2</v>
      </c>
      <c r="G689" s="503">
        <f t="shared" si="83"/>
        <v>6.8300000000000929E-2</v>
      </c>
      <c r="H689" s="504" t="str">
        <f t="shared" ref="H689:H716" si="86">H688</f>
        <v>Svédország</v>
      </c>
      <c r="I689" s="509" t="s">
        <v>1158</v>
      </c>
      <c r="J689" s="509" t="s">
        <v>1159</v>
      </c>
      <c r="K689" s="508">
        <v>9</v>
      </c>
      <c r="L689" s="509" t="s">
        <v>1357</v>
      </c>
      <c r="M689" s="634" t="s">
        <v>1037</v>
      </c>
      <c r="N689" s="510" t="s">
        <v>507</v>
      </c>
      <c r="O689" s="511">
        <v>31641</v>
      </c>
      <c r="P689" s="512">
        <v>34</v>
      </c>
      <c r="Q689" s="513">
        <v>183</v>
      </c>
      <c r="R689" s="514">
        <v>76</v>
      </c>
      <c r="S689" s="64"/>
      <c r="T689" s="297">
        <f t="shared" si="84"/>
        <v>0</v>
      </c>
      <c r="U689" s="518">
        <f t="shared" si="85"/>
        <v>0</v>
      </c>
      <c r="W689" s="1"/>
      <c r="X689" s="65"/>
    </row>
    <row r="690" spans="1:24" s="23" customFormat="1" ht="11.25" customHeight="1" x14ac:dyDescent="0.2">
      <c r="A690" s="765"/>
      <c r="C690" s="769"/>
      <c r="D690" s="60"/>
      <c r="F690" s="503">
        <f t="shared" si="81"/>
        <v>6.8400000000000932E-2</v>
      </c>
      <c r="G690" s="503">
        <f t="shared" si="83"/>
        <v>6.8400000000000932E-2</v>
      </c>
      <c r="H690" s="504" t="str">
        <f t="shared" si="86"/>
        <v>Svédország</v>
      </c>
      <c r="I690" s="509" t="s">
        <v>1768</v>
      </c>
      <c r="J690" s="509" t="s">
        <v>1554</v>
      </c>
      <c r="K690" s="508">
        <v>26</v>
      </c>
      <c r="L690" s="509" t="s">
        <v>703</v>
      </c>
      <c r="M690" s="634" t="s">
        <v>1455</v>
      </c>
      <c r="N690" s="510" t="s">
        <v>946</v>
      </c>
      <c r="O690" s="511">
        <v>36382</v>
      </c>
      <c r="P690" s="512">
        <v>21</v>
      </c>
      <c r="Q690" s="513">
        <v>188</v>
      </c>
      <c r="R690" s="514">
        <v>77</v>
      </c>
      <c r="S690" s="64"/>
      <c r="T690" s="297">
        <f t="shared" si="84"/>
        <v>0</v>
      </c>
      <c r="U690" s="518">
        <f t="shared" si="85"/>
        <v>0</v>
      </c>
      <c r="W690" s="1"/>
      <c r="X690" s="65"/>
    </row>
    <row r="691" spans="1:24" s="23" customFormat="1" ht="11.25" customHeight="1" x14ac:dyDescent="0.2">
      <c r="A691" s="765"/>
      <c r="C691" s="769"/>
      <c r="D691" s="60"/>
      <c r="F691" s="503">
        <f t="shared" si="81"/>
        <v>6.8500000000000935E-2</v>
      </c>
      <c r="G691" s="503">
        <f t="shared" si="83"/>
        <v>6.8500000000000935E-2</v>
      </c>
      <c r="H691" s="504" t="str">
        <f t="shared" si="86"/>
        <v>Svédország</v>
      </c>
      <c r="I691" s="509" t="s">
        <v>293</v>
      </c>
      <c r="J691" s="509" t="s">
        <v>1031</v>
      </c>
      <c r="K691" s="508">
        <v>17</v>
      </c>
      <c r="L691" s="509" t="s">
        <v>703</v>
      </c>
      <c r="M691" s="634" t="s">
        <v>1037</v>
      </c>
      <c r="N691" s="510" t="s">
        <v>507</v>
      </c>
      <c r="O691" s="511">
        <v>33605</v>
      </c>
      <c r="P691" s="512">
        <v>29</v>
      </c>
      <c r="Q691" s="513">
        <v>183</v>
      </c>
      <c r="R691" s="514">
        <v>75</v>
      </c>
      <c r="S691" s="64"/>
      <c r="T691" s="297">
        <f t="shared" si="84"/>
        <v>0</v>
      </c>
      <c r="U691" s="518">
        <f t="shared" si="85"/>
        <v>0</v>
      </c>
      <c r="W691" s="1"/>
      <c r="X691" s="65"/>
    </row>
    <row r="692" spans="1:24" s="23" customFormat="1" ht="11.25" customHeight="1" x14ac:dyDescent="0.2">
      <c r="A692" s="765"/>
      <c r="C692" s="769"/>
      <c r="D692" s="60"/>
      <c r="F692" s="503">
        <f t="shared" si="81"/>
        <v>6.8600000000000938E-2</v>
      </c>
      <c r="G692" s="503">
        <f t="shared" si="83"/>
        <v>6.8600000000000938E-2</v>
      </c>
      <c r="H692" s="504" t="str">
        <f t="shared" si="86"/>
        <v>Svédország</v>
      </c>
      <c r="I692" s="509" t="s">
        <v>294</v>
      </c>
      <c r="J692" s="509" t="s">
        <v>1159</v>
      </c>
      <c r="K692" s="508">
        <v>24</v>
      </c>
      <c r="L692" s="509" t="s">
        <v>1339</v>
      </c>
      <c r="M692" s="634" t="s">
        <v>295</v>
      </c>
      <c r="N692" s="510" t="s">
        <v>928</v>
      </c>
      <c r="O692" s="511">
        <v>32606</v>
      </c>
      <c r="P692" s="512">
        <v>32</v>
      </c>
      <c r="Q692" s="513">
        <v>192</v>
      </c>
      <c r="R692" s="514">
        <v>81</v>
      </c>
      <c r="S692" s="64"/>
      <c r="T692" s="297">
        <f t="shared" si="84"/>
        <v>0</v>
      </c>
      <c r="U692" s="518">
        <f t="shared" si="85"/>
        <v>0</v>
      </c>
      <c r="W692" s="1"/>
      <c r="X692" s="65"/>
    </row>
    <row r="693" spans="1:24" s="23" customFormat="1" ht="11.25" customHeight="1" x14ac:dyDescent="0.2">
      <c r="A693" s="765"/>
      <c r="C693" s="769"/>
      <c r="D693" s="60"/>
      <c r="F693" s="503">
        <f t="shared" si="81"/>
        <v>6.8700000000000941E-2</v>
      </c>
      <c r="G693" s="503">
        <f t="shared" si="83"/>
        <v>6.8700000000000941E-2</v>
      </c>
      <c r="H693" s="504" t="str">
        <f t="shared" si="86"/>
        <v>Svédország</v>
      </c>
      <c r="I693" s="509" t="s">
        <v>1160</v>
      </c>
      <c r="J693" s="509" t="s">
        <v>1161</v>
      </c>
      <c r="K693" s="508">
        <v>8</v>
      </c>
      <c r="L693" s="509" t="s">
        <v>703</v>
      </c>
      <c r="M693" s="634" t="s">
        <v>1153</v>
      </c>
      <c r="N693" s="510" t="s">
        <v>501</v>
      </c>
      <c r="O693" s="511">
        <v>32717</v>
      </c>
      <c r="P693" s="512">
        <v>31</v>
      </c>
      <c r="Q693" s="513">
        <v>186</v>
      </c>
      <c r="R693" s="514">
        <v>82</v>
      </c>
      <c r="S693" s="64"/>
      <c r="T693" s="297">
        <f t="shared" si="84"/>
        <v>0</v>
      </c>
      <c r="U693" s="518">
        <f t="shared" si="85"/>
        <v>0</v>
      </c>
      <c r="W693" s="1"/>
      <c r="X693" s="65"/>
    </row>
    <row r="694" spans="1:24" s="23" customFormat="1" ht="11.25" customHeight="1" x14ac:dyDescent="0.2">
      <c r="A694" s="765"/>
      <c r="C694" s="769"/>
      <c r="D694" s="60"/>
      <c r="E694" s="66"/>
      <c r="F694" s="503">
        <f t="shared" si="81"/>
        <v>6.8800000000000944E-2</v>
      </c>
      <c r="G694" s="503">
        <f t="shared" si="83"/>
        <v>6.8800000000000944E-2</v>
      </c>
      <c r="H694" s="504" t="str">
        <f t="shared" si="86"/>
        <v>Svédország</v>
      </c>
      <c r="I694" s="509" t="s">
        <v>1162</v>
      </c>
      <c r="J694" s="509" t="s">
        <v>1163</v>
      </c>
      <c r="K694" s="508">
        <v>10</v>
      </c>
      <c r="L694" s="509" t="s">
        <v>703</v>
      </c>
      <c r="M694" s="634" t="s">
        <v>1164</v>
      </c>
      <c r="N694" s="510" t="s">
        <v>1270</v>
      </c>
      <c r="O694" s="511">
        <v>33534</v>
      </c>
      <c r="P694" s="512">
        <v>29</v>
      </c>
      <c r="Q694" s="513">
        <v>179</v>
      </c>
      <c r="R694" s="514">
        <v>74</v>
      </c>
      <c r="S694" s="64"/>
      <c r="T694" s="297">
        <f t="shared" si="84"/>
        <v>0</v>
      </c>
      <c r="U694" s="518">
        <f t="shared" si="85"/>
        <v>0</v>
      </c>
      <c r="W694" s="1"/>
      <c r="X694" s="65"/>
    </row>
    <row r="695" spans="1:24" s="23" customFormat="1" ht="11.25" customHeight="1" x14ac:dyDescent="0.2">
      <c r="A695" s="765"/>
      <c r="C695" s="769"/>
      <c r="D695" s="60"/>
      <c r="F695" s="503">
        <f t="shared" si="81"/>
        <v>6.8900000000000947E-2</v>
      </c>
      <c r="G695" s="503">
        <f t="shared" si="83"/>
        <v>6.8900000000000947E-2</v>
      </c>
      <c r="H695" s="504" t="str">
        <f t="shared" si="86"/>
        <v>Svédország</v>
      </c>
      <c r="I695" s="509" t="s">
        <v>1769</v>
      </c>
      <c r="J695" s="509" t="s">
        <v>1165</v>
      </c>
      <c r="K695" s="508">
        <v>4</v>
      </c>
      <c r="L695" s="509" t="s">
        <v>1339</v>
      </c>
      <c r="M695" s="634" t="s">
        <v>305</v>
      </c>
      <c r="N695" s="510" t="s">
        <v>914</v>
      </c>
      <c r="O695" s="511">
        <v>31153</v>
      </c>
      <c r="P695" s="512">
        <v>36</v>
      </c>
      <c r="Q695" s="513">
        <v>192</v>
      </c>
      <c r="R695" s="514">
        <v>85</v>
      </c>
      <c r="S695" s="64"/>
      <c r="T695" s="297">
        <f t="shared" si="84"/>
        <v>0</v>
      </c>
      <c r="U695" s="518">
        <f t="shared" si="85"/>
        <v>0</v>
      </c>
      <c r="W695" s="1"/>
      <c r="X695" s="65"/>
    </row>
    <row r="696" spans="1:24" s="23" customFormat="1" ht="11.25" customHeight="1" x14ac:dyDescent="0.2">
      <c r="A696" s="765"/>
      <c r="C696" s="769"/>
      <c r="D696" s="60"/>
      <c r="F696" s="503">
        <f t="shared" si="81"/>
        <v>6.9000000000000949E-2</v>
      </c>
      <c r="G696" s="503">
        <f t="shared" si="83"/>
        <v>6.9000000000000949E-2</v>
      </c>
      <c r="H696" s="504" t="str">
        <f t="shared" si="86"/>
        <v>Svédország</v>
      </c>
      <c r="I696" s="509" t="s">
        <v>296</v>
      </c>
      <c r="J696" s="509" t="s">
        <v>1074</v>
      </c>
      <c r="K696" s="508">
        <v>14</v>
      </c>
      <c r="L696" s="509" t="s">
        <v>1339</v>
      </c>
      <c r="M696" s="634" t="s">
        <v>4</v>
      </c>
      <c r="N696" s="510" t="s">
        <v>935</v>
      </c>
      <c r="O696" s="511">
        <v>34081</v>
      </c>
      <c r="P696" s="512">
        <v>28</v>
      </c>
      <c r="Q696" s="513">
        <v>192</v>
      </c>
      <c r="R696" s="514">
        <v>84</v>
      </c>
      <c r="S696" s="64"/>
      <c r="T696" s="297">
        <f t="shared" si="84"/>
        <v>0</v>
      </c>
      <c r="U696" s="518">
        <f t="shared" si="85"/>
        <v>0</v>
      </c>
      <c r="W696" s="1"/>
      <c r="X696" s="65"/>
    </row>
    <row r="697" spans="1:24" s="23" customFormat="1" ht="11.25" customHeight="1" x14ac:dyDescent="0.2">
      <c r="A697" s="765"/>
      <c r="C697" s="769"/>
      <c r="D697" s="60"/>
      <c r="F697" s="503">
        <f t="shared" si="81"/>
        <v>6.9100000000000952E-2</v>
      </c>
      <c r="G697" s="503">
        <f t="shared" si="83"/>
        <v>6.9100000000000952E-2</v>
      </c>
      <c r="H697" s="504" t="str">
        <f t="shared" si="86"/>
        <v>Svédország</v>
      </c>
      <c r="I697" s="509" t="s">
        <v>297</v>
      </c>
      <c r="J697" s="509" t="s">
        <v>138</v>
      </c>
      <c r="K697" s="508">
        <v>11</v>
      </c>
      <c r="L697" s="509" t="s">
        <v>1357</v>
      </c>
      <c r="M697" s="634" t="s">
        <v>42</v>
      </c>
      <c r="N697" s="510" t="s">
        <v>500</v>
      </c>
      <c r="O697" s="511">
        <v>36424</v>
      </c>
      <c r="P697" s="512">
        <v>21</v>
      </c>
      <c r="Q697" s="513">
        <v>192</v>
      </c>
      <c r="R697" s="514">
        <v>77</v>
      </c>
      <c r="S697" s="64"/>
      <c r="T697" s="297">
        <f t="shared" si="84"/>
        <v>0</v>
      </c>
      <c r="U697" s="518">
        <f t="shared" si="85"/>
        <v>0</v>
      </c>
      <c r="W697" s="1"/>
      <c r="X697" s="65"/>
    </row>
    <row r="698" spans="1:24" s="23" customFormat="1" ht="11.25" customHeight="1" x14ac:dyDescent="0.2">
      <c r="A698" s="765"/>
      <c r="C698" s="769"/>
      <c r="D698" s="60"/>
      <c r="F698" s="503">
        <f t="shared" si="81"/>
        <v>6.9200000000000955E-2</v>
      </c>
      <c r="G698" s="503">
        <f t="shared" si="83"/>
        <v>6.9200000000000955E-2</v>
      </c>
      <c r="H698" s="504" t="str">
        <f t="shared" si="86"/>
        <v>Svédország</v>
      </c>
      <c r="I698" s="509" t="s">
        <v>613</v>
      </c>
      <c r="J698" s="509" t="s">
        <v>614</v>
      </c>
      <c r="K698" s="508">
        <v>18</v>
      </c>
      <c r="L698" s="509" t="s">
        <v>1339</v>
      </c>
      <c r="M698" s="634" t="s">
        <v>1449</v>
      </c>
      <c r="N698" s="510" t="s">
        <v>1271</v>
      </c>
      <c r="O698" s="511">
        <v>33282</v>
      </c>
      <c r="P698" s="512">
        <v>30</v>
      </c>
      <c r="Q698" s="513">
        <v>196</v>
      </c>
      <c r="R698" s="514">
        <v>86</v>
      </c>
      <c r="S698" s="64"/>
      <c r="T698" s="297">
        <f t="shared" si="84"/>
        <v>0</v>
      </c>
      <c r="U698" s="518">
        <f t="shared" si="85"/>
        <v>0</v>
      </c>
      <c r="W698" s="1"/>
      <c r="X698" s="65"/>
    </row>
    <row r="699" spans="1:24" s="23" customFormat="1" ht="11.25" customHeight="1" x14ac:dyDescent="0.2">
      <c r="A699" s="765"/>
      <c r="C699" s="769"/>
      <c r="D699" s="60"/>
      <c r="F699" s="503">
        <f t="shared" si="81"/>
        <v>6.9300000000000958E-2</v>
      </c>
      <c r="G699" s="503">
        <f t="shared" si="83"/>
        <v>6.9300000000000958E-2</v>
      </c>
      <c r="H699" s="504" t="str">
        <f t="shared" si="86"/>
        <v>Svédország</v>
      </c>
      <c r="I699" s="509" t="s">
        <v>299</v>
      </c>
      <c r="J699" s="509" t="s">
        <v>300</v>
      </c>
      <c r="K699" s="508">
        <v>12</v>
      </c>
      <c r="L699" s="509" t="s">
        <v>704</v>
      </c>
      <c r="M699" s="634" t="s">
        <v>945</v>
      </c>
      <c r="N699" s="510" t="s">
        <v>946</v>
      </c>
      <c r="O699" s="511">
        <v>32901</v>
      </c>
      <c r="P699" s="512">
        <v>31</v>
      </c>
      <c r="Q699" s="513">
        <v>189</v>
      </c>
      <c r="R699" s="514">
        <v>84</v>
      </c>
      <c r="S699" s="64"/>
      <c r="T699" s="297">
        <f t="shared" si="84"/>
        <v>0</v>
      </c>
      <c r="U699" s="518">
        <f t="shared" si="85"/>
        <v>0</v>
      </c>
      <c r="W699" s="1"/>
      <c r="X699" s="65"/>
    </row>
    <row r="700" spans="1:24" s="23" customFormat="1" ht="11.25" customHeight="1" x14ac:dyDescent="0.2">
      <c r="A700" s="765"/>
      <c r="C700" s="769"/>
      <c r="D700" s="60"/>
      <c r="F700" s="503">
        <f t="shared" si="81"/>
        <v>6.9400000000000961E-2</v>
      </c>
      <c r="G700" s="503">
        <f t="shared" si="83"/>
        <v>6.9400000000000961E-2</v>
      </c>
      <c r="H700" s="504" t="str">
        <f t="shared" si="86"/>
        <v>Svédország</v>
      </c>
      <c r="I700" s="509" t="s">
        <v>301</v>
      </c>
      <c r="J700" s="509" t="s">
        <v>1163</v>
      </c>
      <c r="K700" s="508">
        <v>16</v>
      </c>
      <c r="L700" s="509" t="s">
        <v>1339</v>
      </c>
      <c r="M700" s="634" t="s">
        <v>910</v>
      </c>
      <c r="N700" s="510" t="s">
        <v>1271</v>
      </c>
      <c r="O700" s="511">
        <v>34548</v>
      </c>
      <c r="P700" s="512">
        <v>26</v>
      </c>
      <c r="Q700" s="513">
        <v>181</v>
      </c>
      <c r="R700" s="514">
        <v>79</v>
      </c>
      <c r="S700" s="64"/>
      <c r="T700" s="297">
        <f t="shared" si="84"/>
        <v>0</v>
      </c>
      <c r="U700" s="518">
        <f t="shared" si="85"/>
        <v>0</v>
      </c>
      <c r="W700" s="1"/>
      <c r="X700" s="65"/>
    </row>
    <row r="701" spans="1:24" s="23" customFormat="1" ht="11.25" customHeight="1" x14ac:dyDescent="0.2">
      <c r="A701" s="765"/>
      <c r="C701" s="769"/>
      <c r="D701" s="60"/>
      <c r="F701" s="503">
        <f t="shared" si="81"/>
        <v>6.9500000000000964E-2</v>
      </c>
      <c r="G701" s="503">
        <f t="shared" si="83"/>
        <v>6.9500000000000964E-2</v>
      </c>
      <c r="H701" s="504" t="str">
        <f t="shared" si="86"/>
        <v>Svédország</v>
      </c>
      <c r="I701" s="509" t="s">
        <v>302</v>
      </c>
      <c r="J701" s="509" t="s">
        <v>219</v>
      </c>
      <c r="K701" s="508">
        <v>21</v>
      </c>
      <c r="L701" s="509" t="s">
        <v>703</v>
      </c>
      <c r="M701" s="634" t="s">
        <v>917</v>
      </c>
      <c r="N701" s="510" t="s">
        <v>501</v>
      </c>
      <c r="O701" s="511">
        <v>36641</v>
      </c>
      <c r="P701" s="512">
        <v>21</v>
      </c>
      <c r="Q701" s="513">
        <v>186</v>
      </c>
      <c r="R701" s="514">
        <v>73</v>
      </c>
      <c r="S701" s="64"/>
      <c r="T701" s="297">
        <f t="shared" si="84"/>
        <v>0</v>
      </c>
      <c r="U701" s="518">
        <f t="shared" si="85"/>
        <v>0</v>
      </c>
      <c r="W701" s="1"/>
      <c r="X701" s="65"/>
    </row>
    <row r="702" spans="1:24" s="23" customFormat="1" ht="11.25" customHeight="1" x14ac:dyDescent="0.2">
      <c r="A702" s="765"/>
      <c r="C702" s="769"/>
      <c r="D702" s="60"/>
      <c r="F702" s="503">
        <f t="shared" si="81"/>
        <v>6.9600000000000967E-2</v>
      </c>
      <c r="G702" s="503">
        <f t="shared" si="83"/>
        <v>6.9600000000000967E-2</v>
      </c>
      <c r="H702" s="504" t="str">
        <f t="shared" si="86"/>
        <v>Svédország</v>
      </c>
      <c r="I702" s="509" t="s">
        <v>1770</v>
      </c>
      <c r="J702" s="509" t="s">
        <v>951</v>
      </c>
      <c r="K702" s="508">
        <v>25</v>
      </c>
      <c r="L702" s="509" t="s">
        <v>1357</v>
      </c>
      <c r="M702" s="634" t="s">
        <v>1032</v>
      </c>
      <c r="N702" s="510" t="s">
        <v>507</v>
      </c>
      <c r="O702" s="511">
        <v>35601</v>
      </c>
      <c r="P702" s="512">
        <v>23</v>
      </c>
      <c r="Q702" s="513">
        <v>175</v>
      </c>
      <c r="R702" s="514">
        <v>68</v>
      </c>
      <c r="S702" s="64"/>
      <c r="T702" s="297">
        <f t="shared" si="84"/>
        <v>0</v>
      </c>
      <c r="U702" s="518">
        <f t="shared" si="85"/>
        <v>0</v>
      </c>
      <c r="W702" s="1"/>
      <c r="X702" s="65"/>
    </row>
    <row r="703" spans="1:24" s="23" customFormat="1" ht="11.25" customHeight="1" x14ac:dyDescent="0.2">
      <c r="A703" s="765"/>
      <c r="C703" s="769"/>
      <c r="D703" s="60"/>
      <c r="F703" s="503">
        <f t="shared" si="81"/>
        <v>6.970000000000097E-2</v>
      </c>
      <c r="G703" s="503">
        <f t="shared" si="83"/>
        <v>6.970000000000097E-2</v>
      </c>
      <c r="H703" s="504" t="str">
        <f t="shared" si="86"/>
        <v>Svédország</v>
      </c>
      <c r="I703" s="509" t="s">
        <v>1771</v>
      </c>
      <c r="J703" s="509" t="s">
        <v>1093</v>
      </c>
      <c r="K703" s="508">
        <v>7</v>
      </c>
      <c r="L703" s="509" t="s">
        <v>703</v>
      </c>
      <c r="M703" s="634" t="s">
        <v>612</v>
      </c>
      <c r="N703" s="510" t="s">
        <v>914</v>
      </c>
      <c r="O703" s="511">
        <v>31204</v>
      </c>
      <c r="P703" s="512">
        <v>36</v>
      </c>
      <c r="Q703" s="513">
        <v>178</v>
      </c>
      <c r="R703" s="514">
        <v>70</v>
      </c>
      <c r="S703" s="64"/>
      <c r="T703" s="297">
        <f t="shared" si="84"/>
        <v>0</v>
      </c>
      <c r="U703" s="518">
        <f t="shared" si="85"/>
        <v>0</v>
      </c>
      <c r="W703" s="1"/>
      <c r="X703" s="65"/>
    </row>
    <row r="704" spans="1:24" s="23" customFormat="1" ht="11.25" customHeight="1" x14ac:dyDescent="0.2">
      <c r="A704" s="765"/>
      <c r="C704" s="769"/>
      <c r="D704" s="60"/>
      <c r="F704" s="503">
        <f t="shared" si="81"/>
        <v>6.9800000000000972E-2</v>
      </c>
      <c r="G704" s="503">
        <f t="shared" si="83"/>
        <v>6.9800000000000972E-2</v>
      </c>
      <c r="H704" s="504" t="str">
        <f t="shared" si="86"/>
        <v>Svédország</v>
      </c>
      <c r="I704" s="509" t="s">
        <v>615</v>
      </c>
      <c r="J704" s="509" t="s">
        <v>818</v>
      </c>
      <c r="K704" s="508">
        <v>3</v>
      </c>
      <c r="L704" s="509" t="s">
        <v>1339</v>
      </c>
      <c r="M704" s="634" t="s">
        <v>853</v>
      </c>
      <c r="N704" s="510" t="s">
        <v>1271</v>
      </c>
      <c r="O704" s="511">
        <v>34532</v>
      </c>
      <c r="P704" s="512">
        <v>26</v>
      </c>
      <c r="Q704" s="513">
        <v>187</v>
      </c>
      <c r="R704" s="514">
        <v>81</v>
      </c>
      <c r="S704" s="64"/>
      <c r="T704" s="297">
        <f t="shared" si="84"/>
        <v>0</v>
      </c>
      <c r="U704" s="518">
        <f t="shared" si="85"/>
        <v>0</v>
      </c>
      <c r="W704" s="1"/>
      <c r="X704" s="65"/>
    </row>
    <row r="705" spans="1:24" s="23" customFormat="1" ht="11.25" customHeight="1" x14ac:dyDescent="0.2">
      <c r="A705" s="765"/>
      <c r="C705" s="769"/>
      <c r="D705" s="60"/>
      <c r="F705" s="503">
        <f t="shared" si="81"/>
        <v>6.9900000000000975E-2</v>
      </c>
      <c r="G705" s="503">
        <f t="shared" si="83"/>
        <v>6.9900000000000975E-2</v>
      </c>
      <c r="H705" s="504" t="str">
        <f t="shared" si="86"/>
        <v>Svédország</v>
      </c>
      <c r="I705" s="509" t="s">
        <v>1168</v>
      </c>
      <c r="J705" s="509" t="s">
        <v>1157</v>
      </c>
      <c r="K705" s="508">
        <v>2</v>
      </c>
      <c r="L705" s="509" t="s">
        <v>1339</v>
      </c>
      <c r="M705" s="634" t="s">
        <v>612</v>
      </c>
      <c r="N705" s="510" t="s">
        <v>914</v>
      </c>
      <c r="O705" s="511">
        <v>31759</v>
      </c>
      <c r="P705" s="512">
        <v>34</v>
      </c>
      <c r="Q705" s="513">
        <v>189</v>
      </c>
      <c r="R705" s="514">
        <v>77</v>
      </c>
      <c r="S705" s="64"/>
      <c r="T705" s="297">
        <f t="shared" si="84"/>
        <v>0</v>
      </c>
      <c r="U705" s="518">
        <f t="shared" si="85"/>
        <v>0</v>
      </c>
      <c r="W705" s="1"/>
      <c r="X705" s="65"/>
    </row>
    <row r="706" spans="1:24" s="23" customFormat="1" ht="11.25" customHeight="1" x14ac:dyDescent="0.2">
      <c r="A706" s="765"/>
      <c r="C706" s="769"/>
      <c r="D706" s="60"/>
      <c r="F706" s="503">
        <f t="shared" si="81"/>
        <v>7.0000000000000978E-2</v>
      </c>
      <c r="G706" s="503">
        <f t="shared" si="83"/>
        <v>7.0000000000000978E-2</v>
      </c>
      <c r="H706" s="504" t="str">
        <f t="shared" si="86"/>
        <v>Svédország</v>
      </c>
      <c r="I706" s="509" t="s">
        <v>303</v>
      </c>
      <c r="J706" s="509" t="s">
        <v>304</v>
      </c>
      <c r="K706" s="508">
        <v>23</v>
      </c>
      <c r="L706" s="509" t="s">
        <v>704</v>
      </c>
      <c r="M706" s="634" t="s">
        <v>1011</v>
      </c>
      <c r="N706" s="510" t="s">
        <v>858</v>
      </c>
      <c r="O706" s="511">
        <v>32682</v>
      </c>
      <c r="P706" s="512">
        <v>31</v>
      </c>
      <c r="Q706" s="513">
        <v>190</v>
      </c>
      <c r="R706" s="514">
        <v>85</v>
      </c>
      <c r="S706" s="64"/>
      <c r="T706" s="297">
        <f t="shared" si="84"/>
        <v>0</v>
      </c>
      <c r="U706" s="518">
        <f t="shared" si="85"/>
        <v>0</v>
      </c>
      <c r="W706" s="1"/>
      <c r="X706" s="65"/>
    </row>
    <row r="707" spans="1:24" s="23" customFormat="1" ht="11.25" customHeight="1" x14ac:dyDescent="0.2">
      <c r="A707" s="765"/>
      <c r="C707" s="769"/>
      <c r="D707" s="60"/>
      <c r="F707" s="503">
        <f t="shared" si="81"/>
        <v>7.0100000000000981E-2</v>
      </c>
      <c r="G707" s="503">
        <f t="shared" si="83"/>
        <v>7.0100000000000981E-2</v>
      </c>
      <c r="H707" s="504" t="str">
        <f t="shared" si="86"/>
        <v>Svédország</v>
      </c>
      <c r="I707" s="509" t="s">
        <v>616</v>
      </c>
      <c r="J707" s="509" t="s">
        <v>617</v>
      </c>
      <c r="K707" s="508">
        <v>1</v>
      </c>
      <c r="L707" s="509" t="s">
        <v>704</v>
      </c>
      <c r="M707" s="634" t="s">
        <v>948</v>
      </c>
      <c r="N707" s="510" t="s">
        <v>1271</v>
      </c>
      <c r="O707" s="511">
        <v>32881</v>
      </c>
      <c r="P707" s="512">
        <v>31</v>
      </c>
      <c r="Q707" s="513">
        <v>196</v>
      </c>
      <c r="R707" s="514">
        <v>86</v>
      </c>
      <c r="S707" s="64"/>
      <c r="T707" s="297">
        <f t="shared" si="84"/>
        <v>0</v>
      </c>
      <c r="U707" s="518">
        <f t="shared" si="85"/>
        <v>0</v>
      </c>
      <c r="W707" s="1"/>
      <c r="X707" s="65"/>
    </row>
    <row r="708" spans="1:24" s="23" customFormat="1" ht="11.25" customHeight="1" x14ac:dyDescent="0.2">
      <c r="A708" s="765"/>
      <c r="C708" s="769"/>
      <c r="D708" s="60"/>
      <c r="F708" s="503">
        <f t="shared" si="81"/>
        <v>7.0200000000000984E-2</v>
      </c>
      <c r="G708" s="503">
        <f t="shared" si="83"/>
        <v>7.0200000000000984E-2</v>
      </c>
      <c r="H708" s="504" t="str">
        <f t="shared" si="86"/>
        <v>Svédország</v>
      </c>
      <c r="I708" s="509" t="s">
        <v>1772</v>
      </c>
      <c r="J708" s="509" t="s">
        <v>304</v>
      </c>
      <c r="K708" s="508">
        <v>20</v>
      </c>
      <c r="L708" s="509" t="s">
        <v>703</v>
      </c>
      <c r="M708" s="634" t="s">
        <v>1037</v>
      </c>
      <c r="N708" s="510" t="s">
        <v>507</v>
      </c>
      <c r="O708" s="511">
        <v>34880</v>
      </c>
      <c r="P708" s="512">
        <v>25</v>
      </c>
      <c r="Q708" s="513">
        <v>178</v>
      </c>
      <c r="R708" s="514">
        <v>70</v>
      </c>
      <c r="S708" s="64"/>
      <c r="T708" s="297">
        <f t="shared" si="84"/>
        <v>0</v>
      </c>
      <c r="U708" s="518">
        <f t="shared" si="85"/>
        <v>0</v>
      </c>
      <c r="W708" s="1"/>
      <c r="X708" s="65"/>
    </row>
    <row r="709" spans="1:24" s="23" customFormat="1" ht="11.25" customHeight="1" x14ac:dyDescent="0.2">
      <c r="A709" s="765"/>
      <c r="C709" s="769"/>
      <c r="D709" s="60"/>
      <c r="F709" s="503">
        <f t="shared" si="81"/>
        <v>7.0300000000000987E-2</v>
      </c>
      <c r="G709" s="503">
        <f t="shared" si="83"/>
        <v>7.0300000000000987E-2</v>
      </c>
      <c r="H709" s="504" t="str">
        <f t="shared" si="86"/>
        <v>Svédország</v>
      </c>
      <c r="I709" s="509" t="s">
        <v>1773</v>
      </c>
      <c r="J709" s="509" t="s">
        <v>617</v>
      </c>
      <c r="K709" s="508">
        <v>22</v>
      </c>
      <c r="L709" s="509" t="s">
        <v>1357</v>
      </c>
      <c r="M709" s="634" t="s">
        <v>940</v>
      </c>
      <c r="N709" s="510" t="s">
        <v>1270</v>
      </c>
      <c r="O709" s="511">
        <v>34251</v>
      </c>
      <c r="P709" s="512">
        <v>27</v>
      </c>
      <c r="Q709" s="513">
        <v>183</v>
      </c>
      <c r="R709" s="514">
        <v>77</v>
      </c>
      <c r="S709" s="64"/>
      <c r="T709" s="297">
        <f t="shared" si="84"/>
        <v>0</v>
      </c>
      <c r="U709" s="518">
        <f t="shared" si="85"/>
        <v>0</v>
      </c>
      <c r="W709" s="640"/>
      <c r="X709" s="65"/>
    </row>
    <row r="710" spans="1:24" s="23" customFormat="1" ht="11.25" customHeight="1" x14ac:dyDescent="0.2">
      <c r="A710" s="765"/>
      <c r="C710" s="769"/>
      <c r="D710" s="60"/>
      <c r="F710" s="503">
        <f t="shared" si="81"/>
        <v>7.040000000000099E-2</v>
      </c>
      <c r="G710" s="503">
        <f t="shared" si="83"/>
        <v>7.040000000000099E-2</v>
      </c>
      <c r="H710" s="504" t="str">
        <f t="shared" si="86"/>
        <v>Svédország</v>
      </c>
      <c r="I710" s="509" t="s">
        <v>1774</v>
      </c>
      <c r="J710" s="509" t="s">
        <v>1775</v>
      </c>
      <c r="K710" s="508">
        <v>15</v>
      </c>
      <c r="L710" s="509" t="s">
        <v>703</v>
      </c>
      <c r="M710" s="634" t="s">
        <v>1651</v>
      </c>
      <c r="N710" s="510" t="s">
        <v>1271</v>
      </c>
      <c r="O710" s="511">
        <v>34242</v>
      </c>
      <c r="P710" s="512">
        <v>27</v>
      </c>
      <c r="Q710" s="513">
        <v>177</v>
      </c>
      <c r="R710" s="514">
        <v>69</v>
      </c>
      <c r="S710" s="64"/>
      <c r="T710" s="297">
        <f t="shared" si="84"/>
        <v>0</v>
      </c>
      <c r="U710" s="518">
        <f t="shared" si="85"/>
        <v>0</v>
      </c>
      <c r="W710" s="640"/>
      <c r="X710" s="65"/>
    </row>
    <row r="711" spans="1:24" s="23" customFormat="1" ht="11.25" customHeight="1" x14ac:dyDescent="0.2">
      <c r="A711" s="765"/>
      <c r="C711" s="769"/>
      <c r="D711" s="60"/>
      <c r="F711" s="503">
        <f t="shared" si="81"/>
        <v>7.0500000000000992E-2</v>
      </c>
      <c r="G711" s="503">
        <f t="shared" si="83"/>
        <v>7.0500000000000992E-2</v>
      </c>
      <c r="H711" s="504" t="str">
        <f t="shared" si="86"/>
        <v>Svédország</v>
      </c>
      <c r="I711" s="509" t="s">
        <v>1776</v>
      </c>
      <c r="J711" s="509" t="s">
        <v>298</v>
      </c>
      <c r="K711" s="508">
        <v>19</v>
      </c>
      <c r="L711" s="509" t="s">
        <v>703</v>
      </c>
      <c r="M711" s="634" t="s">
        <v>1552</v>
      </c>
      <c r="N711" s="510" t="s">
        <v>501</v>
      </c>
      <c r="O711" s="511">
        <v>36165</v>
      </c>
      <c r="P711" s="512">
        <v>22</v>
      </c>
      <c r="Q711" s="513">
        <v>185</v>
      </c>
      <c r="R711" s="514">
        <v>75</v>
      </c>
      <c r="S711" s="64"/>
      <c r="T711" s="297">
        <f t="shared" si="84"/>
        <v>0</v>
      </c>
      <c r="U711" s="518">
        <f t="shared" si="85"/>
        <v>0</v>
      </c>
      <c r="W711" s="640"/>
      <c r="X711" s="65"/>
    </row>
    <row r="712" spans="1:24" s="23" customFormat="1" ht="11.25" customHeight="1" x14ac:dyDescent="0.2">
      <c r="A712" s="765"/>
      <c r="C712" s="769"/>
      <c r="D712" s="60"/>
      <c r="F712" s="503">
        <f t="shared" si="81"/>
        <v>7.0600000000000995E-2</v>
      </c>
      <c r="G712" s="503">
        <f t="shared" si="83"/>
        <v>7.0600000000000995E-2</v>
      </c>
      <c r="H712" s="504" t="str">
        <f t="shared" si="86"/>
        <v>Svédország</v>
      </c>
      <c r="I712" s="555" t="s">
        <v>1777</v>
      </c>
      <c r="J712" s="555" t="s">
        <v>1778</v>
      </c>
      <c r="K712" s="554">
        <v>13</v>
      </c>
      <c r="L712" s="555" t="s">
        <v>703</v>
      </c>
      <c r="M712" s="635" t="s">
        <v>1779</v>
      </c>
      <c r="N712" s="556" t="s">
        <v>921</v>
      </c>
      <c r="O712" s="557">
        <v>31815</v>
      </c>
      <c r="P712" s="558">
        <v>34</v>
      </c>
      <c r="Q712" s="559">
        <v>184</v>
      </c>
      <c r="R712" s="560">
        <v>83</v>
      </c>
      <c r="S712" s="64"/>
      <c r="T712" s="297">
        <f t="shared" si="84"/>
        <v>0</v>
      </c>
      <c r="U712" s="518">
        <f t="shared" si="85"/>
        <v>0</v>
      </c>
      <c r="W712" s="640"/>
      <c r="X712" s="65"/>
    </row>
    <row r="713" spans="1:24" s="23" customFormat="1" ht="9.75" hidden="1" customHeight="1" x14ac:dyDescent="0.2">
      <c r="A713" s="765"/>
      <c r="C713" s="769"/>
      <c r="D713" s="60"/>
      <c r="F713" s="503">
        <f t="shared" ref="F713:F776" si="87">F712+0.0001</f>
        <v>7.0700000000000998E-2</v>
      </c>
      <c r="G713" s="503">
        <f t="shared" si="83"/>
        <v>0</v>
      </c>
      <c r="H713" s="504" t="str">
        <f t="shared" si="86"/>
        <v>Svédország</v>
      </c>
      <c r="I713" s="61"/>
      <c r="J713" s="61"/>
      <c r="K713" s="295"/>
      <c r="L713" s="61"/>
      <c r="M713" s="633"/>
      <c r="N713" s="256"/>
      <c r="O713" s="62"/>
      <c r="P713" s="253"/>
      <c r="Q713" s="63"/>
      <c r="R713" s="252"/>
      <c r="S713" s="64"/>
      <c r="T713" s="297" t="str">
        <f t="shared" si="84"/>
        <v/>
      </c>
      <c r="U713" s="518" t="str">
        <f t="shared" si="85"/>
        <v/>
      </c>
      <c r="W713" s="640"/>
      <c r="X713" s="65"/>
    </row>
    <row r="714" spans="1:24" s="23" customFormat="1" ht="9.75" hidden="1" customHeight="1" x14ac:dyDescent="0.2">
      <c r="A714" s="765"/>
      <c r="C714" s="769"/>
      <c r="D714" s="60"/>
      <c r="F714" s="503">
        <f t="shared" si="87"/>
        <v>7.0800000000001001E-2</v>
      </c>
      <c r="G714" s="503">
        <f t="shared" si="83"/>
        <v>0</v>
      </c>
      <c r="H714" s="504" t="str">
        <f t="shared" si="86"/>
        <v>Svédország</v>
      </c>
      <c r="I714" s="61"/>
      <c r="J714" s="61"/>
      <c r="K714" s="295"/>
      <c r="L714" s="61"/>
      <c r="M714" s="633"/>
      <c r="N714" s="256"/>
      <c r="O714" s="62"/>
      <c r="P714" s="253"/>
      <c r="Q714" s="63"/>
      <c r="R714" s="252"/>
      <c r="S714" s="64"/>
      <c r="T714" s="297" t="str">
        <f t="shared" si="84"/>
        <v/>
      </c>
      <c r="U714" s="518" t="str">
        <f t="shared" si="85"/>
        <v/>
      </c>
      <c r="W714" s="640"/>
      <c r="X714" s="65"/>
    </row>
    <row r="715" spans="1:24" s="23" customFormat="1" ht="9.75" hidden="1" customHeight="1" x14ac:dyDescent="0.2">
      <c r="A715" s="765"/>
      <c r="C715" s="769"/>
      <c r="D715" s="60"/>
      <c r="F715" s="503">
        <f t="shared" si="87"/>
        <v>7.0900000000001004E-2</v>
      </c>
      <c r="G715" s="503">
        <f t="shared" si="83"/>
        <v>0</v>
      </c>
      <c r="H715" s="504" t="str">
        <f t="shared" si="86"/>
        <v>Svédország</v>
      </c>
      <c r="I715" s="61"/>
      <c r="J715" s="61"/>
      <c r="K715" s="295"/>
      <c r="L715" s="61"/>
      <c r="M715" s="633"/>
      <c r="N715" s="256"/>
      <c r="O715" s="62"/>
      <c r="P715" s="253"/>
      <c r="Q715" s="63"/>
      <c r="R715" s="252"/>
      <c r="S715" s="64"/>
      <c r="T715" s="297" t="str">
        <f t="shared" si="84"/>
        <v/>
      </c>
      <c r="U715" s="518" t="str">
        <f t="shared" si="85"/>
        <v/>
      </c>
      <c r="W715" s="640"/>
      <c r="X715" s="65"/>
    </row>
    <row r="716" spans="1:24" s="23" customFormat="1" ht="9.75" hidden="1" customHeight="1" x14ac:dyDescent="0.2">
      <c r="A716" s="765"/>
      <c r="C716" s="769"/>
      <c r="D716" s="60"/>
      <c r="F716" s="503">
        <f t="shared" si="87"/>
        <v>7.1000000000001007E-2</v>
      </c>
      <c r="G716" s="503">
        <f t="shared" si="83"/>
        <v>0</v>
      </c>
      <c r="H716" s="504" t="str">
        <f t="shared" si="86"/>
        <v>Svédország</v>
      </c>
      <c r="I716" s="61"/>
      <c r="J716" s="61"/>
      <c r="K716" s="295"/>
      <c r="L716" s="61"/>
      <c r="M716" s="633"/>
      <c r="N716" s="256"/>
      <c r="O716" s="62"/>
      <c r="P716" s="253"/>
      <c r="Q716" s="63"/>
      <c r="R716" s="252"/>
      <c r="S716" s="64"/>
      <c r="T716" s="297" t="str">
        <f t="shared" si="84"/>
        <v/>
      </c>
      <c r="U716" s="518" t="str">
        <f t="shared" si="85"/>
        <v/>
      </c>
      <c r="W716" s="640"/>
      <c r="X716" s="65"/>
    </row>
    <row r="717" spans="1:24" s="23" customFormat="1" ht="4.5" customHeight="1" x14ac:dyDescent="0.25">
      <c r="A717" s="765"/>
      <c r="C717" s="769"/>
      <c r="D717" s="60"/>
      <c r="F717" s="503">
        <f t="shared" si="87"/>
        <v>7.110000000000101E-2</v>
      </c>
      <c r="G717" s="503"/>
      <c r="H717" s="505"/>
      <c r="I717" s="67"/>
      <c r="J717" s="67"/>
      <c r="K717" s="22"/>
      <c r="L717" s="67"/>
      <c r="M717" s="22"/>
      <c r="N717" s="68"/>
      <c r="O717" s="67"/>
      <c r="P717" s="69"/>
      <c r="Q717" s="70"/>
      <c r="R717" s="71"/>
      <c r="S717" s="71"/>
      <c r="T717" s="298"/>
      <c r="U717" s="299"/>
      <c r="W717" s="641"/>
      <c r="X717" s="67"/>
    </row>
    <row r="718" spans="1:24" s="21" customFormat="1" ht="9.75" customHeight="1" x14ac:dyDescent="0.2">
      <c r="A718" s="765"/>
      <c r="C718" s="769"/>
      <c r="D718" s="60"/>
      <c r="F718" s="503">
        <f t="shared" si="87"/>
        <v>7.1200000000001012E-2</v>
      </c>
      <c r="G718" s="503"/>
      <c r="H718" s="303"/>
      <c r="I718" s="74" t="s">
        <v>542</v>
      </c>
      <c r="J718" s="75" t="s">
        <v>306</v>
      </c>
      <c r="K718" s="75"/>
      <c r="L718" s="75"/>
      <c r="M718" s="636"/>
      <c r="N718" s="76"/>
      <c r="O718" s="74" t="s">
        <v>495</v>
      </c>
      <c r="P718" s="254">
        <f>AVERAGE(P687:P716)</f>
        <v>28.653846153846153</v>
      </c>
      <c r="Q718" s="77">
        <f>AVERAGE(Q687:Q716)</f>
        <v>185.26923076923077</v>
      </c>
      <c r="R718" s="255">
        <f>AVERAGE(R687:R716)</f>
        <v>77.92307692307692</v>
      </c>
      <c r="S718" s="78"/>
      <c r="T718" s="297">
        <f>SUM(T687:T716)</f>
        <v>0</v>
      </c>
      <c r="U718" s="518">
        <f>SUM(U687:U716)</f>
        <v>0</v>
      </c>
      <c r="W718" s="642" t="s">
        <v>879</v>
      </c>
      <c r="X718" s="79"/>
    </row>
    <row r="719" spans="1:24" ht="9.75" customHeight="1" x14ac:dyDescent="0.3">
      <c r="A719" s="765"/>
      <c r="F719" s="503">
        <f t="shared" si="87"/>
        <v>7.1300000000001015E-2</v>
      </c>
      <c r="G719" s="503"/>
    </row>
    <row r="720" spans="1:24" ht="9.75" customHeight="1" x14ac:dyDescent="0.3">
      <c r="A720" s="765"/>
      <c r="F720" s="503">
        <f t="shared" si="87"/>
        <v>7.1400000000001018E-2</v>
      </c>
      <c r="G720" s="503"/>
    </row>
    <row r="721" spans="1:24" ht="9.75" customHeight="1" x14ac:dyDescent="0.3">
      <c r="A721" s="765"/>
      <c r="F721" s="503">
        <f t="shared" si="87"/>
        <v>7.1500000000001021E-2</v>
      </c>
      <c r="G721" s="503"/>
    </row>
    <row r="722" spans="1:24" ht="9.75" customHeight="1" x14ac:dyDescent="0.3">
      <c r="A722" s="765"/>
      <c r="F722" s="503">
        <f t="shared" si="87"/>
        <v>7.1600000000001024E-2</v>
      </c>
    </row>
    <row r="723" spans="1:24" ht="9.75" customHeight="1" x14ac:dyDescent="0.3">
      <c r="A723" s="765"/>
      <c r="F723" s="503">
        <f t="shared" si="87"/>
        <v>7.1700000000001027E-2</v>
      </c>
    </row>
    <row r="724" spans="1:24" ht="9.75" customHeight="1" x14ac:dyDescent="0.3">
      <c r="A724" s="765"/>
      <c r="F724" s="503">
        <f t="shared" si="87"/>
        <v>7.180000000000103E-2</v>
      </c>
    </row>
    <row r="725" spans="1:24" ht="9.75" customHeight="1" x14ac:dyDescent="0.3">
      <c r="A725" s="765"/>
      <c r="F725" s="503">
        <f t="shared" si="87"/>
        <v>7.1900000000001033E-2</v>
      </c>
    </row>
    <row r="726" spans="1:24" s="23" customFormat="1" ht="5.25" customHeight="1" x14ac:dyDescent="0.2">
      <c r="A726" s="765"/>
      <c r="C726" s="21"/>
      <c r="F726" s="503">
        <f t="shared" si="87"/>
        <v>7.2000000000001035E-2</v>
      </c>
      <c r="G726" s="506"/>
      <c r="H726" s="502"/>
      <c r="I726" s="55"/>
      <c r="J726" s="55"/>
      <c r="K726" s="56"/>
      <c r="L726" s="55"/>
      <c r="M726" s="56"/>
      <c r="N726" s="57"/>
      <c r="O726" s="57"/>
      <c r="P726" s="55"/>
      <c r="Q726" s="57"/>
      <c r="R726" s="57"/>
      <c r="S726" s="57"/>
      <c r="T726" s="58"/>
      <c r="U726" s="59"/>
      <c r="W726" s="639"/>
      <c r="X726" s="55"/>
    </row>
    <row r="727" spans="1:24" s="23" customFormat="1" ht="11.25" customHeight="1" x14ac:dyDescent="0.2">
      <c r="A727" s="765"/>
      <c r="C727" s="769" t="str">
        <f>UPPER(H727)&amp;"    ."</f>
        <v>LENGYELORSZÁG    .</v>
      </c>
      <c r="D727" s="60"/>
      <c r="F727" s="503">
        <f t="shared" si="87"/>
        <v>7.2100000000001038E-2</v>
      </c>
      <c r="G727" s="503">
        <f t="shared" ref="G727:G756" si="88">IF(I727="",0,T727+F727)</f>
        <v>7.2100000000001038E-2</v>
      </c>
      <c r="H727" s="504" t="str">
        <f>Adatok!E4</f>
        <v>Lengyelország</v>
      </c>
      <c r="I727" s="61" t="s">
        <v>307</v>
      </c>
      <c r="J727" s="61" t="s">
        <v>604</v>
      </c>
      <c r="K727" s="295">
        <v>5</v>
      </c>
      <c r="L727" s="61" t="s">
        <v>1339</v>
      </c>
      <c r="M727" s="633" t="s">
        <v>825</v>
      </c>
      <c r="N727" s="256" t="s">
        <v>1271</v>
      </c>
      <c r="O727" s="62">
        <v>35167</v>
      </c>
      <c r="P727" s="253">
        <v>25</v>
      </c>
      <c r="Q727" s="63">
        <v>189</v>
      </c>
      <c r="R727" s="252">
        <v>77</v>
      </c>
      <c r="S727" s="64"/>
      <c r="T727" s="297">
        <f t="shared" ref="T727:T756" si="89">IF(I727="","",COUNTIF(nevek.s,CONCATENATE(H727,I727)))</f>
        <v>0</v>
      </c>
      <c r="U727" s="518">
        <f t="shared" ref="U727:U756" si="90">IF(I727="","",COUNTIF(nevek.s,CONCATENATE("ö",H727,I727)))</f>
        <v>0</v>
      </c>
      <c r="W727" s="3"/>
      <c r="X727" s="65"/>
    </row>
    <row r="728" spans="1:24" s="23" customFormat="1" ht="11.25" customHeight="1" x14ac:dyDescent="0.2">
      <c r="A728" s="765"/>
      <c r="C728" s="769"/>
      <c r="D728" s="60"/>
      <c r="F728" s="503">
        <f t="shared" si="87"/>
        <v>7.2200000000001041E-2</v>
      </c>
      <c r="G728" s="503">
        <f t="shared" si="88"/>
        <v>7.2200000000001041E-2</v>
      </c>
      <c r="H728" s="504" t="str">
        <f>H727</f>
        <v>Lengyelország</v>
      </c>
      <c r="I728" s="509" t="s">
        <v>308</v>
      </c>
      <c r="J728" s="509" t="s">
        <v>1108</v>
      </c>
      <c r="K728" s="508">
        <v>18</v>
      </c>
      <c r="L728" s="509" t="s">
        <v>1339</v>
      </c>
      <c r="M728" s="634" t="s">
        <v>1153</v>
      </c>
      <c r="N728" s="510" t="s">
        <v>501</v>
      </c>
      <c r="O728" s="511">
        <v>33797</v>
      </c>
      <c r="P728" s="512">
        <v>28</v>
      </c>
      <c r="Q728" s="513">
        <v>183</v>
      </c>
      <c r="R728" s="514">
        <v>77</v>
      </c>
      <c r="S728" s="64"/>
      <c r="T728" s="297">
        <f t="shared" si="89"/>
        <v>0</v>
      </c>
      <c r="U728" s="518">
        <f t="shared" si="90"/>
        <v>0</v>
      </c>
      <c r="W728" s="1"/>
      <c r="X728" s="65"/>
    </row>
    <row r="729" spans="1:24" s="23" customFormat="1" ht="11.25" customHeight="1" x14ac:dyDescent="0.2">
      <c r="A729" s="765"/>
      <c r="C729" s="769"/>
      <c r="D729" s="60"/>
      <c r="F729" s="503">
        <f t="shared" si="87"/>
        <v>7.2300000000001044E-2</v>
      </c>
      <c r="G729" s="503">
        <f t="shared" si="88"/>
        <v>7.2300000000001044E-2</v>
      </c>
      <c r="H729" s="504" t="str">
        <f t="shared" ref="H729:H756" si="91">H728</f>
        <v>Lengyelország</v>
      </c>
      <c r="I729" s="509" t="s">
        <v>1780</v>
      </c>
      <c r="J729" s="509" t="s">
        <v>309</v>
      </c>
      <c r="K729" s="508">
        <v>3</v>
      </c>
      <c r="L729" s="509" t="s">
        <v>703</v>
      </c>
      <c r="M729" s="634" t="s">
        <v>1781</v>
      </c>
      <c r="N729" s="510" t="s">
        <v>501</v>
      </c>
      <c r="O729" s="511">
        <v>34839</v>
      </c>
      <c r="P729" s="512">
        <v>26</v>
      </c>
      <c r="Q729" s="513">
        <v>188</v>
      </c>
      <c r="R729" s="514">
        <v>80</v>
      </c>
      <c r="S729" s="64"/>
      <c r="T729" s="297">
        <f t="shared" si="89"/>
        <v>0</v>
      </c>
      <c r="U729" s="518">
        <f t="shared" si="90"/>
        <v>0</v>
      </c>
      <c r="W729" s="1"/>
      <c r="X729" s="65"/>
    </row>
    <row r="730" spans="1:24" s="23" customFormat="1" ht="11.25" customHeight="1" x14ac:dyDescent="0.2">
      <c r="A730" s="765"/>
      <c r="C730" s="769"/>
      <c r="D730" s="60"/>
      <c r="F730" s="503">
        <f t="shared" si="87"/>
        <v>7.2400000000001047E-2</v>
      </c>
      <c r="G730" s="503">
        <f t="shared" si="88"/>
        <v>7.2400000000001047E-2</v>
      </c>
      <c r="H730" s="504" t="str">
        <f t="shared" si="91"/>
        <v>Lengyelország</v>
      </c>
      <c r="I730" s="509" t="s">
        <v>1104</v>
      </c>
      <c r="J730" s="509" t="s">
        <v>937</v>
      </c>
      <c r="K730" s="508">
        <v>22</v>
      </c>
      <c r="L730" s="509" t="s">
        <v>704</v>
      </c>
      <c r="M730" s="634" t="s">
        <v>931</v>
      </c>
      <c r="N730" s="510" t="s">
        <v>1271</v>
      </c>
      <c r="O730" s="511">
        <v>31155</v>
      </c>
      <c r="P730" s="512">
        <v>36</v>
      </c>
      <c r="Q730" s="513">
        <v>190</v>
      </c>
      <c r="R730" s="514">
        <v>83</v>
      </c>
      <c r="S730" s="64"/>
      <c r="T730" s="297">
        <f t="shared" si="89"/>
        <v>0</v>
      </c>
      <c r="U730" s="518">
        <f t="shared" si="90"/>
        <v>0</v>
      </c>
      <c r="W730" s="1"/>
      <c r="X730" s="65"/>
    </row>
    <row r="731" spans="1:24" s="23" customFormat="1" ht="11.25" customHeight="1" x14ac:dyDescent="0.2">
      <c r="A731" s="765"/>
      <c r="C731" s="769"/>
      <c r="D731" s="60"/>
      <c r="F731" s="503">
        <f t="shared" si="87"/>
        <v>7.250000000000105E-2</v>
      </c>
      <c r="G731" s="503">
        <f t="shared" si="88"/>
        <v>7.250000000000105E-2</v>
      </c>
      <c r="H731" s="504" t="str">
        <f t="shared" si="91"/>
        <v>Lengyelország</v>
      </c>
      <c r="I731" s="509" t="s">
        <v>310</v>
      </c>
      <c r="J731" s="509" t="s">
        <v>311</v>
      </c>
      <c r="K731" s="508">
        <v>19</v>
      </c>
      <c r="L731" s="509" t="s">
        <v>703</v>
      </c>
      <c r="M731" s="634" t="s">
        <v>312</v>
      </c>
      <c r="N731" s="510" t="s">
        <v>921</v>
      </c>
      <c r="O731" s="511">
        <v>34801</v>
      </c>
      <c r="P731" s="512">
        <v>26</v>
      </c>
      <c r="Q731" s="513">
        <v>176</v>
      </c>
      <c r="R731" s="514">
        <v>70</v>
      </c>
      <c r="S731" s="64"/>
      <c r="T731" s="297">
        <f t="shared" si="89"/>
        <v>0</v>
      </c>
      <c r="U731" s="518">
        <f t="shared" si="90"/>
        <v>0</v>
      </c>
      <c r="W731" s="1"/>
      <c r="X731" s="65"/>
    </row>
    <row r="732" spans="1:24" s="23" customFormat="1" ht="11.25" customHeight="1" x14ac:dyDescent="0.2">
      <c r="A732" s="765"/>
      <c r="C732" s="769"/>
      <c r="D732" s="60"/>
      <c r="F732" s="503">
        <f t="shared" si="87"/>
        <v>7.2600000000001053E-2</v>
      </c>
      <c r="G732" s="503">
        <f t="shared" si="88"/>
        <v>7.2600000000001053E-2</v>
      </c>
      <c r="H732" s="504" t="str">
        <f t="shared" si="91"/>
        <v>Lengyelország</v>
      </c>
      <c r="I732" s="509" t="s">
        <v>1105</v>
      </c>
      <c r="J732" s="509" t="s">
        <v>1106</v>
      </c>
      <c r="K732" s="508">
        <v>15</v>
      </c>
      <c r="L732" s="509" t="s">
        <v>1339</v>
      </c>
      <c r="M732" s="634" t="s">
        <v>313</v>
      </c>
      <c r="N732" s="510" t="s">
        <v>501</v>
      </c>
      <c r="O732" s="511">
        <v>32176</v>
      </c>
      <c r="P732" s="512">
        <v>33</v>
      </c>
      <c r="Q732" s="513">
        <v>190</v>
      </c>
      <c r="R732" s="514">
        <v>80</v>
      </c>
      <c r="S732" s="64"/>
      <c r="T732" s="297">
        <f t="shared" si="89"/>
        <v>0</v>
      </c>
      <c r="U732" s="518">
        <f t="shared" si="90"/>
        <v>0</v>
      </c>
      <c r="W732" s="1"/>
      <c r="X732" s="65"/>
    </row>
    <row r="733" spans="1:24" s="23" customFormat="1" ht="11.25" customHeight="1" x14ac:dyDescent="0.2">
      <c r="A733" s="765"/>
      <c r="C733" s="769"/>
      <c r="D733" s="60"/>
      <c r="F733" s="503">
        <f t="shared" si="87"/>
        <v>7.2700000000001055E-2</v>
      </c>
      <c r="G733" s="503">
        <f t="shared" si="88"/>
        <v>7.2700000000001055E-2</v>
      </c>
      <c r="H733" s="504" t="str">
        <f t="shared" si="91"/>
        <v>Lengyelország</v>
      </c>
      <c r="I733" s="509" t="s">
        <v>1782</v>
      </c>
      <c r="J733" s="509" t="s">
        <v>1068</v>
      </c>
      <c r="K733" s="508">
        <v>25</v>
      </c>
      <c r="L733" s="509" t="s">
        <v>1339</v>
      </c>
      <c r="M733" s="634" t="s">
        <v>1783</v>
      </c>
      <c r="N733" s="510" t="s">
        <v>1271</v>
      </c>
      <c r="O733" s="511">
        <v>34951</v>
      </c>
      <c r="P733" s="512">
        <v>25</v>
      </c>
      <c r="Q733" s="513">
        <v>193</v>
      </c>
      <c r="R733" s="514">
        <v>80</v>
      </c>
      <c r="S733" s="64"/>
      <c r="T733" s="297">
        <f t="shared" si="89"/>
        <v>0</v>
      </c>
      <c r="U733" s="518">
        <f t="shared" si="90"/>
        <v>0</v>
      </c>
      <c r="W733" s="1"/>
      <c r="X733" s="65"/>
    </row>
    <row r="734" spans="1:24" s="23" customFormat="1" ht="11.25" customHeight="1" x14ac:dyDescent="0.2">
      <c r="A734" s="765"/>
      <c r="C734" s="769"/>
      <c r="D734" s="60"/>
      <c r="E734" s="66"/>
      <c r="F734" s="503">
        <f t="shared" si="87"/>
        <v>7.2800000000001058E-2</v>
      </c>
      <c r="G734" s="503">
        <f t="shared" si="88"/>
        <v>7.2800000000001058E-2</v>
      </c>
      <c r="H734" s="504" t="str">
        <f t="shared" si="91"/>
        <v>Lengyelország</v>
      </c>
      <c r="I734" s="509" t="s">
        <v>314</v>
      </c>
      <c r="J734" s="509" t="s">
        <v>1106</v>
      </c>
      <c r="K734" s="508">
        <v>21</v>
      </c>
      <c r="L734" s="509" t="s">
        <v>703</v>
      </c>
      <c r="M734" s="634" t="s">
        <v>1119</v>
      </c>
      <c r="N734" s="510" t="s">
        <v>1271</v>
      </c>
      <c r="O734" s="511">
        <v>35907</v>
      </c>
      <c r="P734" s="512">
        <v>23</v>
      </c>
      <c r="Q734" s="513">
        <v>176</v>
      </c>
      <c r="R734" s="514">
        <v>70</v>
      </c>
      <c r="S734" s="64"/>
      <c r="T734" s="297">
        <f t="shared" si="89"/>
        <v>0</v>
      </c>
      <c r="U734" s="518">
        <f t="shared" si="90"/>
        <v>0</v>
      </c>
      <c r="W734" s="1"/>
      <c r="X734" s="65"/>
    </row>
    <row r="735" spans="1:24" s="23" customFormat="1" ht="11.25" customHeight="1" x14ac:dyDescent="0.2">
      <c r="A735" s="765"/>
      <c r="C735" s="769"/>
      <c r="D735" s="60"/>
      <c r="F735" s="503">
        <f t="shared" si="87"/>
        <v>7.2900000000001061E-2</v>
      </c>
      <c r="G735" s="503">
        <f t="shared" si="88"/>
        <v>7.2900000000001061E-2</v>
      </c>
      <c r="H735" s="504" t="str">
        <f t="shared" si="91"/>
        <v>Lengyelország</v>
      </c>
      <c r="I735" s="509" t="s">
        <v>315</v>
      </c>
      <c r="J735" s="509" t="s">
        <v>1107</v>
      </c>
      <c r="K735" s="508">
        <v>4</v>
      </c>
      <c r="L735" s="509" t="s">
        <v>1339</v>
      </c>
      <c r="M735" s="634" t="s">
        <v>103</v>
      </c>
      <c r="N735" s="510" t="s">
        <v>509</v>
      </c>
      <c r="O735" s="511">
        <v>34496</v>
      </c>
      <c r="P735" s="512">
        <v>27</v>
      </c>
      <c r="Q735" s="513">
        <v>183</v>
      </c>
      <c r="R735" s="514">
        <v>78</v>
      </c>
      <c r="S735" s="64"/>
      <c r="T735" s="297">
        <f t="shared" si="89"/>
        <v>0</v>
      </c>
      <c r="U735" s="518">
        <f t="shared" si="90"/>
        <v>0</v>
      </c>
      <c r="W735" s="1"/>
      <c r="X735" s="65"/>
    </row>
    <row r="736" spans="1:24" s="23" customFormat="1" ht="11.25" customHeight="1" x14ac:dyDescent="0.2">
      <c r="A736" s="765"/>
      <c r="C736" s="769"/>
      <c r="D736" s="60"/>
      <c r="F736" s="503">
        <f t="shared" si="87"/>
        <v>7.3000000000001064E-2</v>
      </c>
      <c r="G736" s="503">
        <f t="shared" si="88"/>
        <v>7.3000000000001064E-2</v>
      </c>
      <c r="H736" s="504" t="str">
        <f t="shared" si="91"/>
        <v>Lengyelország</v>
      </c>
      <c r="I736" s="509" t="s">
        <v>316</v>
      </c>
      <c r="J736" s="509" t="s">
        <v>317</v>
      </c>
      <c r="K736" s="508">
        <v>14</v>
      </c>
      <c r="L736" s="509" t="s">
        <v>703</v>
      </c>
      <c r="M736" s="634" t="s">
        <v>1122</v>
      </c>
      <c r="N736" s="510" t="s">
        <v>1271</v>
      </c>
      <c r="O736" s="511">
        <v>33037</v>
      </c>
      <c r="P736" s="512">
        <v>30</v>
      </c>
      <c r="Q736" s="513">
        <v>183</v>
      </c>
      <c r="R736" s="514">
        <v>82</v>
      </c>
      <c r="S736" s="64"/>
      <c r="T736" s="297">
        <f t="shared" si="89"/>
        <v>0</v>
      </c>
      <c r="U736" s="518">
        <f t="shared" si="90"/>
        <v>0</v>
      </c>
      <c r="W736" s="1"/>
      <c r="X736" s="65"/>
    </row>
    <row r="737" spans="1:24" s="23" customFormat="1" ht="11.25" customHeight="1" x14ac:dyDescent="0.2">
      <c r="A737" s="765"/>
      <c r="C737" s="769"/>
      <c r="D737" s="60"/>
      <c r="F737" s="503">
        <f t="shared" si="87"/>
        <v>7.3100000000001067E-2</v>
      </c>
      <c r="G737" s="503">
        <f t="shared" si="88"/>
        <v>7.3100000000001067E-2</v>
      </c>
      <c r="H737" s="504" t="str">
        <f t="shared" si="91"/>
        <v>Lengyelország</v>
      </c>
      <c r="I737" s="509" t="s">
        <v>1784</v>
      </c>
      <c r="J737" s="509" t="s">
        <v>1785</v>
      </c>
      <c r="K737" s="508">
        <v>23</v>
      </c>
      <c r="L737" s="509" t="s">
        <v>1357</v>
      </c>
      <c r="M737" s="634" t="s">
        <v>1358</v>
      </c>
      <c r="N737" s="510" t="s">
        <v>1270</v>
      </c>
      <c r="O737" s="511">
        <v>35503</v>
      </c>
      <c r="P737" s="512">
        <v>24</v>
      </c>
      <c r="Q737" s="513">
        <v>185</v>
      </c>
      <c r="R737" s="514">
        <v>75</v>
      </c>
      <c r="S737" s="64"/>
      <c r="T737" s="297">
        <f t="shared" si="89"/>
        <v>0</v>
      </c>
      <c r="U737" s="518">
        <f t="shared" si="90"/>
        <v>0</v>
      </c>
      <c r="W737" s="1"/>
      <c r="X737" s="65"/>
    </row>
    <row r="738" spans="1:24" s="23" customFormat="1" ht="11.25" customHeight="1" x14ac:dyDescent="0.2">
      <c r="A738" s="765"/>
      <c r="C738" s="769"/>
      <c r="D738" s="60"/>
      <c r="F738" s="503">
        <f t="shared" si="87"/>
        <v>7.320000000000107E-2</v>
      </c>
      <c r="G738" s="503">
        <f t="shared" si="88"/>
        <v>7.320000000000107E-2</v>
      </c>
      <c r="H738" s="504" t="str">
        <f t="shared" si="91"/>
        <v>Lengyelország</v>
      </c>
      <c r="I738" s="509" t="s">
        <v>1786</v>
      </c>
      <c r="J738" s="509" t="s">
        <v>1787</v>
      </c>
      <c r="K738" s="508">
        <v>6</v>
      </c>
      <c r="L738" s="509" t="s">
        <v>703</v>
      </c>
      <c r="M738" s="634" t="s">
        <v>1788</v>
      </c>
      <c r="N738" s="510" t="s">
        <v>1065</v>
      </c>
      <c r="O738" s="511">
        <v>37910</v>
      </c>
      <c r="P738" s="512">
        <v>17</v>
      </c>
      <c r="Q738" s="513">
        <v>177</v>
      </c>
      <c r="R738" s="514">
        <v>67</v>
      </c>
      <c r="S738" s="64"/>
      <c r="T738" s="297">
        <f t="shared" si="89"/>
        <v>0</v>
      </c>
      <c r="U738" s="518">
        <f t="shared" si="90"/>
        <v>0</v>
      </c>
      <c r="W738" s="1"/>
      <c r="X738" s="65"/>
    </row>
    <row r="739" spans="1:24" s="23" customFormat="1" ht="11.25" customHeight="1" x14ac:dyDescent="0.2">
      <c r="A739" s="765"/>
      <c r="C739" s="769"/>
      <c r="D739" s="60"/>
      <c r="F739" s="503">
        <f t="shared" si="87"/>
        <v>7.3300000000001073E-2</v>
      </c>
      <c r="G739" s="503">
        <f t="shared" si="88"/>
        <v>7.3300000000001073E-2</v>
      </c>
      <c r="H739" s="504" t="str">
        <f t="shared" si="91"/>
        <v>Lengyelország</v>
      </c>
      <c r="I739" s="509" t="s">
        <v>1109</v>
      </c>
      <c r="J739" s="509" t="s">
        <v>1110</v>
      </c>
      <c r="K739" s="508">
        <v>10</v>
      </c>
      <c r="L739" s="509" t="s">
        <v>703</v>
      </c>
      <c r="M739" s="634" t="s">
        <v>822</v>
      </c>
      <c r="N739" s="510" t="s">
        <v>507</v>
      </c>
      <c r="O739" s="511">
        <v>32902</v>
      </c>
      <c r="P739" s="512">
        <v>31</v>
      </c>
      <c r="Q739" s="513">
        <v>187</v>
      </c>
      <c r="R739" s="514">
        <v>84</v>
      </c>
      <c r="S739" s="64"/>
      <c r="T739" s="297">
        <f t="shared" si="89"/>
        <v>0</v>
      </c>
      <c r="U739" s="518">
        <f t="shared" si="90"/>
        <v>0</v>
      </c>
      <c r="W739" s="1"/>
      <c r="X739" s="65"/>
    </row>
    <row r="740" spans="1:24" s="23" customFormat="1" ht="11.25" customHeight="1" x14ac:dyDescent="0.2">
      <c r="A740" s="765"/>
      <c r="C740" s="769"/>
      <c r="D740" s="60"/>
      <c r="F740" s="503">
        <f t="shared" si="87"/>
        <v>7.3400000000001075E-2</v>
      </c>
      <c r="G740" s="503">
        <f t="shared" si="88"/>
        <v>7.3400000000001075E-2</v>
      </c>
      <c r="H740" s="504" t="str">
        <f t="shared" si="91"/>
        <v>Lengyelország</v>
      </c>
      <c r="I740" s="509" t="s">
        <v>1111</v>
      </c>
      <c r="J740" s="509" t="s">
        <v>1112</v>
      </c>
      <c r="K740" s="508">
        <v>9</v>
      </c>
      <c r="L740" s="509" t="s">
        <v>1357</v>
      </c>
      <c r="M740" s="634" t="s">
        <v>749</v>
      </c>
      <c r="N740" s="510" t="s">
        <v>1270</v>
      </c>
      <c r="O740" s="511">
        <v>32376</v>
      </c>
      <c r="P740" s="512">
        <v>32</v>
      </c>
      <c r="Q740" s="513">
        <v>184</v>
      </c>
      <c r="R740" s="514">
        <v>80</v>
      </c>
      <c r="S740" s="64"/>
      <c r="T740" s="297">
        <f t="shared" si="89"/>
        <v>0</v>
      </c>
      <c r="U740" s="518">
        <f t="shared" si="90"/>
        <v>0</v>
      </c>
      <c r="W740" s="1"/>
      <c r="X740" s="65"/>
    </row>
    <row r="741" spans="1:24" s="23" customFormat="1" ht="11.25" customHeight="1" x14ac:dyDescent="0.2">
      <c r="A741" s="765"/>
      <c r="C741" s="769"/>
      <c r="D741" s="60"/>
      <c r="F741" s="503">
        <f t="shared" si="87"/>
        <v>7.3500000000001078E-2</v>
      </c>
      <c r="G741" s="503">
        <f t="shared" si="88"/>
        <v>7.3500000000001078E-2</v>
      </c>
      <c r="H741" s="504" t="str">
        <f t="shared" si="91"/>
        <v>Lengyelország</v>
      </c>
      <c r="I741" s="509" t="s">
        <v>1113</v>
      </c>
      <c r="J741" s="509" t="s">
        <v>1114</v>
      </c>
      <c r="K741" s="508">
        <v>8</v>
      </c>
      <c r="L741" s="509" t="s">
        <v>703</v>
      </c>
      <c r="M741" s="634" t="s">
        <v>936</v>
      </c>
      <c r="N741" s="510" t="s">
        <v>501</v>
      </c>
      <c r="O741" s="511">
        <v>34732</v>
      </c>
      <c r="P741" s="512">
        <v>26</v>
      </c>
      <c r="Q741" s="513">
        <v>176</v>
      </c>
      <c r="R741" s="514">
        <v>73</v>
      </c>
      <c r="S741" s="64"/>
      <c r="T741" s="297">
        <f t="shared" si="89"/>
        <v>0</v>
      </c>
      <c r="U741" s="518">
        <f t="shared" si="90"/>
        <v>0</v>
      </c>
      <c r="W741" s="1"/>
      <c r="X741" s="65"/>
    </row>
    <row r="742" spans="1:24" s="23" customFormat="1" ht="11.25" customHeight="1" x14ac:dyDescent="0.2">
      <c r="A742" s="765"/>
      <c r="C742" s="769"/>
      <c r="D742" s="60"/>
      <c r="F742" s="503">
        <f t="shared" si="87"/>
        <v>7.3600000000001081E-2</v>
      </c>
      <c r="G742" s="503">
        <f t="shared" si="88"/>
        <v>7.3600000000001081E-2</v>
      </c>
      <c r="H742" s="504" t="str">
        <f t="shared" si="91"/>
        <v>Lengyelország</v>
      </c>
      <c r="I742" s="509" t="s">
        <v>1117</v>
      </c>
      <c r="J742" s="509" t="s">
        <v>1118</v>
      </c>
      <c r="K742" s="508">
        <v>7</v>
      </c>
      <c r="L742" s="509" t="s">
        <v>1357</v>
      </c>
      <c r="M742" s="634" t="s">
        <v>814</v>
      </c>
      <c r="N742" s="510" t="s">
        <v>501</v>
      </c>
      <c r="O742" s="511">
        <v>34393</v>
      </c>
      <c r="P742" s="512">
        <v>27</v>
      </c>
      <c r="Q742" s="513">
        <v>186</v>
      </c>
      <c r="R742" s="514">
        <v>78</v>
      </c>
      <c r="S742" s="64"/>
      <c r="T742" s="297">
        <f t="shared" si="89"/>
        <v>0</v>
      </c>
      <c r="U742" s="518">
        <f t="shared" si="90"/>
        <v>0</v>
      </c>
      <c r="W742" s="1"/>
      <c r="X742" s="65"/>
    </row>
    <row r="743" spans="1:24" s="23" customFormat="1" ht="11.25" customHeight="1" x14ac:dyDescent="0.2">
      <c r="A743" s="765"/>
      <c r="C743" s="769"/>
      <c r="D743" s="60"/>
      <c r="F743" s="503">
        <f t="shared" si="87"/>
        <v>7.3700000000001084E-2</v>
      </c>
      <c r="G743" s="503">
        <f t="shared" si="88"/>
        <v>7.3700000000001084E-2</v>
      </c>
      <c r="H743" s="504" t="str">
        <f t="shared" si="91"/>
        <v>Lengyelország</v>
      </c>
      <c r="I743" s="509" t="s">
        <v>318</v>
      </c>
      <c r="J743" s="509" t="s">
        <v>1103</v>
      </c>
      <c r="K743" s="508">
        <v>16</v>
      </c>
      <c r="L743" s="509" t="s">
        <v>703</v>
      </c>
      <c r="M743" s="634" t="s">
        <v>1115</v>
      </c>
      <c r="N743" s="510" t="s">
        <v>1065</v>
      </c>
      <c r="O743" s="511">
        <v>36257</v>
      </c>
      <c r="P743" s="512">
        <v>22</v>
      </c>
      <c r="Q743" s="513">
        <v>188</v>
      </c>
      <c r="R743" s="514">
        <v>78</v>
      </c>
      <c r="S743" s="64"/>
      <c r="T743" s="297">
        <f t="shared" si="89"/>
        <v>0</v>
      </c>
      <c r="U743" s="518">
        <f t="shared" si="90"/>
        <v>0</v>
      </c>
      <c r="W743" s="1"/>
      <c r="X743" s="65"/>
    </row>
    <row r="744" spans="1:24" s="23" customFormat="1" ht="11.25" customHeight="1" x14ac:dyDescent="0.2">
      <c r="A744" s="765"/>
      <c r="C744" s="769"/>
      <c r="D744" s="60"/>
      <c r="F744" s="503">
        <f t="shared" si="87"/>
        <v>7.3800000000001087E-2</v>
      </c>
      <c r="G744" s="503">
        <f t="shared" si="88"/>
        <v>7.3800000000001087E-2</v>
      </c>
      <c r="H744" s="504" t="str">
        <f t="shared" si="91"/>
        <v>Lengyelország</v>
      </c>
      <c r="I744" s="509" t="s">
        <v>1789</v>
      </c>
      <c r="J744" s="509" t="s">
        <v>1106</v>
      </c>
      <c r="K744" s="508">
        <v>2</v>
      </c>
      <c r="L744" s="509" t="s">
        <v>1339</v>
      </c>
      <c r="M744" s="634" t="s">
        <v>1790</v>
      </c>
      <c r="N744" s="510" t="s">
        <v>1065</v>
      </c>
      <c r="O744" s="511">
        <v>36698</v>
      </c>
      <c r="P744" s="512">
        <v>20</v>
      </c>
      <c r="Q744" s="513">
        <v>191</v>
      </c>
      <c r="R744" s="514">
        <v>86</v>
      </c>
      <c r="S744" s="64"/>
      <c r="T744" s="297">
        <f t="shared" si="89"/>
        <v>0</v>
      </c>
      <c r="U744" s="518">
        <f t="shared" si="90"/>
        <v>0</v>
      </c>
      <c r="W744" s="1"/>
      <c r="X744" s="65"/>
    </row>
    <row r="745" spans="1:24" s="23" customFormat="1" ht="11.25" customHeight="1" x14ac:dyDescent="0.2">
      <c r="A745" s="765"/>
      <c r="C745" s="769"/>
      <c r="D745" s="60"/>
      <c r="F745" s="503">
        <f t="shared" si="87"/>
        <v>7.390000000000109E-2</v>
      </c>
      <c r="G745" s="503">
        <f t="shared" si="88"/>
        <v>7.390000000000109E-2</v>
      </c>
      <c r="H745" s="504" t="str">
        <f t="shared" si="91"/>
        <v>Lengyelország</v>
      </c>
      <c r="I745" s="509" t="s">
        <v>1791</v>
      </c>
      <c r="J745" s="509" t="s">
        <v>311</v>
      </c>
      <c r="K745" s="508">
        <v>17</v>
      </c>
      <c r="L745" s="509" t="s">
        <v>703</v>
      </c>
      <c r="M745" s="634" t="s">
        <v>909</v>
      </c>
      <c r="N745" s="510" t="s">
        <v>1271</v>
      </c>
      <c r="O745" s="511">
        <v>35877</v>
      </c>
      <c r="P745" s="512">
        <v>23</v>
      </c>
      <c r="Q745" s="513">
        <v>178</v>
      </c>
      <c r="R745" s="514">
        <v>72</v>
      </c>
      <c r="S745" s="64"/>
      <c r="T745" s="297">
        <f t="shared" si="89"/>
        <v>0</v>
      </c>
      <c r="U745" s="518">
        <f t="shared" si="90"/>
        <v>0</v>
      </c>
      <c r="W745" s="1"/>
      <c r="X745" s="65"/>
    </row>
    <row r="746" spans="1:24" s="23" customFormat="1" ht="11.25" customHeight="1" x14ac:dyDescent="0.2">
      <c r="A746" s="765"/>
      <c r="C746" s="769"/>
      <c r="D746" s="60"/>
      <c r="F746" s="503">
        <f t="shared" si="87"/>
        <v>7.4000000000001093E-2</v>
      </c>
      <c r="G746" s="503">
        <f t="shared" si="88"/>
        <v>7.4000000000001093E-2</v>
      </c>
      <c r="H746" s="504" t="str">
        <f t="shared" si="91"/>
        <v>Lengyelország</v>
      </c>
      <c r="I746" s="509" t="s">
        <v>1792</v>
      </c>
      <c r="J746" s="509" t="s">
        <v>1793</v>
      </c>
      <c r="K746" s="508">
        <v>26</v>
      </c>
      <c r="L746" s="509" t="s">
        <v>703</v>
      </c>
      <c r="M746" s="634" t="s">
        <v>1115</v>
      </c>
      <c r="N746" s="510" t="s">
        <v>1065</v>
      </c>
      <c r="O746" s="511">
        <v>36183</v>
      </c>
      <c r="P746" s="512">
        <v>22</v>
      </c>
      <c r="Q746" s="513">
        <v>180</v>
      </c>
      <c r="R746" s="514">
        <v>74</v>
      </c>
      <c r="S746" s="64"/>
      <c r="T746" s="297">
        <f t="shared" si="89"/>
        <v>0</v>
      </c>
      <c r="U746" s="518">
        <f t="shared" si="90"/>
        <v>0</v>
      </c>
      <c r="W746" s="1"/>
      <c r="X746" s="65"/>
    </row>
    <row r="747" spans="1:24" s="23" customFormat="1" ht="11.25" customHeight="1" x14ac:dyDescent="0.2">
      <c r="A747" s="765"/>
      <c r="C747" s="769"/>
      <c r="D747" s="60"/>
      <c r="F747" s="503">
        <f t="shared" si="87"/>
        <v>7.4100000000001096E-2</v>
      </c>
      <c r="G747" s="503">
        <f t="shared" si="88"/>
        <v>7.4100000000001096E-2</v>
      </c>
      <c r="H747" s="504" t="str">
        <f t="shared" si="91"/>
        <v>Lengyelország</v>
      </c>
      <c r="I747" s="509" t="s">
        <v>319</v>
      </c>
      <c r="J747" s="509" t="s">
        <v>320</v>
      </c>
      <c r="K747" s="508">
        <v>13</v>
      </c>
      <c r="L747" s="509" t="s">
        <v>1339</v>
      </c>
      <c r="M747" s="634" t="s">
        <v>822</v>
      </c>
      <c r="N747" s="510" t="s">
        <v>507</v>
      </c>
      <c r="O747" s="511">
        <v>32739</v>
      </c>
      <c r="P747" s="512">
        <v>31</v>
      </c>
      <c r="Q747" s="513">
        <v>172</v>
      </c>
      <c r="R747" s="514">
        <v>75</v>
      </c>
      <c r="S747" s="64"/>
      <c r="T747" s="297">
        <f t="shared" si="89"/>
        <v>0</v>
      </c>
      <c r="U747" s="518">
        <f t="shared" si="90"/>
        <v>0</v>
      </c>
      <c r="W747" s="1"/>
      <c r="X747" s="65"/>
    </row>
    <row r="748" spans="1:24" s="23" customFormat="1" ht="11.25" customHeight="1" x14ac:dyDescent="0.2">
      <c r="A748" s="765"/>
      <c r="C748" s="769"/>
      <c r="D748" s="60"/>
      <c r="F748" s="503">
        <f t="shared" si="87"/>
        <v>7.4200000000001098E-2</v>
      </c>
      <c r="G748" s="503">
        <f t="shared" si="88"/>
        <v>7.4200000000001098E-2</v>
      </c>
      <c r="H748" s="504" t="str">
        <f t="shared" si="91"/>
        <v>Lengyelország</v>
      </c>
      <c r="I748" s="509" t="s">
        <v>1794</v>
      </c>
      <c r="J748" s="509" t="s">
        <v>937</v>
      </c>
      <c r="K748" s="508">
        <v>12</v>
      </c>
      <c r="L748" s="509" t="s">
        <v>704</v>
      </c>
      <c r="M748" s="634" t="s">
        <v>1552</v>
      </c>
      <c r="N748" s="510" t="s">
        <v>501</v>
      </c>
      <c r="O748" s="511">
        <v>33363</v>
      </c>
      <c r="P748" s="512">
        <v>30</v>
      </c>
      <c r="Q748" s="513">
        <v>187</v>
      </c>
      <c r="R748" s="514">
        <v>84</v>
      </c>
      <c r="S748" s="64"/>
      <c r="T748" s="297">
        <f t="shared" si="89"/>
        <v>0</v>
      </c>
      <c r="U748" s="518">
        <f t="shared" si="90"/>
        <v>0</v>
      </c>
      <c r="W748" s="1"/>
      <c r="X748" s="65"/>
    </row>
    <row r="749" spans="1:24" s="23" customFormat="1" ht="11.25" customHeight="1" x14ac:dyDescent="0.2">
      <c r="A749" s="765"/>
      <c r="C749" s="769"/>
      <c r="D749" s="60"/>
      <c r="F749" s="503">
        <f t="shared" si="87"/>
        <v>7.4300000000001101E-2</v>
      </c>
      <c r="G749" s="503">
        <f t="shared" si="88"/>
        <v>7.4300000000001101E-2</v>
      </c>
      <c r="H749" s="504" t="str">
        <f t="shared" si="91"/>
        <v>Lengyelország</v>
      </c>
      <c r="I749" s="509" t="s">
        <v>1795</v>
      </c>
      <c r="J749" s="509" t="s">
        <v>1114</v>
      </c>
      <c r="K749" s="508">
        <v>11</v>
      </c>
      <c r="L749" s="509" t="s">
        <v>1357</v>
      </c>
      <c r="M749" s="634" t="s">
        <v>932</v>
      </c>
      <c r="N749" s="510" t="s">
        <v>846</v>
      </c>
      <c r="O749" s="511">
        <v>35453</v>
      </c>
      <c r="P749" s="512">
        <v>24</v>
      </c>
      <c r="Q749" s="513">
        <v>184</v>
      </c>
      <c r="R749" s="514">
        <v>77</v>
      </c>
      <c r="S749" s="64"/>
      <c r="T749" s="297">
        <f t="shared" si="89"/>
        <v>0</v>
      </c>
      <c r="U749" s="518">
        <f t="shared" si="90"/>
        <v>0</v>
      </c>
      <c r="W749" s="640"/>
      <c r="X749" s="65"/>
    </row>
    <row r="750" spans="1:24" s="23" customFormat="1" ht="11.25" customHeight="1" x14ac:dyDescent="0.2">
      <c r="A750" s="765"/>
      <c r="C750" s="769"/>
      <c r="D750" s="60"/>
      <c r="F750" s="503">
        <f t="shared" si="87"/>
        <v>7.4400000000001104E-2</v>
      </c>
      <c r="G750" s="503">
        <f t="shared" si="88"/>
        <v>7.4400000000001104E-2</v>
      </c>
      <c r="H750" s="504" t="str">
        <f t="shared" si="91"/>
        <v>Lengyelország</v>
      </c>
      <c r="I750" s="509" t="s">
        <v>1796</v>
      </c>
      <c r="J750" s="509" t="s">
        <v>1103</v>
      </c>
      <c r="K750" s="508">
        <v>24</v>
      </c>
      <c r="L750" s="509" t="s">
        <v>1357</v>
      </c>
      <c r="M750" s="634" t="s">
        <v>1797</v>
      </c>
      <c r="N750" s="510" t="s">
        <v>1065</v>
      </c>
      <c r="O750" s="511">
        <v>33966</v>
      </c>
      <c r="P750" s="512">
        <v>28</v>
      </c>
      <c r="Q750" s="513">
        <v>179</v>
      </c>
      <c r="R750" s="514">
        <v>75</v>
      </c>
      <c r="S750" s="64"/>
      <c r="T750" s="297">
        <f t="shared" si="89"/>
        <v>0</v>
      </c>
      <c r="U750" s="518">
        <f t="shared" si="90"/>
        <v>0</v>
      </c>
      <c r="W750" s="640"/>
      <c r="X750" s="65"/>
    </row>
    <row r="751" spans="1:24" s="23" customFormat="1" ht="11.25" customHeight="1" x14ac:dyDescent="0.2">
      <c r="A751" s="765"/>
      <c r="C751" s="769"/>
      <c r="D751" s="60"/>
      <c r="F751" s="503">
        <f t="shared" si="87"/>
        <v>7.4500000000001107E-2</v>
      </c>
      <c r="G751" s="503">
        <f t="shared" si="88"/>
        <v>7.4500000000001107E-2</v>
      </c>
      <c r="H751" s="504" t="str">
        <f t="shared" si="91"/>
        <v>Lengyelország</v>
      </c>
      <c r="I751" s="509" t="s">
        <v>1798</v>
      </c>
      <c r="J751" s="509" t="s">
        <v>1799</v>
      </c>
      <c r="K751" s="508">
        <v>1</v>
      </c>
      <c r="L751" s="509" t="s">
        <v>704</v>
      </c>
      <c r="M751" s="634" t="s">
        <v>917</v>
      </c>
      <c r="N751" s="510" t="s">
        <v>501</v>
      </c>
      <c r="O751" s="511">
        <v>32981</v>
      </c>
      <c r="P751" s="512">
        <v>31</v>
      </c>
      <c r="Q751" s="513">
        <v>195</v>
      </c>
      <c r="R751" s="514">
        <v>90</v>
      </c>
      <c r="S751" s="64"/>
      <c r="T751" s="297">
        <f t="shared" si="89"/>
        <v>0</v>
      </c>
      <c r="U751" s="518">
        <f t="shared" si="90"/>
        <v>0</v>
      </c>
      <c r="W751" s="640"/>
      <c r="X751" s="65"/>
    </row>
    <row r="752" spans="1:24" s="23" customFormat="1" ht="11.25" customHeight="1" x14ac:dyDescent="0.2">
      <c r="A752" s="765"/>
      <c r="C752" s="769"/>
      <c r="D752" s="60"/>
      <c r="F752" s="503">
        <f t="shared" si="87"/>
        <v>7.460000000000111E-2</v>
      </c>
      <c r="G752" s="503">
        <f t="shared" si="88"/>
        <v>7.460000000000111E-2</v>
      </c>
      <c r="H752" s="504" t="str">
        <f t="shared" si="91"/>
        <v>Lengyelország</v>
      </c>
      <c r="I752" s="555" t="s">
        <v>1800</v>
      </c>
      <c r="J752" s="555" t="s">
        <v>1801</v>
      </c>
      <c r="K752" s="554">
        <v>20</v>
      </c>
      <c r="L752" s="555" t="s">
        <v>703</v>
      </c>
      <c r="M752" s="635" t="s">
        <v>814</v>
      </c>
      <c r="N752" s="556" t="s">
        <v>501</v>
      </c>
      <c r="O752" s="557">
        <v>34474</v>
      </c>
      <c r="P752" s="558">
        <v>27</v>
      </c>
      <c r="Q752" s="559">
        <v>180</v>
      </c>
      <c r="R752" s="560">
        <v>75</v>
      </c>
      <c r="S752" s="64"/>
      <c r="T752" s="297">
        <f t="shared" si="89"/>
        <v>0</v>
      </c>
      <c r="U752" s="518">
        <f t="shared" si="90"/>
        <v>0</v>
      </c>
      <c r="W752" s="640"/>
      <c r="X752" s="65"/>
    </row>
    <row r="753" spans="1:24" s="23" customFormat="1" ht="9.75" hidden="1" customHeight="1" x14ac:dyDescent="0.2">
      <c r="A753" s="765"/>
      <c r="C753" s="769"/>
      <c r="D753" s="60"/>
      <c r="F753" s="503">
        <f t="shared" si="87"/>
        <v>7.4700000000001113E-2</v>
      </c>
      <c r="G753" s="503">
        <f t="shared" si="88"/>
        <v>0</v>
      </c>
      <c r="H753" s="504" t="str">
        <f t="shared" si="91"/>
        <v>Lengyelország</v>
      </c>
      <c r="I753" s="61"/>
      <c r="J753" s="61"/>
      <c r="K753" s="295"/>
      <c r="L753" s="61"/>
      <c r="M753" s="633"/>
      <c r="N753" s="256"/>
      <c r="O753" s="62"/>
      <c r="P753" s="253"/>
      <c r="Q753" s="63"/>
      <c r="R753" s="252"/>
      <c r="S753" s="64"/>
      <c r="T753" s="297" t="str">
        <f t="shared" si="89"/>
        <v/>
      </c>
      <c r="U753" s="518" t="str">
        <f t="shared" si="90"/>
        <v/>
      </c>
      <c r="W753" s="640"/>
      <c r="X753" s="65"/>
    </row>
    <row r="754" spans="1:24" s="23" customFormat="1" ht="9.75" hidden="1" customHeight="1" x14ac:dyDescent="0.2">
      <c r="A754" s="765"/>
      <c r="C754" s="769"/>
      <c r="D754" s="60"/>
      <c r="F754" s="503">
        <f t="shared" si="87"/>
        <v>7.4800000000001116E-2</v>
      </c>
      <c r="G754" s="503">
        <f t="shared" si="88"/>
        <v>0</v>
      </c>
      <c r="H754" s="504" t="str">
        <f t="shared" si="91"/>
        <v>Lengyelország</v>
      </c>
      <c r="I754" s="61"/>
      <c r="J754" s="61"/>
      <c r="K754" s="295"/>
      <c r="L754" s="61"/>
      <c r="M754" s="633"/>
      <c r="N754" s="256"/>
      <c r="O754" s="62"/>
      <c r="P754" s="253"/>
      <c r="Q754" s="63"/>
      <c r="R754" s="252"/>
      <c r="S754" s="64"/>
      <c r="T754" s="297" t="str">
        <f t="shared" si="89"/>
        <v/>
      </c>
      <c r="U754" s="518" t="str">
        <f t="shared" si="90"/>
        <v/>
      </c>
      <c r="W754" s="640"/>
      <c r="X754" s="65"/>
    </row>
    <row r="755" spans="1:24" s="23" customFormat="1" ht="9.75" hidden="1" customHeight="1" x14ac:dyDescent="0.2">
      <c r="A755" s="765"/>
      <c r="C755" s="769"/>
      <c r="D755" s="60"/>
      <c r="F755" s="503">
        <f t="shared" si="87"/>
        <v>7.4900000000001118E-2</v>
      </c>
      <c r="G755" s="503">
        <f t="shared" si="88"/>
        <v>0</v>
      </c>
      <c r="H755" s="504" t="str">
        <f t="shared" si="91"/>
        <v>Lengyelország</v>
      </c>
      <c r="I755" s="61"/>
      <c r="J755" s="61"/>
      <c r="K755" s="295"/>
      <c r="L755" s="61"/>
      <c r="M755" s="633"/>
      <c r="N755" s="256"/>
      <c r="O755" s="62"/>
      <c r="P755" s="253"/>
      <c r="Q755" s="63"/>
      <c r="R755" s="252"/>
      <c r="S755" s="64"/>
      <c r="T755" s="297" t="str">
        <f t="shared" si="89"/>
        <v/>
      </c>
      <c r="U755" s="518" t="str">
        <f t="shared" si="90"/>
        <v/>
      </c>
      <c r="W755" s="640"/>
      <c r="X755" s="65"/>
    </row>
    <row r="756" spans="1:24" s="23" customFormat="1" ht="9.75" hidden="1" customHeight="1" x14ac:dyDescent="0.2">
      <c r="A756" s="765"/>
      <c r="C756" s="769"/>
      <c r="D756" s="60"/>
      <c r="F756" s="503">
        <f t="shared" si="87"/>
        <v>7.5000000000001121E-2</v>
      </c>
      <c r="G756" s="503">
        <f t="shared" si="88"/>
        <v>0</v>
      </c>
      <c r="H756" s="504" t="str">
        <f t="shared" si="91"/>
        <v>Lengyelország</v>
      </c>
      <c r="I756" s="61"/>
      <c r="J756" s="61"/>
      <c r="K756" s="295"/>
      <c r="L756" s="61"/>
      <c r="M756" s="633"/>
      <c r="N756" s="256"/>
      <c r="O756" s="62"/>
      <c r="P756" s="253"/>
      <c r="Q756" s="63"/>
      <c r="R756" s="252"/>
      <c r="S756" s="64"/>
      <c r="T756" s="297" t="str">
        <f t="shared" si="89"/>
        <v/>
      </c>
      <c r="U756" s="518" t="str">
        <f t="shared" si="90"/>
        <v/>
      </c>
      <c r="W756" s="640"/>
      <c r="X756" s="65"/>
    </row>
    <row r="757" spans="1:24" s="23" customFormat="1" ht="4.5" customHeight="1" x14ac:dyDescent="0.25">
      <c r="A757" s="765"/>
      <c r="C757" s="769"/>
      <c r="D757" s="60"/>
      <c r="F757" s="503">
        <f t="shared" si="87"/>
        <v>7.5100000000001124E-2</v>
      </c>
      <c r="G757" s="503"/>
      <c r="H757" s="505"/>
      <c r="I757" s="67"/>
      <c r="J757" s="67"/>
      <c r="K757" s="22"/>
      <c r="L757" s="67"/>
      <c r="M757" s="22"/>
      <c r="N757" s="68"/>
      <c r="O757" s="67"/>
      <c r="P757" s="69"/>
      <c r="Q757" s="70"/>
      <c r="R757" s="71"/>
      <c r="S757" s="71"/>
      <c r="T757" s="298"/>
      <c r="U757" s="299"/>
      <c r="W757" s="641"/>
      <c r="X757" s="67"/>
    </row>
    <row r="758" spans="1:24" s="21" customFormat="1" ht="9.75" customHeight="1" x14ac:dyDescent="0.2">
      <c r="A758" s="765"/>
      <c r="C758" s="769"/>
      <c r="D758" s="60"/>
      <c r="F758" s="503">
        <f t="shared" si="87"/>
        <v>7.5200000000001127E-2</v>
      </c>
      <c r="G758" s="503"/>
      <c r="H758" s="303"/>
      <c r="I758" s="74" t="s">
        <v>542</v>
      </c>
      <c r="J758" s="75" t="s">
        <v>321</v>
      </c>
      <c r="K758" s="75"/>
      <c r="L758" s="75"/>
      <c r="M758" s="636"/>
      <c r="N758" s="76"/>
      <c r="O758" s="74" t="s">
        <v>495</v>
      </c>
      <c r="P758" s="254">
        <f>AVERAGE(P727:P756)</f>
        <v>26.692307692307693</v>
      </c>
      <c r="Q758" s="77">
        <f>AVERAGE(Q727:Q756)</f>
        <v>183.84615384615384</v>
      </c>
      <c r="R758" s="255">
        <f>AVERAGE(R727:R756)</f>
        <v>77.692307692307693</v>
      </c>
      <c r="S758" s="78"/>
      <c r="T758" s="297">
        <f>SUM(T727:T756)</f>
        <v>0</v>
      </c>
      <c r="U758" s="518">
        <f>SUM(U727:U756)</f>
        <v>0</v>
      </c>
      <c r="W758" s="642" t="s">
        <v>879</v>
      </c>
      <c r="X758" s="79"/>
    </row>
    <row r="759" spans="1:24" ht="9.75" customHeight="1" x14ac:dyDescent="0.3">
      <c r="A759" s="765"/>
      <c r="F759" s="503">
        <f t="shared" si="87"/>
        <v>7.530000000000113E-2</v>
      </c>
      <c r="G759" s="503"/>
    </row>
    <row r="760" spans="1:24" ht="9.75" customHeight="1" x14ac:dyDescent="0.3">
      <c r="A760" s="765"/>
      <c r="F760" s="503">
        <f t="shared" si="87"/>
        <v>7.5400000000001133E-2</v>
      </c>
      <c r="G760" s="503"/>
    </row>
    <row r="761" spans="1:24" ht="9.75" customHeight="1" x14ac:dyDescent="0.3">
      <c r="A761" s="765"/>
      <c r="F761" s="503">
        <f t="shared" si="87"/>
        <v>7.5500000000001136E-2</v>
      </c>
      <c r="G761" s="503"/>
    </row>
    <row r="762" spans="1:24" ht="9.75" customHeight="1" x14ac:dyDescent="0.3">
      <c r="A762" s="765"/>
      <c r="F762" s="503">
        <f t="shared" si="87"/>
        <v>7.5600000000001139E-2</v>
      </c>
    </row>
    <row r="763" spans="1:24" ht="9.75" customHeight="1" x14ac:dyDescent="0.3">
      <c r="A763" s="765"/>
      <c r="F763" s="503">
        <f t="shared" si="87"/>
        <v>7.5700000000001141E-2</v>
      </c>
    </row>
    <row r="764" spans="1:24" ht="9.75" customHeight="1" x14ac:dyDescent="0.3">
      <c r="A764" s="765"/>
      <c r="F764" s="503">
        <f t="shared" si="87"/>
        <v>7.5800000000001144E-2</v>
      </c>
    </row>
    <row r="765" spans="1:24" ht="9.75" customHeight="1" x14ac:dyDescent="0.3">
      <c r="A765" s="765"/>
      <c r="F765" s="503">
        <f t="shared" si="87"/>
        <v>7.5900000000001147E-2</v>
      </c>
    </row>
    <row r="766" spans="1:24" s="23" customFormat="1" ht="5.25" customHeight="1" x14ac:dyDescent="0.2">
      <c r="A766" s="765"/>
      <c r="C766" s="21"/>
      <c r="F766" s="503">
        <f t="shared" si="87"/>
        <v>7.600000000000115E-2</v>
      </c>
      <c r="G766" s="506"/>
      <c r="H766" s="502"/>
      <c r="I766" s="55"/>
      <c r="J766" s="55"/>
      <c r="K766" s="56"/>
      <c r="L766" s="55"/>
      <c r="M766" s="56"/>
      <c r="N766" s="57"/>
      <c r="O766" s="57"/>
      <c r="P766" s="55"/>
      <c r="Q766" s="57"/>
      <c r="R766" s="57"/>
      <c r="S766" s="57"/>
      <c r="T766" s="58"/>
      <c r="U766" s="59"/>
      <c r="W766" s="639"/>
      <c r="X766" s="55"/>
    </row>
    <row r="767" spans="1:24" s="23" customFormat="1" ht="11.25" customHeight="1" x14ac:dyDescent="0.2">
      <c r="A767" s="765"/>
      <c r="C767" s="769" t="str">
        <f>UPPER(H767)&amp;"    ."</f>
        <v>SZLOVÁKIA    .</v>
      </c>
      <c r="D767" s="60"/>
      <c r="F767" s="503">
        <f t="shared" si="87"/>
        <v>7.6100000000001153E-2</v>
      </c>
      <c r="G767" s="503">
        <f t="shared" ref="G767:G796" si="92">IF(I767="",0,T767+F767)</f>
        <v>7.6100000000001153E-2</v>
      </c>
      <c r="H767" s="504" t="str">
        <f>Adatok!E5</f>
        <v>Szlovákia</v>
      </c>
      <c r="I767" s="61" t="s">
        <v>1802</v>
      </c>
      <c r="J767" s="61" t="s">
        <v>353</v>
      </c>
      <c r="K767" s="295">
        <v>11</v>
      </c>
      <c r="L767" s="61" t="s">
        <v>703</v>
      </c>
      <c r="M767" s="633" t="s">
        <v>912</v>
      </c>
      <c r="N767" s="256" t="s">
        <v>1270</v>
      </c>
      <c r="O767" s="62">
        <v>35682</v>
      </c>
      <c r="P767" s="253">
        <v>23</v>
      </c>
      <c r="Q767" s="63">
        <v>181</v>
      </c>
      <c r="R767" s="252">
        <v>72</v>
      </c>
      <c r="S767" s="64"/>
      <c r="T767" s="297">
        <f t="shared" ref="T767:T796" si="93">IF(I767="","",COUNTIF(nevek.s,CONCATENATE(H767,I767)))</f>
        <v>0</v>
      </c>
      <c r="U767" s="518">
        <f t="shared" ref="U767:U796" si="94">IF(I767="","",COUNTIF(nevek.s,CONCATENATE("ö",H767,I767)))</f>
        <v>0</v>
      </c>
      <c r="W767" s="3"/>
      <c r="X767" s="65"/>
    </row>
    <row r="768" spans="1:24" s="23" customFormat="1" ht="11.25" customHeight="1" x14ac:dyDescent="0.2">
      <c r="A768" s="765"/>
      <c r="C768" s="769"/>
      <c r="D768" s="60"/>
      <c r="F768" s="503">
        <f t="shared" si="87"/>
        <v>7.6200000000001156E-2</v>
      </c>
      <c r="G768" s="503">
        <f t="shared" si="92"/>
        <v>7.6200000000001156E-2</v>
      </c>
      <c r="H768" s="504" t="str">
        <f>H767</f>
        <v>Szlovákia</v>
      </c>
      <c r="I768" s="509" t="s">
        <v>322</v>
      </c>
      <c r="J768" s="509" t="s">
        <v>1083</v>
      </c>
      <c r="K768" s="508">
        <v>9</v>
      </c>
      <c r="L768" s="509" t="s">
        <v>1357</v>
      </c>
      <c r="M768" s="634" t="s">
        <v>1361</v>
      </c>
      <c r="N768" s="510" t="s">
        <v>867</v>
      </c>
      <c r="O768" s="511">
        <v>36482</v>
      </c>
      <c r="P768" s="512">
        <v>21</v>
      </c>
      <c r="Q768" s="513">
        <v>188</v>
      </c>
      <c r="R768" s="514">
        <v>81</v>
      </c>
      <c r="S768" s="64"/>
      <c r="T768" s="297">
        <f t="shared" si="93"/>
        <v>0</v>
      </c>
      <c r="U768" s="518">
        <f t="shared" si="94"/>
        <v>0</v>
      </c>
      <c r="W768" s="1"/>
      <c r="X768" s="65"/>
    </row>
    <row r="769" spans="1:24" s="23" customFormat="1" ht="11.25" customHeight="1" x14ac:dyDescent="0.2">
      <c r="A769" s="765"/>
      <c r="C769" s="769"/>
      <c r="D769" s="60"/>
      <c r="F769" s="503">
        <f t="shared" si="87"/>
        <v>7.6300000000001159E-2</v>
      </c>
      <c r="G769" s="503">
        <f t="shared" si="92"/>
        <v>7.6300000000001159E-2</v>
      </c>
      <c r="H769" s="504" t="str">
        <f t="shared" ref="H769:H796" si="95">H768</f>
        <v>Szlovákia</v>
      </c>
      <c r="I769" s="509" t="s">
        <v>1803</v>
      </c>
      <c r="J769" s="509" t="s">
        <v>1052</v>
      </c>
      <c r="K769" s="508">
        <v>1</v>
      </c>
      <c r="L769" s="509" t="s">
        <v>704</v>
      </c>
      <c r="M769" s="634" t="s">
        <v>1804</v>
      </c>
      <c r="N769" s="510" t="s">
        <v>1271</v>
      </c>
      <c r="O769" s="511">
        <v>32523</v>
      </c>
      <c r="P769" s="512">
        <v>32</v>
      </c>
      <c r="Q769" s="513">
        <v>190</v>
      </c>
      <c r="R769" s="514">
        <v>83</v>
      </c>
      <c r="S769" s="64"/>
      <c r="T769" s="297">
        <f t="shared" si="93"/>
        <v>0</v>
      </c>
      <c r="U769" s="518">
        <f t="shared" si="94"/>
        <v>0</v>
      </c>
      <c r="W769" s="1"/>
      <c r="X769" s="65"/>
    </row>
    <row r="770" spans="1:24" s="23" customFormat="1" ht="11.25" customHeight="1" x14ac:dyDescent="0.2">
      <c r="A770" s="765"/>
      <c r="C770" s="769"/>
      <c r="D770" s="60"/>
      <c r="F770" s="503">
        <f t="shared" si="87"/>
        <v>7.6400000000001161E-2</v>
      </c>
      <c r="G770" s="503">
        <f t="shared" si="92"/>
        <v>7.6400000000001161E-2</v>
      </c>
      <c r="H770" s="504" t="str">
        <f t="shared" si="95"/>
        <v>Szlovákia</v>
      </c>
      <c r="I770" s="509" t="s">
        <v>1062</v>
      </c>
      <c r="J770" s="509" t="s">
        <v>1063</v>
      </c>
      <c r="K770" s="508">
        <v>8</v>
      </c>
      <c r="L770" s="509" t="s">
        <v>703</v>
      </c>
      <c r="M770" s="634" t="s">
        <v>1013</v>
      </c>
      <c r="N770" s="510" t="s">
        <v>1270</v>
      </c>
      <c r="O770" s="511">
        <v>34673</v>
      </c>
      <c r="P770" s="512">
        <v>26</v>
      </c>
      <c r="Q770" s="513">
        <v>181</v>
      </c>
      <c r="R770" s="514">
        <v>75</v>
      </c>
      <c r="S770" s="64"/>
      <c r="T770" s="297">
        <f t="shared" si="93"/>
        <v>0</v>
      </c>
      <c r="U770" s="518">
        <f t="shared" si="94"/>
        <v>0</v>
      </c>
      <c r="W770" s="1"/>
      <c r="X770" s="65"/>
    </row>
    <row r="771" spans="1:24" s="23" customFormat="1" ht="11.25" customHeight="1" x14ac:dyDescent="0.2">
      <c r="A771" s="765"/>
      <c r="C771" s="769"/>
      <c r="D771" s="60"/>
      <c r="F771" s="503">
        <f t="shared" si="87"/>
        <v>7.6500000000001164E-2</v>
      </c>
      <c r="G771" s="503">
        <f t="shared" si="92"/>
        <v>7.6500000000001164E-2</v>
      </c>
      <c r="H771" s="504" t="str">
        <f t="shared" si="95"/>
        <v>Szlovákia</v>
      </c>
      <c r="I771" s="509" t="s">
        <v>1067</v>
      </c>
      <c r="J771" s="509" t="s">
        <v>1068</v>
      </c>
      <c r="K771" s="508">
        <v>21</v>
      </c>
      <c r="L771" s="509" t="s">
        <v>1357</v>
      </c>
      <c r="M771" s="634" t="s">
        <v>323</v>
      </c>
      <c r="N771" s="510" t="s">
        <v>1470</v>
      </c>
      <c r="O771" s="511">
        <v>32295</v>
      </c>
      <c r="P771" s="512">
        <v>33</v>
      </c>
      <c r="Q771" s="513">
        <v>183</v>
      </c>
      <c r="R771" s="514">
        <v>74</v>
      </c>
      <c r="S771" s="64"/>
      <c r="T771" s="297">
        <f t="shared" si="93"/>
        <v>0</v>
      </c>
      <c r="U771" s="518">
        <f t="shared" si="94"/>
        <v>0</v>
      </c>
      <c r="W771" s="1"/>
      <c r="X771" s="65"/>
    </row>
    <row r="772" spans="1:24" s="23" customFormat="1" ht="11.25" customHeight="1" x14ac:dyDescent="0.2">
      <c r="A772" s="765"/>
      <c r="C772" s="769"/>
      <c r="D772" s="60"/>
      <c r="F772" s="503">
        <f t="shared" si="87"/>
        <v>7.6600000000001167E-2</v>
      </c>
      <c r="G772" s="503">
        <f t="shared" si="92"/>
        <v>7.6600000000001167E-2</v>
      </c>
      <c r="H772" s="504" t="str">
        <f t="shared" si="95"/>
        <v>Szlovákia</v>
      </c>
      <c r="I772" s="509" t="s">
        <v>1070</v>
      </c>
      <c r="J772" s="509" t="s">
        <v>1066</v>
      </c>
      <c r="K772" s="508">
        <v>6</v>
      </c>
      <c r="L772" s="509" t="s">
        <v>703</v>
      </c>
      <c r="M772" s="634" t="s">
        <v>13</v>
      </c>
      <c r="N772" s="510" t="s">
        <v>921</v>
      </c>
      <c r="O772" s="511">
        <v>33267</v>
      </c>
      <c r="P772" s="512">
        <v>30</v>
      </c>
      <c r="Q772" s="513">
        <v>191</v>
      </c>
      <c r="R772" s="514">
        <v>78</v>
      </c>
      <c r="S772" s="64"/>
      <c r="T772" s="297">
        <f t="shared" si="93"/>
        <v>0</v>
      </c>
      <c r="U772" s="518">
        <f t="shared" si="94"/>
        <v>0</v>
      </c>
      <c r="W772" s="1"/>
      <c r="X772" s="65"/>
    </row>
    <row r="773" spans="1:24" s="23" customFormat="1" ht="11.25" customHeight="1" x14ac:dyDescent="0.2">
      <c r="A773" s="765"/>
      <c r="C773" s="769"/>
      <c r="D773" s="60"/>
      <c r="F773" s="503">
        <f t="shared" si="87"/>
        <v>7.670000000000117E-2</v>
      </c>
      <c r="G773" s="503">
        <f t="shared" si="92"/>
        <v>7.670000000000117E-2</v>
      </c>
      <c r="H773" s="504" t="str">
        <f t="shared" si="95"/>
        <v>Szlovákia</v>
      </c>
      <c r="I773" s="509" t="s">
        <v>1072</v>
      </c>
      <c r="J773" s="509" t="s">
        <v>1073</v>
      </c>
      <c r="K773" s="508">
        <v>17</v>
      </c>
      <c r="L773" s="509" t="s">
        <v>703</v>
      </c>
      <c r="M773" s="634" t="s">
        <v>295</v>
      </c>
      <c r="N773" s="510" t="s">
        <v>928</v>
      </c>
      <c r="O773" s="511">
        <v>31985</v>
      </c>
      <c r="P773" s="512">
        <v>33</v>
      </c>
      <c r="Q773" s="513">
        <v>183</v>
      </c>
      <c r="R773" s="514">
        <v>79</v>
      </c>
      <c r="S773" s="64"/>
      <c r="T773" s="297">
        <f t="shared" si="93"/>
        <v>0</v>
      </c>
      <c r="U773" s="518">
        <f t="shared" si="94"/>
        <v>0</v>
      </c>
      <c r="W773" s="1"/>
      <c r="X773" s="65"/>
    </row>
    <row r="774" spans="1:24" s="23" customFormat="1" ht="11.25" customHeight="1" x14ac:dyDescent="0.2">
      <c r="A774" s="765"/>
      <c r="C774" s="769"/>
      <c r="D774" s="60"/>
      <c r="E774" s="66"/>
      <c r="F774" s="503">
        <f t="shared" si="87"/>
        <v>7.6800000000001173E-2</v>
      </c>
      <c r="G774" s="503">
        <f t="shared" si="92"/>
        <v>7.6800000000001173E-2</v>
      </c>
      <c r="H774" s="504" t="str">
        <f t="shared" si="95"/>
        <v>Szlovákia</v>
      </c>
      <c r="I774" s="509" t="s">
        <v>324</v>
      </c>
      <c r="J774" s="509" t="s">
        <v>325</v>
      </c>
      <c r="K774" s="508">
        <v>16</v>
      </c>
      <c r="L774" s="509" t="s">
        <v>1339</v>
      </c>
      <c r="M774" s="634" t="s">
        <v>1124</v>
      </c>
      <c r="N774" s="510" t="s">
        <v>1014</v>
      </c>
      <c r="O774" s="511">
        <v>35777</v>
      </c>
      <c r="P774" s="512">
        <v>23</v>
      </c>
      <c r="Q774" s="513">
        <v>188</v>
      </c>
      <c r="R774" s="514">
        <v>79</v>
      </c>
      <c r="S774" s="64"/>
      <c r="T774" s="297">
        <f t="shared" si="93"/>
        <v>0</v>
      </c>
      <c r="U774" s="518">
        <f t="shared" si="94"/>
        <v>0</v>
      </c>
      <c r="W774" s="1"/>
      <c r="X774" s="65"/>
    </row>
    <row r="775" spans="1:24" s="23" customFormat="1" ht="11.25" customHeight="1" x14ac:dyDescent="0.2">
      <c r="A775" s="765"/>
      <c r="C775" s="769"/>
      <c r="D775" s="60"/>
      <c r="F775" s="503">
        <f t="shared" si="87"/>
        <v>7.6900000000001176E-2</v>
      </c>
      <c r="G775" s="503">
        <f t="shared" si="92"/>
        <v>7.6900000000001176E-2</v>
      </c>
      <c r="H775" s="504" t="str">
        <f t="shared" si="95"/>
        <v>Szlovákia</v>
      </c>
      <c r="I775" s="509" t="s">
        <v>1805</v>
      </c>
      <c r="J775" s="509" t="s">
        <v>260</v>
      </c>
      <c r="K775" s="508">
        <v>18</v>
      </c>
      <c r="L775" s="509" t="s">
        <v>703</v>
      </c>
      <c r="M775" s="634" t="s">
        <v>1340</v>
      </c>
      <c r="N775" s="510" t="s">
        <v>501</v>
      </c>
      <c r="O775" s="511">
        <v>35211</v>
      </c>
      <c r="P775" s="512">
        <v>25</v>
      </c>
      <c r="Q775" s="513">
        <v>182</v>
      </c>
      <c r="R775" s="514">
        <v>71</v>
      </c>
      <c r="S775" s="64"/>
      <c r="T775" s="297">
        <f t="shared" si="93"/>
        <v>0</v>
      </c>
      <c r="U775" s="518">
        <f t="shared" si="94"/>
        <v>0</v>
      </c>
      <c r="W775" s="1"/>
      <c r="X775" s="65"/>
    </row>
    <row r="776" spans="1:24" s="23" customFormat="1" ht="11.25" customHeight="1" x14ac:dyDescent="0.2">
      <c r="A776" s="765"/>
      <c r="C776" s="769"/>
      <c r="D776" s="60"/>
      <c r="F776" s="503">
        <f t="shared" si="87"/>
        <v>7.7000000000001179E-2</v>
      </c>
      <c r="G776" s="503">
        <f t="shared" si="92"/>
        <v>7.7000000000001179E-2</v>
      </c>
      <c r="H776" s="504" t="str">
        <f t="shared" si="95"/>
        <v>Szlovákia</v>
      </c>
      <c r="I776" s="509" t="s">
        <v>1806</v>
      </c>
      <c r="J776" s="509" t="s">
        <v>1103</v>
      </c>
      <c r="K776" s="508">
        <v>25</v>
      </c>
      <c r="L776" s="509" t="s">
        <v>703</v>
      </c>
      <c r="M776" s="634" t="s">
        <v>593</v>
      </c>
      <c r="N776" s="510" t="s">
        <v>1014</v>
      </c>
      <c r="O776" s="511">
        <v>35210</v>
      </c>
      <c r="P776" s="512">
        <v>25</v>
      </c>
      <c r="Q776" s="513">
        <v>181</v>
      </c>
      <c r="R776" s="514">
        <v>75</v>
      </c>
      <c r="S776" s="64"/>
      <c r="T776" s="297">
        <f t="shared" si="93"/>
        <v>0</v>
      </c>
      <c r="U776" s="518">
        <f t="shared" si="94"/>
        <v>0</v>
      </c>
      <c r="W776" s="1"/>
      <c r="X776" s="65"/>
    </row>
    <row r="777" spans="1:24" s="23" customFormat="1" ht="11.25" customHeight="1" x14ac:dyDescent="0.2">
      <c r="A777" s="765"/>
      <c r="C777" s="769"/>
      <c r="D777" s="60"/>
      <c r="F777" s="503">
        <f t="shared" ref="F777:F840" si="96">F776+0.0001</f>
        <v>7.7100000000001181E-2</v>
      </c>
      <c r="G777" s="503">
        <f t="shared" si="92"/>
        <v>7.7100000000001181E-2</v>
      </c>
      <c r="H777" s="504" t="str">
        <f t="shared" si="95"/>
        <v>Szlovákia</v>
      </c>
      <c r="I777" s="509" t="s">
        <v>1075</v>
      </c>
      <c r="J777" s="509" t="s">
        <v>1076</v>
      </c>
      <c r="K777" s="508">
        <v>13</v>
      </c>
      <c r="L777" s="509" t="s">
        <v>703</v>
      </c>
      <c r="M777" s="634" t="s">
        <v>603</v>
      </c>
      <c r="N777" s="510" t="s">
        <v>860</v>
      </c>
      <c r="O777" s="511">
        <v>33716</v>
      </c>
      <c r="P777" s="512">
        <v>29</v>
      </c>
      <c r="Q777" s="513">
        <v>172</v>
      </c>
      <c r="R777" s="514">
        <v>69</v>
      </c>
      <c r="S777" s="64"/>
      <c r="T777" s="297">
        <f t="shared" si="93"/>
        <v>0</v>
      </c>
      <c r="U777" s="518">
        <f t="shared" si="94"/>
        <v>0</v>
      </c>
      <c r="W777" s="1"/>
      <c r="X777" s="65"/>
    </row>
    <row r="778" spans="1:24" s="23" customFormat="1" ht="11.25" customHeight="1" x14ac:dyDescent="0.2">
      <c r="A778" s="765"/>
      <c r="C778" s="769"/>
      <c r="D778" s="60"/>
      <c r="F778" s="503">
        <f t="shared" si="96"/>
        <v>7.7200000000001184E-2</v>
      </c>
      <c r="G778" s="503">
        <f t="shared" si="92"/>
        <v>7.7200000000001184E-2</v>
      </c>
      <c r="H778" s="504" t="str">
        <f t="shared" si="95"/>
        <v>Szlovákia</v>
      </c>
      <c r="I778" s="509" t="s">
        <v>1077</v>
      </c>
      <c r="J778" s="509" t="s">
        <v>1078</v>
      </c>
      <c r="K778" s="508">
        <v>15</v>
      </c>
      <c r="L778" s="509" t="s">
        <v>1339</v>
      </c>
      <c r="M778" s="634" t="s">
        <v>323</v>
      </c>
      <c r="N778" s="510" t="s">
        <v>1470</v>
      </c>
      <c r="O778" s="511">
        <v>31307</v>
      </c>
      <c r="P778" s="512">
        <v>35</v>
      </c>
      <c r="Q778" s="513">
        <v>183</v>
      </c>
      <c r="R778" s="514">
        <v>74</v>
      </c>
      <c r="S778" s="64"/>
      <c r="T778" s="297">
        <f t="shared" si="93"/>
        <v>0</v>
      </c>
      <c r="U778" s="518">
        <f t="shared" si="94"/>
        <v>0</v>
      </c>
      <c r="W778" s="1"/>
      <c r="X778" s="65"/>
    </row>
    <row r="779" spans="1:24" s="23" customFormat="1" ht="11.25" customHeight="1" x14ac:dyDescent="0.2">
      <c r="A779" s="765"/>
      <c r="C779" s="769"/>
      <c r="D779" s="60"/>
      <c r="F779" s="503">
        <f t="shared" si="96"/>
        <v>7.7300000000001187E-2</v>
      </c>
      <c r="G779" s="503">
        <f t="shared" si="92"/>
        <v>7.7300000000001187E-2</v>
      </c>
      <c r="H779" s="504" t="str">
        <f t="shared" si="95"/>
        <v>Szlovákia</v>
      </c>
      <c r="I779" s="509" t="s">
        <v>1807</v>
      </c>
      <c r="J779" s="509" t="s">
        <v>1052</v>
      </c>
      <c r="K779" s="508">
        <v>24</v>
      </c>
      <c r="L779" s="509" t="s">
        <v>1339</v>
      </c>
      <c r="M779" s="634" t="s">
        <v>1737</v>
      </c>
      <c r="N779" s="510" t="s">
        <v>1014</v>
      </c>
      <c r="O779" s="511">
        <v>34760</v>
      </c>
      <c r="P779" s="512">
        <v>26</v>
      </c>
      <c r="Q779" s="513">
        <v>179</v>
      </c>
      <c r="R779" s="514">
        <v>74</v>
      </c>
      <c r="S779" s="64"/>
      <c r="T779" s="297">
        <f t="shared" si="93"/>
        <v>0</v>
      </c>
      <c r="U779" s="518">
        <f t="shared" si="94"/>
        <v>0</v>
      </c>
      <c r="W779" s="1"/>
      <c r="X779" s="65"/>
    </row>
    <row r="780" spans="1:24" s="23" customFormat="1" ht="11.25" customHeight="1" x14ac:dyDescent="0.2">
      <c r="A780" s="765"/>
      <c r="C780" s="769"/>
      <c r="D780" s="60"/>
      <c r="F780" s="503">
        <f t="shared" si="96"/>
        <v>7.740000000000119E-2</v>
      </c>
      <c r="G780" s="503">
        <f t="shared" si="92"/>
        <v>7.740000000000119E-2</v>
      </c>
      <c r="H780" s="504" t="str">
        <f t="shared" si="95"/>
        <v>Szlovákia</v>
      </c>
      <c r="I780" s="509" t="s">
        <v>326</v>
      </c>
      <c r="J780" s="509" t="s">
        <v>583</v>
      </c>
      <c r="K780" s="508">
        <v>12</v>
      </c>
      <c r="L780" s="509" t="s">
        <v>704</v>
      </c>
      <c r="M780" s="634" t="s">
        <v>1116</v>
      </c>
      <c r="N780" s="510" t="s">
        <v>1065</v>
      </c>
      <c r="O780" s="511">
        <v>31072</v>
      </c>
      <c r="P780" s="512">
        <v>36</v>
      </c>
      <c r="Q780" s="513">
        <v>194</v>
      </c>
      <c r="R780" s="514">
        <v>89</v>
      </c>
      <c r="S780" s="64"/>
      <c r="T780" s="297">
        <f t="shared" si="93"/>
        <v>0</v>
      </c>
      <c r="U780" s="518">
        <f t="shared" si="94"/>
        <v>0</v>
      </c>
      <c r="W780" s="1"/>
      <c r="X780" s="65"/>
    </row>
    <row r="781" spans="1:24" s="23" customFormat="1" ht="11.25" customHeight="1" x14ac:dyDescent="0.2">
      <c r="A781" s="765"/>
      <c r="C781" s="769"/>
      <c r="D781" s="60"/>
      <c r="F781" s="503">
        <f t="shared" si="96"/>
        <v>7.7500000000001193E-2</v>
      </c>
      <c r="G781" s="503">
        <f t="shared" si="92"/>
        <v>7.7500000000001193E-2</v>
      </c>
      <c r="H781" s="504" t="str">
        <f t="shared" si="95"/>
        <v>Szlovákia</v>
      </c>
      <c r="I781" s="509" t="s">
        <v>1079</v>
      </c>
      <c r="J781" s="509" t="s">
        <v>1080</v>
      </c>
      <c r="K781" s="508">
        <v>19</v>
      </c>
      <c r="L781" s="509" t="s">
        <v>703</v>
      </c>
      <c r="M781" s="634" t="s">
        <v>1448</v>
      </c>
      <c r="N781" s="510" t="s">
        <v>501</v>
      </c>
      <c r="O781" s="511">
        <v>31834</v>
      </c>
      <c r="P781" s="512">
        <v>34</v>
      </c>
      <c r="Q781" s="513">
        <v>186</v>
      </c>
      <c r="R781" s="514">
        <v>86</v>
      </c>
      <c r="S781" s="64"/>
      <c r="T781" s="297">
        <f t="shared" si="93"/>
        <v>0</v>
      </c>
      <c r="U781" s="518">
        <f t="shared" si="94"/>
        <v>0</v>
      </c>
      <c r="W781" s="1"/>
      <c r="X781" s="65"/>
    </row>
    <row r="782" spans="1:24" s="23" customFormat="1" ht="11.25" customHeight="1" x14ac:dyDescent="0.2">
      <c r="A782" s="765"/>
      <c r="C782" s="769"/>
      <c r="D782" s="60"/>
      <c r="F782" s="503">
        <f t="shared" si="96"/>
        <v>7.7600000000001196E-2</v>
      </c>
      <c r="G782" s="503">
        <f t="shared" si="92"/>
        <v>7.7600000000001196E-2</v>
      </c>
      <c r="H782" s="504" t="str">
        <f t="shared" si="95"/>
        <v>Szlovákia</v>
      </c>
      <c r="I782" s="509" t="s">
        <v>327</v>
      </c>
      <c r="J782" s="509" t="s">
        <v>581</v>
      </c>
      <c r="K782" s="508">
        <v>22</v>
      </c>
      <c r="L782" s="509" t="s">
        <v>703</v>
      </c>
      <c r="M782" s="634" t="s">
        <v>814</v>
      </c>
      <c r="N782" s="510" t="s">
        <v>501</v>
      </c>
      <c r="O782" s="511">
        <v>34663</v>
      </c>
      <c r="P782" s="512">
        <v>26</v>
      </c>
      <c r="Q782" s="513">
        <v>170</v>
      </c>
      <c r="R782" s="514">
        <v>64</v>
      </c>
      <c r="S782" s="64"/>
      <c r="T782" s="297">
        <f t="shared" si="93"/>
        <v>0</v>
      </c>
      <c r="U782" s="518">
        <f t="shared" si="94"/>
        <v>0</v>
      </c>
      <c r="W782" s="1"/>
      <c r="X782" s="65"/>
    </row>
    <row r="783" spans="1:24" s="23" customFormat="1" ht="11.25" customHeight="1" x14ac:dyDescent="0.2">
      <c r="A783" s="765"/>
      <c r="C783" s="769"/>
      <c r="D783" s="60"/>
      <c r="F783" s="503">
        <f t="shared" si="96"/>
        <v>7.7700000000001199E-2</v>
      </c>
      <c r="G783" s="503">
        <f t="shared" si="92"/>
        <v>7.7700000000001199E-2</v>
      </c>
      <c r="H783" s="504" t="str">
        <f t="shared" si="95"/>
        <v>Szlovákia</v>
      </c>
      <c r="I783" s="509" t="s">
        <v>1082</v>
      </c>
      <c r="J783" s="509" t="s">
        <v>1083</v>
      </c>
      <c r="K783" s="508">
        <v>20</v>
      </c>
      <c r="L783" s="509" t="s">
        <v>703</v>
      </c>
      <c r="M783" s="634" t="s">
        <v>1213</v>
      </c>
      <c r="N783" s="510" t="s">
        <v>1214</v>
      </c>
      <c r="O783" s="511">
        <v>33305</v>
      </c>
      <c r="P783" s="512">
        <v>30</v>
      </c>
      <c r="Q783" s="513">
        <v>179</v>
      </c>
      <c r="R783" s="514">
        <v>71</v>
      </c>
      <c r="S783" s="64"/>
      <c r="T783" s="297">
        <f t="shared" si="93"/>
        <v>0</v>
      </c>
      <c r="U783" s="518">
        <f t="shared" si="94"/>
        <v>0</v>
      </c>
      <c r="W783" s="1"/>
      <c r="X783" s="65"/>
    </row>
    <row r="784" spans="1:24" s="23" customFormat="1" ht="11.25" customHeight="1" x14ac:dyDescent="0.2">
      <c r="A784" s="765"/>
      <c r="C784" s="769"/>
      <c r="D784" s="60"/>
      <c r="F784" s="503">
        <f t="shared" si="96"/>
        <v>7.7800000000001202E-2</v>
      </c>
      <c r="G784" s="503">
        <f t="shared" si="92"/>
        <v>7.7800000000001202E-2</v>
      </c>
      <c r="H784" s="504" t="str">
        <f t="shared" si="95"/>
        <v>Szlovákia</v>
      </c>
      <c r="I784" s="509" t="s">
        <v>1808</v>
      </c>
      <c r="J784" s="509" t="s">
        <v>1809</v>
      </c>
      <c r="K784" s="508">
        <v>2</v>
      </c>
      <c r="L784" s="509" t="s">
        <v>1339</v>
      </c>
      <c r="M784" s="634" t="s">
        <v>1019</v>
      </c>
      <c r="N784" s="510" t="s">
        <v>1270</v>
      </c>
      <c r="O784" s="511">
        <v>31715</v>
      </c>
      <c r="P784" s="512">
        <v>34</v>
      </c>
      <c r="Q784" s="513">
        <v>176</v>
      </c>
      <c r="R784" s="514">
        <v>70</v>
      </c>
      <c r="S784" s="64"/>
      <c r="T784" s="297">
        <f t="shared" si="93"/>
        <v>0</v>
      </c>
      <c r="U784" s="518">
        <f t="shared" si="94"/>
        <v>0</v>
      </c>
      <c r="W784" s="1"/>
      <c r="X784" s="65"/>
    </row>
    <row r="785" spans="1:24" s="23" customFormat="1" ht="11.25" customHeight="1" x14ac:dyDescent="0.2">
      <c r="A785" s="765"/>
      <c r="C785" s="769"/>
      <c r="D785" s="60"/>
      <c r="F785" s="503">
        <f t="shared" si="96"/>
        <v>7.7900000000001204E-2</v>
      </c>
      <c r="G785" s="503">
        <f t="shared" si="92"/>
        <v>7.7900000000001204E-2</v>
      </c>
      <c r="H785" s="504" t="str">
        <f t="shared" si="95"/>
        <v>Szlovákia</v>
      </c>
      <c r="I785" s="509" t="s">
        <v>328</v>
      </c>
      <c r="J785" s="509" t="s">
        <v>1073</v>
      </c>
      <c r="K785" s="508">
        <v>23</v>
      </c>
      <c r="L785" s="509" t="s">
        <v>704</v>
      </c>
      <c r="M785" s="634" t="s">
        <v>933</v>
      </c>
      <c r="N785" s="510" t="s">
        <v>1271</v>
      </c>
      <c r="O785" s="511">
        <v>35412</v>
      </c>
      <c r="P785" s="512">
        <v>24</v>
      </c>
      <c r="Q785" s="513">
        <v>196</v>
      </c>
      <c r="R785" s="514">
        <v>86</v>
      </c>
      <c r="S785" s="64"/>
      <c r="T785" s="297">
        <f t="shared" si="93"/>
        <v>0</v>
      </c>
      <c r="U785" s="518">
        <f t="shared" si="94"/>
        <v>0</v>
      </c>
      <c r="W785" s="1"/>
      <c r="X785" s="65"/>
    </row>
    <row r="786" spans="1:24" s="23" customFormat="1" ht="11.25" customHeight="1" x14ac:dyDescent="0.2">
      <c r="A786" s="765"/>
      <c r="C786" s="769"/>
      <c r="D786" s="60"/>
      <c r="F786" s="503">
        <f t="shared" si="96"/>
        <v>7.8000000000001207E-2</v>
      </c>
      <c r="G786" s="503">
        <f t="shared" si="92"/>
        <v>7.8000000000001207E-2</v>
      </c>
      <c r="H786" s="504" t="str">
        <f t="shared" si="95"/>
        <v>Szlovákia</v>
      </c>
      <c r="I786" s="509" t="s">
        <v>329</v>
      </c>
      <c r="J786" s="509" t="s">
        <v>330</v>
      </c>
      <c r="K786" s="508">
        <v>5</v>
      </c>
      <c r="L786" s="509" t="s">
        <v>1339</v>
      </c>
      <c r="M786" s="634" t="s">
        <v>1115</v>
      </c>
      <c r="N786" s="510" t="s">
        <v>1065</v>
      </c>
      <c r="O786" s="511">
        <v>35035</v>
      </c>
      <c r="P786" s="512">
        <v>25</v>
      </c>
      <c r="Q786" s="513">
        <v>188</v>
      </c>
      <c r="R786" s="514">
        <v>78</v>
      </c>
      <c r="S786" s="64"/>
      <c r="T786" s="297">
        <f t="shared" si="93"/>
        <v>0</v>
      </c>
      <c r="U786" s="518">
        <f t="shared" si="94"/>
        <v>0</v>
      </c>
      <c r="W786" s="1"/>
      <c r="X786" s="65"/>
    </row>
    <row r="787" spans="1:24" s="23" customFormat="1" ht="11.25" customHeight="1" x14ac:dyDescent="0.2">
      <c r="A787" s="765"/>
      <c r="C787" s="769"/>
      <c r="D787" s="60"/>
      <c r="F787" s="503">
        <f t="shared" si="96"/>
        <v>7.810000000000121E-2</v>
      </c>
      <c r="G787" s="503">
        <f t="shared" si="92"/>
        <v>7.810000000000121E-2</v>
      </c>
      <c r="H787" s="504" t="str">
        <f t="shared" si="95"/>
        <v>Szlovákia</v>
      </c>
      <c r="I787" s="509" t="s">
        <v>331</v>
      </c>
      <c r="J787" s="509" t="s">
        <v>827</v>
      </c>
      <c r="K787" s="508">
        <v>26</v>
      </c>
      <c r="L787" s="509" t="s">
        <v>1357</v>
      </c>
      <c r="M787" s="634" t="s">
        <v>1071</v>
      </c>
      <c r="N787" s="510" t="s">
        <v>1014</v>
      </c>
      <c r="O787" s="511">
        <v>34225</v>
      </c>
      <c r="P787" s="512">
        <v>27</v>
      </c>
      <c r="Q787" s="513">
        <v>185</v>
      </c>
      <c r="R787" s="514">
        <v>75</v>
      </c>
      <c r="S787" s="64"/>
      <c r="T787" s="297">
        <f t="shared" si="93"/>
        <v>0</v>
      </c>
      <c r="U787" s="518">
        <f t="shared" si="94"/>
        <v>0</v>
      </c>
      <c r="W787" s="1"/>
      <c r="X787" s="65"/>
    </row>
    <row r="788" spans="1:24" s="23" customFormat="1" ht="11.25" customHeight="1" x14ac:dyDescent="0.2">
      <c r="A788" s="765"/>
      <c r="C788" s="769"/>
      <c r="D788" s="60"/>
      <c r="F788" s="503">
        <f t="shared" si="96"/>
        <v>7.8200000000001213E-2</v>
      </c>
      <c r="G788" s="503">
        <f t="shared" si="92"/>
        <v>7.8200000000001213E-2</v>
      </c>
      <c r="H788" s="504" t="str">
        <f t="shared" si="95"/>
        <v>Szlovákia</v>
      </c>
      <c r="I788" s="509" t="s">
        <v>582</v>
      </c>
      <c r="J788" s="509" t="s">
        <v>907</v>
      </c>
      <c r="K788" s="508">
        <v>14</v>
      </c>
      <c r="L788" s="509" t="s">
        <v>1339</v>
      </c>
      <c r="M788" s="634" t="s">
        <v>815</v>
      </c>
      <c r="N788" s="510" t="s">
        <v>501</v>
      </c>
      <c r="O788" s="511">
        <v>34741</v>
      </c>
      <c r="P788" s="512">
        <v>26</v>
      </c>
      <c r="Q788" s="513">
        <v>188</v>
      </c>
      <c r="R788" s="514">
        <v>82</v>
      </c>
      <c r="S788" s="64"/>
      <c r="T788" s="297">
        <f t="shared" si="93"/>
        <v>0</v>
      </c>
      <c r="U788" s="518">
        <f t="shared" si="94"/>
        <v>0</v>
      </c>
      <c r="W788" s="1"/>
      <c r="X788" s="65"/>
    </row>
    <row r="789" spans="1:24" s="23" customFormat="1" ht="11.25" customHeight="1" x14ac:dyDescent="0.2">
      <c r="A789" s="765"/>
      <c r="C789" s="769"/>
      <c r="D789" s="60"/>
      <c r="F789" s="503">
        <f t="shared" si="96"/>
        <v>7.8300000000001216E-2</v>
      </c>
      <c r="G789" s="503">
        <f t="shared" si="92"/>
        <v>7.8300000000001216E-2</v>
      </c>
      <c r="H789" s="504" t="str">
        <f t="shared" si="95"/>
        <v>Szlovákia</v>
      </c>
      <c r="I789" s="509" t="s">
        <v>1810</v>
      </c>
      <c r="J789" s="509" t="s">
        <v>1078</v>
      </c>
      <c r="K789" s="508">
        <v>10</v>
      </c>
      <c r="L789" s="509" t="s">
        <v>703</v>
      </c>
      <c r="M789" s="634" t="s">
        <v>1811</v>
      </c>
      <c r="N789" s="510" t="s">
        <v>867</v>
      </c>
      <c r="O789" s="511">
        <v>37414</v>
      </c>
      <c r="P789" s="512">
        <v>19</v>
      </c>
      <c r="Q789" s="513">
        <v>173</v>
      </c>
      <c r="R789" s="514">
        <v>66</v>
      </c>
      <c r="S789" s="64"/>
      <c r="T789" s="297">
        <f t="shared" si="93"/>
        <v>0</v>
      </c>
      <c r="U789" s="518">
        <f t="shared" si="94"/>
        <v>0</v>
      </c>
      <c r="W789" s="640"/>
      <c r="X789" s="65"/>
    </row>
    <row r="790" spans="1:24" s="23" customFormat="1" ht="11.25" customHeight="1" x14ac:dyDescent="0.2">
      <c r="A790" s="765"/>
      <c r="C790" s="769"/>
      <c r="D790" s="60"/>
      <c r="F790" s="503">
        <f t="shared" si="96"/>
        <v>7.8400000000001219E-2</v>
      </c>
      <c r="G790" s="503">
        <f t="shared" si="92"/>
        <v>7.8400000000001219E-2</v>
      </c>
      <c r="H790" s="504" t="str">
        <f t="shared" si="95"/>
        <v>Szlovákia</v>
      </c>
      <c r="I790" s="509" t="s">
        <v>1812</v>
      </c>
      <c r="J790" s="509" t="s">
        <v>1052</v>
      </c>
      <c r="K790" s="508">
        <v>4</v>
      </c>
      <c r="L790" s="509" t="s">
        <v>1339</v>
      </c>
      <c r="M790" s="634" t="s">
        <v>1677</v>
      </c>
      <c r="N790" s="510" t="s">
        <v>500</v>
      </c>
      <c r="O790" s="511">
        <v>34741</v>
      </c>
      <c r="P790" s="512">
        <v>26</v>
      </c>
      <c r="Q790" s="513">
        <v>186</v>
      </c>
      <c r="R790" s="514">
        <v>70</v>
      </c>
      <c r="S790" s="64"/>
      <c r="T790" s="297">
        <f t="shared" si="93"/>
        <v>0</v>
      </c>
      <c r="U790" s="518">
        <f t="shared" si="94"/>
        <v>0</v>
      </c>
      <c r="W790" s="640"/>
      <c r="X790" s="65"/>
    </row>
    <row r="791" spans="1:24" s="23" customFormat="1" ht="11.25" customHeight="1" x14ac:dyDescent="0.2">
      <c r="A791" s="765"/>
      <c r="C791" s="769"/>
      <c r="D791" s="60"/>
      <c r="F791" s="503">
        <f t="shared" si="96"/>
        <v>7.8500000000001222E-2</v>
      </c>
      <c r="G791" s="503">
        <f t="shared" si="92"/>
        <v>7.8500000000001222E-2</v>
      </c>
      <c r="H791" s="504" t="str">
        <f t="shared" si="95"/>
        <v>Szlovákia</v>
      </c>
      <c r="I791" s="509" t="s">
        <v>1813</v>
      </c>
      <c r="J791" s="509" t="s">
        <v>1537</v>
      </c>
      <c r="K791" s="508">
        <v>3</v>
      </c>
      <c r="L791" s="509" t="s">
        <v>1339</v>
      </c>
      <c r="M791" s="634" t="s">
        <v>748</v>
      </c>
      <c r="N791" s="510" t="s">
        <v>501</v>
      </c>
      <c r="O791" s="511">
        <v>35165</v>
      </c>
      <c r="P791" s="512">
        <v>25</v>
      </c>
      <c r="Q791" s="513">
        <v>189</v>
      </c>
      <c r="R791" s="514">
        <v>81</v>
      </c>
      <c r="S791" s="64"/>
      <c r="T791" s="297">
        <f t="shared" si="93"/>
        <v>0</v>
      </c>
      <c r="U791" s="518">
        <f t="shared" si="94"/>
        <v>0</v>
      </c>
      <c r="W791" s="640"/>
      <c r="X791" s="65"/>
    </row>
    <row r="792" spans="1:24" s="23" customFormat="1" ht="11.25" customHeight="1" x14ac:dyDescent="0.2">
      <c r="A792" s="765"/>
      <c r="C792" s="769"/>
      <c r="D792" s="60"/>
      <c r="F792" s="503">
        <f t="shared" si="96"/>
        <v>7.8600000000001224E-2</v>
      </c>
      <c r="G792" s="503">
        <f t="shared" si="92"/>
        <v>7.8600000000001224E-2</v>
      </c>
      <c r="H792" s="504" t="str">
        <f t="shared" si="95"/>
        <v>Szlovákia</v>
      </c>
      <c r="I792" s="555" t="s">
        <v>1814</v>
      </c>
      <c r="J792" s="555" t="s">
        <v>1084</v>
      </c>
      <c r="K792" s="554">
        <v>7</v>
      </c>
      <c r="L792" s="555" t="s">
        <v>703</v>
      </c>
      <c r="M792" s="635" t="s">
        <v>1050</v>
      </c>
      <c r="N792" s="556" t="s">
        <v>1051</v>
      </c>
      <c r="O792" s="557">
        <v>32842</v>
      </c>
      <c r="P792" s="558">
        <v>31</v>
      </c>
      <c r="Q792" s="559">
        <v>173</v>
      </c>
      <c r="R792" s="560">
        <v>71</v>
      </c>
      <c r="S792" s="64"/>
      <c r="T792" s="297">
        <f t="shared" si="93"/>
        <v>0</v>
      </c>
      <c r="U792" s="518">
        <f t="shared" si="94"/>
        <v>0</v>
      </c>
      <c r="W792" s="640"/>
      <c r="X792" s="65"/>
    </row>
    <row r="793" spans="1:24" s="23" customFormat="1" ht="9.75" hidden="1" customHeight="1" x14ac:dyDescent="0.2">
      <c r="A793" s="765"/>
      <c r="C793" s="769"/>
      <c r="D793" s="60"/>
      <c r="F793" s="503">
        <f t="shared" si="96"/>
        <v>7.8700000000001227E-2</v>
      </c>
      <c r="G793" s="503">
        <f t="shared" si="92"/>
        <v>0</v>
      </c>
      <c r="H793" s="504" t="str">
        <f t="shared" si="95"/>
        <v>Szlovákia</v>
      </c>
      <c r="I793" s="61"/>
      <c r="J793" s="61"/>
      <c r="K793" s="295"/>
      <c r="L793" s="61"/>
      <c r="M793" s="633"/>
      <c r="N793" s="256"/>
      <c r="O793" s="62"/>
      <c r="P793" s="253"/>
      <c r="Q793" s="63"/>
      <c r="R793" s="252"/>
      <c r="S793" s="64"/>
      <c r="T793" s="297" t="str">
        <f t="shared" si="93"/>
        <v/>
      </c>
      <c r="U793" s="518" t="str">
        <f t="shared" si="94"/>
        <v/>
      </c>
      <c r="W793" s="640"/>
      <c r="X793" s="65"/>
    </row>
    <row r="794" spans="1:24" s="23" customFormat="1" ht="9.75" hidden="1" customHeight="1" x14ac:dyDescent="0.2">
      <c r="A794" s="765"/>
      <c r="C794" s="769"/>
      <c r="D794" s="60"/>
      <c r="F794" s="503">
        <f t="shared" si="96"/>
        <v>7.880000000000123E-2</v>
      </c>
      <c r="G794" s="503">
        <f t="shared" si="92"/>
        <v>0</v>
      </c>
      <c r="H794" s="504" t="str">
        <f t="shared" si="95"/>
        <v>Szlovákia</v>
      </c>
      <c r="I794" s="61"/>
      <c r="J794" s="61"/>
      <c r="K794" s="295"/>
      <c r="L794" s="61"/>
      <c r="M794" s="633"/>
      <c r="N794" s="256"/>
      <c r="O794" s="62"/>
      <c r="P794" s="253"/>
      <c r="Q794" s="63"/>
      <c r="R794" s="252"/>
      <c r="S794" s="64"/>
      <c r="T794" s="297" t="str">
        <f t="shared" si="93"/>
        <v/>
      </c>
      <c r="U794" s="518" t="str">
        <f t="shared" si="94"/>
        <v/>
      </c>
      <c r="W794" s="640"/>
      <c r="X794" s="65"/>
    </row>
    <row r="795" spans="1:24" s="23" customFormat="1" ht="9.75" hidden="1" customHeight="1" x14ac:dyDescent="0.2">
      <c r="A795" s="765"/>
      <c r="C795" s="769"/>
      <c r="D795" s="60"/>
      <c r="F795" s="503">
        <f t="shared" si="96"/>
        <v>7.8900000000001233E-2</v>
      </c>
      <c r="G795" s="503">
        <f t="shared" si="92"/>
        <v>0</v>
      </c>
      <c r="H795" s="504" t="str">
        <f t="shared" si="95"/>
        <v>Szlovákia</v>
      </c>
      <c r="I795" s="61"/>
      <c r="J795" s="61"/>
      <c r="K795" s="295"/>
      <c r="L795" s="61"/>
      <c r="M795" s="633"/>
      <c r="N795" s="256"/>
      <c r="O795" s="62"/>
      <c r="P795" s="253"/>
      <c r="Q795" s="63"/>
      <c r="R795" s="252"/>
      <c r="S795" s="64"/>
      <c r="T795" s="297" t="str">
        <f t="shared" si="93"/>
        <v/>
      </c>
      <c r="U795" s="518" t="str">
        <f t="shared" si="94"/>
        <v/>
      </c>
      <c r="W795" s="640"/>
      <c r="X795" s="65"/>
    </row>
    <row r="796" spans="1:24" s="23" customFormat="1" ht="9.75" hidden="1" customHeight="1" x14ac:dyDescent="0.2">
      <c r="A796" s="765"/>
      <c r="C796" s="769"/>
      <c r="D796" s="60"/>
      <c r="F796" s="503">
        <f t="shared" si="96"/>
        <v>7.9000000000001236E-2</v>
      </c>
      <c r="G796" s="503">
        <f t="shared" si="92"/>
        <v>0</v>
      </c>
      <c r="H796" s="504" t="str">
        <f t="shared" si="95"/>
        <v>Szlovákia</v>
      </c>
      <c r="I796" s="61"/>
      <c r="J796" s="61"/>
      <c r="K796" s="295"/>
      <c r="L796" s="61"/>
      <c r="M796" s="633"/>
      <c r="N796" s="256"/>
      <c r="O796" s="62"/>
      <c r="P796" s="253"/>
      <c r="Q796" s="63"/>
      <c r="R796" s="252"/>
      <c r="S796" s="64"/>
      <c r="T796" s="297" t="str">
        <f t="shared" si="93"/>
        <v/>
      </c>
      <c r="U796" s="518" t="str">
        <f t="shared" si="94"/>
        <v/>
      </c>
      <c r="W796" s="640"/>
      <c r="X796" s="65"/>
    </row>
    <row r="797" spans="1:24" s="23" customFormat="1" ht="4.5" customHeight="1" x14ac:dyDescent="0.25">
      <c r="A797" s="765"/>
      <c r="C797" s="769"/>
      <c r="D797" s="60"/>
      <c r="F797" s="503">
        <f t="shared" si="96"/>
        <v>7.9100000000001239E-2</v>
      </c>
      <c r="G797" s="503"/>
      <c r="H797" s="505"/>
      <c r="I797" s="67"/>
      <c r="J797" s="67"/>
      <c r="K797" s="22"/>
      <c r="L797" s="67"/>
      <c r="M797" s="22"/>
      <c r="N797" s="68"/>
      <c r="O797" s="67"/>
      <c r="P797" s="69"/>
      <c r="Q797" s="70"/>
      <c r="R797" s="71"/>
      <c r="S797" s="71"/>
      <c r="T797" s="298"/>
      <c r="U797" s="299"/>
      <c r="W797" s="641"/>
      <c r="X797" s="67"/>
    </row>
    <row r="798" spans="1:24" s="21" customFormat="1" ht="9.75" customHeight="1" x14ac:dyDescent="0.2">
      <c r="A798" s="765"/>
      <c r="C798" s="769"/>
      <c r="D798" s="60"/>
      <c r="F798" s="503">
        <f t="shared" si="96"/>
        <v>7.9200000000001242E-2</v>
      </c>
      <c r="G798" s="503"/>
      <c r="H798" s="303"/>
      <c r="I798" s="74" t="s">
        <v>542</v>
      </c>
      <c r="J798" s="75" t="s">
        <v>332</v>
      </c>
      <c r="K798" s="75"/>
      <c r="L798" s="75"/>
      <c r="M798" s="636"/>
      <c r="N798" s="76"/>
      <c r="O798" s="74" t="s">
        <v>495</v>
      </c>
      <c r="P798" s="254">
        <f>AVERAGE(P767:P796)</f>
        <v>27.846153846153847</v>
      </c>
      <c r="Q798" s="77">
        <f>AVERAGE(Q767:Q796)</f>
        <v>183.26923076923077</v>
      </c>
      <c r="R798" s="255">
        <f>AVERAGE(R767:R796)</f>
        <v>75.884615384615387</v>
      </c>
      <c r="S798" s="78"/>
      <c r="T798" s="297">
        <f>SUM(T767:T796)</f>
        <v>0</v>
      </c>
      <c r="U798" s="518">
        <f>SUM(U767:U796)</f>
        <v>0</v>
      </c>
      <c r="W798" s="642" t="s">
        <v>879</v>
      </c>
      <c r="X798" s="79"/>
    </row>
    <row r="799" spans="1:24" ht="9.75" customHeight="1" x14ac:dyDescent="0.3">
      <c r="A799" s="765"/>
      <c r="F799" s="503">
        <f t="shared" si="96"/>
        <v>7.9300000000001244E-2</v>
      </c>
      <c r="G799" s="503"/>
    </row>
    <row r="800" spans="1:24" ht="9.75" customHeight="1" x14ac:dyDescent="0.3">
      <c r="A800" s="765"/>
      <c r="F800" s="503">
        <f t="shared" si="96"/>
        <v>7.9400000000001247E-2</v>
      </c>
      <c r="G800" s="503"/>
    </row>
    <row r="801" spans="1:24" ht="9.75" customHeight="1" x14ac:dyDescent="0.3">
      <c r="A801" s="765"/>
      <c r="F801" s="503">
        <f t="shared" si="96"/>
        <v>7.950000000000125E-2</v>
      </c>
      <c r="G801" s="503"/>
    </row>
    <row r="802" spans="1:24" ht="9.75" customHeight="1" x14ac:dyDescent="0.3">
      <c r="A802" s="765"/>
      <c r="F802" s="503">
        <f t="shared" si="96"/>
        <v>7.9600000000001253E-2</v>
      </c>
    </row>
    <row r="803" spans="1:24" ht="9.75" customHeight="1" x14ac:dyDescent="0.3">
      <c r="A803" s="765"/>
      <c r="F803" s="503">
        <f t="shared" si="96"/>
        <v>7.9700000000001256E-2</v>
      </c>
    </row>
    <row r="804" spans="1:24" ht="9.75" customHeight="1" x14ac:dyDescent="0.3">
      <c r="A804" s="765"/>
      <c r="F804" s="503">
        <f t="shared" si="96"/>
        <v>7.9800000000001259E-2</v>
      </c>
    </row>
    <row r="805" spans="1:24" ht="9.75" customHeight="1" x14ac:dyDescent="0.3">
      <c r="A805" s="765"/>
      <c r="F805" s="503">
        <f t="shared" si="96"/>
        <v>7.9900000000001262E-2</v>
      </c>
    </row>
    <row r="806" spans="1:24" s="23" customFormat="1" ht="5.25" customHeight="1" x14ac:dyDescent="0.2">
      <c r="A806" s="765"/>
      <c r="C806" s="21"/>
      <c r="F806" s="503">
        <f t="shared" si="96"/>
        <v>8.0000000000001265E-2</v>
      </c>
      <c r="G806" s="506"/>
      <c r="H806" s="502"/>
      <c r="I806" s="55"/>
      <c r="J806" s="55"/>
      <c r="K806" s="56"/>
      <c r="L806" s="55"/>
      <c r="M806" s="56"/>
      <c r="N806" s="57"/>
      <c r="O806" s="57"/>
      <c r="P806" s="55"/>
      <c r="Q806" s="57"/>
      <c r="R806" s="57"/>
      <c r="S806" s="57"/>
      <c r="T806" s="58"/>
      <c r="U806" s="59"/>
      <c r="W806" s="639"/>
      <c r="X806" s="55"/>
    </row>
    <row r="807" spans="1:24" s="23" customFormat="1" ht="11.25" customHeight="1" x14ac:dyDescent="0.2">
      <c r="A807" s="765"/>
      <c r="C807" s="769" t="str">
        <f>UPPER(H807)&amp;"    ."</f>
        <v>MAGYARORSZÁG    .</v>
      </c>
      <c r="D807" s="60"/>
      <c r="F807" s="503">
        <f t="shared" si="96"/>
        <v>8.0100000000001267E-2</v>
      </c>
      <c r="G807" s="503">
        <f t="shared" ref="G807:G836" si="97">IF(I807="",0,T807+F807)</f>
        <v>8.0100000000001267E-2</v>
      </c>
      <c r="H807" s="504" t="str">
        <f>Adatok!F2</f>
        <v>MAGYARORSZÁG</v>
      </c>
      <c r="I807" s="61" t="s">
        <v>1815</v>
      </c>
      <c r="J807" s="61" t="s">
        <v>344</v>
      </c>
      <c r="K807" s="295">
        <v>22</v>
      </c>
      <c r="L807" s="61" t="s">
        <v>704</v>
      </c>
      <c r="M807" s="633" t="s">
        <v>1213</v>
      </c>
      <c r="N807" s="256" t="s">
        <v>1214</v>
      </c>
      <c r="O807" s="62">
        <v>32047</v>
      </c>
      <c r="P807" s="253">
        <v>33</v>
      </c>
      <c r="Q807" s="63">
        <v>194</v>
      </c>
      <c r="R807" s="252">
        <v>92</v>
      </c>
      <c r="S807" s="64"/>
      <c r="T807" s="297">
        <f t="shared" ref="T807:T836" si="98">IF(I807="","",COUNTIF(nevek.s,CONCATENATE(H807,I807)))</f>
        <v>0</v>
      </c>
      <c r="U807" s="518">
        <f t="shared" ref="U807:U836" si="99">IF(I807="","",COUNTIF(nevek.s,CONCATENATE("ö",H807,I807)))</f>
        <v>0</v>
      </c>
      <c r="W807" s="3"/>
      <c r="X807" s="65"/>
    </row>
    <row r="808" spans="1:24" s="23" customFormat="1" ht="11.25" customHeight="1" x14ac:dyDescent="0.2">
      <c r="A808" s="765"/>
      <c r="C808" s="769"/>
      <c r="D808" s="60"/>
      <c r="F808" s="503">
        <f t="shared" si="96"/>
        <v>8.020000000000127E-2</v>
      </c>
      <c r="G808" s="503">
        <f t="shared" si="97"/>
        <v>8.020000000000127E-2</v>
      </c>
      <c r="H808" s="504" t="str">
        <f>H807</f>
        <v>MAGYARORSZÁG</v>
      </c>
      <c r="I808" s="509" t="s">
        <v>1816</v>
      </c>
      <c r="J808" s="509" t="s">
        <v>1817</v>
      </c>
      <c r="K808" s="508">
        <v>26</v>
      </c>
      <c r="L808" s="509" t="s">
        <v>1339</v>
      </c>
      <c r="M808" s="634" t="s">
        <v>162</v>
      </c>
      <c r="N808" s="510" t="s">
        <v>1214</v>
      </c>
      <c r="O808" s="511">
        <v>36486</v>
      </c>
      <c r="P808" s="512">
        <v>21</v>
      </c>
      <c r="Q808" s="513">
        <v>197</v>
      </c>
      <c r="R808" s="514">
        <v>65</v>
      </c>
      <c r="S808" s="64"/>
      <c r="T808" s="297">
        <f t="shared" si="98"/>
        <v>0</v>
      </c>
      <c r="U808" s="518">
        <f t="shared" si="99"/>
        <v>0</v>
      </c>
      <c r="W808" s="1"/>
      <c r="X808" s="65"/>
    </row>
    <row r="809" spans="1:24" s="23" customFormat="1" ht="11.25" customHeight="1" x14ac:dyDescent="0.2">
      <c r="A809" s="765"/>
      <c r="C809" s="769"/>
      <c r="D809" s="60"/>
      <c r="F809" s="503">
        <f t="shared" si="96"/>
        <v>8.0300000000001273E-2</v>
      </c>
      <c r="G809" s="503">
        <f t="shared" si="97"/>
        <v>8.0300000000001273E-2</v>
      </c>
      <c r="H809" s="504" t="str">
        <f t="shared" ref="H809:H836" si="100">H808</f>
        <v>MAGYARORSZÁG</v>
      </c>
      <c r="I809" s="509" t="s">
        <v>333</v>
      </c>
      <c r="J809" s="509" t="s">
        <v>334</v>
      </c>
      <c r="K809" s="508">
        <v>21</v>
      </c>
      <c r="L809" s="509" t="s">
        <v>1339</v>
      </c>
      <c r="M809" s="634" t="s">
        <v>1213</v>
      </c>
      <c r="N809" s="510" t="s">
        <v>1214</v>
      </c>
      <c r="O809" s="511">
        <v>34571</v>
      </c>
      <c r="P809" s="512">
        <v>26</v>
      </c>
      <c r="Q809" s="513">
        <v>178</v>
      </c>
      <c r="R809" s="514">
        <v>77</v>
      </c>
      <c r="S809" s="64"/>
      <c r="T809" s="297">
        <f t="shared" si="98"/>
        <v>0</v>
      </c>
      <c r="U809" s="518">
        <f t="shared" si="99"/>
        <v>0</v>
      </c>
      <c r="W809" s="1"/>
      <c r="X809" s="65"/>
    </row>
    <row r="810" spans="1:24" s="23" customFormat="1" ht="11.25" customHeight="1" x14ac:dyDescent="0.2">
      <c r="A810" s="765"/>
      <c r="C810" s="769"/>
      <c r="D810" s="60"/>
      <c r="F810" s="503">
        <f t="shared" si="96"/>
        <v>8.0400000000001276E-2</v>
      </c>
      <c r="G810" s="503">
        <f t="shared" si="97"/>
        <v>8.0400000000001276E-2</v>
      </c>
      <c r="H810" s="504" t="str">
        <f t="shared" si="100"/>
        <v>MAGYARORSZÁG</v>
      </c>
      <c r="I810" s="509" t="s">
        <v>335</v>
      </c>
      <c r="J810" s="509" t="s">
        <v>336</v>
      </c>
      <c r="K810" s="508">
        <v>10</v>
      </c>
      <c r="L810" s="509" t="s">
        <v>703</v>
      </c>
      <c r="M810" s="634" t="s">
        <v>337</v>
      </c>
      <c r="N810" s="510" t="s">
        <v>1214</v>
      </c>
      <c r="O810" s="511">
        <v>32157</v>
      </c>
      <c r="P810" s="512">
        <v>33</v>
      </c>
      <c r="Q810" s="513">
        <v>174</v>
      </c>
      <c r="R810" s="514">
        <v>73</v>
      </c>
      <c r="S810" s="64"/>
      <c r="T810" s="297">
        <f t="shared" si="98"/>
        <v>0</v>
      </c>
      <c r="U810" s="518">
        <f t="shared" si="99"/>
        <v>0</v>
      </c>
      <c r="W810" s="1"/>
      <c r="X810" s="65"/>
    </row>
    <row r="811" spans="1:24" s="23" customFormat="1" ht="11.25" customHeight="1" x14ac:dyDescent="0.2">
      <c r="A811" s="765"/>
      <c r="C811" s="769"/>
      <c r="D811" s="60"/>
      <c r="F811" s="503">
        <f t="shared" si="96"/>
        <v>8.0500000000001279E-2</v>
      </c>
      <c r="G811" s="503">
        <f t="shared" si="97"/>
        <v>8.0500000000001279E-2</v>
      </c>
      <c r="H811" s="504" t="str">
        <f t="shared" si="100"/>
        <v>MAGYARORSZÁG</v>
      </c>
      <c r="I811" s="509" t="s">
        <v>338</v>
      </c>
      <c r="J811" s="509" t="s">
        <v>339</v>
      </c>
      <c r="K811" s="508">
        <v>12</v>
      </c>
      <c r="L811" s="509" t="s">
        <v>704</v>
      </c>
      <c r="M811" s="634" t="s">
        <v>1213</v>
      </c>
      <c r="N811" s="510" t="s">
        <v>1214</v>
      </c>
      <c r="O811" s="511">
        <v>33193</v>
      </c>
      <c r="P811" s="512">
        <v>30</v>
      </c>
      <c r="Q811" s="513">
        <v>188</v>
      </c>
      <c r="R811" s="514">
        <v>81</v>
      </c>
      <c r="S811" s="64"/>
      <c r="T811" s="297">
        <f t="shared" si="98"/>
        <v>0</v>
      </c>
      <c r="U811" s="518">
        <f t="shared" si="99"/>
        <v>0</v>
      </c>
      <c r="W811" s="1"/>
      <c r="X811" s="65"/>
    </row>
    <row r="812" spans="1:24" s="23" customFormat="1" ht="11.25" customHeight="1" x14ac:dyDescent="0.2">
      <c r="A812" s="765"/>
      <c r="C812" s="769"/>
      <c r="D812" s="60"/>
      <c r="F812" s="503">
        <f t="shared" si="96"/>
        <v>8.0600000000001282E-2</v>
      </c>
      <c r="G812" s="503">
        <f t="shared" si="97"/>
        <v>8.0600000000001282E-2</v>
      </c>
      <c r="H812" s="504" t="str">
        <f t="shared" si="100"/>
        <v>MAGYARORSZÁG</v>
      </c>
      <c r="I812" s="509" t="s">
        <v>340</v>
      </c>
      <c r="J812" s="509" t="s">
        <v>341</v>
      </c>
      <c r="K812" s="508">
        <v>5</v>
      </c>
      <c r="L812" s="509" t="s">
        <v>1339</v>
      </c>
      <c r="M812" s="634" t="s">
        <v>162</v>
      </c>
      <c r="N812" s="510" t="s">
        <v>1214</v>
      </c>
      <c r="O812" s="511">
        <v>32921</v>
      </c>
      <c r="P812" s="512">
        <v>31</v>
      </c>
      <c r="Q812" s="513">
        <v>182</v>
      </c>
      <c r="R812" s="514">
        <v>70</v>
      </c>
      <c r="S812" s="64"/>
      <c r="T812" s="297">
        <f t="shared" si="98"/>
        <v>0</v>
      </c>
      <c r="U812" s="518">
        <f t="shared" si="99"/>
        <v>0</v>
      </c>
      <c r="W812" s="1"/>
      <c r="X812" s="65"/>
    </row>
    <row r="813" spans="1:24" s="23" customFormat="1" ht="11.25" customHeight="1" x14ac:dyDescent="0.2">
      <c r="A813" s="765"/>
      <c r="C813" s="769"/>
      <c r="D813" s="60"/>
      <c r="F813" s="503">
        <f t="shared" si="96"/>
        <v>8.0700000000001285E-2</v>
      </c>
      <c r="G813" s="503">
        <f t="shared" si="97"/>
        <v>8.0700000000001285E-2</v>
      </c>
      <c r="H813" s="504" t="str">
        <f t="shared" si="100"/>
        <v>MAGYARORSZÁG</v>
      </c>
      <c r="I813" s="509" t="s">
        <v>1818</v>
      </c>
      <c r="J813" s="509" t="s">
        <v>1819</v>
      </c>
      <c r="K813" s="508">
        <v>16</v>
      </c>
      <c r="L813" s="509" t="s">
        <v>703</v>
      </c>
      <c r="M813" s="634" t="s">
        <v>1820</v>
      </c>
      <c r="N813" s="510" t="s">
        <v>921</v>
      </c>
      <c r="O813" s="511">
        <v>35126</v>
      </c>
      <c r="P813" s="512">
        <v>25</v>
      </c>
      <c r="Q813" s="513">
        <v>178</v>
      </c>
      <c r="R813" s="514">
        <v>76</v>
      </c>
      <c r="S813" s="64"/>
      <c r="T813" s="297">
        <f t="shared" si="98"/>
        <v>0</v>
      </c>
      <c r="U813" s="518">
        <f t="shared" si="99"/>
        <v>0</v>
      </c>
      <c r="W813" s="1"/>
      <c r="X813" s="65"/>
    </row>
    <row r="814" spans="1:24" s="23" customFormat="1" ht="11.25" customHeight="1" x14ac:dyDescent="0.2">
      <c r="A814" s="765"/>
      <c r="C814" s="769"/>
      <c r="D814" s="60"/>
      <c r="E814" s="66"/>
      <c r="F814" s="503">
        <f t="shared" si="96"/>
        <v>8.0800000000001287E-2</v>
      </c>
      <c r="G814" s="503">
        <f t="shared" si="97"/>
        <v>8.0800000000001287E-2</v>
      </c>
      <c r="H814" s="504" t="str">
        <f t="shared" si="100"/>
        <v>MAGYARORSZÁG</v>
      </c>
      <c r="I814" s="509" t="s">
        <v>342</v>
      </c>
      <c r="J814" s="509" t="s">
        <v>343</v>
      </c>
      <c r="K814" s="508">
        <v>1</v>
      </c>
      <c r="L814" s="509" t="s">
        <v>704</v>
      </c>
      <c r="M814" s="634" t="s">
        <v>1164</v>
      </c>
      <c r="N814" s="510" t="s">
        <v>1270</v>
      </c>
      <c r="O814" s="511">
        <v>32999</v>
      </c>
      <c r="P814" s="512">
        <v>31</v>
      </c>
      <c r="Q814" s="513">
        <v>191</v>
      </c>
      <c r="R814" s="514">
        <v>86</v>
      </c>
      <c r="S814" s="64"/>
      <c r="T814" s="297">
        <f t="shared" si="98"/>
        <v>0</v>
      </c>
      <c r="U814" s="518">
        <f t="shared" si="99"/>
        <v>0</v>
      </c>
      <c r="W814" s="1"/>
      <c r="X814" s="65"/>
    </row>
    <row r="815" spans="1:24" s="23" customFormat="1" ht="11.25" customHeight="1" x14ac:dyDescent="0.2">
      <c r="A815" s="765"/>
      <c r="C815" s="769"/>
      <c r="D815" s="60"/>
      <c r="F815" s="503">
        <f t="shared" si="96"/>
        <v>8.090000000000129E-2</v>
      </c>
      <c r="G815" s="503">
        <f t="shared" si="97"/>
        <v>8.090000000000129E-2</v>
      </c>
      <c r="H815" s="504" t="str">
        <f t="shared" si="100"/>
        <v>MAGYARORSZÁG</v>
      </c>
      <c r="I815" s="509" t="s">
        <v>1821</v>
      </c>
      <c r="J815" s="509" t="s">
        <v>1822</v>
      </c>
      <c r="K815" s="508">
        <v>25</v>
      </c>
      <c r="L815" s="509" t="s">
        <v>1357</v>
      </c>
      <c r="M815" s="634" t="s">
        <v>345</v>
      </c>
      <c r="N815" s="510" t="s">
        <v>1214</v>
      </c>
      <c r="O815" s="511">
        <v>34773</v>
      </c>
      <c r="P815" s="512">
        <v>26</v>
      </c>
      <c r="Q815" s="513">
        <v>183</v>
      </c>
      <c r="R815" s="514">
        <v>70</v>
      </c>
      <c r="S815" s="64"/>
      <c r="T815" s="297">
        <f t="shared" si="98"/>
        <v>0</v>
      </c>
      <c r="U815" s="518">
        <f t="shared" si="99"/>
        <v>0</v>
      </c>
      <c r="W815" s="1"/>
      <c r="X815" s="65"/>
    </row>
    <row r="816" spans="1:24" s="23" customFormat="1" ht="11.25" customHeight="1" x14ac:dyDescent="0.2">
      <c r="A816" s="765"/>
      <c r="C816" s="769"/>
      <c r="D816" s="60"/>
      <c r="F816" s="503">
        <f t="shared" si="96"/>
        <v>8.1000000000001293E-2</v>
      </c>
      <c r="G816" s="503">
        <f t="shared" si="97"/>
        <v>8.1000000000001293E-2</v>
      </c>
      <c r="H816" s="504" t="str">
        <f t="shared" si="100"/>
        <v>MAGYARORSZÁG</v>
      </c>
      <c r="I816" s="509" t="s">
        <v>346</v>
      </c>
      <c r="J816" s="509" t="s">
        <v>1074</v>
      </c>
      <c r="K816" s="508">
        <v>11</v>
      </c>
      <c r="L816" s="509" t="s">
        <v>703</v>
      </c>
      <c r="M816" s="634" t="s">
        <v>347</v>
      </c>
      <c r="N816" s="510" t="s">
        <v>348</v>
      </c>
      <c r="O816" s="511">
        <v>34542</v>
      </c>
      <c r="P816" s="512">
        <v>26</v>
      </c>
      <c r="Q816" s="513">
        <v>180</v>
      </c>
      <c r="R816" s="514">
        <v>73</v>
      </c>
      <c r="S816" s="64"/>
      <c r="T816" s="297">
        <f t="shared" si="98"/>
        <v>0</v>
      </c>
      <c r="U816" s="518">
        <f t="shared" si="99"/>
        <v>0</v>
      </c>
      <c r="W816" s="1"/>
      <c r="X816" s="65"/>
    </row>
    <row r="817" spans="1:24" s="23" customFormat="1" ht="11.25" customHeight="1" x14ac:dyDescent="0.2">
      <c r="A817" s="765"/>
      <c r="C817" s="769"/>
      <c r="D817" s="60"/>
      <c r="F817" s="503">
        <f t="shared" si="96"/>
        <v>8.1100000000001296E-2</v>
      </c>
      <c r="G817" s="503">
        <f t="shared" si="97"/>
        <v>8.1100000000001296E-2</v>
      </c>
      <c r="H817" s="504" t="str">
        <f t="shared" si="100"/>
        <v>MAGYARORSZÁG</v>
      </c>
      <c r="I817" s="509" t="s">
        <v>350</v>
      </c>
      <c r="J817" s="509" t="s">
        <v>351</v>
      </c>
      <c r="K817" s="508">
        <v>3</v>
      </c>
      <c r="L817" s="509" t="s">
        <v>1339</v>
      </c>
      <c r="M817" s="634" t="s">
        <v>1055</v>
      </c>
      <c r="N817" s="510" t="s">
        <v>915</v>
      </c>
      <c r="O817" s="511">
        <v>35068</v>
      </c>
      <c r="P817" s="512">
        <v>25</v>
      </c>
      <c r="Q817" s="513">
        <v>190</v>
      </c>
      <c r="R817" s="514">
        <v>75</v>
      </c>
      <c r="S817" s="64"/>
      <c r="T817" s="297">
        <f t="shared" si="98"/>
        <v>0</v>
      </c>
      <c r="U817" s="518">
        <f t="shared" si="99"/>
        <v>0</v>
      </c>
      <c r="W817" s="1"/>
      <c r="X817" s="65"/>
    </row>
    <row r="818" spans="1:24" s="23" customFormat="1" ht="11.25" customHeight="1" x14ac:dyDescent="0.2">
      <c r="A818" s="765"/>
      <c r="C818" s="769"/>
      <c r="D818" s="60"/>
      <c r="F818" s="503">
        <f t="shared" si="96"/>
        <v>8.1200000000001299E-2</v>
      </c>
      <c r="G818" s="503">
        <f t="shared" si="97"/>
        <v>8.1200000000001299E-2</v>
      </c>
      <c r="H818" s="504" t="str">
        <f t="shared" si="100"/>
        <v>MAGYARORSZÁG</v>
      </c>
      <c r="I818" s="509" t="s">
        <v>352</v>
      </c>
      <c r="J818" s="509" t="s">
        <v>353</v>
      </c>
      <c r="K818" s="508">
        <v>15</v>
      </c>
      <c r="L818" s="509" t="s">
        <v>703</v>
      </c>
      <c r="M818" s="634" t="s">
        <v>225</v>
      </c>
      <c r="N818" s="510" t="s">
        <v>821</v>
      </c>
      <c r="O818" s="511">
        <v>34432</v>
      </c>
      <c r="P818" s="512">
        <v>27</v>
      </c>
      <c r="Q818" s="513">
        <v>178</v>
      </c>
      <c r="R818" s="514">
        <v>78</v>
      </c>
      <c r="S818" s="64"/>
      <c r="T818" s="297">
        <f t="shared" si="98"/>
        <v>0</v>
      </c>
      <c r="U818" s="518">
        <f t="shared" si="99"/>
        <v>0</v>
      </c>
      <c r="W818" s="1"/>
      <c r="X818" s="65"/>
    </row>
    <row r="819" spans="1:24" s="23" customFormat="1" ht="11.25" customHeight="1" x14ac:dyDescent="0.2">
      <c r="A819" s="765"/>
      <c r="C819" s="769"/>
      <c r="D819" s="60"/>
      <c r="F819" s="503">
        <f t="shared" si="96"/>
        <v>8.1300000000001302E-2</v>
      </c>
      <c r="G819" s="503">
        <f t="shared" si="97"/>
        <v>8.1300000000001302E-2</v>
      </c>
      <c r="H819" s="504" t="str">
        <f t="shared" si="100"/>
        <v>MAGYARORSZÁG</v>
      </c>
      <c r="I819" s="509" t="s">
        <v>1018</v>
      </c>
      <c r="J819" s="509" t="s">
        <v>344</v>
      </c>
      <c r="K819" s="508">
        <v>2</v>
      </c>
      <c r="L819" s="509" t="s">
        <v>1339</v>
      </c>
      <c r="M819" s="634" t="s">
        <v>323</v>
      </c>
      <c r="N819" s="510" t="s">
        <v>1470</v>
      </c>
      <c r="O819" s="511">
        <v>33986</v>
      </c>
      <c r="P819" s="512">
        <v>28</v>
      </c>
      <c r="Q819" s="513">
        <v>186</v>
      </c>
      <c r="R819" s="514">
        <v>81</v>
      </c>
      <c r="S819" s="64"/>
      <c r="T819" s="297">
        <f t="shared" si="98"/>
        <v>0</v>
      </c>
      <c r="U819" s="518">
        <f t="shared" si="99"/>
        <v>0</v>
      </c>
      <c r="W819" s="1"/>
      <c r="X819" s="65"/>
    </row>
    <row r="820" spans="1:24" s="23" customFormat="1" ht="11.25" customHeight="1" x14ac:dyDescent="0.2">
      <c r="A820" s="765"/>
      <c r="C820" s="769"/>
      <c r="D820" s="60"/>
      <c r="F820" s="503">
        <f t="shared" si="96"/>
        <v>8.1400000000001305E-2</v>
      </c>
      <c r="G820" s="503">
        <f t="shared" si="97"/>
        <v>8.1400000000001305E-2</v>
      </c>
      <c r="H820" s="504" t="str">
        <f t="shared" si="100"/>
        <v>MAGYARORSZÁG</v>
      </c>
      <c r="I820" s="509" t="s">
        <v>354</v>
      </c>
      <c r="J820" s="509" t="s">
        <v>355</v>
      </c>
      <c r="K820" s="508">
        <v>14</v>
      </c>
      <c r="L820" s="509" t="s">
        <v>1339</v>
      </c>
      <c r="M820" s="634" t="s">
        <v>1213</v>
      </c>
      <c r="N820" s="510" t="s">
        <v>1214</v>
      </c>
      <c r="O820" s="511">
        <v>32387</v>
      </c>
      <c r="P820" s="512">
        <v>32</v>
      </c>
      <c r="Q820" s="513">
        <v>177</v>
      </c>
      <c r="R820" s="514">
        <v>77</v>
      </c>
      <c r="S820" s="64"/>
      <c r="T820" s="297">
        <f t="shared" si="98"/>
        <v>0</v>
      </c>
      <c r="U820" s="518">
        <f t="shared" si="99"/>
        <v>0</v>
      </c>
      <c r="W820" s="1"/>
      <c r="X820" s="65"/>
    </row>
    <row r="821" spans="1:24" s="23" customFormat="1" ht="11.25" customHeight="1" x14ac:dyDescent="0.2">
      <c r="A821" s="765"/>
      <c r="C821" s="769"/>
      <c r="D821" s="60"/>
      <c r="F821" s="503">
        <f t="shared" si="96"/>
        <v>8.1500000000001308E-2</v>
      </c>
      <c r="G821" s="503">
        <f t="shared" si="97"/>
        <v>8.1500000000001308E-2</v>
      </c>
      <c r="H821" s="504" t="str">
        <f t="shared" si="100"/>
        <v>MAGYARORSZÁG</v>
      </c>
      <c r="I821" s="509" t="s">
        <v>356</v>
      </c>
      <c r="J821" s="509" t="s">
        <v>344</v>
      </c>
      <c r="K821" s="508">
        <v>8</v>
      </c>
      <c r="L821" s="509" t="s">
        <v>703</v>
      </c>
      <c r="M821" s="634" t="s">
        <v>259</v>
      </c>
      <c r="N821" s="510" t="s">
        <v>1271</v>
      </c>
      <c r="O821" s="511">
        <v>34867</v>
      </c>
      <c r="P821" s="512">
        <v>25</v>
      </c>
      <c r="Q821" s="513">
        <v>175</v>
      </c>
      <c r="R821" s="514">
        <v>74</v>
      </c>
      <c r="S821" s="64"/>
      <c r="T821" s="297">
        <f t="shared" si="98"/>
        <v>0</v>
      </c>
      <c r="U821" s="518">
        <f t="shared" si="99"/>
        <v>0</v>
      </c>
      <c r="W821" s="1"/>
      <c r="X821" s="65"/>
    </row>
    <row r="822" spans="1:24" s="23" customFormat="1" ht="11.25" customHeight="1" x14ac:dyDescent="0.2">
      <c r="A822" s="765"/>
      <c r="C822" s="769"/>
      <c r="D822" s="60"/>
      <c r="F822" s="503">
        <f t="shared" si="96"/>
        <v>8.160000000000131E-2</v>
      </c>
      <c r="G822" s="503">
        <f t="shared" si="97"/>
        <v>8.160000000000131E-2</v>
      </c>
      <c r="H822" s="504" t="str">
        <f t="shared" si="100"/>
        <v>MAGYARORSZÁG</v>
      </c>
      <c r="I822" s="509" t="s">
        <v>357</v>
      </c>
      <c r="J822" s="509" t="s">
        <v>358</v>
      </c>
      <c r="K822" s="508">
        <v>7</v>
      </c>
      <c r="L822" s="509" t="s">
        <v>703</v>
      </c>
      <c r="M822" s="634" t="s">
        <v>162</v>
      </c>
      <c r="N822" s="510" t="s">
        <v>1214</v>
      </c>
      <c r="O822" s="511">
        <v>33253</v>
      </c>
      <c r="P822" s="512">
        <v>30</v>
      </c>
      <c r="Q822" s="513">
        <v>180</v>
      </c>
      <c r="R822" s="514">
        <v>64</v>
      </c>
      <c r="S822" s="64"/>
      <c r="T822" s="297">
        <f t="shared" si="98"/>
        <v>0</v>
      </c>
      <c r="U822" s="518">
        <f t="shared" si="99"/>
        <v>0</v>
      </c>
      <c r="W822" s="1"/>
      <c r="X822" s="65"/>
    </row>
    <row r="823" spans="1:24" s="23" customFormat="1" ht="11.25" customHeight="1" x14ac:dyDescent="0.2">
      <c r="A823" s="765"/>
      <c r="C823" s="769"/>
      <c r="D823" s="60"/>
      <c r="F823" s="503">
        <f t="shared" si="96"/>
        <v>8.1700000000001313E-2</v>
      </c>
      <c r="G823" s="503">
        <f t="shared" si="97"/>
        <v>8.1700000000001313E-2</v>
      </c>
      <c r="H823" s="504" t="str">
        <f t="shared" si="100"/>
        <v>MAGYARORSZÁG</v>
      </c>
      <c r="I823" s="509" t="s">
        <v>359</v>
      </c>
      <c r="J823" s="509" t="s">
        <v>360</v>
      </c>
      <c r="K823" s="508">
        <v>23</v>
      </c>
      <c r="L823" s="509" t="s">
        <v>1357</v>
      </c>
      <c r="M823" s="634" t="s">
        <v>162</v>
      </c>
      <c r="N823" s="510" t="s">
        <v>1214</v>
      </c>
      <c r="O823" s="511">
        <v>32142</v>
      </c>
      <c r="P823" s="512">
        <v>33</v>
      </c>
      <c r="Q823" s="513">
        <v>180</v>
      </c>
      <c r="R823" s="514">
        <v>81</v>
      </c>
      <c r="S823" s="64"/>
      <c r="T823" s="297">
        <f t="shared" si="98"/>
        <v>0</v>
      </c>
      <c r="U823" s="518">
        <f t="shared" si="99"/>
        <v>0</v>
      </c>
      <c r="W823" s="1"/>
      <c r="X823" s="65"/>
    </row>
    <row r="824" spans="1:24" s="23" customFormat="1" ht="11.25" customHeight="1" x14ac:dyDescent="0.2">
      <c r="A824" s="765"/>
      <c r="C824" s="769"/>
      <c r="D824" s="60"/>
      <c r="F824" s="503">
        <f t="shared" si="96"/>
        <v>8.1800000000001316E-2</v>
      </c>
      <c r="G824" s="503">
        <f t="shared" si="97"/>
        <v>8.1800000000001316E-2</v>
      </c>
      <c r="H824" s="504" t="str">
        <f t="shared" si="100"/>
        <v>MAGYARORSZÁG</v>
      </c>
      <c r="I824" s="509" t="s">
        <v>361</v>
      </c>
      <c r="J824" s="509" t="s">
        <v>362</v>
      </c>
      <c r="K824" s="508">
        <v>6</v>
      </c>
      <c r="L824" s="509" t="s">
        <v>1339</v>
      </c>
      <c r="M824" s="634" t="s">
        <v>1164</v>
      </c>
      <c r="N824" s="510" t="s">
        <v>1270</v>
      </c>
      <c r="O824" s="511">
        <v>33911</v>
      </c>
      <c r="P824" s="512">
        <v>28</v>
      </c>
      <c r="Q824" s="513">
        <v>186</v>
      </c>
      <c r="R824" s="514">
        <v>83</v>
      </c>
      <c r="S824" s="64"/>
      <c r="T824" s="297">
        <f t="shared" si="98"/>
        <v>0</v>
      </c>
      <c r="U824" s="518">
        <f t="shared" si="99"/>
        <v>0</v>
      </c>
      <c r="W824" s="1"/>
      <c r="X824" s="65"/>
    </row>
    <row r="825" spans="1:24" s="23" customFormat="1" ht="11.25" customHeight="1" x14ac:dyDescent="0.2">
      <c r="A825" s="765"/>
      <c r="C825" s="769"/>
      <c r="D825" s="60"/>
      <c r="F825" s="503">
        <f t="shared" si="96"/>
        <v>8.1900000000001319E-2</v>
      </c>
      <c r="G825" s="503">
        <f t="shared" si="97"/>
        <v>8.1900000000001319E-2</v>
      </c>
      <c r="H825" s="504" t="str">
        <f t="shared" si="100"/>
        <v>MAGYARORSZÁG</v>
      </c>
      <c r="I825" s="509" t="s">
        <v>363</v>
      </c>
      <c r="J825" s="509" t="s">
        <v>364</v>
      </c>
      <c r="K825" s="508">
        <v>20</v>
      </c>
      <c r="L825" s="509" t="s">
        <v>1357</v>
      </c>
      <c r="M825" s="634" t="s">
        <v>983</v>
      </c>
      <c r="N825" s="510" t="s">
        <v>1270</v>
      </c>
      <c r="O825" s="511">
        <v>35572</v>
      </c>
      <c r="P825" s="512">
        <v>24</v>
      </c>
      <c r="Q825" s="513">
        <v>183</v>
      </c>
      <c r="R825" s="514">
        <v>75</v>
      </c>
      <c r="S825" s="64"/>
      <c r="T825" s="297">
        <f t="shared" si="98"/>
        <v>0</v>
      </c>
      <c r="U825" s="518">
        <f t="shared" si="99"/>
        <v>0</v>
      </c>
      <c r="W825" s="1"/>
      <c r="X825" s="65"/>
    </row>
    <row r="826" spans="1:24" s="23" customFormat="1" ht="11.25" customHeight="1" x14ac:dyDescent="0.2">
      <c r="A826" s="765"/>
      <c r="C826" s="769"/>
      <c r="D826" s="60"/>
      <c r="F826" s="503">
        <f t="shared" si="96"/>
        <v>8.2000000000001322E-2</v>
      </c>
      <c r="G826" s="503">
        <f t="shared" si="97"/>
        <v>8.2000000000001322E-2</v>
      </c>
      <c r="H826" s="504" t="str">
        <f t="shared" si="100"/>
        <v>MAGYARORSZÁG</v>
      </c>
      <c r="I826" s="509" t="s">
        <v>365</v>
      </c>
      <c r="J826" s="509" t="s">
        <v>366</v>
      </c>
      <c r="K826" s="508">
        <v>13</v>
      </c>
      <c r="L826" s="509" t="s">
        <v>703</v>
      </c>
      <c r="M826" s="634" t="s">
        <v>349</v>
      </c>
      <c r="N826" s="510" t="s">
        <v>1051</v>
      </c>
      <c r="O826" s="511">
        <v>36263</v>
      </c>
      <c r="P826" s="512">
        <v>22</v>
      </c>
      <c r="Q826" s="513">
        <v>179</v>
      </c>
      <c r="R826" s="514">
        <v>67</v>
      </c>
      <c r="S826" s="64"/>
      <c r="T826" s="297">
        <f t="shared" si="98"/>
        <v>0</v>
      </c>
      <c r="U826" s="518">
        <f t="shared" si="99"/>
        <v>0</v>
      </c>
      <c r="W826" s="1"/>
      <c r="X826" s="65"/>
    </row>
    <row r="827" spans="1:24" s="23" customFormat="1" ht="11.25" customHeight="1" x14ac:dyDescent="0.2">
      <c r="A827" s="765"/>
      <c r="C827" s="769"/>
      <c r="D827" s="60"/>
      <c r="F827" s="503">
        <f t="shared" si="96"/>
        <v>8.2100000000001325E-2</v>
      </c>
      <c r="G827" s="503">
        <f t="shared" si="97"/>
        <v>8.2100000000001325E-2</v>
      </c>
      <c r="H827" s="504" t="str">
        <f t="shared" si="100"/>
        <v>MAGYARORSZÁG</v>
      </c>
      <c r="I827" s="509" t="s">
        <v>1823</v>
      </c>
      <c r="J827" s="509" t="s">
        <v>1824</v>
      </c>
      <c r="K827" s="508">
        <v>24</v>
      </c>
      <c r="L827" s="509" t="s">
        <v>1357</v>
      </c>
      <c r="M827" s="634" t="s">
        <v>1825</v>
      </c>
      <c r="N827" s="510" t="s">
        <v>921</v>
      </c>
      <c r="O827" s="511">
        <v>36796</v>
      </c>
      <c r="P827" s="512">
        <v>20</v>
      </c>
      <c r="Q827" s="513">
        <v>173</v>
      </c>
      <c r="R827" s="514">
        <v>67</v>
      </c>
      <c r="S827" s="64"/>
      <c r="T827" s="297">
        <f t="shared" si="98"/>
        <v>0</v>
      </c>
      <c r="U827" s="518">
        <f t="shared" si="99"/>
        <v>0</v>
      </c>
      <c r="W827" s="1"/>
      <c r="X827" s="65"/>
    </row>
    <row r="828" spans="1:24" s="23" customFormat="1" ht="11.25" customHeight="1" x14ac:dyDescent="0.2">
      <c r="A828" s="765"/>
      <c r="C828" s="769"/>
      <c r="D828" s="60"/>
      <c r="F828" s="503">
        <f t="shared" si="96"/>
        <v>8.2200000000001328E-2</v>
      </c>
      <c r="G828" s="503">
        <f t="shared" si="97"/>
        <v>8.2200000000001328E-2</v>
      </c>
      <c r="H828" s="504" t="str">
        <f t="shared" si="100"/>
        <v>MAGYARORSZÁG</v>
      </c>
      <c r="I828" s="509" t="s">
        <v>367</v>
      </c>
      <c r="J828" s="509" t="s">
        <v>325</v>
      </c>
      <c r="K828" s="508">
        <v>18</v>
      </c>
      <c r="L828" s="509" t="s">
        <v>703</v>
      </c>
      <c r="M828" s="634" t="s">
        <v>1213</v>
      </c>
      <c r="N828" s="510" t="s">
        <v>1214</v>
      </c>
      <c r="O828" s="511">
        <v>33207</v>
      </c>
      <c r="P828" s="512">
        <v>30</v>
      </c>
      <c r="Q828" s="513">
        <v>175</v>
      </c>
      <c r="R828" s="514">
        <v>70</v>
      </c>
      <c r="S828" s="64"/>
      <c r="T828" s="297">
        <f t="shared" si="98"/>
        <v>0</v>
      </c>
      <c r="U828" s="518">
        <f t="shared" si="99"/>
        <v>0</v>
      </c>
      <c r="W828" s="1"/>
      <c r="X828" s="65"/>
    </row>
    <row r="829" spans="1:24" s="23" customFormat="1" ht="11.25" customHeight="1" x14ac:dyDescent="0.2">
      <c r="A829" s="765"/>
      <c r="C829" s="769"/>
      <c r="D829" s="60"/>
      <c r="F829" s="503">
        <f t="shared" si="96"/>
        <v>8.230000000000133E-2</v>
      </c>
      <c r="G829" s="503">
        <f t="shared" si="97"/>
        <v>8.230000000000133E-2</v>
      </c>
      <c r="H829" s="504" t="str">
        <f t="shared" si="100"/>
        <v>MAGYARORSZÁG</v>
      </c>
      <c r="I829" s="509" t="s">
        <v>1826</v>
      </c>
      <c r="J829" s="509" t="s">
        <v>341</v>
      </c>
      <c r="K829" s="508">
        <v>4</v>
      </c>
      <c r="L829" s="509" t="s">
        <v>1339</v>
      </c>
      <c r="M829" s="634" t="s">
        <v>1827</v>
      </c>
      <c r="N829" s="510" t="s">
        <v>1470</v>
      </c>
      <c r="O829" s="511">
        <v>35815</v>
      </c>
      <c r="P829" s="512">
        <v>23</v>
      </c>
      <c r="Q829" s="513">
        <v>193</v>
      </c>
      <c r="R829" s="514">
        <v>91</v>
      </c>
      <c r="S829" s="64"/>
      <c r="T829" s="297">
        <f t="shared" si="98"/>
        <v>0</v>
      </c>
      <c r="U829" s="518">
        <f t="shared" si="99"/>
        <v>0</v>
      </c>
      <c r="W829" s="640"/>
      <c r="X829" s="65"/>
    </row>
    <row r="830" spans="1:24" s="23" customFormat="1" ht="11.25" customHeight="1" x14ac:dyDescent="0.2">
      <c r="A830" s="765"/>
      <c r="C830" s="769"/>
      <c r="D830" s="60"/>
      <c r="F830" s="503">
        <f t="shared" si="96"/>
        <v>8.2400000000001333E-2</v>
      </c>
      <c r="G830" s="503">
        <f t="shared" si="97"/>
        <v>8.2400000000001333E-2</v>
      </c>
      <c r="H830" s="504" t="str">
        <f t="shared" si="100"/>
        <v>MAGYARORSZÁG</v>
      </c>
      <c r="I830" s="509" t="s">
        <v>1828</v>
      </c>
      <c r="J830" s="509" t="s">
        <v>344</v>
      </c>
      <c r="K830" s="508">
        <v>9</v>
      </c>
      <c r="L830" s="509" t="s">
        <v>1357</v>
      </c>
      <c r="M830" s="634" t="s">
        <v>940</v>
      </c>
      <c r="N830" s="510" t="s">
        <v>1270</v>
      </c>
      <c r="O830" s="511">
        <v>32120</v>
      </c>
      <c r="P830" s="512">
        <v>33</v>
      </c>
      <c r="Q830" s="513">
        <v>193</v>
      </c>
      <c r="R830" s="514">
        <v>91</v>
      </c>
      <c r="S830" s="64"/>
      <c r="T830" s="297">
        <f t="shared" si="98"/>
        <v>0</v>
      </c>
      <c r="U830" s="518">
        <f t="shared" si="99"/>
        <v>0</v>
      </c>
      <c r="W830" s="640"/>
      <c r="X830" s="65"/>
    </row>
    <row r="831" spans="1:24" s="23" customFormat="1" ht="11.25" customHeight="1" x14ac:dyDescent="0.2">
      <c r="A831" s="765"/>
      <c r="C831" s="769"/>
      <c r="D831" s="60"/>
      <c r="F831" s="503">
        <f t="shared" si="96"/>
        <v>8.2500000000001336E-2</v>
      </c>
      <c r="G831" s="503">
        <f t="shared" si="97"/>
        <v>8.2500000000001336E-2</v>
      </c>
      <c r="H831" s="504" t="str">
        <f t="shared" si="100"/>
        <v>MAGYARORSZÁG</v>
      </c>
      <c r="I831" s="509" t="s">
        <v>1829</v>
      </c>
      <c r="J831" s="509" t="s">
        <v>1094</v>
      </c>
      <c r="K831" s="508">
        <v>19</v>
      </c>
      <c r="L831" s="509" t="s">
        <v>1357</v>
      </c>
      <c r="M831" s="634" t="s">
        <v>1830</v>
      </c>
      <c r="N831" s="510" t="s">
        <v>858</v>
      </c>
      <c r="O831" s="511">
        <v>35154</v>
      </c>
      <c r="P831" s="512">
        <v>25</v>
      </c>
      <c r="Q831" s="513">
        <v>178</v>
      </c>
      <c r="R831" s="514">
        <v>72</v>
      </c>
      <c r="S831" s="64"/>
      <c r="T831" s="297">
        <f t="shared" si="98"/>
        <v>0</v>
      </c>
      <c r="U831" s="518">
        <f t="shared" si="99"/>
        <v>0</v>
      </c>
      <c r="W831" s="640"/>
      <c r="X831" s="65"/>
    </row>
    <row r="832" spans="1:24" s="23" customFormat="1" ht="11.25" customHeight="1" x14ac:dyDescent="0.2">
      <c r="A832" s="765"/>
      <c r="C832" s="769"/>
      <c r="D832" s="60"/>
      <c r="F832" s="503">
        <f t="shared" si="96"/>
        <v>8.2600000000001339E-2</v>
      </c>
      <c r="G832" s="503">
        <f t="shared" si="97"/>
        <v>8.2600000000001339E-2</v>
      </c>
      <c r="H832" s="504" t="str">
        <f t="shared" si="100"/>
        <v>MAGYARORSZÁG</v>
      </c>
      <c r="I832" s="555" t="s">
        <v>1831</v>
      </c>
      <c r="J832" s="555" t="s">
        <v>364</v>
      </c>
      <c r="K832" s="554">
        <v>17</v>
      </c>
      <c r="L832" s="555" t="s">
        <v>703</v>
      </c>
      <c r="M832" s="635" t="s">
        <v>1561</v>
      </c>
      <c r="N832" s="556" t="s">
        <v>1214</v>
      </c>
      <c r="O832" s="557">
        <v>32896</v>
      </c>
      <c r="P832" s="558">
        <v>31</v>
      </c>
      <c r="Q832" s="559">
        <v>182</v>
      </c>
      <c r="R832" s="560">
        <v>79</v>
      </c>
      <c r="S832" s="64"/>
      <c r="T832" s="297">
        <f t="shared" si="98"/>
        <v>0</v>
      </c>
      <c r="U832" s="518">
        <f t="shared" si="99"/>
        <v>0</v>
      </c>
      <c r="W832" s="640"/>
      <c r="X832" s="65"/>
    </row>
    <row r="833" spans="1:24" s="23" customFormat="1" ht="9.75" hidden="1" customHeight="1" x14ac:dyDescent="0.2">
      <c r="A833" s="765"/>
      <c r="C833" s="769"/>
      <c r="D833" s="60"/>
      <c r="F833" s="503">
        <f t="shared" si="96"/>
        <v>8.2700000000001342E-2</v>
      </c>
      <c r="G833" s="503">
        <f t="shared" si="97"/>
        <v>0</v>
      </c>
      <c r="H833" s="504" t="str">
        <f t="shared" si="100"/>
        <v>MAGYARORSZÁG</v>
      </c>
      <c r="I833" s="61"/>
      <c r="J833" s="61"/>
      <c r="K833" s="295"/>
      <c r="L833" s="61"/>
      <c r="M833" s="633"/>
      <c r="N833" s="256"/>
      <c r="O833" s="62"/>
      <c r="P833" s="253"/>
      <c r="Q833" s="63"/>
      <c r="R833" s="252"/>
      <c r="S833" s="64"/>
      <c r="T833" s="297" t="str">
        <f t="shared" si="98"/>
        <v/>
      </c>
      <c r="U833" s="518" t="str">
        <f t="shared" si="99"/>
        <v/>
      </c>
      <c r="W833" s="640"/>
      <c r="X833" s="65"/>
    </row>
    <row r="834" spans="1:24" s="23" customFormat="1" ht="9.75" hidden="1" customHeight="1" x14ac:dyDescent="0.2">
      <c r="A834" s="765"/>
      <c r="C834" s="769"/>
      <c r="D834" s="60"/>
      <c r="F834" s="503">
        <f t="shared" si="96"/>
        <v>8.2800000000001345E-2</v>
      </c>
      <c r="G834" s="503">
        <f t="shared" si="97"/>
        <v>0</v>
      </c>
      <c r="H834" s="504" t="str">
        <f t="shared" si="100"/>
        <v>MAGYARORSZÁG</v>
      </c>
      <c r="I834" s="61"/>
      <c r="J834" s="61"/>
      <c r="K834" s="295"/>
      <c r="L834" s="61"/>
      <c r="M834" s="633"/>
      <c r="N834" s="256"/>
      <c r="O834" s="62"/>
      <c r="P834" s="253"/>
      <c r="Q834" s="63"/>
      <c r="R834" s="252"/>
      <c r="S834" s="64"/>
      <c r="T834" s="297" t="str">
        <f t="shared" si="98"/>
        <v/>
      </c>
      <c r="U834" s="518" t="str">
        <f t="shared" si="99"/>
        <v/>
      </c>
      <c r="W834" s="640"/>
      <c r="X834" s="65"/>
    </row>
    <row r="835" spans="1:24" s="23" customFormat="1" ht="9.75" hidden="1" customHeight="1" x14ac:dyDescent="0.2">
      <c r="A835" s="765"/>
      <c r="C835" s="769"/>
      <c r="D835" s="60"/>
      <c r="F835" s="503">
        <f t="shared" si="96"/>
        <v>8.2900000000001348E-2</v>
      </c>
      <c r="G835" s="503">
        <f t="shared" si="97"/>
        <v>0</v>
      </c>
      <c r="H835" s="504" t="str">
        <f t="shared" si="100"/>
        <v>MAGYARORSZÁG</v>
      </c>
      <c r="I835" s="61"/>
      <c r="J835" s="61"/>
      <c r="K835" s="295"/>
      <c r="L835" s="61"/>
      <c r="M835" s="633"/>
      <c r="N835" s="256"/>
      <c r="O835" s="62"/>
      <c r="P835" s="253"/>
      <c r="Q835" s="63"/>
      <c r="R835" s="252"/>
      <c r="S835" s="64"/>
      <c r="T835" s="297" t="str">
        <f t="shared" si="98"/>
        <v/>
      </c>
      <c r="U835" s="518" t="str">
        <f t="shared" si="99"/>
        <v/>
      </c>
      <c r="W835" s="640"/>
      <c r="X835" s="65"/>
    </row>
    <row r="836" spans="1:24" s="23" customFormat="1" ht="9.75" hidden="1" customHeight="1" x14ac:dyDescent="0.2">
      <c r="A836" s="765"/>
      <c r="C836" s="769"/>
      <c r="D836" s="60"/>
      <c r="F836" s="503">
        <f t="shared" si="96"/>
        <v>8.300000000000135E-2</v>
      </c>
      <c r="G836" s="503">
        <f t="shared" si="97"/>
        <v>0</v>
      </c>
      <c r="H836" s="504" t="str">
        <f t="shared" si="100"/>
        <v>MAGYARORSZÁG</v>
      </c>
      <c r="I836" s="61"/>
      <c r="J836" s="61"/>
      <c r="K836" s="295"/>
      <c r="L836" s="61"/>
      <c r="M836" s="633"/>
      <c r="N836" s="256"/>
      <c r="O836" s="62"/>
      <c r="P836" s="253"/>
      <c r="Q836" s="63"/>
      <c r="R836" s="252"/>
      <c r="S836" s="64"/>
      <c r="T836" s="297" t="str">
        <f t="shared" si="98"/>
        <v/>
      </c>
      <c r="U836" s="518" t="str">
        <f t="shared" si="99"/>
        <v/>
      </c>
      <c r="W836" s="640"/>
      <c r="X836" s="65"/>
    </row>
    <row r="837" spans="1:24" s="23" customFormat="1" ht="4.5" customHeight="1" x14ac:dyDescent="0.25">
      <c r="A837" s="765"/>
      <c r="C837" s="769"/>
      <c r="D837" s="60"/>
      <c r="F837" s="503">
        <f t="shared" si="96"/>
        <v>8.3100000000001353E-2</v>
      </c>
      <c r="G837" s="503"/>
      <c r="H837" s="505"/>
      <c r="I837" s="67"/>
      <c r="J837" s="67"/>
      <c r="K837" s="22"/>
      <c r="L837" s="67"/>
      <c r="M837" s="22"/>
      <c r="N837" s="68"/>
      <c r="O837" s="67"/>
      <c r="P837" s="69"/>
      <c r="Q837" s="70"/>
      <c r="R837" s="71"/>
      <c r="S837" s="71"/>
      <c r="T837" s="298"/>
      <c r="U837" s="299"/>
      <c r="W837" s="641"/>
      <c r="X837" s="67"/>
    </row>
    <row r="838" spans="1:24" s="21" customFormat="1" ht="9.75" customHeight="1" x14ac:dyDescent="0.2">
      <c r="A838" s="765"/>
      <c r="C838" s="769"/>
      <c r="D838" s="60"/>
      <c r="F838" s="503">
        <f t="shared" si="96"/>
        <v>8.3200000000001356E-2</v>
      </c>
      <c r="G838" s="503"/>
      <c r="H838" s="303"/>
      <c r="I838" s="74" t="s">
        <v>542</v>
      </c>
      <c r="J838" s="75" t="s">
        <v>368</v>
      </c>
      <c r="K838" s="75"/>
      <c r="L838" s="75"/>
      <c r="M838" s="636"/>
      <c r="N838" s="76"/>
      <c r="O838" s="74" t="s">
        <v>495</v>
      </c>
      <c r="P838" s="254">
        <f>AVERAGE(P807:P836)</f>
        <v>27.615384615384617</v>
      </c>
      <c r="Q838" s="77">
        <f>AVERAGE(Q807:Q836)</f>
        <v>182.80769230769232</v>
      </c>
      <c r="R838" s="255">
        <f>AVERAGE(R807:R836)</f>
        <v>76.461538461538467</v>
      </c>
      <c r="S838" s="78"/>
      <c r="T838" s="297">
        <f>SUM(T807:T836)</f>
        <v>0</v>
      </c>
      <c r="U838" s="518">
        <f>SUM(U807:U836)</f>
        <v>0</v>
      </c>
      <c r="W838" s="642" t="s">
        <v>879</v>
      </c>
      <c r="X838" s="79"/>
    </row>
    <row r="839" spans="1:24" ht="9.75" customHeight="1" x14ac:dyDescent="0.3">
      <c r="A839" s="765"/>
      <c r="F839" s="503">
        <f t="shared" si="96"/>
        <v>8.3300000000001359E-2</v>
      </c>
      <c r="G839" s="503"/>
    </row>
    <row r="840" spans="1:24" ht="9.75" customHeight="1" x14ac:dyDescent="0.3">
      <c r="A840" s="765"/>
      <c r="F840" s="503">
        <f t="shared" si="96"/>
        <v>8.3400000000001362E-2</v>
      </c>
      <c r="G840" s="503"/>
    </row>
    <row r="841" spans="1:24" ht="9.75" customHeight="1" x14ac:dyDescent="0.3">
      <c r="A841" s="765"/>
      <c r="F841" s="503">
        <f t="shared" ref="F841:F904" si="101">F840+0.0001</f>
        <v>8.3500000000001365E-2</v>
      </c>
      <c r="G841" s="503"/>
    </row>
    <row r="842" spans="1:24" ht="9.75" customHeight="1" x14ac:dyDescent="0.3">
      <c r="A842" s="765"/>
      <c r="F842" s="503">
        <f t="shared" si="101"/>
        <v>8.3600000000001368E-2</v>
      </c>
    </row>
    <row r="843" spans="1:24" ht="9.75" customHeight="1" x14ac:dyDescent="0.3">
      <c r="A843" s="765"/>
      <c r="F843" s="503">
        <f t="shared" si="101"/>
        <v>8.3700000000001371E-2</v>
      </c>
    </row>
    <row r="844" spans="1:24" ht="9.75" customHeight="1" x14ac:dyDescent="0.3">
      <c r="A844" s="765"/>
      <c r="F844" s="503">
        <f t="shared" si="101"/>
        <v>8.3800000000001373E-2</v>
      </c>
    </row>
    <row r="845" spans="1:24" ht="9.75" customHeight="1" x14ac:dyDescent="0.3">
      <c r="A845" s="765"/>
      <c r="F845" s="503">
        <f t="shared" si="101"/>
        <v>8.3900000000001376E-2</v>
      </c>
    </row>
    <row r="846" spans="1:24" s="23" customFormat="1" ht="5.25" customHeight="1" x14ac:dyDescent="0.2">
      <c r="A846" s="765"/>
      <c r="C846" s="21"/>
      <c r="F846" s="503">
        <f t="shared" si="101"/>
        <v>8.4000000000001379E-2</v>
      </c>
      <c r="G846" s="506"/>
      <c r="H846" s="502"/>
      <c r="I846" s="55"/>
      <c r="J846" s="55"/>
      <c r="K846" s="56"/>
      <c r="L846" s="55"/>
      <c r="M846" s="56"/>
      <c r="N846" s="57"/>
      <c r="O846" s="57"/>
      <c r="P846" s="55"/>
      <c r="Q846" s="57"/>
      <c r="R846" s="57"/>
      <c r="S846" s="57"/>
      <c r="T846" s="58"/>
      <c r="U846" s="59"/>
      <c r="W846" s="639"/>
      <c r="X846" s="55"/>
    </row>
    <row r="847" spans="1:24" s="23" customFormat="1" ht="11.25" customHeight="1" x14ac:dyDescent="0.2">
      <c r="A847" s="765"/>
      <c r="C847" s="769" t="str">
        <f>UPPER(H847)&amp;"    ."</f>
        <v>PORTUGÁLIA    .</v>
      </c>
      <c r="D847" s="60"/>
      <c r="F847" s="503">
        <f t="shared" si="101"/>
        <v>8.4100000000001382E-2</v>
      </c>
      <c r="G847" s="503">
        <f t="shared" ref="G847:G876" si="102">IF(I847="",0,T847+F847)</f>
        <v>8.4100000000001382E-2</v>
      </c>
      <c r="H847" s="504" t="str">
        <f>Adatok!F3</f>
        <v>Portugália</v>
      </c>
      <c r="I847" s="61" t="s">
        <v>369</v>
      </c>
      <c r="J847" s="61" t="s">
        <v>999</v>
      </c>
      <c r="K847" s="295">
        <v>20</v>
      </c>
      <c r="L847" s="61" t="s">
        <v>1339</v>
      </c>
      <c r="M847" s="633" t="s">
        <v>813</v>
      </c>
      <c r="N847" s="256" t="s">
        <v>1271</v>
      </c>
      <c r="O847" s="62">
        <v>34481</v>
      </c>
      <c r="P847" s="253">
        <v>27</v>
      </c>
      <c r="Q847" s="63">
        <v>182</v>
      </c>
      <c r="R847" s="252">
        <v>74</v>
      </c>
      <c r="S847" s="64"/>
      <c r="T847" s="297">
        <f t="shared" ref="T847:T876" si="103">IF(I847="","",COUNTIF(nevek.s,CONCATENATE(H847,I847)))</f>
        <v>0</v>
      </c>
      <c r="U847" s="518">
        <f t="shared" ref="U847:U876" si="104">IF(I847="","",COUNTIF(nevek.s,CONCATENATE("ö",H847,I847)))</f>
        <v>0</v>
      </c>
      <c r="W847" s="3"/>
      <c r="X847" s="65"/>
    </row>
    <row r="848" spans="1:24" s="23" customFormat="1" ht="11.25" customHeight="1" x14ac:dyDescent="0.2">
      <c r="A848" s="765"/>
      <c r="C848" s="769"/>
      <c r="D848" s="60"/>
      <c r="F848" s="503">
        <f t="shared" si="101"/>
        <v>8.4200000000001385E-2</v>
      </c>
      <c r="G848" s="503">
        <f t="shared" si="102"/>
        <v>8.4200000000001385E-2</v>
      </c>
      <c r="H848" s="504" t="str">
        <f>H847</f>
        <v>Portugália</v>
      </c>
      <c r="I848" s="509" t="s">
        <v>370</v>
      </c>
      <c r="J848" s="509" t="s">
        <v>1169</v>
      </c>
      <c r="K848" s="508">
        <v>14</v>
      </c>
      <c r="L848" s="509" t="s">
        <v>703</v>
      </c>
      <c r="M848" s="634" t="s">
        <v>273</v>
      </c>
      <c r="N848" s="510" t="s">
        <v>500</v>
      </c>
      <c r="O848" s="511">
        <v>33701</v>
      </c>
      <c r="P848" s="512">
        <v>29</v>
      </c>
      <c r="Q848" s="513">
        <v>187</v>
      </c>
      <c r="R848" s="514">
        <v>79</v>
      </c>
      <c r="S848" s="64"/>
      <c r="T848" s="297">
        <f t="shared" si="103"/>
        <v>0</v>
      </c>
      <c r="U848" s="518">
        <f t="shared" si="104"/>
        <v>0</v>
      </c>
      <c r="W848" s="1"/>
      <c r="X848" s="65"/>
    </row>
    <row r="849" spans="1:24" s="23" customFormat="1" ht="11.25" customHeight="1" x14ac:dyDescent="0.2">
      <c r="A849" s="765"/>
      <c r="C849" s="769"/>
      <c r="D849" s="60"/>
      <c r="F849" s="503">
        <f t="shared" si="101"/>
        <v>8.4300000000001388E-2</v>
      </c>
      <c r="G849" s="503">
        <f t="shared" si="102"/>
        <v>8.4300000000001388E-2</v>
      </c>
      <c r="H849" s="504" t="str">
        <f t="shared" ref="H849:H876" si="105">H848</f>
        <v>Portugália</v>
      </c>
      <c r="I849" s="509" t="s">
        <v>371</v>
      </c>
      <c r="J849" s="509" t="s">
        <v>372</v>
      </c>
      <c r="K849" s="508">
        <v>4</v>
      </c>
      <c r="L849" s="509" t="s">
        <v>1339</v>
      </c>
      <c r="M849" s="634" t="s">
        <v>813</v>
      </c>
      <c r="N849" s="510" t="s">
        <v>1271</v>
      </c>
      <c r="O849" s="511">
        <v>35564</v>
      </c>
      <c r="P849" s="512">
        <v>24</v>
      </c>
      <c r="Q849" s="513">
        <v>186</v>
      </c>
      <c r="R849" s="514">
        <v>82</v>
      </c>
      <c r="S849" s="64"/>
      <c r="T849" s="297">
        <f t="shared" si="103"/>
        <v>0</v>
      </c>
      <c r="U849" s="518">
        <f t="shared" si="104"/>
        <v>0</v>
      </c>
      <c r="W849" s="1"/>
      <c r="X849" s="65"/>
    </row>
    <row r="850" spans="1:24" s="23" customFormat="1" ht="11.25" customHeight="1" x14ac:dyDescent="0.2">
      <c r="A850" s="765"/>
      <c r="C850" s="769"/>
      <c r="D850" s="60"/>
      <c r="F850" s="503">
        <f t="shared" si="101"/>
        <v>8.4400000000001391E-2</v>
      </c>
      <c r="G850" s="503">
        <f t="shared" si="102"/>
        <v>8.4400000000001391E-2</v>
      </c>
      <c r="H850" s="504" t="str">
        <f t="shared" si="105"/>
        <v>Portugália</v>
      </c>
      <c r="I850" s="509" t="s">
        <v>1832</v>
      </c>
      <c r="J850" s="509" t="s">
        <v>999</v>
      </c>
      <c r="K850" s="508">
        <v>23</v>
      </c>
      <c r="L850" s="509" t="s">
        <v>1357</v>
      </c>
      <c r="M850" s="634" t="s">
        <v>863</v>
      </c>
      <c r="N850" s="510" t="s">
        <v>500</v>
      </c>
      <c r="O850" s="511">
        <v>36474</v>
      </c>
      <c r="P850" s="512">
        <v>21</v>
      </c>
      <c r="Q850" s="513">
        <v>181</v>
      </c>
      <c r="R850" s="514">
        <v>70</v>
      </c>
      <c r="S850" s="64"/>
      <c r="T850" s="297">
        <f t="shared" si="103"/>
        <v>0</v>
      </c>
      <c r="U850" s="518">
        <f t="shared" si="104"/>
        <v>0</v>
      </c>
      <c r="W850" s="1"/>
      <c r="X850" s="65"/>
    </row>
    <row r="851" spans="1:24" s="23" customFormat="1" ht="11.25" customHeight="1" x14ac:dyDescent="0.2">
      <c r="A851" s="765"/>
      <c r="C851" s="769"/>
      <c r="D851" s="60"/>
      <c r="F851" s="503">
        <f t="shared" si="101"/>
        <v>8.4500000000001393E-2</v>
      </c>
      <c r="G851" s="503">
        <f t="shared" si="102"/>
        <v>8.4500000000001393E-2</v>
      </c>
      <c r="H851" s="504" t="str">
        <f t="shared" si="105"/>
        <v>Portugália</v>
      </c>
      <c r="I851" s="509" t="s">
        <v>1058</v>
      </c>
      <c r="J851" s="509" t="s">
        <v>911</v>
      </c>
      <c r="K851" s="508">
        <v>11</v>
      </c>
      <c r="L851" s="509" t="s">
        <v>703</v>
      </c>
      <c r="M851" s="634" t="s">
        <v>853</v>
      </c>
      <c r="N851" s="510" t="s">
        <v>1271</v>
      </c>
      <c r="O851" s="511">
        <v>34585</v>
      </c>
      <c r="P851" s="512">
        <v>26</v>
      </c>
      <c r="Q851" s="513">
        <v>179</v>
      </c>
      <c r="R851" s="514">
        <v>69</v>
      </c>
      <c r="S851" s="64"/>
      <c r="T851" s="297">
        <f t="shared" si="103"/>
        <v>0</v>
      </c>
      <c r="U851" s="518">
        <f t="shared" si="104"/>
        <v>0</v>
      </c>
      <c r="W851" s="1"/>
      <c r="X851" s="65"/>
    </row>
    <row r="852" spans="1:24" s="23" customFormat="1" ht="11.25" customHeight="1" x14ac:dyDescent="0.2">
      <c r="A852" s="765"/>
      <c r="C852" s="769"/>
      <c r="D852" s="60"/>
      <c r="F852" s="503">
        <f t="shared" si="101"/>
        <v>8.4600000000001396E-2</v>
      </c>
      <c r="G852" s="503">
        <f t="shared" si="102"/>
        <v>8.4600000000001396E-2</v>
      </c>
      <c r="H852" s="504" t="str">
        <f t="shared" si="105"/>
        <v>Portugália</v>
      </c>
      <c r="I852" s="509" t="s">
        <v>1170</v>
      </c>
      <c r="J852" s="509" t="s">
        <v>916</v>
      </c>
      <c r="K852" s="508">
        <v>6</v>
      </c>
      <c r="L852" s="509" t="s">
        <v>1339</v>
      </c>
      <c r="M852" s="634" t="s">
        <v>1345</v>
      </c>
      <c r="N852" s="510" t="s">
        <v>502</v>
      </c>
      <c r="O852" s="511">
        <v>30672</v>
      </c>
      <c r="P852" s="512">
        <v>37</v>
      </c>
      <c r="Q852" s="513">
        <v>191</v>
      </c>
      <c r="R852" s="514">
        <v>83</v>
      </c>
      <c r="S852" s="64"/>
      <c r="T852" s="297">
        <f t="shared" si="103"/>
        <v>0</v>
      </c>
      <c r="U852" s="518">
        <f t="shared" si="104"/>
        <v>0</v>
      </c>
      <c r="W852" s="1"/>
      <c r="X852" s="65"/>
    </row>
    <row r="853" spans="1:24" s="23" customFormat="1" ht="11.25" customHeight="1" x14ac:dyDescent="0.2">
      <c r="A853" s="765"/>
      <c r="C853" s="769"/>
      <c r="D853" s="60"/>
      <c r="F853" s="503">
        <f t="shared" si="101"/>
        <v>8.4700000000001399E-2</v>
      </c>
      <c r="G853" s="503">
        <f t="shared" si="102"/>
        <v>8.4700000000001399E-2</v>
      </c>
      <c r="H853" s="504" t="str">
        <f t="shared" si="105"/>
        <v>Portugália</v>
      </c>
      <c r="I853" s="509" t="s">
        <v>1833</v>
      </c>
      <c r="J853" s="509" t="s">
        <v>1834</v>
      </c>
      <c r="K853" s="508">
        <v>19</v>
      </c>
      <c r="L853" s="509" t="s">
        <v>703</v>
      </c>
      <c r="M853" s="634" t="s">
        <v>1212</v>
      </c>
      <c r="N853" s="510" t="s">
        <v>855</v>
      </c>
      <c r="O853" s="511">
        <v>35974</v>
      </c>
      <c r="P853" s="512">
        <v>22</v>
      </c>
      <c r="Q853" s="513">
        <v>173</v>
      </c>
      <c r="R853" s="514">
        <v>65</v>
      </c>
      <c r="S853" s="64"/>
      <c r="T853" s="297">
        <f t="shared" si="103"/>
        <v>0</v>
      </c>
      <c r="U853" s="518">
        <f t="shared" si="104"/>
        <v>0</v>
      </c>
      <c r="W853" s="1"/>
      <c r="X853" s="65"/>
    </row>
    <row r="854" spans="1:24" s="23" customFormat="1" ht="11.25" customHeight="1" x14ac:dyDescent="0.2">
      <c r="A854" s="765"/>
      <c r="C854" s="769"/>
      <c r="D854" s="60"/>
      <c r="E854" s="66"/>
      <c r="F854" s="503">
        <f t="shared" si="101"/>
        <v>8.4800000000001402E-2</v>
      </c>
      <c r="G854" s="503">
        <f t="shared" si="102"/>
        <v>8.4800000000001402E-2</v>
      </c>
      <c r="H854" s="504" t="str">
        <f t="shared" si="105"/>
        <v>Portugália</v>
      </c>
      <c r="I854" s="509" t="s">
        <v>373</v>
      </c>
      <c r="J854" s="509" t="s">
        <v>374</v>
      </c>
      <c r="K854" s="508">
        <v>17</v>
      </c>
      <c r="L854" s="509" t="s">
        <v>703</v>
      </c>
      <c r="M854" s="634" t="s">
        <v>919</v>
      </c>
      <c r="N854" s="510" t="s">
        <v>500</v>
      </c>
      <c r="O854" s="511">
        <v>35398</v>
      </c>
      <c r="P854" s="512">
        <v>24</v>
      </c>
      <c r="Q854" s="513">
        <v>179</v>
      </c>
      <c r="R854" s="514">
        <v>70</v>
      </c>
      <c r="S854" s="64"/>
      <c r="T854" s="297">
        <f t="shared" si="103"/>
        <v>0</v>
      </c>
      <c r="U854" s="518">
        <f t="shared" si="104"/>
        <v>0</v>
      </c>
      <c r="W854" s="1"/>
      <c r="X854" s="65"/>
    </row>
    <row r="855" spans="1:24" s="23" customFormat="1" ht="11.25" customHeight="1" x14ac:dyDescent="0.2">
      <c r="A855" s="765"/>
      <c r="C855" s="769"/>
      <c r="D855" s="60"/>
      <c r="F855" s="503">
        <f t="shared" si="101"/>
        <v>8.4900000000001405E-2</v>
      </c>
      <c r="G855" s="503">
        <f t="shared" si="102"/>
        <v>8.4900000000001405E-2</v>
      </c>
      <c r="H855" s="504" t="str">
        <f t="shared" si="105"/>
        <v>Portugália</v>
      </c>
      <c r="I855" s="509" t="s">
        <v>1171</v>
      </c>
      <c r="J855" s="509" t="s">
        <v>375</v>
      </c>
      <c r="K855" s="508">
        <v>5</v>
      </c>
      <c r="L855" s="509" t="s">
        <v>1339</v>
      </c>
      <c r="M855" s="634" t="s">
        <v>926</v>
      </c>
      <c r="N855" s="510" t="s">
        <v>1270</v>
      </c>
      <c r="O855" s="511">
        <v>34325</v>
      </c>
      <c r="P855" s="512">
        <v>27</v>
      </c>
      <c r="Q855" s="513">
        <v>170</v>
      </c>
      <c r="R855" s="514">
        <v>71</v>
      </c>
      <c r="S855" s="64"/>
      <c r="T855" s="297">
        <f t="shared" si="103"/>
        <v>0</v>
      </c>
      <c r="U855" s="518">
        <f t="shared" si="104"/>
        <v>0</v>
      </c>
      <c r="W855" s="1"/>
      <c r="X855" s="65"/>
    </row>
    <row r="856" spans="1:24" s="23" customFormat="1" ht="11.25" customHeight="1" x14ac:dyDescent="0.2">
      <c r="A856" s="765"/>
      <c r="C856" s="769"/>
      <c r="D856" s="60"/>
      <c r="F856" s="503">
        <f t="shared" si="101"/>
        <v>8.5000000000001408E-2</v>
      </c>
      <c r="G856" s="503">
        <f t="shared" si="102"/>
        <v>8.5000000000001408E-2</v>
      </c>
      <c r="H856" s="504" t="str">
        <f t="shared" si="105"/>
        <v>Portugália</v>
      </c>
      <c r="I856" s="509" t="s">
        <v>376</v>
      </c>
      <c r="J856" s="509" t="s">
        <v>377</v>
      </c>
      <c r="K856" s="508">
        <v>21</v>
      </c>
      <c r="L856" s="509" t="s">
        <v>1357</v>
      </c>
      <c r="M856" s="634" t="s">
        <v>751</v>
      </c>
      <c r="N856" s="510" t="s">
        <v>1271</v>
      </c>
      <c r="O856" s="511">
        <v>35403</v>
      </c>
      <c r="P856" s="512">
        <v>24</v>
      </c>
      <c r="Q856" s="513">
        <v>178</v>
      </c>
      <c r="R856" s="514">
        <v>73</v>
      </c>
      <c r="S856" s="64"/>
      <c r="T856" s="297">
        <f t="shared" si="103"/>
        <v>0</v>
      </c>
      <c r="U856" s="518">
        <f t="shared" si="104"/>
        <v>0</v>
      </c>
      <c r="W856" s="1"/>
      <c r="X856" s="65"/>
    </row>
    <row r="857" spans="1:24" s="23" customFormat="1" ht="11.25" customHeight="1" x14ac:dyDescent="0.2">
      <c r="A857" s="765"/>
      <c r="C857" s="769"/>
      <c r="D857" s="60"/>
      <c r="F857" s="503">
        <f t="shared" si="101"/>
        <v>8.5100000000001411E-2</v>
      </c>
      <c r="G857" s="503">
        <f t="shared" si="102"/>
        <v>8.5100000000001411E-2</v>
      </c>
      <c r="H857" s="504" t="str">
        <f t="shared" si="105"/>
        <v>Portugália</v>
      </c>
      <c r="I857" s="509" t="s">
        <v>1172</v>
      </c>
      <c r="J857" s="509" t="s">
        <v>478</v>
      </c>
      <c r="K857" s="508">
        <v>12</v>
      </c>
      <c r="L857" s="509" t="s">
        <v>704</v>
      </c>
      <c r="M857" s="634" t="s">
        <v>476</v>
      </c>
      <c r="N857" s="510" t="s">
        <v>502</v>
      </c>
      <c r="O857" s="511">
        <v>32188</v>
      </c>
      <c r="P857" s="512">
        <v>33</v>
      </c>
      <c r="Q857" s="513">
        <v>184</v>
      </c>
      <c r="R857" s="514">
        <v>81</v>
      </c>
      <c r="S857" s="64"/>
      <c r="T857" s="297">
        <f t="shared" si="103"/>
        <v>0</v>
      </c>
      <c r="U857" s="518">
        <f t="shared" si="104"/>
        <v>0</v>
      </c>
      <c r="W857" s="1"/>
      <c r="X857" s="65"/>
    </row>
    <row r="858" spans="1:24" s="23" customFormat="1" ht="11.25" customHeight="1" x14ac:dyDescent="0.2">
      <c r="A858" s="765"/>
      <c r="C858" s="769"/>
      <c r="D858" s="60"/>
      <c r="F858" s="503">
        <f t="shared" si="101"/>
        <v>8.5200000000001413E-2</v>
      </c>
      <c r="G858" s="503">
        <f t="shared" si="102"/>
        <v>8.5200000000001413E-2</v>
      </c>
      <c r="H858" s="504" t="str">
        <f t="shared" si="105"/>
        <v>Portugália</v>
      </c>
      <c r="I858" s="509" t="s">
        <v>1835</v>
      </c>
      <c r="J858" s="509" t="s">
        <v>1836</v>
      </c>
      <c r="K858" s="508">
        <v>25</v>
      </c>
      <c r="L858" s="509" t="s">
        <v>1339</v>
      </c>
      <c r="M858" s="634" t="s">
        <v>1212</v>
      </c>
      <c r="N858" s="510" t="s">
        <v>855</v>
      </c>
      <c r="O858" s="511">
        <v>37426</v>
      </c>
      <c r="P858" s="512">
        <v>18</v>
      </c>
      <c r="Q858" s="513">
        <v>176</v>
      </c>
      <c r="R858" s="514">
        <v>70</v>
      </c>
      <c r="S858" s="64"/>
      <c r="T858" s="297">
        <f t="shared" si="103"/>
        <v>0</v>
      </c>
      <c r="U858" s="518">
        <f t="shared" si="104"/>
        <v>0</v>
      </c>
      <c r="W858" s="1"/>
      <c r="X858" s="65"/>
    </row>
    <row r="859" spans="1:24" s="23" customFormat="1" ht="11.25" customHeight="1" x14ac:dyDescent="0.2">
      <c r="A859" s="765"/>
      <c r="C859" s="769"/>
      <c r="D859" s="60"/>
      <c r="F859" s="503">
        <f t="shared" si="101"/>
        <v>8.5300000000001416E-2</v>
      </c>
      <c r="G859" s="503">
        <f t="shared" si="102"/>
        <v>8.5300000000001416E-2</v>
      </c>
      <c r="H859" s="504" t="str">
        <f t="shared" si="105"/>
        <v>Portugália</v>
      </c>
      <c r="I859" s="509" t="s">
        <v>1173</v>
      </c>
      <c r="J859" s="509" t="s">
        <v>999</v>
      </c>
      <c r="K859" s="508">
        <v>8</v>
      </c>
      <c r="L859" s="509" t="s">
        <v>703</v>
      </c>
      <c r="M859" s="634" t="s">
        <v>1044</v>
      </c>
      <c r="N859" s="510" t="s">
        <v>1271</v>
      </c>
      <c r="O859" s="511">
        <v>31663</v>
      </c>
      <c r="P859" s="512">
        <v>34</v>
      </c>
      <c r="Q859" s="513">
        <v>170</v>
      </c>
      <c r="R859" s="514">
        <v>61</v>
      </c>
      <c r="S859" s="64"/>
      <c r="T859" s="297">
        <f t="shared" si="103"/>
        <v>0</v>
      </c>
      <c r="U859" s="518">
        <f t="shared" si="104"/>
        <v>0</v>
      </c>
      <c r="W859" s="1"/>
      <c r="X859" s="65"/>
    </row>
    <row r="860" spans="1:24" s="23" customFormat="1" ht="11.25" customHeight="1" x14ac:dyDescent="0.2">
      <c r="A860" s="765"/>
      <c r="C860" s="769"/>
      <c r="D860" s="60"/>
      <c r="F860" s="503">
        <f t="shared" si="101"/>
        <v>8.5400000000001419E-2</v>
      </c>
      <c r="G860" s="503">
        <f t="shared" si="102"/>
        <v>8.5400000000001419E-2</v>
      </c>
      <c r="H860" s="504" t="str">
        <f t="shared" si="105"/>
        <v>Portugália</v>
      </c>
      <c r="I860" s="509" t="s">
        <v>378</v>
      </c>
      <c r="J860" s="509" t="s">
        <v>372</v>
      </c>
      <c r="K860" s="508">
        <v>18</v>
      </c>
      <c r="L860" s="509" t="s">
        <v>703</v>
      </c>
      <c r="M860" s="634" t="s">
        <v>1044</v>
      </c>
      <c r="N860" s="510" t="s">
        <v>1271</v>
      </c>
      <c r="O860" s="511">
        <v>35502</v>
      </c>
      <c r="P860" s="512">
        <v>24</v>
      </c>
      <c r="Q860" s="513">
        <v>180</v>
      </c>
      <c r="R860" s="514">
        <v>80</v>
      </c>
      <c r="S860" s="64"/>
      <c r="T860" s="297">
        <f t="shared" si="103"/>
        <v>0</v>
      </c>
      <c r="U860" s="518">
        <f t="shared" si="104"/>
        <v>0</v>
      </c>
      <c r="W860" s="1"/>
      <c r="X860" s="65"/>
    </row>
    <row r="861" spans="1:24" s="23" customFormat="1" ht="11.25" customHeight="1" x14ac:dyDescent="0.2">
      <c r="A861" s="765"/>
      <c r="C861" s="769"/>
      <c r="D861" s="60"/>
      <c r="F861" s="503">
        <f t="shared" si="101"/>
        <v>8.5500000000001422E-2</v>
      </c>
      <c r="G861" s="503">
        <f t="shared" si="102"/>
        <v>8.5500000000001422E-2</v>
      </c>
      <c r="H861" s="504" t="str">
        <f t="shared" si="105"/>
        <v>Portugália</v>
      </c>
      <c r="I861" s="509" t="s">
        <v>379</v>
      </c>
      <c r="J861" s="509" t="s">
        <v>380</v>
      </c>
      <c r="K861" s="508">
        <v>24</v>
      </c>
      <c r="L861" s="509" t="s">
        <v>703</v>
      </c>
      <c r="M861" s="634" t="s">
        <v>854</v>
      </c>
      <c r="N861" s="510" t="s">
        <v>855</v>
      </c>
      <c r="O861" s="511">
        <v>33757</v>
      </c>
      <c r="P861" s="512">
        <v>29</v>
      </c>
      <c r="Q861" s="513">
        <v>181</v>
      </c>
      <c r="R861" s="514">
        <v>72</v>
      </c>
      <c r="S861" s="64"/>
      <c r="T861" s="297">
        <f t="shared" si="103"/>
        <v>0</v>
      </c>
      <c r="U861" s="518">
        <f t="shared" si="104"/>
        <v>0</v>
      </c>
      <c r="W861" s="1"/>
      <c r="X861" s="65"/>
    </row>
    <row r="862" spans="1:24" s="23" customFormat="1" ht="11.25" customHeight="1" x14ac:dyDescent="0.2">
      <c r="A862" s="765"/>
      <c r="C862" s="769"/>
      <c r="D862" s="60"/>
      <c r="F862" s="503">
        <f t="shared" si="101"/>
        <v>8.5600000000001425E-2</v>
      </c>
      <c r="G862" s="503">
        <f t="shared" si="102"/>
        <v>8.5600000000001425E-2</v>
      </c>
      <c r="H862" s="504" t="str">
        <f t="shared" si="105"/>
        <v>Portugália</v>
      </c>
      <c r="I862" s="509" t="s">
        <v>1837</v>
      </c>
      <c r="J862" s="509" t="s">
        <v>999</v>
      </c>
      <c r="K862" s="508">
        <v>26</v>
      </c>
      <c r="L862" s="509" t="s">
        <v>703</v>
      </c>
      <c r="M862" s="634" t="s">
        <v>1212</v>
      </c>
      <c r="N862" s="510" t="s">
        <v>855</v>
      </c>
      <c r="O862" s="511">
        <v>34889</v>
      </c>
      <c r="P862" s="512">
        <v>25</v>
      </c>
      <c r="Q862" s="513">
        <v>189</v>
      </c>
      <c r="R862" s="514">
        <v>77</v>
      </c>
      <c r="S862" s="64"/>
      <c r="T862" s="297">
        <f t="shared" si="103"/>
        <v>0</v>
      </c>
      <c r="U862" s="518">
        <f t="shared" si="104"/>
        <v>0</v>
      </c>
      <c r="W862" s="1"/>
      <c r="X862" s="65"/>
    </row>
    <row r="863" spans="1:24" s="23" customFormat="1" ht="11.25" customHeight="1" x14ac:dyDescent="0.2">
      <c r="A863" s="765"/>
      <c r="C863" s="769"/>
      <c r="D863" s="60"/>
      <c r="F863" s="503">
        <f t="shared" si="101"/>
        <v>8.5700000000001428E-2</v>
      </c>
      <c r="G863" s="503">
        <f t="shared" si="102"/>
        <v>8.5700000000001428E-2</v>
      </c>
      <c r="H863" s="504" t="str">
        <f t="shared" si="105"/>
        <v>Portugália</v>
      </c>
      <c r="I863" s="509" t="s">
        <v>865</v>
      </c>
      <c r="J863" s="509"/>
      <c r="K863" s="508">
        <v>3</v>
      </c>
      <c r="L863" s="509" t="s">
        <v>1339</v>
      </c>
      <c r="M863" s="634" t="s">
        <v>854</v>
      </c>
      <c r="N863" s="510" t="s">
        <v>855</v>
      </c>
      <c r="O863" s="511">
        <v>30373</v>
      </c>
      <c r="P863" s="512">
        <v>38</v>
      </c>
      <c r="Q863" s="513">
        <v>188</v>
      </c>
      <c r="R863" s="514">
        <v>81</v>
      </c>
      <c r="S863" s="64"/>
      <c r="T863" s="297">
        <f t="shared" si="103"/>
        <v>0</v>
      </c>
      <c r="U863" s="518">
        <f t="shared" si="104"/>
        <v>0</v>
      </c>
      <c r="W863" s="1"/>
      <c r="X863" s="65"/>
    </row>
    <row r="864" spans="1:24" s="23" customFormat="1" ht="11.25" customHeight="1" x14ac:dyDescent="0.2">
      <c r="A864" s="765"/>
      <c r="C864" s="769"/>
      <c r="D864" s="60"/>
      <c r="F864" s="503">
        <f t="shared" si="101"/>
        <v>8.5800000000001431E-2</v>
      </c>
      <c r="G864" s="503">
        <f t="shared" si="102"/>
        <v>8.5800000000001431E-2</v>
      </c>
      <c r="H864" s="504" t="str">
        <f t="shared" si="105"/>
        <v>Portugália</v>
      </c>
      <c r="I864" s="509" t="s">
        <v>381</v>
      </c>
      <c r="J864" s="509" t="s">
        <v>1174</v>
      </c>
      <c r="K864" s="508">
        <v>13</v>
      </c>
      <c r="L864" s="509" t="s">
        <v>703</v>
      </c>
      <c r="M864" s="634" t="s">
        <v>1387</v>
      </c>
      <c r="N864" s="510" t="s">
        <v>502</v>
      </c>
      <c r="O864" s="511">
        <v>33490</v>
      </c>
      <c r="P864" s="512">
        <v>29</v>
      </c>
      <c r="Q864" s="513">
        <v>187</v>
      </c>
      <c r="R864" s="514">
        <v>83</v>
      </c>
      <c r="S864" s="64"/>
      <c r="T864" s="297">
        <f t="shared" si="103"/>
        <v>0</v>
      </c>
      <c r="U864" s="518">
        <f t="shared" si="104"/>
        <v>0</v>
      </c>
      <c r="W864" s="1"/>
      <c r="X864" s="65"/>
    </row>
    <row r="865" spans="1:24" s="23" customFormat="1" ht="11.25" customHeight="1" x14ac:dyDescent="0.2">
      <c r="A865" s="765"/>
      <c r="C865" s="769"/>
      <c r="D865" s="60"/>
      <c r="F865" s="503">
        <f t="shared" si="101"/>
        <v>8.5900000000001434E-2</v>
      </c>
      <c r="G865" s="503">
        <f t="shared" si="102"/>
        <v>8.5900000000001434E-2</v>
      </c>
      <c r="H865" s="504" t="str">
        <f t="shared" si="105"/>
        <v>Portugália</v>
      </c>
      <c r="I865" s="509" t="s">
        <v>618</v>
      </c>
      <c r="J865" s="509" t="s">
        <v>619</v>
      </c>
      <c r="K865" s="508">
        <v>7</v>
      </c>
      <c r="L865" s="509" t="s">
        <v>1357</v>
      </c>
      <c r="M865" s="634" t="s">
        <v>917</v>
      </c>
      <c r="N865" s="510" t="s">
        <v>501</v>
      </c>
      <c r="O865" s="511">
        <v>31083</v>
      </c>
      <c r="P865" s="512">
        <v>36</v>
      </c>
      <c r="Q865" s="513">
        <v>187</v>
      </c>
      <c r="R865" s="514">
        <v>83</v>
      </c>
      <c r="S865" s="64"/>
      <c r="T865" s="297">
        <f t="shared" si="103"/>
        <v>0</v>
      </c>
      <c r="U865" s="518">
        <f t="shared" si="104"/>
        <v>0</v>
      </c>
      <c r="W865" s="1"/>
      <c r="X865" s="65"/>
    </row>
    <row r="866" spans="1:24" s="23" customFormat="1" ht="11.25" customHeight="1" x14ac:dyDescent="0.2">
      <c r="A866" s="765"/>
      <c r="C866" s="769"/>
      <c r="D866" s="60"/>
      <c r="F866" s="503">
        <f t="shared" si="101"/>
        <v>8.6000000000001436E-2</v>
      </c>
      <c r="G866" s="503">
        <f t="shared" si="102"/>
        <v>8.6000000000001436E-2</v>
      </c>
      <c r="H866" s="504" t="str">
        <f t="shared" si="105"/>
        <v>Portugália</v>
      </c>
      <c r="I866" s="509" t="s">
        <v>382</v>
      </c>
      <c r="J866" s="509"/>
      <c r="K866" s="508">
        <v>1</v>
      </c>
      <c r="L866" s="509" t="s">
        <v>704</v>
      </c>
      <c r="M866" s="634" t="s">
        <v>1044</v>
      </c>
      <c r="N866" s="510" t="s">
        <v>1271</v>
      </c>
      <c r="O866" s="511">
        <v>32188</v>
      </c>
      <c r="P866" s="512">
        <v>33</v>
      </c>
      <c r="Q866" s="513">
        <v>190</v>
      </c>
      <c r="R866" s="514">
        <v>84</v>
      </c>
      <c r="S866" s="64"/>
      <c r="T866" s="297">
        <f t="shared" si="103"/>
        <v>0</v>
      </c>
      <c r="U866" s="518">
        <f t="shared" si="104"/>
        <v>0</v>
      </c>
      <c r="W866" s="1"/>
      <c r="X866" s="65"/>
    </row>
    <row r="867" spans="1:24" s="23" customFormat="1" ht="11.25" customHeight="1" x14ac:dyDescent="0.2">
      <c r="A867" s="765"/>
      <c r="C867" s="769"/>
      <c r="D867" s="60"/>
      <c r="F867" s="503">
        <f t="shared" si="101"/>
        <v>8.6100000000001439E-2</v>
      </c>
      <c r="G867" s="503">
        <f t="shared" si="102"/>
        <v>8.6100000000001439E-2</v>
      </c>
      <c r="H867" s="504" t="str">
        <f t="shared" si="105"/>
        <v>Portugália</v>
      </c>
      <c r="I867" s="509" t="s">
        <v>383</v>
      </c>
      <c r="J867" s="509"/>
      <c r="K867" s="508">
        <v>22</v>
      </c>
      <c r="L867" s="509" t="s">
        <v>704</v>
      </c>
      <c r="M867" s="634" t="s">
        <v>384</v>
      </c>
      <c r="N867" s="510" t="s">
        <v>500</v>
      </c>
      <c r="O867" s="511">
        <v>34372</v>
      </c>
      <c r="P867" s="512">
        <v>27</v>
      </c>
      <c r="Q867" s="513">
        <v>191</v>
      </c>
      <c r="R867" s="514">
        <v>91</v>
      </c>
      <c r="S867" s="64"/>
      <c r="T867" s="297">
        <f t="shared" si="103"/>
        <v>0</v>
      </c>
      <c r="U867" s="518">
        <f t="shared" si="104"/>
        <v>0</v>
      </c>
      <c r="W867" s="1"/>
      <c r="X867" s="65"/>
    </row>
    <row r="868" spans="1:24" s="23" customFormat="1" ht="11.25" customHeight="1" x14ac:dyDescent="0.2">
      <c r="A868" s="765"/>
      <c r="C868" s="769"/>
      <c r="D868" s="60"/>
      <c r="F868" s="503">
        <f t="shared" si="101"/>
        <v>8.6200000000001442E-2</v>
      </c>
      <c r="G868" s="503">
        <f t="shared" si="102"/>
        <v>8.6200000000001442E-2</v>
      </c>
      <c r="H868" s="504" t="str">
        <f t="shared" si="105"/>
        <v>Portugália</v>
      </c>
      <c r="I868" s="509" t="s">
        <v>1838</v>
      </c>
      <c r="J868" s="509" t="s">
        <v>1839</v>
      </c>
      <c r="K868" s="508">
        <v>2</v>
      </c>
      <c r="L868" s="509" t="s">
        <v>1339</v>
      </c>
      <c r="M868" s="634" t="s">
        <v>1044</v>
      </c>
      <c r="N868" s="510" t="s">
        <v>500</v>
      </c>
      <c r="O868" s="511">
        <v>34289</v>
      </c>
      <c r="P868" s="512">
        <v>27</v>
      </c>
      <c r="Q868" s="513">
        <v>177</v>
      </c>
      <c r="R868" s="514">
        <v>67</v>
      </c>
      <c r="S868" s="64"/>
      <c r="T868" s="297">
        <f t="shared" si="103"/>
        <v>0</v>
      </c>
      <c r="U868" s="518">
        <f t="shared" si="104"/>
        <v>0</v>
      </c>
      <c r="W868" s="1"/>
      <c r="X868" s="65"/>
    </row>
    <row r="869" spans="1:24" s="23" customFormat="1" ht="11.25" customHeight="1" x14ac:dyDescent="0.2">
      <c r="A869" s="765"/>
      <c r="C869" s="769"/>
      <c r="D869" s="60"/>
      <c r="F869" s="503">
        <f t="shared" si="101"/>
        <v>8.6300000000001445E-2</v>
      </c>
      <c r="G869" s="503">
        <f t="shared" si="102"/>
        <v>8.6300000000001445E-2</v>
      </c>
      <c r="H869" s="504" t="str">
        <f t="shared" si="105"/>
        <v>Portugália</v>
      </c>
      <c r="I869" s="509" t="s">
        <v>1840</v>
      </c>
      <c r="J869" s="509" t="s">
        <v>372</v>
      </c>
      <c r="K869" s="508">
        <v>16</v>
      </c>
      <c r="L869" s="509" t="s">
        <v>1339</v>
      </c>
      <c r="M869" s="634" t="s">
        <v>1841</v>
      </c>
      <c r="N869" s="510" t="s">
        <v>846</v>
      </c>
      <c r="O869" s="511">
        <v>34428</v>
      </c>
      <c r="P869" s="512">
        <v>27</v>
      </c>
      <c r="Q869" s="513">
        <v>189</v>
      </c>
      <c r="R869" s="514">
        <v>84</v>
      </c>
      <c r="S869" s="64"/>
      <c r="T869" s="297">
        <f t="shared" si="103"/>
        <v>0</v>
      </c>
      <c r="U869" s="518">
        <f t="shared" si="104"/>
        <v>0</v>
      </c>
      <c r="W869" s="640"/>
      <c r="X869" s="65"/>
    </row>
    <row r="870" spans="1:24" s="23" customFormat="1" ht="11.25" customHeight="1" x14ac:dyDescent="0.2">
      <c r="A870" s="765"/>
      <c r="C870" s="769"/>
      <c r="D870" s="60"/>
      <c r="F870" s="503">
        <f t="shared" si="101"/>
        <v>8.6400000000001448E-2</v>
      </c>
      <c r="G870" s="503">
        <f t="shared" si="102"/>
        <v>8.6400000000001448E-2</v>
      </c>
      <c r="H870" s="504" t="str">
        <f t="shared" si="105"/>
        <v>Portugália</v>
      </c>
      <c r="I870" s="509" t="s">
        <v>1842</v>
      </c>
      <c r="J870" s="509" t="s">
        <v>1843</v>
      </c>
      <c r="K870" s="508">
        <v>9</v>
      </c>
      <c r="L870" s="509" t="s">
        <v>1357</v>
      </c>
      <c r="M870" s="634" t="s">
        <v>939</v>
      </c>
      <c r="N870" s="510" t="s">
        <v>1270</v>
      </c>
      <c r="O870" s="511">
        <v>35009</v>
      </c>
      <c r="P870" s="512">
        <v>25</v>
      </c>
      <c r="Q870" s="513">
        <v>185</v>
      </c>
      <c r="R870" s="514">
        <v>71</v>
      </c>
      <c r="S870" s="64"/>
      <c r="T870" s="297">
        <f t="shared" si="103"/>
        <v>0</v>
      </c>
      <c r="U870" s="518">
        <f t="shared" si="104"/>
        <v>0</v>
      </c>
      <c r="W870" s="640"/>
      <c r="X870" s="65"/>
    </row>
    <row r="871" spans="1:24" s="23" customFormat="1" ht="11.25" customHeight="1" x14ac:dyDescent="0.2">
      <c r="A871" s="765"/>
      <c r="C871" s="769"/>
      <c r="D871" s="60"/>
      <c r="F871" s="503">
        <f t="shared" si="101"/>
        <v>8.6500000000001451E-2</v>
      </c>
      <c r="G871" s="503">
        <f t="shared" si="102"/>
        <v>8.6500000000001451E-2</v>
      </c>
      <c r="H871" s="504" t="str">
        <f t="shared" si="105"/>
        <v>Portugália</v>
      </c>
      <c r="I871" s="509" t="s">
        <v>1844</v>
      </c>
      <c r="J871" s="509" t="s">
        <v>1845</v>
      </c>
      <c r="K871" s="508">
        <v>10</v>
      </c>
      <c r="L871" s="509" t="s">
        <v>703</v>
      </c>
      <c r="M871" s="634" t="s">
        <v>813</v>
      </c>
      <c r="N871" s="510" t="s">
        <v>1271</v>
      </c>
      <c r="O871" s="511">
        <v>34556</v>
      </c>
      <c r="P871" s="512">
        <v>26</v>
      </c>
      <c r="Q871" s="513">
        <v>173</v>
      </c>
      <c r="R871" s="514">
        <v>64</v>
      </c>
      <c r="S871" s="64"/>
      <c r="T871" s="297">
        <f t="shared" si="103"/>
        <v>0</v>
      </c>
      <c r="U871" s="518">
        <f t="shared" si="104"/>
        <v>0</v>
      </c>
      <c r="W871" s="640"/>
      <c r="X871" s="65"/>
    </row>
    <row r="872" spans="1:24" s="23" customFormat="1" ht="11.25" customHeight="1" x14ac:dyDescent="0.2">
      <c r="A872" s="765"/>
      <c r="C872" s="769"/>
      <c r="D872" s="60"/>
      <c r="F872" s="503">
        <f t="shared" si="101"/>
        <v>8.6600000000001454E-2</v>
      </c>
      <c r="G872" s="503">
        <f t="shared" si="102"/>
        <v>8.6600000000001454E-2</v>
      </c>
      <c r="H872" s="504" t="str">
        <f t="shared" si="105"/>
        <v>Portugália</v>
      </c>
      <c r="I872" s="555" t="s">
        <v>1846</v>
      </c>
      <c r="J872" s="555" t="s">
        <v>1847</v>
      </c>
      <c r="K872" s="554">
        <v>15</v>
      </c>
      <c r="L872" s="555" t="s">
        <v>1357</v>
      </c>
      <c r="M872" s="635" t="s">
        <v>942</v>
      </c>
      <c r="N872" s="556" t="s">
        <v>855</v>
      </c>
      <c r="O872" s="557">
        <v>34106</v>
      </c>
      <c r="P872" s="558">
        <v>28</v>
      </c>
      <c r="Q872" s="559">
        <v>172</v>
      </c>
      <c r="R872" s="560">
        <v>66</v>
      </c>
      <c r="S872" s="64"/>
      <c r="T872" s="297">
        <f t="shared" si="103"/>
        <v>0</v>
      </c>
      <c r="U872" s="518">
        <f t="shared" si="104"/>
        <v>0</v>
      </c>
      <c r="W872" s="640"/>
      <c r="X872" s="65"/>
    </row>
    <row r="873" spans="1:24" s="23" customFormat="1" ht="9.75" hidden="1" customHeight="1" x14ac:dyDescent="0.2">
      <c r="A873" s="765"/>
      <c r="C873" s="769"/>
      <c r="D873" s="60"/>
      <c r="F873" s="503">
        <f t="shared" si="101"/>
        <v>8.6700000000001456E-2</v>
      </c>
      <c r="G873" s="503">
        <f t="shared" si="102"/>
        <v>0</v>
      </c>
      <c r="H873" s="504" t="str">
        <f t="shared" si="105"/>
        <v>Portugália</v>
      </c>
      <c r="I873" s="61"/>
      <c r="J873" s="61"/>
      <c r="K873" s="295"/>
      <c r="L873" s="61"/>
      <c r="M873" s="633"/>
      <c r="N873" s="256"/>
      <c r="O873" s="62"/>
      <c r="P873" s="253"/>
      <c r="Q873" s="63"/>
      <c r="R873" s="252"/>
      <c r="S873" s="64"/>
      <c r="T873" s="297" t="str">
        <f t="shared" si="103"/>
        <v/>
      </c>
      <c r="U873" s="518" t="str">
        <f t="shared" si="104"/>
        <v/>
      </c>
      <c r="W873" s="640"/>
      <c r="X873" s="65"/>
    </row>
    <row r="874" spans="1:24" s="23" customFormat="1" ht="9.75" hidden="1" customHeight="1" x14ac:dyDescent="0.2">
      <c r="A874" s="765"/>
      <c r="C874" s="769"/>
      <c r="D874" s="60"/>
      <c r="F874" s="503">
        <f t="shared" si="101"/>
        <v>8.6800000000001459E-2</v>
      </c>
      <c r="G874" s="503">
        <f t="shared" si="102"/>
        <v>0</v>
      </c>
      <c r="H874" s="504" t="str">
        <f t="shared" si="105"/>
        <v>Portugália</v>
      </c>
      <c r="I874" s="61"/>
      <c r="J874" s="61"/>
      <c r="K874" s="295"/>
      <c r="L874" s="61"/>
      <c r="M874" s="633"/>
      <c r="N874" s="256"/>
      <c r="O874" s="62"/>
      <c r="P874" s="253"/>
      <c r="Q874" s="63"/>
      <c r="R874" s="252"/>
      <c r="S874" s="64"/>
      <c r="T874" s="297" t="str">
        <f t="shared" si="103"/>
        <v/>
      </c>
      <c r="U874" s="518" t="str">
        <f t="shared" si="104"/>
        <v/>
      </c>
      <c r="W874" s="640"/>
      <c r="X874" s="65"/>
    </row>
    <row r="875" spans="1:24" s="23" customFormat="1" ht="9.75" hidden="1" customHeight="1" x14ac:dyDescent="0.2">
      <c r="A875" s="765"/>
      <c r="C875" s="769"/>
      <c r="D875" s="60"/>
      <c r="F875" s="503">
        <f t="shared" si="101"/>
        <v>8.6900000000001462E-2</v>
      </c>
      <c r="G875" s="503">
        <f t="shared" si="102"/>
        <v>0</v>
      </c>
      <c r="H875" s="504" t="str">
        <f t="shared" si="105"/>
        <v>Portugália</v>
      </c>
      <c r="I875" s="61"/>
      <c r="J875" s="61"/>
      <c r="K875" s="295"/>
      <c r="L875" s="61"/>
      <c r="M875" s="633"/>
      <c r="N875" s="256"/>
      <c r="O875" s="62"/>
      <c r="P875" s="253"/>
      <c r="Q875" s="63"/>
      <c r="R875" s="252"/>
      <c r="S875" s="64"/>
      <c r="T875" s="297" t="str">
        <f t="shared" si="103"/>
        <v/>
      </c>
      <c r="U875" s="518" t="str">
        <f t="shared" si="104"/>
        <v/>
      </c>
      <c r="W875" s="640"/>
      <c r="X875" s="65"/>
    </row>
    <row r="876" spans="1:24" s="23" customFormat="1" ht="9.75" hidden="1" customHeight="1" x14ac:dyDescent="0.2">
      <c r="A876" s="765"/>
      <c r="C876" s="769"/>
      <c r="D876" s="60"/>
      <c r="F876" s="503">
        <f t="shared" si="101"/>
        <v>8.7000000000001465E-2</v>
      </c>
      <c r="G876" s="503">
        <f t="shared" si="102"/>
        <v>0</v>
      </c>
      <c r="H876" s="504" t="str">
        <f t="shared" si="105"/>
        <v>Portugália</v>
      </c>
      <c r="I876" s="61"/>
      <c r="J876" s="61"/>
      <c r="K876" s="295"/>
      <c r="L876" s="61"/>
      <c r="M876" s="633"/>
      <c r="N876" s="256"/>
      <c r="O876" s="62"/>
      <c r="P876" s="253"/>
      <c r="Q876" s="63"/>
      <c r="R876" s="252"/>
      <c r="S876" s="64"/>
      <c r="T876" s="297" t="str">
        <f t="shared" si="103"/>
        <v/>
      </c>
      <c r="U876" s="518" t="str">
        <f t="shared" si="104"/>
        <v/>
      </c>
      <c r="W876" s="640"/>
      <c r="X876" s="65"/>
    </row>
    <row r="877" spans="1:24" s="23" customFormat="1" ht="4.5" customHeight="1" x14ac:dyDescent="0.25">
      <c r="A877" s="765"/>
      <c r="C877" s="769"/>
      <c r="D877" s="60"/>
      <c r="F877" s="503">
        <f t="shared" si="101"/>
        <v>8.7100000000001468E-2</v>
      </c>
      <c r="G877" s="503"/>
      <c r="H877" s="505"/>
      <c r="I877" s="67"/>
      <c r="J877" s="67"/>
      <c r="K877" s="22"/>
      <c r="L877" s="67"/>
      <c r="M877" s="22"/>
      <c r="N877" s="68"/>
      <c r="O877" s="67"/>
      <c r="P877" s="69"/>
      <c r="Q877" s="70"/>
      <c r="R877" s="71"/>
      <c r="S877" s="71"/>
      <c r="T877" s="298"/>
      <c r="U877" s="299"/>
      <c r="W877" s="641"/>
      <c r="X877" s="67"/>
    </row>
    <row r="878" spans="1:24" s="21" customFormat="1" ht="9.75" customHeight="1" x14ac:dyDescent="0.2">
      <c r="A878" s="765"/>
      <c r="C878" s="769"/>
      <c r="D878" s="60"/>
      <c r="F878" s="503">
        <f t="shared" si="101"/>
        <v>8.7200000000001471E-2</v>
      </c>
      <c r="G878" s="503"/>
      <c r="H878" s="303"/>
      <c r="I878" s="74" t="s">
        <v>542</v>
      </c>
      <c r="J878" s="75" t="s">
        <v>1175</v>
      </c>
      <c r="K878" s="75"/>
      <c r="L878" s="75"/>
      <c r="M878" s="636"/>
      <c r="N878" s="76"/>
      <c r="O878" s="74" t="s">
        <v>495</v>
      </c>
      <c r="P878" s="254">
        <f>AVERAGE(P847:P876)</f>
        <v>27.692307692307693</v>
      </c>
      <c r="Q878" s="77">
        <f>AVERAGE(Q847:Q876)</f>
        <v>181.73076923076923</v>
      </c>
      <c r="R878" s="255">
        <f>AVERAGE(R847:R876)</f>
        <v>75.038461538461533</v>
      </c>
      <c r="S878" s="78"/>
      <c r="T878" s="297">
        <f>SUM(T847:T876)</f>
        <v>0</v>
      </c>
      <c r="U878" s="518">
        <f>SUM(U847:U876)</f>
        <v>0</v>
      </c>
      <c r="W878" s="642" t="s">
        <v>879</v>
      </c>
      <c r="X878" s="79"/>
    </row>
    <row r="879" spans="1:24" ht="9.75" customHeight="1" x14ac:dyDescent="0.3">
      <c r="A879" s="765"/>
      <c r="F879" s="503">
        <f t="shared" si="101"/>
        <v>8.7300000000001474E-2</v>
      </c>
      <c r="G879" s="503"/>
    </row>
    <row r="880" spans="1:24" ht="9.75" customHeight="1" x14ac:dyDescent="0.3">
      <c r="A880" s="765"/>
      <c r="F880" s="503">
        <f t="shared" si="101"/>
        <v>8.7400000000001477E-2</v>
      </c>
      <c r="G880" s="503"/>
    </row>
    <row r="881" spans="1:24" ht="9.75" customHeight="1" x14ac:dyDescent="0.3">
      <c r="A881" s="765"/>
      <c r="F881" s="503">
        <f t="shared" si="101"/>
        <v>8.7500000000001479E-2</v>
      </c>
      <c r="G881" s="503"/>
    </row>
    <row r="882" spans="1:24" ht="9.75" customHeight="1" x14ac:dyDescent="0.3">
      <c r="A882" s="765"/>
      <c r="F882" s="503">
        <f t="shared" si="101"/>
        <v>8.7600000000001482E-2</v>
      </c>
    </row>
    <row r="883" spans="1:24" ht="9.75" customHeight="1" x14ac:dyDescent="0.3">
      <c r="A883" s="765"/>
      <c r="F883" s="503">
        <f t="shared" si="101"/>
        <v>8.7700000000001485E-2</v>
      </c>
    </row>
    <row r="884" spans="1:24" ht="9.75" customHeight="1" x14ac:dyDescent="0.3">
      <c r="A884" s="765"/>
      <c r="F884" s="503">
        <f t="shared" si="101"/>
        <v>8.7800000000001488E-2</v>
      </c>
    </row>
    <row r="885" spans="1:24" ht="9.75" customHeight="1" x14ac:dyDescent="0.3">
      <c r="A885" s="765"/>
      <c r="F885" s="503">
        <f t="shared" si="101"/>
        <v>8.7900000000001491E-2</v>
      </c>
    </row>
    <row r="886" spans="1:24" s="23" customFormat="1" ht="5.25" customHeight="1" x14ac:dyDescent="0.2">
      <c r="A886" s="765"/>
      <c r="C886" s="21"/>
      <c r="F886" s="503">
        <f t="shared" si="101"/>
        <v>8.8000000000001494E-2</v>
      </c>
      <c r="G886" s="506"/>
      <c r="H886" s="502"/>
      <c r="I886" s="55"/>
      <c r="J886" s="55"/>
      <c r="K886" s="56"/>
      <c r="L886" s="55"/>
      <c r="M886" s="56"/>
      <c r="N886" s="57"/>
      <c r="O886" s="57"/>
      <c r="P886" s="55"/>
      <c r="Q886" s="57"/>
      <c r="R886" s="57"/>
      <c r="S886" s="57"/>
      <c r="T886" s="58"/>
      <c r="U886" s="59"/>
      <c r="W886" s="639"/>
      <c r="X886" s="55"/>
    </row>
    <row r="887" spans="1:24" s="23" customFormat="1" ht="11.25" customHeight="1" x14ac:dyDescent="0.2">
      <c r="A887" s="765"/>
      <c r="C887" s="769" t="str">
        <f>UPPER(H887)&amp;"    ."</f>
        <v>FRANCIAORSZÁG    .</v>
      </c>
      <c r="D887" s="60"/>
      <c r="F887" s="503">
        <f t="shared" si="101"/>
        <v>8.8100000000001497E-2</v>
      </c>
      <c r="G887" s="503">
        <f t="shared" ref="G887:G916" si="106">IF(I887="",0,T887+F887)</f>
        <v>8.8100000000001497E-2</v>
      </c>
      <c r="H887" s="504" t="str">
        <f>Adatok!F4</f>
        <v>Franciaország</v>
      </c>
      <c r="I887" s="61" t="s">
        <v>385</v>
      </c>
      <c r="J887" s="61" t="s">
        <v>386</v>
      </c>
      <c r="K887" s="295">
        <v>22</v>
      </c>
      <c r="L887" s="61" t="s">
        <v>1357</v>
      </c>
      <c r="M887" s="633" t="s">
        <v>848</v>
      </c>
      <c r="N887" s="256" t="s">
        <v>502</v>
      </c>
      <c r="O887" s="62">
        <v>33097</v>
      </c>
      <c r="P887" s="253">
        <v>30</v>
      </c>
      <c r="Q887" s="63">
        <v>170</v>
      </c>
      <c r="R887" s="252">
        <v>68</v>
      </c>
      <c r="S887" s="64"/>
      <c r="T887" s="297">
        <f t="shared" ref="T887:T916" si="107">IF(I887="","",COUNTIF(nevek.s,CONCATENATE(H887,I887)))</f>
        <v>0</v>
      </c>
      <c r="U887" s="518">
        <f t="shared" ref="U887:U916" si="108">IF(I887="","",COUNTIF(nevek.s,CONCATENATE("ö",H887,I887)))</f>
        <v>0</v>
      </c>
      <c r="W887" s="3"/>
      <c r="X887" s="65"/>
    </row>
    <row r="888" spans="1:24" s="23" customFormat="1" ht="11.25" customHeight="1" x14ac:dyDescent="0.2">
      <c r="A888" s="765"/>
      <c r="C888" s="769"/>
      <c r="D888" s="60"/>
      <c r="F888" s="503">
        <f t="shared" si="101"/>
        <v>8.8200000000001499E-2</v>
      </c>
      <c r="G888" s="503">
        <f t="shared" si="106"/>
        <v>8.8200000000001499E-2</v>
      </c>
      <c r="H888" s="504" t="str">
        <f>H887</f>
        <v>Franciaország</v>
      </c>
      <c r="I888" s="509" t="s">
        <v>1848</v>
      </c>
      <c r="J888" s="509" t="s">
        <v>131</v>
      </c>
      <c r="K888" s="508">
        <v>19</v>
      </c>
      <c r="L888" s="509" t="s">
        <v>1357</v>
      </c>
      <c r="M888" s="634" t="s">
        <v>747</v>
      </c>
      <c r="N888" s="510" t="s">
        <v>500</v>
      </c>
      <c r="O888" s="511">
        <v>32130</v>
      </c>
      <c r="P888" s="512">
        <v>33</v>
      </c>
      <c r="Q888" s="513">
        <v>187</v>
      </c>
      <c r="R888" s="514">
        <v>79</v>
      </c>
      <c r="S888" s="64"/>
      <c r="T888" s="297">
        <f t="shared" si="107"/>
        <v>0</v>
      </c>
      <c r="U888" s="518">
        <f t="shared" si="108"/>
        <v>0</v>
      </c>
      <c r="W888" s="1"/>
      <c r="X888" s="65"/>
    </row>
    <row r="889" spans="1:24" s="23" customFormat="1" ht="11.25" customHeight="1" x14ac:dyDescent="0.2">
      <c r="A889" s="765"/>
      <c r="C889" s="769"/>
      <c r="D889" s="60"/>
      <c r="F889" s="503">
        <f t="shared" si="101"/>
        <v>8.8300000000001502E-2</v>
      </c>
      <c r="G889" s="503">
        <f t="shared" si="106"/>
        <v>8.8300000000001502E-2</v>
      </c>
      <c r="H889" s="504" t="str">
        <f t="shared" ref="H889:H916" si="109">H888</f>
        <v>Franciaország</v>
      </c>
      <c r="I889" s="509" t="s">
        <v>473</v>
      </c>
      <c r="J889" s="509" t="s">
        <v>474</v>
      </c>
      <c r="K889" s="508">
        <v>20</v>
      </c>
      <c r="L889" s="509" t="s">
        <v>703</v>
      </c>
      <c r="M889" s="634" t="s">
        <v>749</v>
      </c>
      <c r="N889" s="510" t="s">
        <v>1270</v>
      </c>
      <c r="O889" s="511">
        <v>35229</v>
      </c>
      <c r="P889" s="512">
        <v>24</v>
      </c>
      <c r="Q889" s="513">
        <v>179</v>
      </c>
      <c r="R889" s="514">
        <v>75</v>
      </c>
      <c r="S889" s="64"/>
      <c r="T889" s="297">
        <f t="shared" si="107"/>
        <v>0</v>
      </c>
      <c r="U889" s="518">
        <f t="shared" si="108"/>
        <v>0</v>
      </c>
      <c r="W889" s="1"/>
      <c r="X889" s="65"/>
    </row>
    <row r="890" spans="1:24" s="23" customFormat="1" ht="11.25" customHeight="1" x14ac:dyDescent="0.2">
      <c r="A890" s="765"/>
      <c r="C890" s="769"/>
      <c r="D890" s="60"/>
      <c r="F890" s="503">
        <f t="shared" si="101"/>
        <v>8.8400000000001505E-2</v>
      </c>
      <c r="G890" s="503">
        <f t="shared" si="106"/>
        <v>8.8400000000001505E-2</v>
      </c>
      <c r="H890" s="504" t="str">
        <f t="shared" si="109"/>
        <v>Franciaország</v>
      </c>
      <c r="I890" s="509" t="s">
        <v>1849</v>
      </c>
      <c r="J890" s="509" t="s">
        <v>1850</v>
      </c>
      <c r="K890" s="508">
        <v>11</v>
      </c>
      <c r="L890" s="509" t="s">
        <v>1357</v>
      </c>
      <c r="M890" s="634" t="s">
        <v>750</v>
      </c>
      <c r="N890" s="510" t="s">
        <v>500</v>
      </c>
      <c r="O890" s="511">
        <v>35565</v>
      </c>
      <c r="P890" s="512">
        <v>24</v>
      </c>
      <c r="Q890" s="513">
        <v>178</v>
      </c>
      <c r="R890" s="514">
        <v>67</v>
      </c>
      <c r="S890" s="64"/>
      <c r="T890" s="297">
        <f t="shared" si="107"/>
        <v>0</v>
      </c>
      <c r="U890" s="518">
        <f t="shared" si="108"/>
        <v>0</v>
      </c>
      <c r="W890" s="1"/>
      <c r="X890" s="65"/>
    </row>
    <row r="891" spans="1:24" s="23" customFormat="1" ht="11.25" customHeight="1" x14ac:dyDescent="0.2">
      <c r="A891" s="765"/>
      <c r="C891" s="769"/>
      <c r="D891" s="60"/>
      <c r="F891" s="503">
        <f t="shared" si="101"/>
        <v>8.8500000000001508E-2</v>
      </c>
      <c r="G891" s="503">
        <f t="shared" si="106"/>
        <v>8.8500000000001508E-2</v>
      </c>
      <c r="H891" s="504" t="str">
        <f t="shared" si="109"/>
        <v>Franciaország</v>
      </c>
      <c r="I891" s="509" t="s">
        <v>1000</v>
      </c>
      <c r="J891" s="509" t="s">
        <v>499</v>
      </c>
      <c r="K891" s="508">
        <v>18</v>
      </c>
      <c r="L891" s="509" t="s">
        <v>1339</v>
      </c>
      <c r="M891" s="634" t="s">
        <v>948</v>
      </c>
      <c r="N891" s="510" t="s">
        <v>1271</v>
      </c>
      <c r="O891" s="511">
        <v>34170</v>
      </c>
      <c r="P891" s="512">
        <v>27</v>
      </c>
      <c r="Q891" s="513">
        <v>178</v>
      </c>
      <c r="R891" s="514">
        <v>74</v>
      </c>
      <c r="S891" s="64"/>
      <c r="T891" s="297">
        <f t="shared" si="107"/>
        <v>0</v>
      </c>
      <c r="U891" s="518">
        <f t="shared" si="108"/>
        <v>0</v>
      </c>
      <c r="W891" s="1"/>
      <c r="X891" s="65"/>
    </row>
    <row r="892" spans="1:24" s="23" customFormat="1" ht="11.25" customHeight="1" x14ac:dyDescent="0.2">
      <c r="A892" s="765"/>
      <c r="C892" s="769"/>
      <c r="D892" s="60"/>
      <c r="F892" s="503">
        <f t="shared" si="101"/>
        <v>8.8600000000001511E-2</v>
      </c>
      <c r="G892" s="503">
        <f t="shared" si="106"/>
        <v>8.8600000000001511E-2</v>
      </c>
      <c r="H892" s="504" t="str">
        <f t="shared" si="109"/>
        <v>Franciaország</v>
      </c>
      <c r="I892" s="509" t="s">
        <v>387</v>
      </c>
      <c r="J892" s="509" t="s">
        <v>388</v>
      </c>
      <c r="K892" s="508">
        <v>24</v>
      </c>
      <c r="L892" s="509" t="s">
        <v>1339</v>
      </c>
      <c r="M892" s="634" t="s">
        <v>476</v>
      </c>
      <c r="N892" s="510" t="s">
        <v>502</v>
      </c>
      <c r="O892" s="511">
        <v>34591</v>
      </c>
      <c r="P892" s="512">
        <v>26</v>
      </c>
      <c r="Q892" s="513">
        <v>178</v>
      </c>
      <c r="R892" s="514">
        <v>64</v>
      </c>
      <c r="S892" s="64"/>
      <c r="T892" s="297">
        <f t="shared" si="107"/>
        <v>0</v>
      </c>
      <c r="U892" s="518">
        <f t="shared" si="108"/>
        <v>0</v>
      </c>
      <c r="W892" s="1"/>
      <c r="X892" s="65"/>
    </row>
    <row r="893" spans="1:24" s="23" customFormat="1" ht="11.25" customHeight="1" x14ac:dyDescent="0.2">
      <c r="A893" s="765"/>
      <c r="C893" s="769"/>
      <c r="D893" s="60"/>
      <c r="F893" s="503">
        <f t="shared" si="101"/>
        <v>8.8700000000001514E-2</v>
      </c>
      <c r="G893" s="503">
        <f t="shared" si="106"/>
        <v>8.8700000000001514E-2</v>
      </c>
      <c r="H893" s="504" t="str">
        <f t="shared" si="109"/>
        <v>Franciaország</v>
      </c>
      <c r="I893" s="509" t="s">
        <v>1001</v>
      </c>
      <c r="J893" s="509" t="s">
        <v>1002</v>
      </c>
      <c r="K893" s="508">
        <v>9</v>
      </c>
      <c r="L893" s="509" t="s">
        <v>1357</v>
      </c>
      <c r="M893" s="634" t="s">
        <v>794</v>
      </c>
      <c r="N893" s="510" t="s">
        <v>1271</v>
      </c>
      <c r="O893" s="511">
        <v>31685</v>
      </c>
      <c r="P893" s="512">
        <v>34</v>
      </c>
      <c r="Q893" s="513">
        <v>193</v>
      </c>
      <c r="R893" s="514">
        <v>92</v>
      </c>
      <c r="S893" s="64"/>
      <c r="T893" s="297">
        <f t="shared" si="107"/>
        <v>0</v>
      </c>
      <c r="U893" s="518">
        <f t="shared" si="108"/>
        <v>0</v>
      </c>
      <c r="W893" s="1"/>
      <c r="X893" s="65"/>
    </row>
    <row r="894" spans="1:24" s="23" customFormat="1" ht="11.25" customHeight="1" x14ac:dyDescent="0.2">
      <c r="A894" s="765"/>
      <c r="C894" s="769"/>
      <c r="D894" s="60"/>
      <c r="E894" s="66"/>
      <c r="F894" s="503">
        <f t="shared" si="101"/>
        <v>8.8800000000001517E-2</v>
      </c>
      <c r="G894" s="503">
        <f t="shared" si="106"/>
        <v>8.8800000000001517E-2</v>
      </c>
      <c r="H894" s="504" t="str">
        <f t="shared" si="109"/>
        <v>Franciaország</v>
      </c>
      <c r="I894" s="509" t="s">
        <v>1003</v>
      </c>
      <c r="J894" s="509" t="s">
        <v>1004</v>
      </c>
      <c r="K894" s="508">
        <v>7</v>
      </c>
      <c r="L894" s="509" t="s">
        <v>1357</v>
      </c>
      <c r="M894" s="634" t="s">
        <v>750</v>
      </c>
      <c r="N894" s="510" t="s">
        <v>500</v>
      </c>
      <c r="O894" s="511">
        <v>33318</v>
      </c>
      <c r="P894" s="512">
        <v>30</v>
      </c>
      <c r="Q894" s="513">
        <v>176</v>
      </c>
      <c r="R894" s="514">
        <v>73</v>
      </c>
      <c r="S894" s="64"/>
      <c r="T894" s="297">
        <f t="shared" si="107"/>
        <v>0</v>
      </c>
      <c r="U894" s="518">
        <f t="shared" si="108"/>
        <v>0</v>
      </c>
      <c r="W894" s="1"/>
      <c r="X894" s="65"/>
    </row>
    <row r="895" spans="1:24" s="23" customFormat="1" ht="11.25" customHeight="1" x14ac:dyDescent="0.2">
      <c r="A895" s="765"/>
      <c r="C895" s="769"/>
      <c r="D895" s="60"/>
      <c r="F895" s="503">
        <f t="shared" si="101"/>
        <v>8.8900000000001519E-2</v>
      </c>
      <c r="G895" s="503">
        <f t="shared" si="106"/>
        <v>8.8900000000001519E-2</v>
      </c>
      <c r="H895" s="504" t="str">
        <f t="shared" si="109"/>
        <v>Franciaország</v>
      </c>
      <c r="I895" s="509" t="s">
        <v>389</v>
      </c>
      <c r="J895" s="509" t="s">
        <v>499</v>
      </c>
      <c r="K895" s="508">
        <v>21</v>
      </c>
      <c r="L895" s="509" t="s">
        <v>1339</v>
      </c>
      <c r="M895" s="634" t="s">
        <v>749</v>
      </c>
      <c r="N895" s="510" t="s">
        <v>1270</v>
      </c>
      <c r="O895" s="511">
        <v>35109</v>
      </c>
      <c r="P895" s="512">
        <v>25</v>
      </c>
      <c r="Q895" s="513">
        <v>182</v>
      </c>
      <c r="R895" s="514">
        <v>76</v>
      </c>
      <c r="S895" s="64"/>
      <c r="T895" s="297">
        <f t="shared" si="107"/>
        <v>0</v>
      </c>
      <c r="U895" s="518">
        <f t="shared" si="108"/>
        <v>0</v>
      </c>
      <c r="W895" s="1"/>
      <c r="X895" s="65"/>
    </row>
    <row r="896" spans="1:24" s="23" customFormat="1" ht="11.25" customHeight="1" x14ac:dyDescent="0.2">
      <c r="A896" s="765"/>
      <c r="C896" s="769"/>
      <c r="D896" s="60"/>
      <c r="F896" s="503">
        <f t="shared" si="101"/>
        <v>8.9000000000001522E-2</v>
      </c>
      <c r="G896" s="503">
        <f t="shared" si="106"/>
        <v>8.9000000000001522E-2</v>
      </c>
      <c r="H896" s="504" t="str">
        <f t="shared" si="109"/>
        <v>Franciaország</v>
      </c>
      <c r="I896" s="509" t="s">
        <v>1053</v>
      </c>
      <c r="J896" s="509" t="s">
        <v>1054</v>
      </c>
      <c r="K896" s="508">
        <v>13</v>
      </c>
      <c r="L896" s="509" t="s">
        <v>703</v>
      </c>
      <c r="M896" s="634" t="s">
        <v>794</v>
      </c>
      <c r="N896" s="510" t="s">
        <v>1271</v>
      </c>
      <c r="O896" s="511">
        <v>33326</v>
      </c>
      <c r="P896" s="512">
        <v>30</v>
      </c>
      <c r="Q896" s="513">
        <v>168</v>
      </c>
      <c r="R896" s="514">
        <v>71</v>
      </c>
      <c r="S896" s="64"/>
      <c r="T896" s="297">
        <f t="shared" si="107"/>
        <v>0</v>
      </c>
      <c r="U896" s="518">
        <f t="shared" si="108"/>
        <v>0</v>
      </c>
      <c r="W896" s="1"/>
      <c r="X896" s="65"/>
    </row>
    <row r="897" spans="1:24" s="23" customFormat="1" ht="11.25" customHeight="1" x14ac:dyDescent="0.2">
      <c r="A897" s="765"/>
      <c r="C897" s="769"/>
      <c r="D897" s="60"/>
      <c r="F897" s="503">
        <f t="shared" si="101"/>
        <v>8.9100000000001525E-2</v>
      </c>
      <c r="G897" s="503">
        <f t="shared" si="106"/>
        <v>8.9100000000001525E-2</v>
      </c>
      <c r="H897" s="504" t="str">
        <f t="shared" si="109"/>
        <v>Franciaország</v>
      </c>
      <c r="I897" s="509" t="s">
        <v>390</v>
      </c>
      <c r="J897" s="509" t="s">
        <v>391</v>
      </c>
      <c r="K897" s="508">
        <v>3</v>
      </c>
      <c r="L897" s="509" t="s">
        <v>1339</v>
      </c>
      <c r="M897" s="634" t="s">
        <v>1387</v>
      </c>
      <c r="N897" s="510" t="s">
        <v>502</v>
      </c>
      <c r="O897" s="511">
        <v>34924</v>
      </c>
      <c r="P897" s="512">
        <v>25</v>
      </c>
      <c r="Q897" s="513">
        <v>183</v>
      </c>
      <c r="R897" s="514">
        <v>77</v>
      </c>
      <c r="S897" s="64"/>
      <c r="T897" s="297">
        <f t="shared" si="107"/>
        <v>0</v>
      </c>
      <c r="U897" s="518">
        <f t="shared" si="108"/>
        <v>0</v>
      </c>
      <c r="W897" s="1"/>
      <c r="X897" s="65"/>
    </row>
    <row r="898" spans="1:24" s="23" customFormat="1" ht="11.25" customHeight="1" x14ac:dyDescent="0.2">
      <c r="A898" s="765"/>
      <c r="C898" s="769"/>
      <c r="D898" s="60"/>
      <c r="F898" s="503">
        <f t="shared" si="101"/>
        <v>8.9200000000001528E-2</v>
      </c>
      <c r="G898" s="503">
        <f t="shared" si="106"/>
        <v>8.9200000000001528E-2</v>
      </c>
      <c r="H898" s="504" t="str">
        <f t="shared" si="109"/>
        <v>Franciaország</v>
      </c>
      <c r="I898" s="509" t="s">
        <v>1851</v>
      </c>
      <c r="J898" s="509" t="s">
        <v>1852</v>
      </c>
      <c r="K898" s="508">
        <v>25</v>
      </c>
      <c r="L898" s="509" t="s">
        <v>1339</v>
      </c>
      <c r="M898" s="634" t="s">
        <v>847</v>
      </c>
      <c r="N898" s="510" t="s">
        <v>500</v>
      </c>
      <c r="O898" s="511">
        <v>36111</v>
      </c>
      <c r="P898" s="512">
        <v>22</v>
      </c>
      <c r="Q898" s="513">
        <v>178</v>
      </c>
      <c r="R898" s="514">
        <v>70</v>
      </c>
      <c r="S898" s="64"/>
      <c r="T898" s="297">
        <f t="shared" si="107"/>
        <v>0</v>
      </c>
      <c r="U898" s="518">
        <f t="shared" si="108"/>
        <v>0</v>
      </c>
      <c r="W898" s="1"/>
      <c r="X898" s="65"/>
    </row>
    <row r="899" spans="1:24" s="23" customFormat="1" ht="11.25" customHeight="1" x14ac:dyDescent="0.2">
      <c r="A899" s="765"/>
      <c r="C899" s="769"/>
      <c r="D899" s="60"/>
      <c r="F899" s="503">
        <f t="shared" si="101"/>
        <v>8.9300000000001531E-2</v>
      </c>
      <c r="G899" s="503">
        <f t="shared" si="106"/>
        <v>8.9300000000001531E-2</v>
      </c>
      <c r="H899" s="504" t="str">
        <f t="shared" si="109"/>
        <v>Franciaország</v>
      </c>
      <c r="I899" s="509" t="s">
        <v>1853</v>
      </c>
      <c r="J899" s="509" t="s">
        <v>1089</v>
      </c>
      <c r="K899" s="508">
        <v>8</v>
      </c>
      <c r="L899" s="509" t="s">
        <v>703</v>
      </c>
      <c r="M899" s="634" t="s">
        <v>863</v>
      </c>
      <c r="N899" s="510" t="s">
        <v>500</v>
      </c>
      <c r="O899" s="511">
        <v>35015</v>
      </c>
      <c r="P899" s="512">
        <v>25</v>
      </c>
      <c r="Q899" s="513">
        <v>170</v>
      </c>
      <c r="R899" s="514">
        <v>58</v>
      </c>
      <c r="S899" s="64"/>
      <c r="T899" s="297">
        <f t="shared" si="107"/>
        <v>0</v>
      </c>
      <c r="U899" s="518">
        <f t="shared" si="108"/>
        <v>0</v>
      </c>
      <c r="W899" s="1"/>
      <c r="X899" s="65"/>
    </row>
    <row r="900" spans="1:24" s="23" customFormat="1" ht="11.25" customHeight="1" x14ac:dyDescent="0.2">
      <c r="A900" s="765"/>
      <c r="C900" s="769"/>
      <c r="D900" s="60"/>
      <c r="F900" s="503">
        <f t="shared" si="101"/>
        <v>8.9400000000001534E-2</v>
      </c>
      <c r="G900" s="503">
        <f t="shared" si="106"/>
        <v>8.9400000000001534E-2</v>
      </c>
      <c r="H900" s="504" t="str">
        <f t="shared" si="109"/>
        <v>Franciaország</v>
      </c>
      <c r="I900" s="509" t="s">
        <v>393</v>
      </c>
      <c r="J900" s="509" t="s">
        <v>394</v>
      </c>
      <c r="K900" s="508">
        <v>5</v>
      </c>
      <c r="L900" s="509" t="s">
        <v>1339</v>
      </c>
      <c r="M900" s="634" t="s">
        <v>750</v>
      </c>
      <c r="N900" s="510" t="s">
        <v>500</v>
      </c>
      <c r="O900" s="511">
        <v>34867</v>
      </c>
      <c r="P900" s="512">
        <v>25</v>
      </c>
      <c r="Q900" s="513">
        <v>186</v>
      </c>
      <c r="R900" s="514">
        <v>81</v>
      </c>
      <c r="S900" s="64"/>
      <c r="T900" s="297">
        <f t="shared" si="107"/>
        <v>0</v>
      </c>
      <c r="U900" s="518">
        <f t="shared" si="108"/>
        <v>0</v>
      </c>
      <c r="W900" s="1"/>
      <c r="X900" s="65"/>
    </row>
    <row r="901" spans="1:24" s="23" customFormat="1" ht="11.25" customHeight="1" x14ac:dyDescent="0.2">
      <c r="A901" s="765"/>
      <c r="C901" s="769"/>
      <c r="D901" s="60"/>
      <c r="F901" s="503">
        <f t="shared" si="101"/>
        <v>8.9500000000001537E-2</v>
      </c>
      <c r="G901" s="503">
        <f t="shared" si="106"/>
        <v>8.9500000000001537E-2</v>
      </c>
      <c r="H901" s="504" t="str">
        <f t="shared" si="109"/>
        <v>Franciaország</v>
      </c>
      <c r="I901" s="509" t="s">
        <v>1005</v>
      </c>
      <c r="J901" s="509" t="s">
        <v>1006</v>
      </c>
      <c r="K901" s="508">
        <v>1</v>
      </c>
      <c r="L901" s="509" t="s">
        <v>704</v>
      </c>
      <c r="M901" s="634" t="s">
        <v>816</v>
      </c>
      <c r="N901" s="510" t="s">
        <v>1271</v>
      </c>
      <c r="O901" s="511">
        <v>31772</v>
      </c>
      <c r="P901" s="512">
        <v>34</v>
      </c>
      <c r="Q901" s="513">
        <v>188</v>
      </c>
      <c r="R901" s="514">
        <v>82</v>
      </c>
      <c r="S901" s="64"/>
      <c r="T901" s="297">
        <f t="shared" si="107"/>
        <v>0</v>
      </c>
      <c r="U901" s="518">
        <f t="shared" si="108"/>
        <v>0</v>
      </c>
      <c r="W901" s="1"/>
      <c r="X901" s="65"/>
    </row>
    <row r="902" spans="1:24" s="23" customFormat="1" ht="11.25" customHeight="1" x14ac:dyDescent="0.2">
      <c r="A902" s="765"/>
      <c r="C902" s="769"/>
      <c r="D902" s="60"/>
      <c r="F902" s="503">
        <f t="shared" si="101"/>
        <v>8.960000000000154E-2</v>
      </c>
      <c r="G902" s="503">
        <f t="shared" si="106"/>
        <v>8.960000000000154E-2</v>
      </c>
      <c r="H902" s="504" t="str">
        <f t="shared" si="109"/>
        <v>Franciaország</v>
      </c>
      <c r="I902" s="509" t="s">
        <v>395</v>
      </c>
      <c r="J902" s="509" t="s">
        <v>396</v>
      </c>
      <c r="K902" s="508">
        <v>23</v>
      </c>
      <c r="L902" s="509" t="s">
        <v>704</v>
      </c>
      <c r="M902" s="634" t="s">
        <v>1345</v>
      </c>
      <c r="N902" s="510" t="s">
        <v>502</v>
      </c>
      <c r="O902" s="511">
        <v>34883</v>
      </c>
      <c r="P902" s="512">
        <v>25</v>
      </c>
      <c r="Q902" s="513">
        <v>191</v>
      </c>
      <c r="R902" s="514">
        <v>91</v>
      </c>
      <c r="S902" s="64"/>
      <c r="T902" s="297">
        <f t="shared" si="107"/>
        <v>0</v>
      </c>
      <c r="U902" s="518">
        <f t="shared" si="108"/>
        <v>0</v>
      </c>
      <c r="W902" s="1"/>
      <c r="X902" s="65"/>
    </row>
    <row r="903" spans="1:24" s="23" customFormat="1" ht="11.25" customHeight="1" x14ac:dyDescent="0.2">
      <c r="A903" s="765"/>
      <c r="C903" s="769"/>
      <c r="D903" s="60"/>
      <c r="F903" s="503">
        <f t="shared" si="101"/>
        <v>8.9700000000001542E-2</v>
      </c>
      <c r="G903" s="503">
        <f t="shared" si="106"/>
        <v>8.9700000000001542E-2</v>
      </c>
      <c r="H903" s="504" t="str">
        <f t="shared" si="109"/>
        <v>Franciaország</v>
      </c>
      <c r="I903" s="509" t="s">
        <v>477</v>
      </c>
      <c r="J903" s="509" t="s">
        <v>995</v>
      </c>
      <c r="K903" s="508">
        <v>16</v>
      </c>
      <c r="L903" s="509" t="s">
        <v>704</v>
      </c>
      <c r="M903" s="634" t="s">
        <v>96</v>
      </c>
      <c r="N903" s="510" t="s">
        <v>502</v>
      </c>
      <c r="O903" s="511">
        <v>31134</v>
      </c>
      <c r="P903" s="512">
        <v>36</v>
      </c>
      <c r="Q903" s="513">
        <v>185</v>
      </c>
      <c r="R903" s="514">
        <v>82</v>
      </c>
      <c r="S903" s="64"/>
      <c r="T903" s="297">
        <f t="shared" si="107"/>
        <v>0</v>
      </c>
      <c r="U903" s="518">
        <f t="shared" si="108"/>
        <v>0</v>
      </c>
      <c r="W903" s="1"/>
      <c r="X903" s="65"/>
    </row>
    <row r="904" spans="1:24" s="23" customFormat="1" ht="11.25" customHeight="1" x14ac:dyDescent="0.2">
      <c r="A904" s="765"/>
      <c r="C904" s="769"/>
      <c r="D904" s="60"/>
      <c r="F904" s="503">
        <f t="shared" si="101"/>
        <v>8.9800000000001545E-2</v>
      </c>
      <c r="G904" s="503">
        <f t="shared" si="106"/>
        <v>8.9800000000001545E-2</v>
      </c>
      <c r="H904" s="504" t="str">
        <f t="shared" si="109"/>
        <v>Franciaország</v>
      </c>
      <c r="I904" s="509" t="s">
        <v>397</v>
      </c>
      <c r="J904" s="509" t="s">
        <v>398</v>
      </c>
      <c r="K904" s="508">
        <v>10</v>
      </c>
      <c r="L904" s="509" t="s">
        <v>1357</v>
      </c>
      <c r="M904" s="634" t="s">
        <v>1387</v>
      </c>
      <c r="N904" s="510" t="s">
        <v>502</v>
      </c>
      <c r="O904" s="511">
        <v>36149</v>
      </c>
      <c r="P904" s="512">
        <v>22</v>
      </c>
      <c r="Q904" s="513">
        <v>178</v>
      </c>
      <c r="R904" s="514">
        <v>73</v>
      </c>
      <c r="S904" s="64"/>
      <c r="T904" s="297">
        <f t="shared" si="107"/>
        <v>0</v>
      </c>
      <c r="U904" s="518">
        <f t="shared" si="108"/>
        <v>0</v>
      </c>
      <c r="W904" s="1"/>
      <c r="X904" s="65"/>
    </row>
    <row r="905" spans="1:24" s="23" customFormat="1" ht="11.25" customHeight="1" x14ac:dyDescent="0.2">
      <c r="A905" s="765"/>
      <c r="C905" s="769"/>
      <c r="D905" s="60"/>
      <c r="F905" s="503">
        <f t="shared" ref="F905:F965" si="110">F904+0.0001</f>
        <v>8.9900000000001548E-2</v>
      </c>
      <c r="G905" s="503">
        <f t="shared" si="106"/>
        <v>8.9900000000001548E-2</v>
      </c>
      <c r="H905" s="504" t="str">
        <f t="shared" si="109"/>
        <v>Franciaország</v>
      </c>
      <c r="I905" s="509" t="s">
        <v>399</v>
      </c>
      <c r="J905" s="509" t="s">
        <v>0</v>
      </c>
      <c r="K905" s="508">
        <v>2</v>
      </c>
      <c r="L905" s="509" t="s">
        <v>1339</v>
      </c>
      <c r="M905" s="634" t="s">
        <v>749</v>
      </c>
      <c r="N905" s="510" t="s">
        <v>502</v>
      </c>
      <c r="O905" s="511">
        <v>35152</v>
      </c>
      <c r="P905" s="512">
        <v>25</v>
      </c>
      <c r="Q905" s="513">
        <v>186</v>
      </c>
      <c r="R905" s="514">
        <v>76</v>
      </c>
      <c r="S905" s="64"/>
      <c r="T905" s="297">
        <f t="shared" si="107"/>
        <v>0</v>
      </c>
      <c r="U905" s="518">
        <f t="shared" si="108"/>
        <v>0</v>
      </c>
      <c r="W905" s="1"/>
      <c r="X905" s="65"/>
    </row>
    <row r="906" spans="1:24" s="23" customFormat="1" ht="11.25" customHeight="1" x14ac:dyDescent="0.2">
      <c r="A906" s="765"/>
      <c r="C906" s="769"/>
      <c r="D906" s="60"/>
      <c r="F906" s="503">
        <f t="shared" si="110"/>
        <v>9.0000000000001551E-2</v>
      </c>
      <c r="G906" s="503">
        <f t="shared" si="106"/>
        <v>9.0000000000001551E-2</v>
      </c>
      <c r="H906" s="504" t="str">
        <f t="shared" si="109"/>
        <v>Franciaország</v>
      </c>
      <c r="I906" s="509" t="s">
        <v>1007</v>
      </c>
      <c r="J906" s="509" t="s">
        <v>850</v>
      </c>
      <c r="K906" s="508">
        <v>6</v>
      </c>
      <c r="L906" s="509" t="s">
        <v>703</v>
      </c>
      <c r="M906" s="634" t="s">
        <v>853</v>
      </c>
      <c r="N906" s="510" t="s">
        <v>1271</v>
      </c>
      <c r="O906" s="511">
        <v>34043</v>
      </c>
      <c r="P906" s="512">
        <v>28</v>
      </c>
      <c r="Q906" s="513">
        <v>191</v>
      </c>
      <c r="R906" s="514">
        <v>84</v>
      </c>
      <c r="S906" s="64"/>
      <c r="T906" s="297">
        <f t="shared" si="107"/>
        <v>0</v>
      </c>
      <c r="U906" s="518">
        <f t="shared" si="108"/>
        <v>0</v>
      </c>
      <c r="W906" s="1"/>
      <c r="X906" s="65"/>
    </row>
    <row r="907" spans="1:24" s="23" customFormat="1" ht="11.25" customHeight="1" x14ac:dyDescent="0.2">
      <c r="A907" s="765"/>
      <c r="C907" s="769"/>
      <c r="D907" s="60"/>
      <c r="F907" s="503">
        <f t="shared" si="110"/>
        <v>9.0100000000001554E-2</v>
      </c>
      <c r="G907" s="503">
        <f t="shared" si="106"/>
        <v>9.0100000000001554E-2</v>
      </c>
      <c r="H907" s="504" t="str">
        <f t="shared" si="109"/>
        <v>Franciaország</v>
      </c>
      <c r="I907" s="509" t="s">
        <v>400</v>
      </c>
      <c r="J907" s="509" t="s">
        <v>620</v>
      </c>
      <c r="K907" s="508">
        <v>14</v>
      </c>
      <c r="L907" s="509" t="s">
        <v>703</v>
      </c>
      <c r="M907" s="634" t="s">
        <v>917</v>
      </c>
      <c r="N907" s="510" t="s">
        <v>501</v>
      </c>
      <c r="O907" s="511">
        <v>34792</v>
      </c>
      <c r="P907" s="512">
        <v>26</v>
      </c>
      <c r="Q907" s="513">
        <v>188</v>
      </c>
      <c r="R907" s="514">
        <v>71</v>
      </c>
      <c r="S907" s="64"/>
      <c r="T907" s="297">
        <f t="shared" si="107"/>
        <v>0</v>
      </c>
      <c r="U907" s="518">
        <f t="shared" si="108"/>
        <v>0</v>
      </c>
      <c r="W907" s="1"/>
      <c r="X907" s="65"/>
    </row>
    <row r="908" spans="1:24" s="23" customFormat="1" ht="11.25" customHeight="1" x14ac:dyDescent="0.2">
      <c r="A908" s="765"/>
      <c r="C908" s="769"/>
      <c r="D908" s="60"/>
      <c r="F908" s="503">
        <f t="shared" si="110"/>
        <v>9.0200000000001557E-2</v>
      </c>
      <c r="G908" s="503">
        <f t="shared" si="106"/>
        <v>9.0200000000001557E-2</v>
      </c>
      <c r="H908" s="504" t="str">
        <f t="shared" si="109"/>
        <v>Franciaország</v>
      </c>
      <c r="I908" s="509" t="s">
        <v>1008</v>
      </c>
      <c r="J908" s="509" t="s">
        <v>1009</v>
      </c>
      <c r="K908" s="508">
        <v>17</v>
      </c>
      <c r="L908" s="509" t="s">
        <v>703</v>
      </c>
      <c r="M908" s="634" t="s">
        <v>816</v>
      </c>
      <c r="N908" s="510" t="s">
        <v>1271</v>
      </c>
      <c r="O908" s="511">
        <v>32736</v>
      </c>
      <c r="P908" s="512">
        <v>31</v>
      </c>
      <c r="Q908" s="513">
        <v>187</v>
      </c>
      <c r="R908" s="514">
        <v>91</v>
      </c>
      <c r="S908" s="64"/>
      <c r="T908" s="297">
        <f t="shared" si="107"/>
        <v>0</v>
      </c>
      <c r="U908" s="518">
        <f t="shared" si="108"/>
        <v>0</v>
      </c>
      <c r="W908" s="1"/>
      <c r="X908" s="65"/>
    </row>
    <row r="909" spans="1:24" s="23" customFormat="1" ht="11.25" customHeight="1" x14ac:dyDescent="0.2">
      <c r="A909" s="765"/>
      <c r="C909" s="769"/>
      <c r="D909" s="60"/>
      <c r="F909" s="503">
        <f t="shared" si="110"/>
        <v>9.030000000000156E-2</v>
      </c>
      <c r="G909" s="503">
        <f t="shared" si="106"/>
        <v>9.030000000000156E-2</v>
      </c>
      <c r="H909" s="504" t="str">
        <f t="shared" si="109"/>
        <v>Franciaország</v>
      </c>
      <c r="I909" s="509" t="s">
        <v>1854</v>
      </c>
      <c r="J909" s="509" t="s">
        <v>1159</v>
      </c>
      <c r="K909" s="508">
        <v>26</v>
      </c>
      <c r="L909" s="509" t="s">
        <v>1357</v>
      </c>
      <c r="M909" s="634" t="s">
        <v>1855</v>
      </c>
      <c r="N909" s="510" t="s">
        <v>1270</v>
      </c>
      <c r="O909" s="511">
        <v>35648</v>
      </c>
      <c r="P909" s="512">
        <v>23</v>
      </c>
      <c r="Q909" s="513">
        <v>192</v>
      </c>
      <c r="R909" s="514">
        <v>79</v>
      </c>
      <c r="S909" s="64"/>
      <c r="T909" s="297">
        <f t="shared" si="107"/>
        <v>0</v>
      </c>
      <c r="U909" s="518">
        <f t="shared" si="108"/>
        <v>0</v>
      </c>
      <c r="W909" s="640"/>
      <c r="X909" s="65"/>
    </row>
    <row r="910" spans="1:24" s="23" customFormat="1" ht="11.25" customHeight="1" x14ac:dyDescent="0.2">
      <c r="A910" s="765"/>
      <c r="C910" s="769"/>
      <c r="D910" s="60"/>
      <c r="F910" s="503">
        <f t="shared" si="110"/>
        <v>9.0400000000001562E-2</v>
      </c>
      <c r="G910" s="503">
        <f t="shared" si="106"/>
        <v>9.0400000000001562E-2</v>
      </c>
      <c r="H910" s="504" t="str">
        <f t="shared" si="109"/>
        <v>Franciaország</v>
      </c>
      <c r="I910" s="509" t="s">
        <v>1856</v>
      </c>
      <c r="J910" s="509" t="s">
        <v>1857</v>
      </c>
      <c r="K910" s="508">
        <v>12</v>
      </c>
      <c r="L910" s="509" t="s">
        <v>703</v>
      </c>
      <c r="M910" s="634" t="s">
        <v>749</v>
      </c>
      <c r="N910" s="510" t="s">
        <v>1270</v>
      </c>
      <c r="O910" s="511">
        <v>34549</v>
      </c>
      <c r="P910" s="512">
        <v>26</v>
      </c>
      <c r="Q910" s="513">
        <v>181</v>
      </c>
      <c r="R910" s="514">
        <v>81</v>
      </c>
      <c r="S910" s="64"/>
      <c r="T910" s="297">
        <f t="shared" si="107"/>
        <v>0</v>
      </c>
      <c r="U910" s="518">
        <f t="shared" si="108"/>
        <v>0</v>
      </c>
      <c r="W910" s="640"/>
      <c r="X910" s="65"/>
    </row>
    <row r="911" spans="1:24" s="23" customFormat="1" ht="11.25" customHeight="1" x14ac:dyDescent="0.2">
      <c r="A911" s="765"/>
      <c r="C911" s="769"/>
      <c r="D911" s="60"/>
      <c r="F911" s="503">
        <f t="shared" si="110"/>
        <v>9.0500000000001565E-2</v>
      </c>
      <c r="G911" s="503">
        <f t="shared" si="106"/>
        <v>9.0500000000001565E-2</v>
      </c>
      <c r="H911" s="504" t="str">
        <f t="shared" si="109"/>
        <v>Franciaország</v>
      </c>
      <c r="I911" s="509" t="s">
        <v>1858</v>
      </c>
      <c r="J911" s="509" t="s">
        <v>375</v>
      </c>
      <c r="K911" s="508">
        <v>4</v>
      </c>
      <c r="L911" s="509" t="s">
        <v>1339</v>
      </c>
      <c r="M911" s="634" t="s">
        <v>747</v>
      </c>
      <c r="N911" s="510" t="s">
        <v>500</v>
      </c>
      <c r="O911" s="511">
        <v>34084</v>
      </c>
      <c r="P911" s="512">
        <v>28</v>
      </c>
      <c r="Q911" s="513">
        <v>191</v>
      </c>
      <c r="R911" s="514">
        <v>81</v>
      </c>
      <c r="S911" s="64"/>
      <c r="T911" s="297">
        <f t="shared" si="107"/>
        <v>0</v>
      </c>
      <c r="U911" s="518">
        <f t="shared" si="108"/>
        <v>0</v>
      </c>
      <c r="W911" s="640"/>
      <c r="X911" s="65"/>
    </row>
    <row r="912" spans="1:24" s="23" customFormat="1" ht="11.25" customHeight="1" x14ac:dyDescent="0.2">
      <c r="A912" s="765"/>
      <c r="C912" s="769"/>
      <c r="D912" s="60"/>
      <c r="F912" s="503">
        <f t="shared" si="110"/>
        <v>9.0600000000001568E-2</v>
      </c>
      <c r="G912" s="503">
        <f t="shared" si="106"/>
        <v>9.0600000000001568E-2</v>
      </c>
      <c r="H912" s="504" t="str">
        <f t="shared" si="109"/>
        <v>Franciaország</v>
      </c>
      <c r="I912" s="555" t="s">
        <v>1859</v>
      </c>
      <c r="J912" s="555" t="s">
        <v>1860</v>
      </c>
      <c r="K912" s="554">
        <v>15</v>
      </c>
      <c r="L912" s="555" t="s">
        <v>1339</v>
      </c>
      <c r="M912" s="635" t="s">
        <v>794</v>
      </c>
      <c r="N912" s="556" t="s">
        <v>1271</v>
      </c>
      <c r="O912" s="557">
        <v>34634</v>
      </c>
      <c r="P912" s="558">
        <v>26</v>
      </c>
      <c r="Q912" s="559">
        <v>190</v>
      </c>
      <c r="R912" s="560">
        <v>95</v>
      </c>
      <c r="S912" s="64"/>
      <c r="T912" s="297">
        <f t="shared" si="107"/>
        <v>0</v>
      </c>
      <c r="U912" s="518">
        <f t="shared" si="108"/>
        <v>0</v>
      </c>
      <c r="W912" s="640"/>
      <c r="X912" s="65"/>
    </row>
    <row r="913" spans="1:24" s="23" customFormat="1" ht="9.75" hidden="1" customHeight="1" x14ac:dyDescent="0.2">
      <c r="A913" s="765"/>
      <c r="C913" s="769"/>
      <c r="D913" s="60"/>
      <c r="F913" s="503">
        <f t="shared" si="110"/>
        <v>9.0700000000001571E-2</v>
      </c>
      <c r="G913" s="503">
        <f t="shared" si="106"/>
        <v>0</v>
      </c>
      <c r="H913" s="504" t="str">
        <f t="shared" si="109"/>
        <v>Franciaország</v>
      </c>
      <c r="I913" s="61"/>
      <c r="J913" s="61"/>
      <c r="K913" s="295"/>
      <c r="L913" s="61"/>
      <c r="M913" s="633"/>
      <c r="N913" s="256"/>
      <c r="O913" s="62"/>
      <c r="P913" s="253"/>
      <c r="Q913" s="63"/>
      <c r="R913" s="252"/>
      <c r="S913" s="64"/>
      <c r="T913" s="297" t="str">
        <f t="shared" si="107"/>
        <v/>
      </c>
      <c r="U913" s="518" t="str">
        <f t="shared" si="108"/>
        <v/>
      </c>
      <c r="W913" s="640"/>
      <c r="X913" s="65"/>
    </row>
    <row r="914" spans="1:24" s="23" customFormat="1" ht="9.75" hidden="1" customHeight="1" x14ac:dyDescent="0.2">
      <c r="A914" s="765"/>
      <c r="C914" s="769"/>
      <c r="D914" s="60"/>
      <c r="F914" s="503">
        <f t="shared" si="110"/>
        <v>9.0800000000001574E-2</v>
      </c>
      <c r="G914" s="503">
        <f t="shared" si="106"/>
        <v>0</v>
      </c>
      <c r="H914" s="504" t="str">
        <f t="shared" si="109"/>
        <v>Franciaország</v>
      </c>
      <c r="I914" s="61"/>
      <c r="J914" s="61"/>
      <c r="K914" s="295"/>
      <c r="L914" s="61"/>
      <c r="M914" s="633"/>
      <c r="N914" s="256"/>
      <c r="O914" s="62"/>
      <c r="P914" s="253"/>
      <c r="Q914" s="63"/>
      <c r="R914" s="252"/>
      <c r="S914" s="64"/>
      <c r="T914" s="297" t="str">
        <f t="shared" si="107"/>
        <v/>
      </c>
      <c r="U914" s="518" t="str">
        <f t="shared" si="108"/>
        <v/>
      </c>
      <c r="W914" s="640"/>
      <c r="X914" s="65"/>
    </row>
    <row r="915" spans="1:24" s="23" customFormat="1" ht="9.75" hidden="1" customHeight="1" x14ac:dyDescent="0.2">
      <c r="A915" s="765"/>
      <c r="C915" s="769"/>
      <c r="D915" s="60"/>
      <c r="F915" s="503">
        <f t="shared" si="110"/>
        <v>9.0900000000001577E-2</v>
      </c>
      <c r="G915" s="503">
        <f t="shared" si="106"/>
        <v>0</v>
      </c>
      <c r="H915" s="504" t="str">
        <f t="shared" si="109"/>
        <v>Franciaország</v>
      </c>
      <c r="I915" s="61"/>
      <c r="J915" s="61"/>
      <c r="K915" s="295"/>
      <c r="L915" s="61"/>
      <c r="M915" s="633"/>
      <c r="N915" s="256"/>
      <c r="O915" s="62"/>
      <c r="P915" s="253"/>
      <c r="Q915" s="63"/>
      <c r="R915" s="252"/>
      <c r="S915" s="64"/>
      <c r="T915" s="297" t="str">
        <f t="shared" si="107"/>
        <v/>
      </c>
      <c r="U915" s="518" t="str">
        <f t="shared" si="108"/>
        <v/>
      </c>
      <c r="W915" s="640"/>
      <c r="X915" s="65"/>
    </row>
    <row r="916" spans="1:24" s="23" customFormat="1" ht="9.75" hidden="1" customHeight="1" x14ac:dyDescent="0.2">
      <c r="A916" s="765"/>
      <c r="C916" s="769"/>
      <c r="D916" s="60"/>
      <c r="F916" s="503">
        <f t="shared" si="110"/>
        <v>9.100000000000158E-2</v>
      </c>
      <c r="G916" s="503">
        <f t="shared" si="106"/>
        <v>0</v>
      </c>
      <c r="H916" s="504" t="str">
        <f t="shared" si="109"/>
        <v>Franciaország</v>
      </c>
      <c r="I916" s="61"/>
      <c r="J916" s="61"/>
      <c r="K916" s="295"/>
      <c r="L916" s="61"/>
      <c r="M916" s="633"/>
      <c r="N916" s="256"/>
      <c r="O916" s="62"/>
      <c r="P916" s="253"/>
      <c r="Q916" s="63"/>
      <c r="R916" s="252"/>
      <c r="S916" s="64"/>
      <c r="T916" s="297" t="str">
        <f t="shared" si="107"/>
        <v/>
      </c>
      <c r="U916" s="518" t="str">
        <f t="shared" si="108"/>
        <v/>
      </c>
      <c r="W916" s="640"/>
      <c r="X916" s="65"/>
    </row>
    <row r="917" spans="1:24" s="23" customFormat="1" ht="4.5" customHeight="1" x14ac:dyDescent="0.25">
      <c r="A917" s="765"/>
      <c r="C917" s="769"/>
      <c r="D917" s="60"/>
      <c r="F917" s="503">
        <f t="shared" si="110"/>
        <v>9.1100000000001582E-2</v>
      </c>
      <c r="G917" s="503"/>
      <c r="H917" s="505"/>
      <c r="I917" s="67"/>
      <c r="J917" s="67"/>
      <c r="K917" s="22"/>
      <c r="L917" s="67"/>
      <c r="M917" s="22"/>
      <c r="N917" s="68"/>
      <c r="O917" s="67"/>
      <c r="P917" s="69"/>
      <c r="Q917" s="70"/>
      <c r="R917" s="71"/>
      <c r="S917" s="71"/>
      <c r="T917" s="298"/>
      <c r="U917" s="299"/>
      <c r="W917" s="641"/>
      <c r="X917" s="67"/>
    </row>
    <row r="918" spans="1:24" s="21" customFormat="1" ht="9.75" customHeight="1" x14ac:dyDescent="0.2">
      <c r="A918" s="765"/>
      <c r="C918" s="769"/>
      <c r="D918" s="60"/>
      <c r="F918" s="503">
        <f t="shared" si="110"/>
        <v>9.1200000000001585E-2</v>
      </c>
      <c r="G918" s="503"/>
      <c r="H918" s="303"/>
      <c r="I918" s="74" t="s">
        <v>542</v>
      </c>
      <c r="J918" s="75" t="s">
        <v>687</v>
      </c>
      <c r="K918" s="75"/>
      <c r="L918" s="75"/>
      <c r="M918" s="636"/>
      <c r="N918" s="76"/>
      <c r="O918" s="74" t="s">
        <v>495</v>
      </c>
      <c r="P918" s="254">
        <f>AVERAGE(P887:P916)</f>
        <v>27.307692307692307</v>
      </c>
      <c r="Q918" s="77">
        <f>AVERAGE(Q887:Q916)</f>
        <v>182.84615384615384</v>
      </c>
      <c r="R918" s="255">
        <f>AVERAGE(R887:R916)</f>
        <v>77.34615384615384</v>
      </c>
      <c r="S918" s="78"/>
      <c r="T918" s="297">
        <f>SUM(T887:T916)</f>
        <v>0</v>
      </c>
      <c r="U918" s="518">
        <f>SUM(U887:U916)</f>
        <v>0</v>
      </c>
      <c r="W918" s="642" t="s">
        <v>879</v>
      </c>
      <c r="X918" s="79"/>
    </row>
    <row r="919" spans="1:24" ht="9.75" customHeight="1" x14ac:dyDescent="0.3">
      <c r="A919" s="765"/>
      <c r="F919" s="503">
        <f t="shared" si="110"/>
        <v>9.1300000000001588E-2</v>
      </c>
      <c r="G919" s="503"/>
    </row>
    <row r="920" spans="1:24" ht="9.75" customHeight="1" x14ac:dyDescent="0.3">
      <c r="A920" s="765"/>
      <c r="F920" s="503">
        <f t="shared" si="110"/>
        <v>9.1400000000001591E-2</v>
      </c>
      <c r="G920" s="503"/>
    </row>
    <row r="921" spans="1:24" ht="9.75" customHeight="1" x14ac:dyDescent="0.3">
      <c r="A921" s="765"/>
      <c r="F921" s="503">
        <f t="shared" si="110"/>
        <v>9.1500000000001594E-2</v>
      </c>
      <c r="G921" s="503"/>
    </row>
    <row r="922" spans="1:24" ht="9.75" customHeight="1" x14ac:dyDescent="0.3">
      <c r="A922" s="765"/>
      <c r="F922" s="503">
        <f t="shared" si="110"/>
        <v>9.1600000000001597E-2</v>
      </c>
    </row>
    <row r="923" spans="1:24" ht="9.75" customHeight="1" x14ac:dyDescent="0.3">
      <c r="A923" s="765"/>
      <c r="F923" s="503">
        <f t="shared" si="110"/>
        <v>9.17000000000016E-2</v>
      </c>
    </row>
    <row r="924" spans="1:24" ht="9.75" customHeight="1" x14ac:dyDescent="0.3">
      <c r="A924" s="765"/>
      <c r="F924" s="503">
        <f t="shared" si="110"/>
        <v>9.1800000000001603E-2</v>
      </c>
    </row>
    <row r="925" spans="1:24" ht="9.75" customHeight="1" x14ac:dyDescent="0.3">
      <c r="A925" s="765"/>
      <c r="F925" s="503">
        <f t="shared" si="110"/>
        <v>9.1900000000001605E-2</v>
      </c>
    </row>
    <row r="926" spans="1:24" s="23" customFormat="1" ht="5.25" customHeight="1" x14ac:dyDescent="0.2">
      <c r="A926" s="765"/>
      <c r="C926" s="21"/>
      <c r="F926" s="503">
        <f t="shared" si="110"/>
        <v>9.2000000000001608E-2</v>
      </c>
      <c r="G926" s="506"/>
      <c r="H926" s="502"/>
      <c r="I926" s="55"/>
      <c r="J926" s="55"/>
      <c r="K926" s="56"/>
      <c r="L926" s="55"/>
      <c r="M926" s="56"/>
      <c r="N926" s="57"/>
      <c r="O926" s="57"/>
      <c r="P926" s="55"/>
      <c r="Q926" s="57"/>
      <c r="R926" s="57"/>
      <c r="S926" s="57"/>
      <c r="T926" s="58"/>
      <c r="U926" s="59"/>
      <c r="W926" s="639"/>
      <c r="X926" s="55"/>
    </row>
    <row r="927" spans="1:24" s="23" customFormat="1" ht="11.25" customHeight="1" x14ac:dyDescent="0.2">
      <c r="A927" s="765"/>
      <c r="C927" s="769" t="str">
        <f>UPPER(H927)&amp;"    ."</f>
        <v>NÉMETORSZÁG    .</v>
      </c>
      <c r="D927" s="60"/>
      <c r="F927" s="503">
        <f t="shared" si="110"/>
        <v>9.2100000000001611E-2</v>
      </c>
      <c r="G927" s="503">
        <f t="shared" ref="G927:G956" si="111">IF(I927="",0,T927+F927)</f>
        <v>9.2100000000001611E-2</v>
      </c>
      <c r="H927" s="504" t="str">
        <f>Adatok!F5</f>
        <v>Németország</v>
      </c>
      <c r="I927" s="61" t="s">
        <v>1085</v>
      </c>
      <c r="J927" s="61" t="s">
        <v>1086</v>
      </c>
      <c r="K927" s="295">
        <v>23</v>
      </c>
      <c r="L927" s="61" t="s">
        <v>703</v>
      </c>
      <c r="M927" s="633" t="s">
        <v>926</v>
      </c>
      <c r="N927" s="256" t="s">
        <v>1270</v>
      </c>
      <c r="O927" s="62">
        <v>34346</v>
      </c>
      <c r="P927" s="253">
        <v>27</v>
      </c>
      <c r="Q927" s="63">
        <v>184</v>
      </c>
      <c r="R927" s="252">
        <v>82</v>
      </c>
      <c r="S927" s="64"/>
      <c r="T927" s="297">
        <f t="shared" ref="T927:T956" si="112">IF(I927="","",COUNTIF(nevek.s,CONCATENATE(H927,I927)))</f>
        <v>0</v>
      </c>
      <c r="U927" s="518">
        <f t="shared" ref="U927:U956" si="113">IF(I927="","",COUNTIF(nevek.s,CONCATENATE("ö",H927,I927)))</f>
        <v>0</v>
      </c>
      <c r="W927" s="3"/>
      <c r="X927" s="65"/>
    </row>
    <row r="928" spans="1:24" s="23" customFormat="1" ht="11.25" customHeight="1" x14ac:dyDescent="0.2">
      <c r="A928" s="765"/>
      <c r="C928" s="769"/>
      <c r="D928" s="60"/>
      <c r="F928" s="503">
        <f t="shared" si="110"/>
        <v>9.2200000000001614E-2</v>
      </c>
      <c r="G928" s="503">
        <f t="shared" si="111"/>
        <v>9.2200000000001614E-2</v>
      </c>
      <c r="H928" s="504" t="str">
        <f>H927</f>
        <v>Németország</v>
      </c>
      <c r="I928" s="509" t="s">
        <v>401</v>
      </c>
      <c r="J928" s="509" t="s">
        <v>402</v>
      </c>
      <c r="K928" s="508">
        <v>4</v>
      </c>
      <c r="L928" s="509" t="s">
        <v>1339</v>
      </c>
      <c r="M928" s="634" t="s">
        <v>997</v>
      </c>
      <c r="N928" s="510" t="s">
        <v>1270</v>
      </c>
      <c r="O928" s="511">
        <v>34353</v>
      </c>
      <c r="P928" s="512">
        <v>27</v>
      </c>
      <c r="Q928" s="513">
        <v>191</v>
      </c>
      <c r="R928" s="514">
        <v>89</v>
      </c>
      <c r="S928" s="64"/>
      <c r="T928" s="297">
        <f t="shared" si="112"/>
        <v>0</v>
      </c>
      <c r="U928" s="518">
        <f t="shared" si="113"/>
        <v>0</v>
      </c>
      <c r="W928" s="1"/>
      <c r="X928" s="65"/>
    </row>
    <row r="929" spans="1:24" s="23" customFormat="1" ht="11.25" customHeight="1" x14ac:dyDescent="0.2">
      <c r="A929" s="765"/>
      <c r="C929" s="769"/>
      <c r="D929" s="60"/>
      <c r="F929" s="503">
        <f t="shared" si="110"/>
        <v>9.2300000000001617E-2</v>
      </c>
      <c r="G929" s="503">
        <f t="shared" si="111"/>
        <v>9.2300000000001617E-2</v>
      </c>
      <c r="H929" s="504" t="str">
        <f t="shared" ref="H929:H956" si="114">H928</f>
        <v>Németország</v>
      </c>
      <c r="I929" s="509" t="s">
        <v>403</v>
      </c>
      <c r="J929" s="509" t="s">
        <v>404</v>
      </c>
      <c r="K929" s="508">
        <v>10</v>
      </c>
      <c r="L929" s="509" t="s">
        <v>1357</v>
      </c>
      <c r="M929" s="634" t="s">
        <v>749</v>
      </c>
      <c r="N929" s="510" t="s">
        <v>1270</v>
      </c>
      <c r="O929" s="511">
        <v>34894</v>
      </c>
      <c r="P929" s="512">
        <v>25</v>
      </c>
      <c r="Q929" s="513">
        <v>175</v>
      </c>
      <c r="R929" s="514">
        <v>75</v>
      </c>
      <c r="S929" s="64"/>
      <c r="T929" s="297">
        <f t="shared" si="112"/>
        <v>0</v>
      </c>
      <c r="U929" s="518">
        <f t="shared" si="113"/>
        <v>0</v>
      </c>
      <c r="W929" s="1"/>
      <c r="X929" s="65"/>
    </row>
    <row r="930" spans="1:24" s="23" customFormat="1" ht="11.25" customHeight="1" x14ac:dyDescent="0.2">
      <c r="A930" s="765"/>
      <c r="C930" s="769"/>
      <c r="D930" s="60"/>
      <c r="F930" s="503">
        <f t="shared" si="110"/>
        <v>9.240000000000162E-2</v>
      </c>
      <c r="G930" s="503">
        <f t="shared" si="111"/>
        <v>9.240000000000162E-2</v>
      </c>
      <c r="H930" s="504" t="str">
        <f t="shared" si="114"/>
        <v>Németország</v>
      </c>
      <c r="I930" s="509" t="s">
        <v>623</v>
      </c>
      <c r="J930" s="509" t="s">
        <v>405</v>
      </c>
      <c r="K930" s="508">
        <v>18</v>
      </c>
      <c r="L930" s="509" t="s">
        <v>703</v>
      </c>
      <c r="M930" s="634" t="s">
        <v>749</v>
      </c>
      <c r="N930" s="510" t="s">
        <v>1270</v>
      </c>
      <c r="O930" s="511">
        <v>34736</v>
      </c>
      <c r="P930" s="512">
        <v>26</v>
      </c>
      <c r="Q930" s="513">
        <v>189</v>
      </c>
      <c r="R930" s="514">
        <v>79</v>
      </c>
      <c r="S930" s="64"/>
      <c r="T930" s="297">
        <f t="shared" si="112"/>
        <v>0</v>
      </c>
      <c r="U930" s="518">
        <f t="shared" si="113"/>
        <v>0</v>
      </c>
      <c r="W930" s="1"/>
      <c r="X930" s="65"/>
    </row>
    <row r="931" spans="1:24" s="23" customFormat="1" ht="11.25" customHeight="1" x14ac:dyDescent="0.2">
      <c r="A931" s="765"/>
      <c r="C931" s="769"/>
      <c r="D931" s="60"/>
      <c r="F931" s="503">
        <f t="shared" si="110"/>
        <v>9.2500000000001623E-2</v>
      </c>
      <c r="G931" s="503">
        <f t="shared" si="111"/>
        <v>9.2500000000001623E-2</v>
      </c>
      <c r="H931" s="504" t="str">
        <f t="shared" si="114"/>
        <v>Németország</v>
      </c>
      <c r="I931" s="509" t="s">
        <v>1861</v>
      </c>
      <c r="J931" s="509" t="s">
        <v>617</v>
      </c>
      <c r="K931" s="508">
        <v>20</v>
      </c>
      <c r="L931" s="509" t="s">
        <v>1339</v>
      </c>
      <c r="M931" s="634" t="s">
        <v>1429</v>
      </c>
      <c r="N931" s="510" t="s">
        <v>501</v>
      </c>
      <c r="O931" s="511">
        <v>34520</v>
      </c>
      <c r="P931" s="512">
        <v>26</v>
      </c>
      <c r="Q931" s="513">
        <v>184</v>
      </c>
      <c r="R931" s="514">
        <v>76</v>
      </c>
      <c r="S931" s="64"/>
      <c r="T931" s="297">
        <f t="shared" si="112"/>
        <v>0</v>
      </c>
      <c r="U931" s="518">
        <f t="shared" si="113"/>
        <v>0</v>
      </c>
      <c r="W931" s="1"/>
      <c r="X931" s="65"/>
    </row>
    <row r="932" spans="1:24" s="23" customFormat="1" ht="11.25" customHeight="1" x14ac:dyDescent="0.2">
      <c r="A932" s="765"/>
      <c r="C932" s="769"/>
      <c r="D932" s="60"/>
      <c r="F932" s="503">
        <f t="shared" si="110"/>
        <v>9.2600000000001625E-2</v>
      </c>
      <c r="G932" s="503">
        <f t="shared" si="111"/>
        <v>9.2600000000001625E-2</v>
      </c>
      <c r="H932" s="504" t="str">
        <f t="shared" si="114"/>
        <v>Németország</v>
      </c>
      <c r="I932" s="509" t="s">
        <v>406</v>
      </c>
      <c r="J932" s="509" t="s">
        <v>407</v>
      </c>
      <c r="K932" s="508">
        <v>21</v>
      </c>
      <c r="L932" s="509" t="s">
        <v>703</v>
      </c>
      <c r="M932" s="634" t="s">
        <v>813</v>
      </c>
      <c r="N932" s="510" t="s">
        <v>1271</v>
      </c>
      <c r="O932" s="511">
        <v>33170</v>
      </c>
      <c r="P932" s="512">
        <v>30</v>
      </c>
      <c r="Q932" s="513">
        <v>180</v>
      </c>
      <c r="R932" s="514">
        <v>80</v>
      </c>
      <c r="S932" s="64"/>
      <c r="T932" s="297">
        <f t="shared" si="112"/>
        <v>0</v>
      </c>
      <c r="U932" s="518">
        <f t="shared" si="113"/>
        <v>0</v>
      </c>
      <c r="W932" s="1"/>
      <c r="X932" s="65"/>
    </row>
    <row r="933" spans="1:24" s="23" customFormat="1" ht="11.25" customHeight="1" x14ac:dyDescent="0.2">
      <c r="A933" s="765"/>
      <c r="C933" s="769"/>
      <c r="D933" s="60"/>
      <c r="F933" s="503">
        <f t="shared" si="110"/>
        <v>9.2700000000001628E-2</v>
      </c>
      <c r="G933" s="503">
        <f t="shared" si="111"/>
        <v>9.2700000000001628E-2</v>
      </c>
      <c r="H933" s="504" t="str">
        <f t="shared" si="114"/>
        <v>Németország</v>
      </c>
      <c r="I933" s="509" t="s">
        <v>1862</v>
      </c>
      <c r="J933" s="509" t="s">
        <v>943</v>
      </c>
      <c r="K933" s="508">
        <v>26</v>
      </c>
      <c r="L933" s="509" t="s">
        <v>1339</v>
      </c>
      <c r="M933" s="634" t="s">
        <v>983</v>
      </c>
      <c r="N933" s="510" t="s">
        <v>1270</v>
      </c>
      <c r="O933" s="511">
        <v>34028</v>
      </c>
      <c r="P933" s="512">
        <v>28</v>
      </c>
      <c r="Q933" s="513">
        <v>184</v>
      </c>
      <c r="R933" s="514">
        <v>81</v>
      </c>
      <c r="S933" s="64"/>
      <c r="T933" s="297">
        <f t="shared" si="112"/>
        <v>0</v>
      </c>
      <c r="U933" s="518">
        <f t="shared" si="113"/>
        <v>0</v>
      </c>
      <c r="W933" s="1"/>
      <c r="X933" s="65"/>
    </row>
    <row r="934" spans="1:24" s="23" customFormat="1" ht="11.25" customHeight="1" x14ac:dyDescent="0.2">
      <c r="A934" s="765"/>
      <c r="C934" s="769"/>
      <c r="D934" s="60"/>
      <c r="E934" s="66"/>
      <c r="F934" s="503">
        <f t="shared" si="110"/>
        <v>9.2800000000001631E-2</v>
      </c>
      <c r="G934" s="503">
        <f t="shared" si="111"/>
        <v>9.2800000000001631E-2</v>
      </c>
      <c r="H934" s="504" t="str">
        <f t="shared" si="114"/>
        <v>Németország</v>
      </c>
      <c r="I934" s="509" t="s">
        <v>408</v>
      </c>
      <c r="J934" s="509" t="s">
        <v>625</v>
      </c>
      <c r="K934" s="508">
        <v>3</v>
      </c>
      <c r="L934" s="509" t="s">
        <v>1339</v>
      </c>
      <c r="M934" s="634" t="s">
        <v>1164</v>
      </c>
      <c r="N934" s="510" t="s">
        <v>1270</v>
      </c>
      <c r="O934" s="511">
        <v>33508</v>
      </c>
      <c r="P934" s="512">
        <v>29</v>
      </c>
      <c r="Q934" s="513">
        <v>187</v>
      </c>
      <c r="R934" s="514">
        <v>82</v>
      </c>
      <c r="S934" s="64"/>
      <c r="T934" s="297">
        <f t="shared" si="112"/>
        <v>0</v>
      </c>
      <c r="U934" s="518">
        <f t="shared" si="113"/>
        <v>0</v>
      </c>
      <c r="W934" s="1"/>
      <c r="X934" s="65"/>
    </row>
    <row r="935" spans="1:24" s="23" customFormat="1" ht="11.25" customHeight="1" x14ac:dyDescent="0.2">
      <c r="A935" s="765"/>
      <c r="C935" s="769"/>
      <c r="D935" s="60"/>
      <c r="F935" s="503">
        <f t="shared" si="110"/>
        <v>9.2900000000001634E-2</v>
      </c>
      <c r="G935" s="503">
        <f t="shared" si="111"/>
        <v>9.2900000000001634E-2</v>
      </c>
      <c r="H935" s="504" t="str">
        <f t="shared" si="114"/>
        <v>Németország</v>
      </c>
      <c r="I935" s="509" t="s">
        <v>409</v>
      </c>
      <c r="J935" s="509" t="s">
        <v>410</v>
      </c>
      <c r="K935" s="508">
        <v>7</v>
      </c>
      <c r="L935" s="509" t="s">
        <v>703</v>
      </c>
      <c r="M935" s="634" t="s">
        <v>794</v>
      </c>
      <c r="N935" s="510" t="s">
        <v>1271</v>
      </c>
      <c r="O935" s="511">
        <v>36322</v>
      </c>
      <c r="P935" s="512">
        <v>22</v>
      </c>
      <c r="Q935" s="513">
        <v>189</v>
      </c>
      <c r="R935" s="514">
        <v>82</v>
      </c>
      <c r="S935" s="64"/>
      <c r="T935" s="297">
        <f t="shared" si="112"/>
        <v>0</v>
      </c>
      <c r="U935" s="518">
        <f t="shared" si="113"/>
        <v>0</v>
      </c>
      <c r="W935" s="1"/>
      <c r="X935" s="65"/>
    </row>
    <row r="936" spans="1:24" s="23" customFormat="1" ht="11.25" customHeight="1" x14ac:dyDescent="0.2">
      <c r="A936" s="765"/>
      <c r="C936" s="769"/>
      <c r="D936" s="60"/>
      <c r="F936" s="503">
        <f t="shared" si="110"/>
        <v>9.3000000000001637E-2</v>
      </c>
      <c r="G936" s="503">
        <f t="shared" si="111"/>
        <v>9.3000000000001637E-2</v>
      </c>
      <c r="H936" s="504" t="str">
        <f t="shared" si="114"/>
        <v>Németország</v>
      </c>
      <c r="I936" s="509" t="s">
        <v>411</v>
      </c>
      <c r="J936" s="509" t="s">
        <v>1088</v>
      </c>
      <c r="K936" s="508">
        <v>13</v>
      </c>
      <c r="L936" s="509" t="s">
        <v>703</v>
      </c>
      <c r="M936" s="634" t="s">
        <v>997</v>
      </c>
      <c r="N936" s="510" t="s">
        <v>1270</v>
      </c>
      <c r="O936" s="511">
        <v>33799</v>
      </c>
      <c r="P936" s="512">
        <v>28</v>
      </c>
      <c r="Q936" s="513">
        <v>176</v>
      </c>
      <c r="R936" s="514">
        <v>70</v>
      </c>
      <c r="S936" s="64"/>
      <c r="T936" s="297">
        <f t="shared" si="112"/>
        <v>0</v>
      </c>
      <c r="U936" s="518">
        <f t="shared" si="113"/>
        <v>0</v>
      </c>
      <c r="W936" s="1"/>
      <c r="X936" s="65"/>
    </row>
    <row r="937" spans="1:24" s="23" customFormat="1" ht="11.25" customHeight="1" x14ac:dyDescent="0.2">
      <c r="A937" s="765"/>
      <c r="C937" s="769"/>
      <c r="D937" s="60"/>
      <c r="F937" s="503">
        <f t="shared" si="110"/>
        <v>9.310000000000164E-2</v>
      </c>
      <c r="G937" s="503">
        <f t="shared" si="111"/>
        <v>9.310000000000164E-2</v>
      </c>
      <c r="H937" s="504" t="str">
        <f t="shared" si="114"/>
        <v>Németország</v>
      </c>
      <c r="I937" s="509" t="s">
        <v>1863</v>
      </c>
      <c r="J937" s="509" t="s">
        <v>1864</v>
      </c>
      <c r="K937" s="508">
        <v>5</v>
      </c>
      <c r="L937" s="509" t="s">
        <v>1339</v>
      </c>
      <c r="M937" s="634" t="s">
        <v>926</v>
      </c>
      <c r="N937" s="510" t="s">
        <v>1270</v>
      </c>
      <c r="O937" s="511">
        <v>32493</v>
      </c>
      <c r="P937" s="512">
        <v>32</v>
      </c>
      <c r="Q937" s="513">
        <v>191</v>
      </c>
      <c r="R937" s="514">
        <v>92</v>
      </c>
      <c r="S937" s="64"/>
      <c r="T937" s="297">
        <f t="shared" si="112"/>
        <v>0</v>
      </c>
      <c r="U937" s="518">
        <f t="shared" si="113"/>
        <v>0</v>
      </c>
      <c r="W937" s="1"/>
      <c r="X937" s="65"/>
    </row>
    <row r="938" spans="1:24" s="23" customFormat="1" ht="11.25" customHeight="1" x14ac:dyDescent="0.2">
      <c r="A938" s="765"/>
      <c r="C938" s="769"/>
      <c r="D938" s="60"/>
      <c r="F938" s="503">
        <f t="shared" si="110"/>
        <v>9.3200000000001643E-2</v>
      </c>
      <c r="G938" s="503">
        <f t="shared" si="111"/>
        <v>9.3200000000001643E-2</v>
      </c>
      <c r="H938" s="504" t="str">
        <f t="shared" si="114"/>
        <v>Németország</v>
      </c>
      <c r="I938" s="509" t="s">
        <v>584</v>
      </c>
      <c r="J938" s="509" t="s">
        <v>585</v>
      </c>
      <c r="K938" s="508">
        <v>6</v>
      </c>
      <c r="L938" s="509" t="s">
        <v>703</v>
      </c>
      <c r="M938" s="634" t="s">
        <v>749</v>
      </c>
      <c r="N938" s="510" t="s">
        <v>1270</v>
      </c>
      <c r="O938" s="511">
        <v>34738</v>
      </c>
      <c r="P938" s="512">
        <v>26</v>
      </c>
      <c r="Q938" s="513">
        <v>176</v>
      </c>
      <c r="R938" s="514">
        <v>73</v>
      </c>
      <c r="S938" s="64"/>
      <c r="T938" s="297">
        <f t="shared" si="112"/>
        <v>0</v>
      </c>
      <c r="U938" s="518">
        <f t="shared" si="113"/>
        <v>0</v>
      </c>
      <c r="W938" s="1"/>
      <c r="X938" s="65"/>
    </row>
    <row r="939" spans="1:24" s="23" customFormat="1" ht="11.25" customHeight="1" x14ac:dyDescent="0.2">
      <c r="A939" s="765"/>
      <c r="C939" s="769"/>
      <c r="D939" s="60"/>
      <c r="F939" s="503">
        <f t="shared" si="110"/>
        <v>9.3300000000001646E-2</v>
      </c>
      <c r="G939" s="503">
        <f t="shared" si="111"/>
        <v>9.3300000000001646E-2</v>
      </c>
      <c r="H939" s="504" t="str">
        <f t="shared" si="114"/>
        <v>Németország</v>
      </c>
      <c r="I939" s="509" t="s">
        <v>412</v>
      </c>
      <c r="J939" s="509" t="s">
        <v>1092</v>
      </c>
      <c r="K939" s="508">
        <v>16</v>
      </c>
      <c r="L939" s="509" t="s">
        <v>1339</v>
      </c>
      <c r="M939" s="634" t="s">
        <v>1164</v>
      </c>
      <c r="N939" s="510" t="s">
        <v>1270</v>
      </c>
      <c r="O939" s="511">
        <v>35219</v>
      </c>
      <c r="P939" s="512">
        <v>25</v>
      </c>
      <c r="Q939" s="513">
        <v>189</v>
      </c>
      <c r="R939" s="514">
        <v>83</v>
      </c>
      <c r="S939" s="64"/>
      <c r="T939" s="297">
        <f t="shared" si="112"/>
        <v>0</v>
      </c>
      <c r="U939" s="518">
        <f t="shared" si="113"/>
        <v>0</v>
      </c>
      <c r="W939" s="1"/>
      <c r="X939" s="65"/>
    </row>
    <row r="940" spans="1:24" s="23" customFormat="1" ht="11.25" customHeight="1" x14ac:dyDescent="0.2">
      <c r="A940" s="765"/>
      <c r="C940" s="769"/>
      <c r="D940" s="60"/>
      <c r="F940" s="503">
        <f t="shared" si="110"/>
        <v>9.3400000000001648E-2</v>
      </c>
      <c r="G940" s="503">
        <f t="shared" si="111"/>
        <v>9.3400000000001648E-2</v>
      </c>
      <c r="H940" s="504" t="str">
        <f t="shared" si="114"/>
        <v>Németország</v>
      </c>
      <c r="I940" s="509" t="s">
        <v>413</v>
      </c>
      <c r="J940" s="509" t="s">
        <v>617</v>
      </c>
      <c r="K940" s="508">
        <v>24</v>
      </c>
      <c r="L940" s="509" t="s">
        <v>1339</v>
      </c>
      <c r="M940" s="634" t="s">
        <v>1122</v>
      </c>
      <c r="N940" s="510" t="s">
        <v>1271</v>
      </c>
      <c r="O940" s="511">
        <v>35263</v>
      </c>
      <c r="P940" s="512">
        <v>24</v>
      </c>
      <c r="Q940" s="513">
        <v>192</v>
      </c>
      <c r="R940" s="514">
        <v>83</v>
      </c>
      <c r="S940" s="64"/>
      <c r="T940" s="297">
        <f t="shared" si="112"/>
        <v>0</v>
      </c>
      <c r="U940" s="518">
        <f t="shared" si="113"/>
        <v>0</v>
      </c>
      <c r="W940" s="1"/>
      <c r="X940" s="65"/>
    </row>
    <row r="941" spans="1:24" s="23" customFormat="1" ht="11.25" customHeight="1" x14ac:dyDescent="0.2">
      <c r="A941" s="765"/>
      <c r="C941" s="769"/>
      <c r="D941" s="60"/>
      <c r="F941" s="503">
        <f t="shared" si="110"/>
        <v>9.3500000000001651E-2</v>
      </c>
      <c r="G941" s="503">
        <f t="shared" si="111"/>
        <v>9.3500000000001651E-2</v>
      </c>
      <c r="H941" s="504" t="str">
        <f t="shared" si="114"/>
        <v>Németország</v>
      </c>
      <c r="I941" s="509" t="s">
        <v>1221</v>
      </c>
      <c r="J941" s="509" t="s">
        <v>1216</v>
      </c>
      <c r="K941" s="508">
        <v>8</v>
      </c>
      <c r="L941" s="509" t="s">
        <v>703</v>
      </c>
      <c r="M941" s="634" t="s">
        <v>747</v>
      </c>
      <c r="N941" s="510" t="s">
        <v>500</v>
      </c>
      <c r="O941" s="511">
        <v>32877</v>
      </c>
      <c r="P941" s="512">
        <v>31</v>
      </c>
      <c r="Q941" s="513">
        <v>183</v>
      </c>
      <c r="R941" s="514">
        <v>76</v>
      </c>
      <c r="S941" s="64"/>
      <c r="T941" s="297">
        <f t="shared" si="112"/>
        <v>0</v>
      </c>
      <c r="U941" s="518">
        <f t="shared" si="113"/>
        <v>0</v>
      </c>
      <c r="W941" s="1"/>
      <c r="X941" s="65"/>
    </row>
    <row r="942" spans="1:24" s="23" customFormat="1" ht="11.25" customHeight="1" x14ac:dyDescent="0.2">
      <c r="A942" s="765"/>
      <c r="C942" s="769"/>
      <c r="D942" s="60"/>
      <c r="F942" s="503">
        <f t="shared" si="110"/>
        <v>9.3600000000001654E-2</v>
      </c>
      <c r="G942" s="503">
        <f t="shared" si="111"/>
        <v>9.3600000000001654E-2</v>
      </c>
      <c r="H942" s="504" t="str">
        <f t="shared" si="114"/>
        <v>Németország</v>
      </c>
      <c r="I942" s="509" t="s">
        <v>586</v>
      </c>
      <c r="J942" s="509" t="s">
        <v>587</v>
      </c>
      <c r="K942" s="508">
        <v>12</v>
      </c>
      <c r="L942" s="509" t="s">
        <v>704</v>
      </c>
      <c r="M942" s="634" t="s">
        <v>862</v>
      </c>
      <c r="N942" s="510" t="s">
        <v>1271</v>
      </c>
      <c r="O942" s="511">
        <v>33667</v>
      </c>
      <c r="P942" s="512">
        <v>29</v>
      </c>
      <c r="Q942" s="513">
        <v>189</v>
      </c>
      <c r="R942" s="514">
        <v>82</v>
      </c>
      <c r="S942" s="64"/>
      <c r="T942" s="297">
        <f t="shared" si="112"/>
        <v>0</v>
      </c>
      <c r="U942" s="518">
        <f t="shared" si="113"/>
        <v>0</v>
      </c>
      <c r="W942" s="1"/>
      <c r="X942" s="65"/>
    </row>
    <row r="943" spans="1:24" s="23" customFormat="1" ht="11.25" customHeight="1" x14ac:dyDescent="0.2">
      <c r="A943" s="765"/>
      <c r="C943" s="769"/>
      <c r="D943" s="60"/>
      <c r="F943" s="503">
        <f t="shared" si="110"/>
        <v>9.3700000000001657E-2</v>
      </c>
      <c r="G943" s="503">
        <f t="shared" si="111"/>
        <v>9.3700000000001657E-2</v>
      </c>
      <c r="H943" s="504" t="str">
        <f t="shared" si="114"/>
        <v>Németország</v>
      </c>
      <c r="I943" s="509" t="s">
        <v>1865</v>
      </c>
      <c r="J943" s="509" t="s">
        <v>1866</v>
      </c>
      <c r="K943" s="508">
        <v>14</v>
      </c>
      <c r="L943" s="509" t="s">
        <v>703</v>
      </c>
      <c r="M943" s="634" t="s">
        <v>749</v>
      </c>
      <c r="N943" s="510" t="s">
        <v>1270</v>
      </c>
      <c r="O943" s="511">
        <v>37678</v>
      </c>
      <c r="P943" s="512">
        <v>18</v>
      </c>
      <c r="Q943" s="513">
        <v>180</v>
      </c>
      <c r="R943" s="514">
        <v>68</v>
      </c>
      <c r="S943" s="64"/>
      <c r="T943" s="297">
        <f t="shared" si="112"/>
        <v>0</v>
      </c>
      <c r="U943" s="518">
        <f t="shared" si="113"/>
        <v>0</v>
      </c>
      <c r="W943" s="1"/>
      <c r="X943" s="65"/>
    </row>
    <row r="944" spans="1:24" s="23" customFormat="1" ht="11.25" customHeight="1" x14ac:dyDescent="0.2">
      <c r="A944" s="765"/>
      <c r="C944" s="769"/>
      <c r="D944" s="60"/>
      <c r="F944" s="503">
        <f t="shared" si="110"/>
        <v>9.380000000000166E-2</v>
      </c>
      <c r="G944" s="503">
        <f t="shared" si="111"/>
        <v>9.380000000000166E-2</v>
      </c>
      <c r="H944" s="504" t="str">
        <f t="shared" si="114"/>
        <v>Németország</v>
      </c>
      <c r="I944" s="509" t="s">
        <v>1867</v>
      </c>
      <c r="J944" s="509" t="s">
        <v>1089</v>
      </c>
      <c r="K944" s="508">
        <v>25</v>
      </c>
      <c r="L944" s="509" t="s">
        <v>1357</v>
      </c>
      <c r="M944" s="634" t="s">
        <v>749</v>
      </c>
      <c r="N944" s="510" t="s">
        <v>1270</v>
      </c>
      <c r="O944" s="511">
        <v>32764</v>
      </c>
      <c r="P944" s="512">
        <v>31</v>
      </c>
      <c r="Q944" s="513">
        <v>186</v>
      </c>
      <c r="R944" s="514">
        <v>74</v>
      </c>
      <c r="S944" s="64"/>
      <c r="T944" s="297">
        <f t="shared" si="112"/>
        <v>0</v>
      </c>
      <c r="U944" s="518">
        <f t="shared" si="113"/>
        <v>0</v>
      </c>
      <c r="W944" s="1"/>
      <c r="X944" s="65"/>
    </row>
    <row r="945" spans="1:24" s="23" customFormat="1" ht="11.25" customHeight="1" x14ac:dyDescent="0.2">
      <c r="A945" s="765"/>
      <c r="C945" s="769"/>
      <c r="D945" s="60"/>
      <c r="F945" s="503">
        <f t="shared" si="110"/>
        <v>9.3900000000001663E-2</v>
      </c>
      <c r="G945" s="503">
        <f t="shared" si="111"/>
        <v>9.3900000000001663E-2</v>
      </c>
      <c r="H945" s="504" t="str">
        <f t="shared" si="114"/>
        <v>Németország</v>
      </c>
      <c r="I945" s="509" t="s">
        <v>1090</v>
      </c>
      <c r="J945" s="509" t="s">
        <v>1091</v>
      </c>
      <c r="K945" s="508">
        <v>1</v>
      </c>
      <c r="L945" s="509" t="s">
        <v>704</v>
      </c>
      <c r="M945" s="634" t="s">
        <v>749</v>
      </c>
      <c r="N945" s="510" t="s">
        <v>1270</v>
      </c>
      <c r="O945" s="511">
        <v>31498</v>
      </c>
      <c r="P945" s="512">
        <v>35</v>
      </c>
      <c r="Q945" s="513">
        <v>193</v>
      </c>
      <c r="R945" s="514">
        <v>92</v>
      </c>
      <c r="S945" s="64"/>
      <c r="T945" s="297">
        <f t="shared" si="112"/>
        <v>0</v>
      </c>
      <c r="U945" s="518">
        <f t="shared" si="113"/>
        <v>0</v>
      </c>
      <c r="W945" s="1"/>
      <c r="X945" s="65"/>
    </row>
    <row r="946" spans="1:24" s="23" customFormat="1" ht="11.25" customHeight="1" x14ac:dyDescent="0.2">
      <c r="A946" s="765"/>
      <c r="C946" s="769"/>
      <c r="D946" s="60"/>
      <c r="F946" s="503">
        <f t="shared" si="110"/>
        <v>9.4000000000001666E-2</v>
      </c>
      <c r="G946" s="503">
        <f t="shared" si="111"/>
        <v>9.4000000000001666E-2</v>
      </c>
      <c r="H946" s="504" t="str">
        <f t="shared" si="114"/>
        <v>Németország</v>
      </c>
      <c r="I946" s="509" t="s">
        <v>414</v>
      </c>
      <c r="J946" s="509" t="s">
        <v>1185</v>
      </c>
      <c r="K946" s="508">
        <v>17</v>
      </c>
      <c r="L946" s="509" t="s">
        <v>703</v>
      </c>
      <c r="M946" s="634" t="s">
        <v>997</v>
      </c>
      <c r="N946" s="510" t="s">
        <v>1270</v>
      </c>
      <c r="O946" s="511">
        <v>35505</v>
      </c>
      <c r="P946" s="512">
        <v>24</v>
      </c>
      <c r="Q946" s="513">
        <v>183</v>
      </c>
      <c r="R946" s="514">
        <v>74</v>
      </c>
      <c r="S946" s="64"/>
      <c r="T946" s="297">
        <f t="shared" si="112"/>
        <v>0</v>
      </c>
      <c r="U946" s="518">
        <f t="shared" si="113"/>
        <v>0</v>
      </c>
      <c r="W946" s="1"/>
      <c r="X946" s="65"/>
    </row>
    <row r="947" spans="1:24" s="23" customFormat="1" ht="11.25" customHeight="1" x14ac:dyDescent="0.2">
      <c r="A947" s="765"/>
      <c r="C947" s="769"/>
      <c r="D947" s="60"/>
      <c r="F947" s="503">
        <f t="shared" si="110"/>
        <v>9.4100000000001668E-2</v>
      </c>
      <c r="G947" s="503">
        <f t="shared" si="111"/>
        <v>9.4100000000001668E-2</v>
      </c>
      <c r="H947" s="504" t="str">
        <f t="shared" si="114"/>
        <v>Németország</v>
      </c>
      <c r="I947" s="509" t="s">
        <v>415</v>
      </c>
      <c r="J947" s="509" t="s">
        <v>977</v>
      </c>
      <c r="K947" s="508">
        <v>2</v>
      </c>
      <c r="L947" s="509" t="s">
        <v>1339</v>
      </c>
      <c r="M947" s="634" t="s">
        <v>794</v>
      </c>
      <c r="N947" s="510" t="s">
        <v>1271</v>
      </c>
      <c r="O947" s="511">
        <v>34031</v>
      </c>
      <c r="P947" s="512">
        <v>28</v>
      </c>
      <c r="Q947" s="513">
        <v>191</v>
      </c>
      <c r="R947" s="514">
        <v>85</v>
      </c>
      <c r="S947" s="64"/>
      <c r="T947" s="297">
        <f t="shared" si="112"/>
        <v>0</v>
      </c>
      <c r="U947" s="518">
        <f t="shared" si="113"/>
        <v>0</v>
      </c>
      <c r="W947" s="1"/>
      <c r="X947" s="65"/>
    </row>
    <row r="948" spans="1:24" s="23" customFormat="1" ht="11.25" customHeight="1" x14ac:dyDescent="0.2">
      <c r="A948" s="765"/>
      <c r="C948" s="769"/>
      <c r="D948" s="60"/>
      <c r="F948" s="503">
        <f t="shared" si="110"/>
        <v>9.4200000000001671E-2</v>
      </c>
      <c r="G948" s="503">
        <f t="shared" si="111"/>
        <v>9.4200000000001671E-2</v>
      </c>
      <c r="H948" s="504" t="str">
        <f t="shared" si="114"/>
        <v>Németország</v>
      </c>
      <c r="I948" s="509" t="s">
        <v>588</v>
      </c>
      <c r="J948" s="509" t="s">
        <v>589</v>
      </c>
      <c r="K948" s="508">
        <v>19</v>
      </c>
      <c r="L948" s="509" t="s">
        <v>703</v>
      </c>
      <c r="M948" s="634" t="s">
        <v>749</v>
      </c>
      <c r="N948" s="510" t="s">
        <v>1270</v>
      </c>
      <c r="O948" s="511">
        <v>35075</v>
      </c>
      <c r="P948" s="512">
        <v>25</v>
      </c>
      <c r="Q948" s="513">
        <v>183</v>
      </c>
      <c r="R948" s="514">
        <v>80</v>
      </c>
      <c r="S948" s="64"/>
      <c r="T948" s="297">
        <f t="shared" si="112"/>
        <v>0</v>
      </c>
      <c r="U948" s="518">
        <f t="shared" si="113"/>
        <v>0</v>
      </c>
      <c r="W948" s="1"/>
      <c r="X948" s="65"/>
    </row>
    <row r="949" spans="1:24" s="23" customFormat="1" ht="11.25" customHeight="1" x14ac:dyDescent="0.2">
      <c r="A949" s="765"/>
      <c r="C949" s="769"/>
      <c r="D949" s="60"/>
      <c r="F949" s="503">
        <f t="shared" si="110"/>
        <v>9.4300000000001674E-2</v>
      </c>
      <c r="G949" s="503">
        <f t="shared" si="111"/>
        <v>9.4300000000001674E-2</v>
      </c>
      <c r="H949" s="504" t="str">
        <f t="shared" si="114"/>
        <v>Németország</v>
      </c>
      <c r="I949" s="509" t="s">
        <v>417</v>
      </c>
      <c r="J949" s="509" t="s">
        <v>416</v>
      </c>
      <c r="K949" s="508">
        <v>15</v>
      </c>
      <c r="L949" s="509" t="s">
        <v>1339</v>
      </c>
      <c r="M949" s="634" t="s">
        <v>749</v>
      </c>
      <c r="N949" s="510" t="s">
        <v>1270</v>
      </c>
      <c r="O949" s="511">
        <v>34945</v>
      </c>
      <c r="P949" s="512">
        <v>25</v>
      </c>
      <c r="Q949" s="513">
        <v>195</v>
      </c>
      <c r="R949" s="514">
        <v>97</v>
      </c>
      <c r="S949" s="64"/>
      <c r="T949" s="297">
        <f t="shared" si="112"/>
        <v>0</v>
      </c>
      <c r="U949" s="518">
        <f t="shared" si="113"/>
        <v>0</v>
      </c>
      <c r="W949" s="640"/>
      <c r="X949" s="65"/>
    </row>
    <row r="950" spans="1:24" s="23" customFormat="1" ht="11.25" customHeight="1" x14ac:dyDescent="0.2">
      <c r="A950" s="765"/>
      <c r="C950" s="769"/>
      <c r="D950" s="60"/>
      <c r="F950" s="503">
        <f t="shared" si="110"/>
        <v>9.4400000000001677E-2</v>
      </c>
      <c r="G950" s="503">
        <f t="shared" si="111"/>
        <v>9.4400000000001677E-2</v>
      </c>
      <c r="H950" s="504" t="str">
        <f t="shared" si="114"/>
        <v>Németország</v>
      </c>
      <c r="I950" s="509" t="s">
        <v>1868</v>
      </c>
      <c r="J950" s="509" t="s">
        <v>1094</v>
      </c>
      <c r="K950" s="508">
        <v>22</v>
      </c>
      <c r="L950" s="509" t="s">
        <v>704</v>
      </c>
      <c r="M950" s="634" t="s">
        <v>939</v>
      </c>
      <c r="N950" s="510" t="s">
        <v>1270</v>
      </c>
      <c r="O950" s="511">
        <v>33062</v>
      </c>
      <c r="P950" s="512">
        <v>30</v>
      </c>
      <c r="Q950" s="513">
        <v>189</v>
      </c>
      <c r="R950" s="514">
        <v>88</v>
      </c>
      <c r="S950" s="64"/>
      <c r="T950" s="297">
        <f t="shared" si="112"/>
        <v>0</v>
      </c>
      <c r="U950" s="518">
        <f t="shared" si="113"/>
        <v>0</v>
      </c>
      <c r="W950" s="640"/>
      <c r="X950" s="65"/>
    </row>
    <row r="951" spans="1:24" s="23" customFormat="1" ht="11.25" customHeight="1" x14ac:dyDescent="0.2">
      <c r="A951" s="765"/>
      <c r="C951" s="769"/>
      <c r="D951" s="60"/>
      <c r="F951" s="503">
        <f t="shared" si="110"/>
        <v>9.450000000000168E-2</v>
      </c>
      <c r="G951" s="503">
        <f t="shared" si="111"/>
        <v>9.450000000000168E-2</v>
      </c>
      <c r="H951" s="504" t="str">
        <f t="shared" si="114"/>
        <v>Németország</v>
      </c>
      <c r="I951" s="509" t="s">
        <v>1869</v>
      </c>
      <c r="J951" s="509" t="s">
        <v>1094</v>
      </c>
      <c r="K951" s="508">
        <v>9</v>
      </c>
      <c r="L951" s="509" t="s">
        <v>1357</v>
      </c>
      <c r="M951" s="634" t="s">
        <v>848</v>
      </c>
      <c r="N951" s="510" t="s">
        <v>502</v>
      </c>
      <c r="O951" s="511">
        <v>33815</v>
      </c>
      <c r="P951" s="512">
        <v>28</v>
      </c>
      <c r="Q951" s="513">
        <v>179</v>
      </c>
      <c r="R951" s="514">
        <v>82</v>
      </c>
      <c r="S951" s="64"/>
      <c r="T951" s="297">
        <f t="shared" si="112"/>
        <v>0</v>
      </c>
      <c r="U951" s="518">
        <f t="shared" si="113"/>
        <v>0</v>
      </c>
      <c r="W951" s="640"/>
      <c r="X951" s="65"/>
    </row>
    <row r="952" spans="1:24" s="23" customFormat="1" ht="11.25" customHeight="1" x14ac:dyDescent="0.2">
      <c r="A952" s="765"/>
      <c r="C952" s="769"/>
      <c r="D952" s="60"/>
      <c r="F952" s="503">
        <f t="shared" si="110"/>
        <v>9.4600000000001683E-2</v>
      </c>
      <c r="G952" s="503">
        <f t="shared" si="111"/>
        <v>9.4600000000001683E-2</v>
      </c>
      <c r="H952" s="504" t="str">
        <f t="shared" si="114"/>
        <v>Németország</v>
      </c>
      <c r="I952" s="555" t="s">
        <v>1870</v>
      </c>
      <c r="J952" s="555" t="s">
        <v>1871</v>
      </c>
      <c r="K952" s="554">
        <v>11</v>
      </c>
      <c r="L952" s="555" t="s">
        <v>1357</v>
      </c>
      <c r="M952" s="635" t="s">
        <v>794</v>
      </c>
      <c r="N952" s="556" t="s">
        <v>1271</v>
      </c>
      <c r="O952" s="557">
        <v>35130</v>
      </c>
      <c r="P952" s="558">
        <v>25</v>
      </c>
      <c r="Q952" s="559">
        <v>180</v>
      </c>
      <c r="R952" s="560">
        <v>75</v>
      </c>
      <c r="S952" s="64"/>
      <c r="T952" s="297">
        <f t="shared" si="112"/>
        <v>0</v>
      </c>
      <c r="U952" s="518">
        <f t="shared" si="113"/>
        <v>0</v>
      </c>
      <c r="W952" s="640"/>
      <c r="X952" s="65"/>
    </row>
    <row r="953" spans="1:24" s="23" customFormat="1" ht="9.75" hidden="1" customHeight="1" x14ac:dyDescent="0.2">
      <c r="A953" s="765"/>
      <c r="C953" s="769"/>
      <c r="D953" s="60"/>
      <c r="F953" s="503">
        <f t="shared" si="110"/>
        <v>9.4700000000001686E-2</v>
      </c>
      <c r="G953" s="503">
        <f t="shared" si="111"/>
        <v>0</v>
      </c>
      <c r="H953" s="504" t="str">
        <f t="shared" si="114"/>
        <v>Németország</v>
      </c>
      <c r="I953" s="61"/>
      <c r="J953" s="61"/>
      <c r="K953" s="295"/>
      <c r="L953" s="61"/>
      <c r="M953" s="633"/>
      <c r="N953" s="256"/>
      <c r="O953" s="62"/>
      <c r="P953" s="253"/>
      <c r="Q953" s="63"/>
      <c r="R953" s="252"/>
      <c r="S953" s="64"/>
      <c r="T953" s="297" t="str">
        <f t="shared" si="112"/>
        <v/>
      </c>
      <c r="U953" s="518" t="str">
        <f t="shared" si="113"/>
        <v/>
      </c>
      <c r="W953" s="640"/>
      <c r="X953" s="65"/>
    </row>
    <row r="954" spans="1:24" s="23" customFormat="1" ht="9.75" hidden="1" customHeight="1" x14ac:dyDescent="0.2">
      <c r="A954" s="765"/>
      <c r="C954" s="769"/>
      <c r="D954" s="60"/>
      <c r="F954" s="503">
        <f t="shared" si="110"/>
        <v>9.4800000000001688E-2</v>
      </c>
      <c r="G954" s="503">
        <f t="shared" si="111"/>
        <v>0</v>
      </c>
      <c r="H954" s="504" t="str">
        <f t="shared" si="114"/>
        <v>Németország</v>
      </c>
      <c r="I954" s="61"/>
      <c r="J954" s="61"/>
      <c r="K954" s="295"/>
      <c r="L954" s="61"/>
      <c r="M954" s="633"/>
      <c r="N954" s="256"/>
      <c r="O954" s="62"/>
      <c r="P954" s="253"/>
      <c r="Q954" s="63"/>
      <c r="R954" s="252"/>
      <c r="S954" s="64"/>
      <c r="T954" s="297" t="str">
        <f t="shared" si="112"/>
        <v/>
      </c>
      <c r="U954" s="518" t="str">
        <f t="shared" si="113"/>
        <v/>
      </c>
      <c r="W954" s="640"/>
      <c r="X954" s="65"/>
    </row>
    <row r="955" spans="1:24" s="23" customFormat="1" ht="9.75" hidden="1" customHeight="1" x14ac:dyDescent="0.2">
      <c r="A955" s="765"/>
      <c r="C955" s="769"/>
      <c r="D955" s="60"/>
      <c r="F955" s="503">
        <f t="shared" si="110"/>
        <v>9.4900000000001691E-2</v>
      </c>
      <c r="G955" s="503">
        <f t="shared" si="111"/>
        <v>0</v>
      </c>
      <c r="H955" s="504" t="str">
        <f t="shared" si="114"/>
        <v>Németország</v>
      </c>
      <c r="I955" s="61"/>
      <c r="J955" s="61"/>
      <c r="K955" s="295"/>
      <c r="L955" s="61"/>
      <c r="M955" s="633"/>
      <c r="N955" s="256"/>
      <c r="O955" s="62"/>
      <c r="P955" s="253"/>
      <c r="Q955" s="63"/>
      <c r="R955" s="252"/>
      <c r="S955" s="64"/>
      <c r="T955" s="297" t="str">
        <f t="shared" si="112"/>
        <v/>
      </c>
      <c r="U955" s="518" t="str">
        <f t="shared" si="113"/>
        <v/>
      </c>
      <c r="W955" s="640"/>
      <c r="X955" s="65"/>
    </row>
    <row r="956" spans="1:24" s="23" customFormat="1" ht="9.75" hidden="1" customHeight="1" x14ac:dyDescent="0.2">
      <c r="A956" s="765"/>
      <c r="C956" s="769"/>
      <c r="D956" s="60"/>
      <c r="F956" s="503">
        <f t="shared" si="110"/>
        <v>9.5000000000001694E-2</v>
      </c>
      <c r="G956" s="503">
        <f t="shared" si="111"/>
        <v>0</v>
      </c>
      <c r="H956" s="504" t="str">
        <f t="shared" si="114"/>
        <v>Németország</v>
      </c>
      <c r="I956" s="61"/>
      <c r="J956" s="61"/>
      <c r="K956" s="295"/>
      <c r="L956" s="61"/>
      <c r="M956" s="633"/>
      <c r="N956" s="256"/>
      <c r="O956" s="62"/>
      <c r="P956" s="253"/>
      <c r="Q956" s="63"/>
      <c r="R956" s="252"/>
      <c r="S956" s="64"/>
      <c r="T956" s="297" t="str">
        <f t="shared" si="112"/>
        <v/>
      </c>
      <c r="U956" s="518" t="str">
        <f t="shared" si="113"/>
        <v/>
      </c>
      <c r="W956" s="640"/>
      <c r="X956" s="65"/>
    </row>
    <row r="957" spans="1:24" s="23" customFormat="1" ht="4.5" customHeight="1" x14ac:dyDescent="0.25">
      <c r="A957" s="765"/>
      <c r="C957" s="769"/>
      <c r="D957" s="60"/>
      <c r="F957" s="503">
        <f>F956+0.0001</f>
        <v>9.5100000000001697E-2</v>
      </c>
      <c r="G957" s="503"/>
      <c r="H957" s="505"/>
      <c r="I957" s="67"/>
      <c r="J957" s="67"/>
      <c r="K957" s="22"/>
      <c r="L957" s="67"/>
      <c r="M957" s="22"/>
      <c r="N957" s="68"/>
      <c r="O957" s="67"/>
      <c r="P957" s="69"/>
      <c r="Q957" s="70"/>
      <c r="R957" s="71"/>
      <c r="S957" s="71"/>
      <c r="T957" s="298"/>
      <c r="U957" s="299"/>
      <c r="W957" s="641"/>
      <c r="X957" s="67"/>
    </row>
    <row r="958" spans="1:24" s="21" customFormat="1" ht="9.75" customHeight="1" x14ac:dyDescent="0.2">
      <c r="A958" s="765"/>
      <c r="C958" s="769"/>
      <c r="D958" s="60"/>
      <c r="F958" s="503">
        <f>F957+0.0001</f>
        <v>9.52000000000017E-2</v>
      </c>
      <c r="G958" s="503"/>
      <c r="H958" s="303"/>
      <c r="I958" s="74" t="s">
        <v>542</v>
      </c>
      <c r="J958" s="75" t="s">
        <v>1102</v>
      </c>
      <c r="K958" s="75"/>
      <c r="L958" s="75"/>
      <c r="M958" s="636"/>
      <c r="N958" s="76"/>
      <c r="O958" s="74" t="s">
        <v>495</v>
      </c>
      <c r="P958" s="254">
        <f>AVERAGE(P927:P956)</f>
        <v>27.076923076923077</v>
      </c>
      <c r="Q958" s="77">
        <f>AVERAGE(Q927:Q956)</f>
        <v>185.30769230769232</v>
      </c>
      <c r="R958" s="255">
        <f>AVERAGE(R927:R956)</f>
        <v>80.769230769230774</v>
      </c>
      <c r="S958" s="78"/>
      <c r="T958" s="297">
        <f>SUM(T927:T956)</f>
        <v>0</v>
      </c>
      <c r="U958" s="518">
        <f>SUM(U927:U956)</f>
        <v>0</v>
      </c>
      <c r="W958" s="642" t="s">
        <v>879</v>
      </c>
      <c r="X958" s="79"/>
    </row>
    <row r="959" spans="1:24" ht="9.75" customHeight="1" x14ac:dyDescent="0.3">
      <c r="A959" s="765"/>
      <c r="F959" s="503">
        <f t="shared" si="110"/>
        <v>9.5300000000001703E-2</v>
      </c>
      <c r="G959" s="503"/>
    </row>
    <row r="960" spans="1:24" ht="9.75" customHeight="1" x14ac:dyDescent="0.3">
      <c r="A960" s="765"/>
      <c r="F960" s="503">
        <f t="shared" si="110"/>
        <v>9.5400000000001706E-2</v>
      </c>
      <c r="G960" s="503"/>
    </row>
    <row r="961" spans="1:7" ht="9.75" customHeight="1" x14ac:dyDescent="0.3">
      <c r="A961" s="765"/>
      <c r="F961" s="503">
        <f t="shared" si="110"/>
        <v>9.5500000000001709E-2</v>
      </c>
      <c r="G961" s="503"/>
    </row>
    <row r="962" spans="1:7" ht="9.75" customHeight="1" x14ac:dyDescent="0.3">
      <c r="A962" s="765"/>
      <c r="F962" s="503">
        <f t="shared" si="110"/>
        <v>9.5600000000001711E-2</v>
      </c>
    </row>
    <row r="963" spans="1:7" ht="9.75" customHeight="1" x14ac:dyDescent="0.3">
      <c r="A963" s="765"/>
      <c r="F963" s="503">
        <f t="shared" si="110"/>
        <v>9.5700000000001714E-2</v>
      </c>
    </row>
    <row r="964" spans="1:7" ht="9.75" customHeight="1" x14ac:dyDescent="0.3">
      <c r="A964" s="765"/>
      <c r="F964" s="503">
        <f t="shared" si="110"/>
        <v>9.5800000000001717E-2</v>
      </c>
    </row>
    <row r="965" spans="1:7" ht="9.75" customHeight="1" x14ac:dyDescent="0.3">
      <c r="A965" s="765"/>
      <c r="F965" s="503">
        <f t="shared" si="110"/>
        <v>9.590000000000172E-2</v>
      </c>
    </row>
    <row r="966" spans="1:7" ht="9.75" customHeight="1" x14ac:dyDescent="0.3"/>
    <row r="967" spans="1:7" ht="9.75" customHeight="1" x14ac:dyDescent="0.3"/>
    <row r="968" spans="1:7" ht="9.75" customHeight="1" x14ac:dyDescent="0.3"/>
    <row r="969" spans="1:7" ht="10.5" customHeight="1" x14ac:dyDescent="0.3"/>
  </sheetData>
  <sheetProtection algorithmName="SHA-512" hashValue="ix8WyrGADqCza6LYC0GK81yIbzLti3RlzC872ss6qe6a9C53GlYCG9q7z0d/IY/23+X9o4af6khqsqqY0mfSxw==" saltValue="xOJJEsO2KVYyQ07nOt8KKw==" spinCount="100000" sheet="1" objects="1" scenarios="1" sort="0"/>
  <mergeCells count="48">
    <mergeCell ref="A646:A685"/>
    <mergeCell ref="A686:A725"/>
    <mergeCell ref="A926:A965"/>
    <mergeCell ref="A726:A765"/>
    <mergeCell ref="A766:A805"/>
    <mergeCell ref="A806:A845"/>
    <mergeCell ref="A846:A885"/>
    <mergeCell ref="A886:A925"/>
    <mergeCell ref="A526:A565"/>
    <mergeCell ref="A566:A605"/>
    <mergeCell ref="A606:A645"/>
    <mergeCell ref="A326:A365"/>
    <mergeCell ref="A366:A405"/>
    <mergeCell ref="A406:A445"/>
    <mergeCell ref="A446:A485"/>
    <mergeCell ref="A486:A525"/>
    <mergeCell ref="C927:C958"/>
    <mergeCell ref="C647:C678"/>
    <mergeCell ref="C687:C718"/>
    <mergeCell ref="C727:C758"/>
    <mergeCell ref="C767:C798"/>
    <mergeCell ref="C807:C838"/>
    <mergeCell ref="C847:C878"/>
    <mergeCell ref="C887:C918"/>
    <mergeCell ref="A6:A45"/>
    <mergeCell ref="A46:A85"/>
    <mergeCell ref="A86:A125"/>
    <mergeCell ref="C7:C38"/>
    <mergeCell ref="C47:C78"/>
    <mergeCell ref="C127:C158"/>
    <mergeCell ref="A166:A205"/>
    <mergeCell ref="C87:C118"/>
    <mergeCell ref="C167:C198"/>
    <mergeCell ref="C367:C398"/>
    <mergeCell ref="A126:A165"/>
    <mergeCell ref="C327:C358"/>
    <mergeCell ref="C247:C278"/>
    <mergeCell ref="C287:C318"/>
    <mergeCell ref="A286:A325"/>
    <mergeCell ref="A246:A285"/>
    <mergeCell ref="C207:C238"/>
    <mergeCell ref="A206:A245"/>
    <mergeCell ref="C567:C598"/>
    <mergeCell ref="C607:C638"/>
    <mergeCell ref="C487:C518"/>
    <mergeCell ref="C527:C558"/>
    <mergeCell ref="C407:C438"/>
    <mergeCell ref="C447:C478"/>
  </mergeCells>
  <phoneticPr fontId="2" type="noConversion"/>
  <conditionalFormatting sqref="T77:U77 T117:U117 T157:U157 T917:U917 T197:U197 T37:U37 T237:U237 T277:U277 T317:U317 T357:U357 T397:U397 T437:U437 T477:U477 T517:U517 T557:U557 T597:U597 T637:U637 T677:U677 T717:U717 T757:U757 T797:U797 T837:U837 T877:U877 T957:U957">
    <cfRule type="cellIs" dxfId="3" priority="1" stopIfTrue="1" operator="equal">
      <formula>0</formula>
    </cfRule>
  </conditionalFormatting>
  <conditionalFormatting sqref="T118:U118 T127:U156 T158:U158 T78:U78 T198:U198 T38:U38 T238:U238 T278:U278 T318:U318 T358:U358 T398:U398 T438:U438 T478:U478 T518:U518 T558:U558 T598:U598 T638:U638 T678:U678 T718:U718 T758:U758 T798:U798 T838:U838 T878:U878 T918:U918 T87:U116 T47:U76 T958:U958 T7:U36 T167:U196 T207:U236 T247:U276 T287:U316 T327:U356 T367:U396 T407:U436 T447:U476 T487:U516 T527:U556 T567:U596 T607:U636 T647:U676 T687:U716 T727:U756 T767:U796 T807:U836 T847:U876 T887:U916 T927:U956">
    <cfRule type="cellIs" dxfId="2" priority="2" stopIfTrue="1" operator="equal">
      <formula>0</formula>
    </cfRule>
  </conditionalFormatting>
  <pageMargins left="0.31496062992125984" right="0.31496062992125984" top="0.51181102362204722" bottom="0.51181102362204722" header="0.51181102362204722" footer="0.51181102362204722"/>
  <pageSetup paperSize="9" scale="80" orientation="landscape" horizontalDpi="300" verticalDpi="300" r:id="rId1"/>
  <headerFooter alignWithMargins="0"/>
  <rowBreaks count="23" manualBreakCount="23">
    <brk id="45" max="23" man="1"/>
    <brk id="85" max="23" man="1"/>
    <brk id="125" max="23" man="1"/>
    <brk id="165" max="23" man="1"/>
    <brk id="205" max="23" man="1"/>
    <brk id="245" max="23" man="1"/>
    <brk id="285" max="23" man="1"/>
    <brk id="325" max="23" man="1"/>
    <brk id="365" max="23" man="1"/>
    <brk id="405" max="23" man="1"/>
    <brk id="445" max="23" man="1"/>
    <brk id="485" max="23" man="1"/>
    <brk id="525" max="23" man="1"/>
    <brk id="565" max="23" man="1"/>
    <brk id="605" max="23" man="1"/>
    <brk id="645" max="23" man="1"/>
    <brk id="685" max="23" man="1"/>
    <brk id="725" max="23" man="1"/>
    <brk id="765" max="23" man="1"/>
    <brk id="805" max="23" man="1"/>
    <brk id="845" max="23" man="1"/>
    <brk id="885" max="23" man="1"/>
    <brk id="925" max="23" man="1"/>
  </rowBreaks>
  <drawing r:id="rId2"/>
  <picture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autoPageBreaks="0"/>
  </sheetPr>
  <dimension ref="A1:AB604"/>
  <sheetViews>
    <sheetView showGridLines="0" showRowColHeaders="0" zoomScaleNormal="100" workbookViewId="0">
      <pane ySplit="4" topLeftCell="A555" activePane="bottomLeft" state="frozen"/>
      <selection pane="bottomLeft"/>
    </sheetView>
  </sheetViews>
  <sheetFormatPr defaultRowHeight="15" x14ac:dyDescent="0.2"/>
  <cols>
    <col min="1" max="1" width="1.42578125" style="564" customWidth="1"/>
    <col min="2" max="2" width="3.140625" style="23" customWidth="1"/>
    <col min="3" max="3" width="12.7109375" style="23" customWidth="1"/>
    <col min="4" max="4" width="4" style="23" customWidth="1"/>
    <col min="5" max="5" width="10" style="23" customWidth="1"/>
    <col min="6" max="6" width="4" style="23" customWidth="1"/>
    <col min="7" max="7" width="27.7109375" style="23" customWidth="1"/>
    <col min="8" max="9" width="9.140625" style="23"/>
    <col min="10" max="10" width="4.5703125" style="23" customWidth="1"/>
    <col min="11" max="11" width="9.7109375" style="23" customWidth="1"/>
    <col min="12" max="12" width="3" style="23" customWidth="1"/>
    <col min="13" max="13" width="10" style="23" customWidth="1"/>
    <col min="14" max="16" width="9.140625" style="23"/>
    <col min="17" max="17" width="5.5703125" style="23" customWidth="1"/>
    <col min="18" max="19" width="9.140625" style="23"/>
    <col min="20" max="20" width="5.42578125" style="23" customWidth="1"/>
    <col min="21" max="21" width="9.140625" style="23"/>
    <col min="22" max="22" width="5.42578125" style="23" customWidth="1"/>
    <col min="23" max="23" width="9.140625" style="23"/>
    <col min="24" max="24" width="3.5703125" style="5" hidden="1" customWidth="1"/>
    <col min="25" max="25" width="3.5703125" style="502" hidden="1" customWidth="1"/>
    <col min="26" max="26" width="5.28515625" style="505" hidden="1" customWidth="1"/>
    <col min="27" max="27" width="3.5703125" style="502" hidden="1" customWidth="1"/>
    <col min="28" max="28" width="3.5703125" style="5" hidden="1" customWidth="1"/>
    <col min="29" max="16384" width="9.140625" style="23"/>
  </cols>
  <sheetData>
    <row r="1" spans="1:28" s="561" customFormat="1" ht="9.75" customHeight="1" x14ac:dyDescent="0.2">
      <c r="G1" s="562"/>
    </row>
    <row r="2" spans="1:28" s="561" customFormat="1" ht="9.75" customHeight="1" x14ac:dyDescent="0.2">
      <c r="G2" s="562"/>
    </row>
    <row r="3" spans="1:28" s="561" customFormat="1" ht="9" customHeight="1" thickBot="1" x14ac:dyDescent="0.25">
      <c r="A3" s="563"/>
      <c r="B3" s="563"/>
      <c r="C3" s="563"/>
      <c r="D3" s="563"/>
      <c r="E3" s="563"/>
      <c r="F3" s="563"/>
      <c r="G3" s="562"/>
    </row>
    <row r="4" spans="1:28" s="565" customFormat="1" ht="12" customHeight="1" thickTop="1" x14ac:dyDescent="0.2">
      <c r="B4" s="567" t="s">
        <v>956</v>
      </c>
      <c r="G4" s="566"/>
    </row>
    <row r="5" spans="1:28" ht="7.5" customHeight="1" x14ac:dyDescent="0.2">
      <c r="A5" s="765"/>
      <c r="P5" s="50"/>
    </row>
    <row r="6" spans="1:28" s="93" customFormat="1" ht="15" customHeight="1" x14ac:dyDescent="0.2">
      <c r="A6" s="765"/>
      <c r="B6" s="200"/>
      <c r="H6" s="23"/>
      <c r="I6" s="23"/>
      <c r="J6" s="23"/>
      <c r="K6" s="749" t="str">
        <f>UPPER(INDEX(stadium,Z6,1))</f>
        <v>RÓMA</v>
      </c>
      <c r="L6" s="82"/>
      <c r="M6" s="82"/>
      <c r="N6" s="82"/>
      <c r="O6" s="82"/>
      <c r="P6" s="23"/>
      <c r="Q6" s="23"/>
      <c r="R6" s="23"/>
      <c r="S6" s="212"/>
      <c r="X6" s="322"/>
      <c r="Y6" s="746"/>
      <c r="Z6" s="748">
        <v>1</v>
      </c>
      <c r="AA6" s="746"/>
      <c r="AB6" s="322"/>
    </row>
    <row r="7" spans="1:28" s="21" customFormat="1" ht="15" customHeight="1" x14ac:dyDescent="0.2">
      <c r="A7" s="765"/>
      <c r="H7" s="23"/>
      <c r="I7" s="23"/>
      <c r="J7"/>
      <c r="K7" s="67" t="str">
        <f>" "&amp;INDEX(stadium,Z6,3)</f>
        <v xml:space="preserve"> 2,9 millió lakos</v>
      </c>
      <c r="L7" s="744"/>
      <c r="M7" s="744"/>
      <c r="N7" s="744"/>
      <c r="O7" s="744"/>
      <c r="P7" s="23"/>
      <c r="Q7" s="23"/>
      <c r="R7" s="23"/>
      <c r="S7" s="23"/>
      <c r="X7" s="747"/>
      <c r="Y7" s="304"/>
      <c r="Z7" s="505"/>
      <c r="AA7" s="746"/>
      <c r="AB7" s="747"/>
    </row>
    <row r="8" spans="1:28" ht="6" customHeight="1" x14ac:dyDescent="0.2">
      <c r="A8" s="765"/>
      <c r="I8"/>
      <c r="J8"/>
      <c r="Y8" s="304"/>
      <c r="AA8" s="746"/>
    </row>
    <row r="9" spans="1:28" ht="12.75" customHeight="1" x14ac:dyDescent="0.2">
      <c r="A9" s="765"/>
      <c r="J9"/>
      <c r="K9" s="749" t="str">
        <f>UPPER(INDEX(stadium,Z6,2))</f>
        <v>STADIO OLIMPICO</v>
      </c>
      <c r="L9" s="82"/>
      <c r="M9" s="82"/>
      <c r="N9" s="82"/>
      <c r="O9" s="82"/>
      <c r="Y9" s="304"/>
      <c r="AA9" s="746"/>
    </row>
    <row r="10" spans="1:28" ht="12.75" customHeight="1" x14ac:dyDescent="0.2">
      <c r="A10" s="765"/>
      <c r="I10"/>
      <c r="J10"/>
      <c r="K10" s="67" t="str">
        <f>" "&amp;INDEX(stadium,Z6,4)</f>
        <v xml:space="preserve"> 68.000 néző</v>
      </c>
      <c r="L10" s="744"/>
      <c r="M10" s="744"/>
      <c r="N10" s="744"/>
      <c r="O10" s="744"/>
      <c r="Y10" s="304"/>
      <c r="AA10" s="746"/>
    </row>
    <row r="11" spans="1:28" ht="9.75" customHeight="1" x14ac:dyDescent="0.3">
      <c r="A11" s="765"/>
      <c r="J11"/>
      <c r="L11" s="53"/>
      <c r="N11" s="53"/>
      <c r="O11" s="53"/>
      <c r="Y11" s="304"/>
      <c r="AA11" s="746"/>
    </row>
    <row r="12" spans="1:28" ht="14.25" customHeight="1" x14ac:dyDescent="0.2">
      <c r="A12" s="765"/>
      <c r="J12"/>
      <c r="K12" s="51" t="str">
        <f>VLOOKUP($Z12,schedule,13,FALSE)</f>
        <v>1. forduló:</v>
      </c>
      <c r="L12" s="745" t="str">
        <f>VLOOKUP($Z12,schedule,3,FALSE)</f>
        <v>A</v>
      </c>
      <c r="M12" s="257" t="str">
        <f>VLOOKUP($Z12,schedule,17,FALSE)</f>
        <v>jún. 11 – 21:00</v>
      </c>
      <c r="N12" s="257" t="str">
        <f>VLOOKUP($Z12,schedule,28,FALSE)</f>
        <v xml:space="preserve">Törökország–Olaszország  </v>
      </c>
      <c r="Y12" s="304"/>
      <c r="Z12" s="311">
        <v>1</v>
      </c>
      <c r="AA12" s="746"/>
    </row>
    <row r="13" spans="1:28" ht="14.25" customHeight="1" x14ac:dyDescent="0.3">
      <c r="A13" s="765"/>
      <c r="C13" s="53"/>
      <c r="J13"/>
      <c r="K13" s="51" t="str">
        <f>VLOOKUP($Z13,schedule,13,FALSE)</f>
        <v>2. forduló:</v>
      </c>
      <c r="L13" s="745" t="str">
        <f>VLOOKUP($Z13,schedule,3,FALSE)</f>
        <v>A</v>
      </c>
      <c r="M13" s="257" t="str">
        <f>VLOOKUP($Z13,schedule,17,FALSE)</f>
        <v>jún. 16 – 21:00</v>
      </c>
      <c r="N13" s="257" t="str">
        <f>VLOOKUP($Z13,schedule,28,FALSE)</f>
        <v xml:space="preserve">Olaszország–Svájc  </v>
      </c>
      <c r="Y13" s="304"/>
      <c r="Z13" s="311">
        <v>15</v>
      </c>
      <c r="AA13" s="746"/>
    </row>
    <row r="14" spans="1:28" ht="14.25" customHeight="1" x14ac:dyDescent="0.2">
      <c r="A14" s="765"/>
      <c r="J14"/>
      <c r="K14" s="51" t="str">
        <f>VLOOKUP($Z14,schedule,13,FALSE)</f>
        <v>3. forduló:</v>
      </c>
      <c r="L14" s="745" t="str">
        <f>VLOOKUP($Z14,schedule,3,FALSE)</f>
        <v>A</v>
      </c>
      <c r="M14" s="257" t="str">
        <f>VLOOKUP($Z14,schedule,17,FALSE)</f>
        <v>jún. 20 – 18:00</v>
      </c>
      <c r="N14" s="257" t="str">
        <f>VLOOKUP($Z14,schedule,28,FALSE)</f>
        <v xml:space="preserve">Olaszország–Wales  </v>
      </c>
      <c r="Y14" s="304"/>
      <c r="Z14" s="311">
        <v>25</v>
      </c>
      <c r="AA14" s="746"/>
    </row>
    <row r="15" spans="1:28" ht="14.25" customHeight="1" x14ac:dyDescent="0.2">
      <c r="A15" s="765"/>
      <c r="J15"/>
      <c r="K15" s="51" t="str">
        <f>VLOOKUP($Z15,schedule,13,FALSE)</f>
        <v>Negyeddöntő:</v>
      </c>
      <c r="L15" s="745" t="str">
        <f>VLOOKUP($Z15,schedule,3,FALSE)</f>
        <v>3/4</v>
      </c>
      <c r="M15" s="257" t="str">
        <f>VLOOKUP($Z15,schedule,17,FALSE)</f>
        <v>júl. 3 – 21:00</v>
      </c>
      <c r="N15" s="257" t="str">
        <f>VLOOKUP($Z15,schedule,28,FALSE)</f>
        <v xml:space="preserve">5/8 győztese–6/8 győztese  </v>
      </c>
      <c r="Y15" s="304"/>
      <c r="Z15" s="311">
        <v>48</v>
      </c>
      <c r="AA15" s="746"/>
    </row>
    <row r="16" spans="1:28" ht="14.25" customHeight="1" x14ac:dyDescent="0.2">
      <c r="A16" s="765"/>
      <c r="J16"/>
      <c r="Y16" s="304"/>
      <c r="AA16" s="746"/>
    </row>
    <row r="17" spans="1:27" ht="14.25" customHeight="1" x14ac:dyDescent="0.2">
      <c r="A17" s="765"/>
      <c r="J17"/>
      <c r="Y17" s="304"/>
      <c r="AA17" s="746"/>
    </row>
    <row r="18" spans="1:27" ht="14.25" customHeight="1" x14ac:dyDescent="0.3">
      <c r="A18" s="765"/>
      <c r="D18" s="53"/>
      <c r="E18" s="53"/>
      <c r="F18" s="53"/>
      <c r="G18" s="53"/>
      <c r="H18" s="53"/>
      <c r="J18"/>
      <c r="Y18" s="304"/>
      <c r="AA18" s="746"/>
    </row>
    <row r="19" spans="1:27" ht="12.75" customHeight="1" x14ac:dyDescent="0.2">
      <c r="A19" s="765"/>
      <c r="H19"/>
      <c r="J19"/>
      <c r="Y19" s="304"/>
      <c r="AA19" s="746"/>
    </row>
    <row r="20" spans="1:27" ht="15.75" customHeight="1" x14ac:dyDescent="0.3">
      <c r="A20" s="765"/>
      <c r="D20" s="53"/>
      <c r="E20" s="53"/>
      <c r="F20" s="53"/>
      <c r="G20" s="53"/>
      <c r="H20" s="53"/>
      <c r="J20"/>
      <c r="N20"/>
      <c r="Y20" s="304"/>
      <c r="AA20" s="746"/>
    </row>
    <row r="21" spans="1:27" ht="15" customHeight="1" x14ac:dyDescent="0.2">
      <c r="A21" s="765"/>
      <c r="J21"/>
      <c r="Y21" s="304"/>
      <c r="AA21" s="746"/>
    </row>
    <row r="22" spans="1:27" ht="15" customHeight="1" x14ac:dyDescent="0.2">
      <c r="A22" s="765"/>
      <c r="I22"/>
      <c r="J22"/>
      <c r="O22" s="21"/>
      <c r="Y22" s="304"/>
      <c r="AA22" s="746"/>
    </row>
    <row r="23" spans="1:27" ht="1.5" customHeight="1" x14ac:dyDescent="0.2">
      <c r="A23" s="765"/>
      <c r="J23"/>
      <c r="O23" s="21"/>
      <c r="Y23" s="304"/>
      <c r="AA23" s="746"/>
    </row>
    <row r="24" spans="1:27" ht="13.5" customHeight="1" x14ac:dyDescent="0.2">
      <c r="A24" s="765"/>
      <c r="J24"/>
      <c r="O24" s="21"/>
      <c r="Y24" s="304"/>
      <c r="AA24" s="746"/>
    </row>
    <row r="25" spans="1:27" ht="13.5" customHeight="1" x14ac:dyDescent="0.2">
      <c r="A25" s="765"/>
      <c r="J25"/>
      <c r="O25" s="21"/>
      <c r="Y25" s="304"/>
      <c r="AA25" s="746"/>
    </row>
    <row r="26" spans="1:27" ht="13.5" customHeight="1" x14ac:dyDescent="0.2">
      <c r="A26" s="765"/>
      <c r="J26"/>
      <c r="O26" s="21"/>
      <c r="Y26" s="304"/>
      <c r="AA26" s="746"/>
    </row>
    <row r="27" spans="1:27" ht="13.5" customHeight="1" x14ac:dyDescent="0.2">
      <c r="A27" s="765"/>
      <c r="J27"/>
      <c r="O27" s="21"/>
      <c r="P27"/>
      <c r="Y27" s="304"/>
      <c r="AA27" s="746"/>
    </row>
    <row r="28" spans="1:27" ht="13.5" customHeight="1" x14ac:dyDescent="0.3">
      <c r="A28" s="765"/>
      <c r="E28" s="53"/>
      <c r="J28"/>
      <c r="O28" s="21"/>
      <c r="Y28" s="304"/>
      <c r="AA28" s="746"/>
    </row>
    <row r="29" spans="1:27" ht="11.25" customHeight="1" x14ac:dyDescent="0.3">
      <c r="A29" s="765"/>
      <c r="E29" s="53"/>
      <c r="J29"/>
      <c r="O29" s="21"/>
      <c r="Y29" s="304"/>
      <c r="AA29" s="746"/>
    </row>
    <row r="30" spans="1:27" ht="11.25" customHeight="1" x14ac:dyDescent="0.2">
      <c r="A30" s="765"/>
      <c r="Y30" s="304"/>
      <c r="AA30" s="746"/>
    </row>
    <row r="31" spans="1:27" ht="11.25" customHeight="1" x14ac:dyDescent="0.2">
      <c r="A31" s="765"/>
      <c r="Y31" s="304"/>
      <c r="AA31" s="746"/>
    </row>
    <row r="32" spans="1:27" ht="11.25" customHeight="1" x14ac:dyDescent="0.2">
      <c r="A32" s="765"/>
      <c r="Y32" s="304"/>
      <c r="AA32" s="746"/>
    </row>
    <row r="33" spans="1:27" ht="11.25" customHeight="1" x14ac:dyDescent="0.2">
      <c r="A33" s="765"/>
      <c r="Y33" s="304"/>
      <c r="AA33" s="746"/>
    </row>
    <row r="34" spans="1:27" ht="11.25" customHeight="1" x14ac:dyDescent="0.2">
      <c r="A34" s="765"/>
      <c r="Y34" s="304"/>
      <c r="AA34" s="746"/>
    </row>
    <row r="35" spans="1:27" ht="11.25" customHeight="1" x14ac:dyDescent="0.2">
      <c r="A35" s="765"/>
      <c r="Y35" s="304"/>
      <c r="AA35" s="746"/>
    </row>
    <row r="36" spans="1:27" ht="11.25" customHeight="1" x14ac:dyDescent="0.2">
      <c r="A36" s="765"/>
      <c r="Y36" s="304"/>
      <c r="AA36" s="746"/>
    </row>
    <row r="37" spans="1:27" ht="11.25" customHeight="1" x14ac:dyDescent="0.2">
      <c r="A37" s="765"/>
      <c r="Y37" s="304"/>
      <c r="AA37" s="746"/>
    </row>
    <row r="38" spans="1:27" ht="11.25" customHeight="1" x14ac:dyDescent="0.2">
      <c r="A38" s="765"/>
      <c r="Y38" s="304"/>
      <c r="AA38" s="746"/>
    </row>
    <row r="39" spans="1:27" ht="11.25" customHeight="1" x14ac:dyDescent="0.2">
      <c r="A39" s="765"/>
      <c r="Y39" s="304"/>
      <c r="AA39" s="746"/>
    </row>
    <row r="40" spans="1:27" ht="11.25" customHeight="1" x14ac:dyDescent="0.2">
      <c r="A40" s="765"/>
      <c r="Y40" s="304"/>
      <c r="AA40" s="746"/>
    </row>
    <row r="41" spans="1:27" ht="11.25" customHeight="1" x14ac:dyDescent="0.2">
      <c r="A41" s="765"/>
      <c r="Y41" s="304"/>
      <c r="AA41" s="746"/>
    </row>
    <row r="42" spans="1:27" ht="11.25" customHeight="1" x14ac:dyDescent="0.2">
      <c r="A42" s="765"/>
      <c r="Y42" s="304"/>
      <c r="AA42" s="746"/>
    </row>
    <row r="43" spans="1:27" ht="11.25" customHeight="1" x14ac:dyDescent="0.2">
      <c r="A43" s="765"/>
      <c r="Y43" s="304"/>
      <c r="AA43" s="746"/>
    </row>
    <row r="44" spans="1:27" ht="11.25" customHeight="1" x14ac:dyDescent="0.2">
      <c r="A44" s="765"/>
      <c r="Y44" s="304"/>
      <c r="AA44" s="746"/>
    </row>
    <row r="45" spans="1:27" ht="11.25" customHeight="1" x14ac:dyDescent="0.2">
      <c r="A45" s="765"/>
      <c r="Y45" s="304"/>
      <c r="AA45" s="746"/>
    </row>
    <row r="46" spans="1:27" ht="11.25" customHeight="1" x14ac:dyDescent="0.2">
      <c r="A46" s="765"/>
      <c r="Y46" s="304"/>
      <c r="AA46" s="746"/>
    </row>
    <row r="47" spans="1:27" ht="11.25" customHeight="1" x14ac:dyDescent="0.2">
      <c r="A47" s="765"/>
      <c r="Y47" s="304"/>
      <c r="AA47" s="746"/>
    </row>
    <row r="48" spans="1:27" ht="11.25" customHeight="1" x14ac:dyDescent="0.2">
      <c r="A48" s="765"/>
      <c r="Y48" s="304"/>
      <c r="AA48" s="746"/>
    </row>
    <row r="49" spans="1:28" ht="11.25" customHeight="1" x14ac:dyDescent="0.2">
      <c r="A49" s="765"/>
      <c r="Y49" s="304"/>
      <c r="AA49" s="746"/>
    </row>
    <row r="50" spans="1:28" ht="11.25" customHeight="1" x14ac:dyDescent="0.2">
      <c r="A50" s="765"/>
      <c r="Y50" s="304"/>
      <c r="AA50" s="746"/>
    </row>
    <row r="51" spans="1:28" ht="11.25" customHeight="1" x14ac:dyDescent="0.2">
      <c r="A51" s="765"/>
      <c r="Y51" s="304"/>
      <c r="AA51" s="746"/>
    </row>
    <row r="52" spans="1:28" ht="11.25" customHeight="1" x14ac:dyDescent="0.2">
      <c r="A52" s="765"/>
      <c r="Y52" s="304"/>
      <c r="AA52" s="746"/>
    </row>
    <row r="53" spans="1:28" ht="11.25" customHeight="1" x14ac:dyDescent="0.2">
      <c r="A53" s="765"/>
      <c r="Y53" s="304"/>
      <c r="AA53" s="746"/>
    </row>
    <row r="54" spans="1:28" ht="11.25" customHeight="1" x14ac:dyDescent="0.2">
      <c r="A54" s="765"/>
      <c r="Y54" s="304"/>
      <c r="AA54" s="746"/>
    </row>
    <row r="55" spans="1:28" ht="7.5" customHeight="1" x14ac:dyDescent="0.2">
      <c r="A55" s="765"/>
      <c r="P55" s="50"/>
      <c r="Y55" s="304"/>
      <c r="AA55" s="746"/>
    </row>
    <row r="56" spans="1:28" s="93" customFormat="1" ht="15" customHeight="1" x14ac:dyDescent="0.2">
      <c r="A56" s="765"/>
      <c r="B56" s="200"/>
      <c r="H56" s="23"/>
      <c r="I56" s="23"/>
      <c r="J56" s="23"/>
      <c r="K56" s="749" t="str">
        <f>UPPER(INDEX(stadium,Z56,1))</f>
        <v>BAKU</v>
      </c>
      <c r="L56" s="82"/>
      <c r="M56" s="82"/>
      <c r="N56" s="82"/>
      <c r="O56" s="82"/>
      <c r="P56" s="23"/>
      <c r="Q56" s="23"/>
      <c r="R56" s="23"/>
      <c r="S56" s="212"/>
      <c r="X56" s="322"/>
      <c r="Y56" s="304"/>
      <c r="Z56" s="748">
        <v>2</v>
      </c>
      <c r="AA56" s="746"/>
      <c r="AB56" s="322"/>
    </row>
    <row r="57" spans="1:28" s="21" customFormat="1" ht="15" customHeight="1" x14ac:dyDescent="0.2">
      <c r="A57" s="765"/>
      <c r="H57" s="23"/>
      <c r="I57" s="23"/>
      <c r="J57"/>
      <c r="K57" s="67" t="str">
        <f>" "&amp;INDEX(stadium,Z56,3)</f>
        <v xml:space="preserve"> 2,3 millió lakos</v>
      </c>
      <c r="L57" s="744"/>
      <c r="M57" s="744"/>
      <c r="N57" s="744"/>
      <c r="O57" s="744"/>
      <c r="P57" s="23"/>
      <c r="Q57" s="23"/>
      <c r="R57" s="23"/>
      <c r="S57" s="23"/>
      <c r="X57" s="747"/>
      <c r="Y57" s="304"/>
      <c r="Z57" s="505"/>
      <c r="AA57" s="746"/>
      <c r="AB57" s="747"/>
    </row>
    <row r="58" spans="1:28" ht="6" customHeight="1" x14ac:dyDescent="0.2">
      <c r="A58" s="765"/>
      <c r="I58"/>
      <c r="J58"/>
    </row>
    <row r="59" spans="1:28" ht="12.75" customHeight="1" x14ac:dyDescent="0.2">
      <c r="A59" s="765"/>
      <c r="J59"/>
      <c r="K59" s="749" t="str">
        <f>UPPER(INDEX(stadium,Z56,2))</f>
        <v>OLIMPIAI STADION</v>
      </c>
      <c r="L59" s="82"/>
      <c r="M59" s="82"/>
      <c r="N59" s="82"/>
      <c r="O59" s="82"/>
    </row>
    <row r="60" spans="1:28" ht="12.75" customHeight="1" x14ac:dyDescent="0.2">
      <c r="A60" s="765"/>
      <c r="I60"/>
      <c r="J60"/>
      <c r="K60" s="67" t="str">
        <f>" "&amp;INDEX(stadium,Z56,4)</f>
        <v xml:space="preserve"> 69.000 néző</v>
      </c>
      <c r="L60" s="744"/>
      <c r="M60" s="744"/>
      <c r="N60" s="744"/>
      <c r="O60" s="744"/>
    </row>
    <row r="61" spans="1:28" ht="9.75" customHeight="1" x14ac:dyDescent="0.3">
      <c r="A61" s="765"/>
      <c r="J61"/>
      <c r="L61" s="53"/>
      <c r="N61" s="53"/>
      <c r="O61" s="53"/>
    </row>
    <row r="62" spans="1:28" ht="14.25" customHeight="1" x14ac:dyDescent="0.2">
      <c r="A62" s="765"/>
      <c r="J62"/>
      <c r="K62" s="51" t="str">
        <f>VLOOKUP($Z62,schedule,13,FALSE)</f>
        <v>1. forduló:</v>
      </c>
      <c r="L62" s="745" t="str">
        <f>VLOOKUP($Z62,schedule,3,FALSE)</f>
        <v>A</v>
      </c>
      <c r="M62" s="257" t="str">
        <f>VLOOKUP($Z62,schedule,17,FALSE)</f>
        <v>jún. 12 – 15:00</v>
      </c>
      <c r="N62" s="257" t="str">
        <f>VLOOKUP($Z62,schedule,28,FALSE)</f>
        <v xml:space="preserve">Wales–Svájc  </v>
      </c>
      <c r="Z62" s="311">
        <v>2</v>
      </c>
    </row>
    <row r="63" spans="1:28" ht="14.25" customHeight="1" x14ac:dyDescent="0.3">
      <c r="A63" s="765"/>
      <c r="C63" s="53"/>
      <c r="J63"/>
      <c r="K63" s="51" t="str">
        <f>VLOOKUP($Z63,schedule,13,FALSE)</f>
        <v>2. forduló:</v>
      </c>
      <c r="L63" s="745" t="str">
        <f>VLOOKUP($Z63,schedule,3,FALSE)</f>
        <v>A</v>
      </c>
      <c r="M63" s="257" t="str">
        <f>VLOOKUP($Z63,schedule,17,FALSE)</f>
        <v>jún. 16 – 18:00</v>
      </c>
      <c r="N63" s="257" t="str">
        <f>VLOOKUP($Z63,schedule,28,FALSE)</f>
        <v xml:space="preserve">Törökország–Wales  </v>
      </c>
      <c r="Z63" s="311">
        <v>14</v>
      </c>
    </row>
    <row r="64" spans="1:28" ht="14.25" customHeight="1" x14ac:dyDescent="0.2">
      <c r="A64" s="765"/>
      <c r="J64"/>
      <c r="K64" s="51" t="str">
        <f>VLOOKUP($Z64,schedule,13,FALSE)</f>
        <v>3. forduló:</v>
      </c>
      <c r="L64" s="745" t="str">
        <f>VLOOKUP($Z64,schedule,3,FALSE)</f>
        <v>A</v>
      </c>
      <c r="M64" s="257" t="str">
        <f>VLOOKUP($Z64,schedule,17,FALSE)</f>
        <v>jún. 20 – 18:00</v>
      </c>
      <c r="N64" s="257" t="str">
        <f>VLOOKUP($Z64,schedule,28,FALSE)</f>
        <v xml:space="preserve">Svájc–Törökország  </v>
      </c>
      <c r="Z64" s="311">
        <v>26</v>
      </c>
    </row>
    <row r="65" spans="1:26" ht="14.25" customHeight="1" x14ac:dyDescent="0.2">
      <c r="A65" s="765"/>
      <c r="J65"/>
      <c r="K65" s="51" t="str">
        <f>VLOOKUP($Z65,schedule,13,FALSE)</f>
        <v>Negyeddöntő:</v>
      </c>
      <c r="L65" s="745" t="str">
        <f>VLOOKUP($Z65,schedule,3,FALSE)</f>
        <v>4/4</v>
      </c>
      <c r="M65" s="257" t="str">
        <f>VLOOKUP($Z65,schedule,17,FALSE)</f>
        <v>júl. 3 – 18:00</v>
      </c>
      <c r="N65" s="257" t="str">
        <f>VLOOKUP($Z65,schedule,28,FALSE)</f>
        <v xml:space="preserve">7/8 győztese–8/8 győztese  </v>
      </c>
      <c r="Z65" s="311">
        <v>47</v>
      </c>
    </row>
    <row r="66" spans="1:26" ht="14.25" customHeight="1" x14ac:dyDescent="0.2">
      <c r="A66" s="765"/>
      <c r="J66"/>
    </row>
    <row r="67" spans="1:26" ht="14.25" customHeight="1" x14ac:dyDescent="0.2">
      <c r="A67" s="765"/>
      <c r="J67"/>
    </row>
    <row r="68" spans="1:26" ht="14.25" customHeight="1" x14ac:dyDescent="0.3">
      <c r="A68" s="765"/>
      <c r="D68" s="53"/>
      <c r="E68" s="53"/>
      <c r="F68" s="53"/>
      <c r="G68" s="53"/>
      <c r="H68" s="53"/>
      <c r="J68"/>
    </row>
    <row r="69" spans="1:26" ht="12.75" customHeight="1" x14ac:dyDescent="0.2">
      <c r="A69" s="765"/>
      <c r="H69"/>
      <c r="J69"/>
    </row>
    <row r="70" spans="1:26" ht="15.75" customHeight="1" x14ac:dyDescent="0.3">
      <c r="A70" s="765"/>
      <c r="D70" s="53"/>
      <c r="E70" s="53"/>
      <c r="F70" s="53"/>
      <c r="G70" s="53"/>
      <c r="H70" s="53"/>
      <c r="J70"/>
      <c r="N70"/>
    </row>
    <row r="71" spans="1:26" ht="15" customHeight="1" x14ac:dyDescent="0.2">
      <c r="A71" s="765"/>
      <c r="J71"/>
    </row>
    <row r="72" spans="1:26" ht="15" customHeight="1" x14ac:dyDescent="0.2">
      <c r="A72" s="765"/>
      <c r="I72"/>
      <c r="J72"/>
      <c r="O72" s="21"/>
    </row>
    <row r="73" spans="1:26" ht="1.5" customHeight="1" x14ac:dyDescent="0.2">
      <c r="A73" s="765"/>
      <c r="J73"/>
      <c r="O73" s="21"/>
    </row>
    <row r="74" spans="1:26" ht="13.5" customHeight="1" x14ac:dyDescent="0.2">
      <c r="A74" s="765"/>
      <c r="J74"/>
      <c r="O74" s="21"/>
    </row>
    <row r="75" spans="1:26" ht="13.5" customHeight="1" x14ac:dyDescent="0.2">
      <c r="A75" s="765"/>
      <c r="J75"/>
      <c r="O75" s="21"/>
    </row>
    <row r="76" spans="1:26" ht="13.5" customHeight="1" x14ac:dyDescent="0.2">
      <c r="A76" s="765"/>
      <c r="J76"/>
      <c r="O76" s="21"/>
    </row>
    <row r="77" spans="1:26" ht="13.5" customHeight="1" x14ac:dyDescent="0.2">
      <c r="A77" s="765"/>
      <c r="J77"/>
      <c r="O77" s="21"/>
      <c r="P77"/>
    </row>
    <row r="78" spans="1:26" ht="13.5" customHeight="1" x14ac:dyDescent="0.3">
      <c r="A78" s="765"/>
      <c r="E78" s="53"/>
      <c r="J78"/>
      <c r="O78" s="21"/>
    </row>
    <row r="79" spans="1:26" ht="11.25" customHeight="1" x14ac:dyDescent="0.3">
      <c r="A79" s="765"/>
      <c r="E79" s="53"/>
      <c r="J79"/>
      <c r="O79" s="21"/>
    </row>
    <row r="80" spans="1:26" ht="11.25" customHeight="1" x14ac:dyDescent="0.2">
      <c r="A80" s="765"/>
    </row>
    <row r="81" spans="1:1" ht="11.25" customHeight="1" x14ac:dyDescent="0.2">
      <c r="A81" s="765"/>
    </row>
    <row r="82" spans="1:1" ht="11.25" customHeight="1" x14ac:dyDescent="0.2">
      <c r="A82" s="765"/>
    </row>
    <row r="83" spans="1:1" ht="11.25" customHeight="1" x14ac:dyDescent="0.2">
      <c r="A83" s="765"/>
    </row>
    <row r="84" spans="1:1" ht="11.25" customHeight="1" x14ac:dyDescent="0.2">
      <c r="A84" s="765"/>
    </row>
    <row r="85" spans="1:1" ht="11.25" customHeight="1" x14ac:dyDescent="0.2">
      <c r="A85" s="765"/>
    </row>
    <row r="86" spans="1:1" ht="11.25" customHeight="1" x14ac:dyDescent="0.2">
      <c r="A86" s="765"/>
    </row>
    <row r="87" spans="1:1" ht="11.25" customHeight="1" x14ac:dyDescent="0.2">
      <c r="A87" s="765"/>
    </row>
    <row r="88" spans="1:1" ht="11.25" customHeight="1" x14ac:dyDescent="0.2">
      <c r="A88" s="765"/>
    </row>
    <row r="89" spans="1:1" ht="11.25" customHeight="1" x14ac:dyDescent="0.2">
      <c r="A89" s="765"/>
    </row>
    <row r="90" spans="1:1" ht="11.25" customHeight="1" x14ac:dyDescent="0.2">
      <c r="A90" s="765"/>
    </row>
    <row r="91" spans="1:1" ht="11.25" customHeight="1" x14ac:dyDescent="0.2">
      <c r="A91" s="765"/>
    </row>
    <row r="92" spans="1:1" ht="11.25" customHeight="1" x14ac:dyDescent="0.2">
      <c r="A92" s="765"/>
    </row>
    <row r="93" spans="1:1" ht="11.25" customHeight="1" x14ac:dyDescent="0.2">
      <c r="A93" s="765"/>
    </row>
    <row r="94" spans="1:1" ht="11.25" customHeight="1" x14ac:dyDescent="0.2">
      <c r="A94" s="765"/>
    </row>
    <row r="95" spans="1:1" ht="11.25" customHeight="1" x14ac:dyDescent="0.2">
      <c r="A95" s="765"/>
    </row>
    <row r="96" spans="1:1" ht="11.25" customHeight="1" x14ac:dyDescent="0.2">
      <c r="A96" s="765"/>
    </row>
    <row r="97" spans="1:28" ht="11.25" customHeight="1" x14ac:dyDescent="0.2">
      <c r="A97" s="765"/>
    </row>
    <row r="98" spans="1:28" ht="11.25" customHeight="1" x14ac:dyDescent="0.2">
      <c r="A98" s="765"/>
    </row>
    <row r="99" spans="1:28" ht="11.25" customHeight="1" x14ac:dyDescent="0.2">
      <c r="A99" s="765"/>
    </row>
    <row r="100" spans="1:28" ht="11.25" customHeight="1" x14ac:dyDescent="0.2">
      <c r="A100" s="765"/>
    </row>
    <row r="101" spans="1:28" ht="11.25" customHeight="1" x14ac:dyDescent="0.2">
      <c r="A101" s="765"/>
    </row>
    <row r="102" spans="1:28" ht="11.25" customHeight="1" x14ac:dyDescent="0.2">
      <c r="A102" s="765"/>
    </row>
    <row r="103" spans="1:28" ht="11.25" customHeight="1" x14ac:dyDescent="0.2">
      <c r="A103" s="765"/>
    </row>
    <row r="104" spans="1:28" ht="11.25" customHeight="1" x14ac:dyDescent="0.2">
      <c r="A104" s="765"/>
    </row>
    <row r="105" spans="1:28" ht="7.5" customHeight="1" x14ac:dyDescent="0.2">
      <c r="A105" s="765"/>
      <c r="P105" s="50"/>
    </row>
    <row r="106" spans="1:28" s="93" customFormat="1" ht="15" customHeight="1" x14ac:dyDescent="0.2">
      <c r="A106" s="765"/>
      <c r="B106" s="200"/>
      <c r="H106" s="23"/>
      <c r="I106" s="23"/>
      <c r="J106" s="23"/>
      <c r="K106" s="749" t="str">
        <f>UPPER(INDEX(stadium,Z106,1))</f>
        <v>SZENTPÉTERVÁR</v>
      </c>
      <c r="L106" s="82"/>
      <c r="M106" s="82"/>
      <c r="N106" s="82"/>
      <c r="O106" s="82"/>
      <c r="P106" s="23"/>
      <c r="Q106" s="23"/>
      <c r="R106" s="23"/>
      <c r="S106" s="212"/>
      <c r="X106" s="322"/>
      <c r="Y106" s="746"/>
      <c r="Z106" s="748">
        <v>3</v>
      </c>
      <c r="AA106" s="746"/>
      <c r="AB106" s="322"/>
    </row>
    <row r="107" spans="1:28" s="21" customFormat="1" ht="15" customHeight="1" x14ac:dyDescent="0.2">
      <c r="A107" s="765"/>
      <c r="H107" s="23"/>
      <c r="I107" s="23"/>
      <c r="J107"/>
      <c r="K107" s="67" t="str">
        <f>" "&amp;INDEX(stadium,Z106,3)</f>
        <v xml:space="preserve"> 5,3 millió lakos</v>
      </c>
      <c r="L107" s="744"/>
      <c r="M107" s="744"/>
      <c r="N107" s="744"/>
      <c r="O107" s="744"/>
      <c r="P107" s="23"/>
      <c r="Q107" s="23"/>
      <c r="R107" s="23"/>
      <c r="S107" s="23"/>
      <c r="X107" s="747"/>
      <c r="Y107" s="304"/>
      <c r="Z107" s="505"/>
      <c r="AA107" s="304"/>
      <c r="AB107" s="747"/>
    </row>
    <row r="108" spans="1:28" ht="6" customHeight="1" x14ac:dyDescent="0.2">
      <c r="A108" s="765"/>
      <c r="I108"/>
      <c r="J108"/>
    </row>
    <row r="109" spans="1:28" ht="12.75" customHeight="1" x14ac:dyDescent="0.2">
      <c r="A109" s="765"/>
      <c r="J109"/>
      <c r="K109" s="749" t="str">
        <f>UPPER(INDEX(stadium,Z106,2))</f>
        <v>KRESZTOVSZKIJ STADION</v>
      </c>
      <c r="L109" s="82"/>
      <c r="M109" s="82"/>
      <c r="N109" s="82"/>
      <c r="O109" s="82"/>
    </row>
    <row r="110" spans="1:28" ht="12.75" customHeight="1" x14ac:dyDescent="0.2">
      <c r="A110" s="765"/>
      <c r="I110"/>
      <c r="J110"/>
      <c r="K110" s="67" t="str">
        <f>" "&amp;INDEX(stadium,Z106,4)</f>
        <v xml:space="preserve"> 61.000 néző</v>
      </c>
      <c r="L110" s="744"/>
      <c r="M110" s="744"/>
      <c r="N110" s="744"/>
      <c r="O110" s="744"/>
    </row>
    <row r="111" spans="1:28" ht="9.75" customHeight="1" x14ac:dyDescent="0.3">
      <c r="A111" s="765"/>
      <c r="J111"/>
      <c r="L111" s="53"/>
      <c r="N111" s="53"/>
      <c r="O111" s="53"/>
    </row>
    <row r="112" spans="1:28" ht="14.25" customHeight="1" x14ac:dyDescent="0.2">
      <c r="A112" s="765"/>
      <c r="J112"/>
      <c r="K112" s="51" t="str">
        <f t="shared" ref="K112:K118" si="0">VLOOKUP($Z112,schedule,13,FALSE)</f>
        <v>1. forduló:</v>
      </c>
      <c r="L112" s="745" t="str">
        <f t="shared" ref="L112:L118" si="1">VLOOKUP($Z112,schedule,3,FALSE)</f>
        <v>B</v>
      </c>
      <c r="M112" s="257" t="str">
        <f t="shared" ref="M112:M118" si="2">VLOOKUP($Z112,schedule,17,FALSE)</f>
        <v>jún. 12 – 21:00</v>
      </c>
      <c r="N112" s="257" t="str">
        <f t="shared" ref="N112:N118" si="3">VLOOKUP($Z112,schedule,28,FALSE)</f>
        <v xml:space="preserve">Belgium–Oroszország  </v>
      </c>
      <c r="Z112" s="311">
        <v>4</v>
      </c>
    </row>
    <row r="113" spans="1:26" ht="14.25" customHeight="1" x14ac:dyDescent="0.3">
      <c r="A113" s="765"/>
      <c r="C113" s="53"/>
      <c r="J113"/>
      <c r="K113" s="51" t="str">
        <f t="shared" si="0"/>
        <v>1. forduló:</v>
      </c>
      <c r="L113" s="745" t="str">
        <f t="shared" si="1"/>
        <v>E</v>
      </c>
      <c r="M113" s="257" t="str">
        <f t="shared" si="2"/>
        <v>jún. 14 – 18:00</v>
      </c>
      <c r="N113" s="257" t="str">
        <f t="shared" si="3"/>
        <v xml:space="preserve">Lengyelország–Szlovákia  </v>
      </c>
      <c r="Z113" s="311">
        <v>9</v>
      </c>
    </row>
    <row r="114" spans="1:26" ht="14.25" customHeight="1" x14ac:dyDescent="0.2">
      <c r="A114" s="765"/>
      <c r="J114"/>
      <c r="K114" s="51" t="str">
        <f t="shared" si="0"/>
        <v>2. forduló:</v>
      </c>
      <c r="L114" s="745" t="str">
        <f t="shared" si="1"/>
        <v>B</v>
      </c>
      <c r="M114" s="257" t="str">
        <f t="shared" si="2"/>
        <v>jún. 16 – 15:00</v>
      </c>
      <c r="N114" s="257" t="str">
        <f t="shared" si="3"/>
        <v xml:space="preserve">Finnország–Oroszország  </v>
      </c>
      <c r="Z114" s="311">
        <v>13</v>
      </c>
    </row>
    <row r="115" spans="1:26" ht="14.25" customHeight="1" x14ac:dyDescent="0.2">
      <c r="A115" s="765"/>
      <c r="J115"/>
      <c r="K115" s="51" t="str">
        <f t="shared" si="0"/>
        <v>2. forduló:</v>
      </c>
      <c r="L115" s="745" t="str">
        <f t="shared" si="1"/>
        <v>E</v>
      </c>
      <c r="M115" s="257" t="str">
        <f t="shared" si="2"/>
        <v>jún. 18 – 15:00</v>
      </c>
      <c r="N115" s="257" t="str">
        <f t="shared" si="3"/>
        <v xml:space="preserve">Svédország–Szlovákia  </v>
      </c>
      <c r="Z115" s="311">
        <v>19</v>
      </c>
    </row>
    <row r="116" spans="1:26" ht="14.25" customHeight="1" x14ac:dyDescent="0.2">
      <c r="A116" s="765"/>
      <c r="J116"/>
      <c r="K116" s="51" t="str">
        <f t="shared" si="0"/>
        <v>3. forduló:</v>
      </c>
      <c r="L116" s="745" t="str">
        <f t="shared" si="1"/>
        <v>B</v>
      </c>
      <c r="M116" s="257" t="str">
        <f t="shared" si="2"/>
        <v>jún. 21 – 21:00</v>
      </c>
      <c r="N116" s="257" t="str">
        <f t="shared" si="3"/>
        <v xml:space="preserve">Finnország–Belgium  </v>
      </c>
      <c r="Z116" s="311">
        <v>29</v>
      </c>
    </row>
    <row r="117" spans="1:26" ht="14.25" customHeight="1" x14ac:dyDescent="0.2">
      <c r="A117" s="765"/>
      <c r="J117"/>
      <c r="K117" s="51" t="str">
        <f t="shared" si="0"/>
        <v>3. forduló:</v>
      </c>
      <c r="L117" s="745" t="str">
        <f t="shared" si="1"/>
        <v>E</v>
      </c>
      <c r="M117" s="257" t="str">
        <f t="shared" si="2"/>
        <v>jún. 23 – 18:00</v>
      </c>
      <c r="N117" s="257" t="str">
        <f t="shared" si="3"/>
        <v xml:space="preserve">Svédország–Lengyelország  </v>
      </c>
      <c r="Z117" s="311">
        <v>34</v>
      </c>
    </row>
    <row r="118" spans="1:26" ht="14.25" customHeight="1" x14ac:dyDescent="0.3">
      <c r="A118" s="765"/>
      <c r="D118" s="53"/>
      <c r="E118" s="53"/>
      <c r="F118" s="53"/>
      <c r="G118" s="53"/>
      <c r="H118" s="53"/>
      <c r="J118"/>
      <c r="K118" s="51" t="str">
        <f t="shared" si="0"/>
        <v>Negyeddöntő:</v>
      </c>
      <c r="L118" s="745" t="str">
        <f t="shared" si="1"/>
        <v>2/4</v>
      </c>
      <c r="M118" s="257" t="str">
        <f t="shared" si="2"/>
        <v>júl. 2 – 18:00</v>
      </c>
      <c r="N118" s="257" t="str">
        <f t="shared" si="3"/>
        <v xml:space="preserve">3/8 győztese–4/8 győztese  </v>
      </c>
      <c r="Z118" s="311">
        <v>45</v>
      </c>
    </row>
    <row r="119" spans="1:26" ht="12.75" customHeight="1" x14ac:dyDescent="0.2">
      <c r="A119" s="765"/>
      <c r="H119"/>
      <c r="J119"/>
    </row>
    <row r="120" spans="1:26" ht="15.75" customHeight="1" x14ac:dyDescent="0.3">
      <c r="A120" s="765"/>
      <c r="D120" s="53"/>
      <c r="E120" s="53"/>
      <c r="F120" s="53"/>
      <c r="G120" s="53"/>
      <c r="H120" s="53"/>
      <c r="J120"/>
      <c r="N120"/>
    </row>
    <row r="121" spans="1:26" ht="15" customHeight="1" x14ac:dyDescent="0.2">
      <c r="A121" s="765"/>
      <c r="J121"/>
    </row>
    <row r="122" spans="1:26" ht="15" customHeight="1" x14ac:dyDescent="0.2">
      <c r="A122" s="765"/>
      <c r="I122"/>
      <c r="J122"/>
      <c r="O122" s="21"/>
    </row>
    <row r="123" spans="1:26" ht="1.5" customHeight="1" x14ac:dyDescent="0.2">
      <c r="A123" s="765"/>
      <c r="J123"/>
      <c r="O123" s="21"/>
    </row>
    <row r="124" spans="1:26" ht="13.5" customHeight="1" x14ac:dyDescent="0.2">
      <c r="A124" s="765"/>
      <c r="J124"/>
      <c r="O124" s="21"/>
    </row>
    <row r="125" spans="1:26" ht="13.5" customHeight="1" x14ac:dyDescent="0.2">
      <c r="A125" s="765"/>
      <c r="J125"/>
      <c r="O125" s="21"/>
    </row>
    <row r="126" spans="1:26" ht="13.5" customHeight="1" x14ac:dyDescent="0.2">
      <c r="A126" s="765"/>
      <c r="J126"/>
      <c r="O126" s="21"/>
    </row>
    <row r="127" spans="1:26" ht="13.5" customHeight="1" x14ac:dyDescent="0.2">
      <c r="A127" s="765"/>
      <c r="J127"/>
      <c r="O127" s="21"/>
      <c r="P127"/>
    </row>
    <row r="128" spans="1:26" ht="13.5" customHeight="1" x14ac:dyDescent="0.3">
      <c r="A128" s="765"/>
      <c r="E128" s="53"/>
      <c r="J128"/>
      <c r="O128" s="21"/>
    </row>
    <row r="129" spans="1:15" ht="11.25" customHeight="1" x14ac:dyDescent="0.3">
      <c r="A129" s="765"/>
      <c r="E129" s="53"/>
      <c r="J129"/>
      <c r="O129" s="21"/>
    </row>
    <row r="130" spans="1:15" ht="11.25" customHeight="1" x14ac:dyDescent="0.2">
      <c r="A130" s="765"/>
    </row>
    <row r="131" spans="1:15" ht="11.25" customHeight="1" x14ac:dyDescent="0.2">
      <c r="A131" s="765"/>
    </row>
    <row r="132" spans="1:15" ht="11.25" customHeight="1" x14ac:dyDescent="0.2">
      <c r="A132" s="765"/>
    </row>
    <row r="133" spans="1:15" ht="11.25" customHeight="1" x14ac:dyDescent="0.2">
      <c r="A133" s="765"/>
    </row>
    <row r="134" spans="1:15" ht="11.25" customHeight="1" x14ac:dyDescent="0.2">
      <c r="A134" s="765"/>
    </row>
    <row r="135" spans="1:15" ht="11.25" customHeight="1" x14ac:dyDescent="0.2">
      <c r="A135" s="765"/>
    </row>
    <row r="136" spans="1:15" ht="11.25" customHeight="1" x14ac:dyDescent="0.2">
      <c r="A136" s="765"/>
    </row>
    <row r="137" spans="1:15" ht="11.25" customHeight="1" x14ac:dyDescent="0.2">
      <c r="A137" s="765"/>
    </row>
    <row r="138" spans="1:15" ht="11.25" customHeight="1" x14ac:dyDescent="0.2">
      <c r="A138" s="765"/>
    </row>
    <row r="139" spans="1:15" ht="11.25" customHeight="1" x14ac:dyDescent="0.2">
      <c r="A139" s="765"/>
    </row>
    <row r="140" spans="1:15" ht="11.25" customHeight="1" x14ac:dyDescent="0.2">
      <c r="A140" s="765"/>
    </row>
    <row r="141" spans="1:15" ht="11.25" customHeight="1" x14ac:dyDescent="0.2">
      <c r="A141" s="765"/>
    </row>
    <row r="142" spans="1:15" ht="11.25" customHeight="1" x14ac:dyDescent="0.2">
      <c r="A142" s="765"/>
    </row>
    <row r="143" spans="1:15" ht="11.25" customHeight="1" x14ac:dyDescent="0.2">
      <c r="A143" s="765"/>
    </row>
    <row r="144" spans="1:15" ht="11.25" customHeight="1" x14ac:dyDescent="0.2">
      <c r="A144" s="765"/>
    </row>
    <row r="145" spans="1:28" ht="11.25" customHeight="1" x14ac:dyDescent="0.2">
      <c r="A145" s="765"/>
    </row>
    <row r="146" spans="1:28" ht="11.25" customHeight="1" x14ac:dyDescent="0.2">
      <c r="A146" s="765"/>
    </row>
    <row r="147" spans="1:28" ht="11.25" customHeight="1" x14ac:dyDescent="0.2">
      <c r="A147" s="765"/>
    </row>
    <row r="148" spans="1:28" ht="11.25" customHeight="1" x14ac:dyDescent="0.2">
      <c r="A148" s="765"/>
    </row>
    <row r="149" spans="1:28" ht="11.25" customHeight="1" x14ac:dyDescent="0.2">
      <c r="A149" s="765"/>
    </row>
    <row r="150" spans="1:28" ht="11.25" customHeight="1" x14ac:dyDescent="0.2">
      <c r="A150" s="765"/>
    </row>
    <row r="151" spans="1:28" ht="11.25" customHeight="1" x14ac:dyDescent="0.2">
      <c r="A151" s="765"/>
    </row>
    <row r="152" spans="1:28" ht="11.25" customHeight="1" x14ac:dyDescent="0.2">
      <c r="A152" s="765"/>
    </row>
    <row r="153" spans="1:28" ht="11.25" customHeight="1" x14ac:dyDescent="0.2">
      <c r="A153" s="765"/>
    </row>
    <row r="154" spans="1:28" ht="11.25" customHeight="1" x14ac:dyDescent="0.2">
      <c r="A154" s="765"/>
    </row>
    <row r="155" spans="1:28" ht="7.5" customHeight="1" x14ac:dyDescent="0.2">
      <c r="A155" s="765"/>
      <c r="P155" s="50"/>
    </row>
    <row r="156" spans="1:28" s="93" customFormat="1" ht="15" customHeight="1" x14ac:dyDescent="0.2">
      <c r="A156" s="765"/>
      <c r="B156" s="200"/>
      <c r="H156" s="23"/>
      <c r="I156" s="23"/>
      <c r="J156" s="23"/>
      <c r="K156" s="749" t="str">
        <f>UPPER(INDEX(stadium,Z156,1))</f>
        <v>KOPPENHÁGA</v>
      </c>
      <c r="L156" s="82"/>
      <c r="M156" s="82"/>
      <c r="N156" s="82"/>
      <c r="O156" s="82"/>
      <c r="P156" s="23"/>
      <c r="Q156" s="23"/>
      <c r="R156" s="23"/>
      <c r="S156" s="212"/>
      <c r="X156" s="322"/>
      <c r="Y156" s="746"/>
      <c r="Z156" s="748">
        <v>4</v>
      </c>
      <c r="AA156" s="746"/>
      <c r="AB156" s="322"/>
    </row>
    <row r="157" spans="1:28" s="21" customFormat="1" ht="15" customHeight="1" x14ac:dyDescent="0.2">
      <c r="A157" s="765"/>
      <c r="H157" s="23"/>
      <c r="I157" s="23"/>
      <c r="J157"/>
      <c r="K157" s="67" t="str">
        <f>" "&amp;INDEX(stadium,Z156,3)</f>
        <v xml:space="preserve"> 1,6 millió lakos</v>
      </c>
      <c r="L157" s="744"/>
      <c r="M157" s="744"/>
      <c r="N157" s="744"/>
      <c r="O157" s="744"/>
      <c r="P157" s="23"/>
      <c r="Q157" s="23"/>
      <c r="R157" s="23"/>
      <c r="S157" s="23"/>
      <c r="X157" s="747"/>
      <c r="Y157" s="304"/>
      <c r="Z157" s="505"/>
      <c r="AA157" s="304"/>
      <c r="AB157" s="747"/>
    </row>
    <row r="158" spans="1:28" ht="6" customHeight="1" x14ac:dyDescent="0.2">
      <c r="A158" s="765"/>
      <c r="I158"/>
      <c r="J158"/>
    </row>
    <row r="159" spans="1:28" ht="12.75" customHeight="1" x14ac:dyDescent="0.2">
      <c r="A159" s="765"/>
      <c r="J159"/>
      <c r="K159" s="749" t="str">
        <f>UPPER(INDEX(stadium,Z156,2))</f>
        <v>PARKEN STADION</v>
      </c>
      <c r="L159" s="82"/>
      <c r="M159" s="82"/>
      <c r="N159" s="82"/>
      <c r="O159" s="82"/>
    </row>
    <row r="160" spans="1:28" ht="12.75" customHeight="1" x14ac:dyDescent="0.2">
      <c r="A160" s="765"/>
      <c r="I160"/>
      <c r="J160"/>
      <c r="K160" s="67" t="str">
        <f>" "&amp;INDEX(stadium,Z156,4)</f>
        <v xml:space="preserve"> 38.000 néző</v>
      </c>
      <c r="L160" s="744"/>
      <c r="M160" s="744"/>
      <c r="N160" s="744"/>
      <c r="O160" s="744"/>
    </row>
    <row r="161" spans="1:26" ht="9.75" customHeight="1" x14ac:dyDescent="0.3">
      <c r="A161" s="765"/>
      <c r="J161"/>
      <c r="L161" s="53"/>
      <c r="N161" s="53"/>
      <c r="O161" s="53"/>
    </row>
    <row r="162" spans="1:26" ht="14.25" customHeight="1" x14ac:dyDescent="0.2">
      <c r="A162" s="765"/>
      <c r="J162"/>
      <c r="K162" s="51" t="str">
        <f>VLOOKUP($Z162,schedule,13,FALSE)</f>
        <v>1. forduló:</v>
      </c>
      <c r="L162" s="745" t="str">
        <f>VLOOKUP($Z162,schedule,3,FALSE)</f>
        <v>B</v>
      </c>
      <c r="M162" s="257" t="str">
        <f>VLOOKUP($Z162,schedule,17,FALSE)</f>
        <v>jún. 12 – 18:00</v>
      </c>
      <c r="N162" s="257" t="str">
        <f>VLOOKUP($Z162,schedule,28,FALSE)</f>
        <v xml:space="preserve">Dánia–Finnország  </v>
      </c>
      <c r="Z162" s="311">
        <v>3</v>
      </c>
    </row>
    <row r="163" spans="1:26" ht="14.25" customHeight="1" x14ac:dyDescent="0.3">
      <c r="A163" s="765"/>
      <c r="C163" s="53"/>
      <c r="J163"/>
      <c r="K163" s="51" t="str">
        <f>VLOOKUP($Z163,schedule,13,FALSE)</f>
        <v>2. forduló:</v>
      </c>
      <c r="L163" s="745" t="str">
        <f>VLOOKUP($Z163,schedule,3,FALSE)</f>
        <v>B</v>
      </c>
      <c r="M163" s="257" t="str">
        <f>VLOOKUP($Z163,schedule,17,FALSE)</f>
        <v>jún. 17 – 18:00</v>
      </c>
      <c r="N163" s="257" t="str">
        <f>VLOOKUP($Z163,schedule,28,FALSE)</f>
        <v xml:space="preserve">Dánia–Belgium  </v>
      </c>
      <c r="Z163" s="311">
        <v>17</v>
      </c>
    </row>
    <row r="164" spans="1:26" ht="14.25" customHeight="1" x14ac:dyDescent="0.2">
      <c r="A164" s="765"/>
      <c r="J164"/>
      <c r="K164" s="51" t="str">
        <f>VLOOKUP($Z164,schedule,13,FALSE)</f>
        <v>3. forduló:</v>
      </c>
      <c r="L164" s="745" t="str">
        <f>VLOOKUP($Z164,schedule,3,FALSE)</f>
        <v>B</v>
      </c>
      <c r="M164" s="257" t="str">
        <f>VLOOKUP($Z164,schedule,17,FALSE)</f>
        <v>jún. 21 – 21:00</v>
      </c>
      <c r="N164" s="257" t="str">
        <f>VLOOKUP($Z164,schedule,28,FALSE)</f>
        <v xml:space="preserve">Oroszország–Dánia  </v>
      </c>
      <c r="Z164" s="311">
        <v>30</v>
      </c>
    </row>
    <row r="165" spans="1:26" ht="14.25" customHeight="1" x14ac:dyDescent="0.2">
      <c r="A165" s="765"/>
      <c r="J165"/>
      <c r="K165" s="51" t="str">
        <f>VLOOKUP($Z165,schedule,13,FALSE)</f>
        <v>Nyolcaddöntő:</v>
      </c>
      <c r="L165" s="745" t="str">
        <f>VLOOKUP($Z165,schedule,3,FALSE)</f>
        <v>4/8</v>
      </c>
      <c r="M165" s="257" t="str">
        <f>VLOOKUP($Z165,schedule,17,FALSE)</f>
        <v>jún. 28 – 18:00</v>
      </c>
      <c r="N165" s="257" t="str">
        <f>VLOOKUP($Z165,schedule,28,FALSE)</f>
        <v xml:space="preserve">D csoport 2. hely–E csoport 2. hely  </v>
      </c>
      <c r="Z165" s="311">
        <v>42</v>
      </c>
    </row>
    <row r="166" spans="1:26" ht="14.25" customHeight="1" x14ac:dyDescent="0.2">
      <c r="A166" s="765"/>
      <c r="J166"/>
    </row>
    <row r="167" spans="1:26" ht="14.25" customHeight="1" x14ac:dyDescent="0.2">
      <c r="A167" s="765"/>
      <c r="J167"/>
    </row>
    <row r="168" spans="1:26" ht="14.25" customHeight="1" x14ac:dyDescent="0.3">
      <c r="A168" s="765"/>
      <c r="D168" s="53"/>
      <c r="E168" s="53"/>
      <c r="F168" s="53"/>
      <c r="G168" s="53"/>
      <c r="H168" s="53"/>
      <c r="J168"/>
    </row>
    <row r="169" spans="1:26" ht="12.75" customHeight="1" x14ac:dyDescent="0.2">
      <c r="A169" s="765"/>
      <c r="H169"/>
      <c r="J169"/>
    </row>
    <row r="170" spans="1:26" ht="15.75" customHeight="1" x14ac:dyDescent="0.3">
      <c r="A170" s="765"/>
      <c r="D170" s="53"/>
      <c r="E170" s="53"/>
      <c r="F170" s="53"/>
      <c r="G170" s="53"/>
      <c r="H170" s="53"/>
      <c r="J170"/>
      <c r="N170"/>
    </row>
    <row r="171" spans="1:26" ht="15" customHeight="1" x14ac:dyDescent="0.2">
      <c r="A171" s="765"/>
      <c r="J171"/>
    </row>
    <row r="172" spans="1:26" ht="15" customHeight="1" x14ac:dyDescent="0.2">
      <c r="A172" s="765"/>
      <c r="I172"/>
      <c r="J172"/>
      <c r="O172" s="21"/>
    </row>
    <row r="173" spans="1:26" ht="1.5" customHeight="1" x14ac:dyDescent="0.2">
      <c r="A173" s="765"/>
      <c r="J173"/>
      <c r="O173" s="21"/>
    </row>
    <row r="174" spans="1:26" ht="13.5" customHeight="1" x14ac:dyDescent="0.2">
      <c r="A174" s="765"/>
      <c r="J174"/>
      <c r="O174" s="21"/>
    </row>
    <row r="175" spans="1:26" ht="13.5" customHeight="1" x14ac:dyDescent="0.2">
      <c r="A175" s="765"/>
      <c r="J175"/>
      <c r="O175" s="21"/>
    </row>
    <row r="176" spans="1:26" ht="13.5" customHeight="1" x14ac:dyDescent="0.2">
      <c r="A176" s="765"/>
      <c r="J176"/>
      <c r="O176" s="21"/>
    </row>
    <row r="177" spans="1:16" ht="13.5" customHeight="1" x14ac:dyDescent="0.2">
      <c r="A177" s="765"/>
      <c r="J177"/>
      <c r="O177" s="21"/>
      <c r="P177"/>
    </row>
    <row r="178" spans="1:16" ht="13.5" customHeight="1" x14ac:dyDescent="0.3">
      <c r="A178" s="765"/>
      <c r="E178" s="53"/>
      <c r="J178"/>
      <c r="O178" s="21"/>
    </row>
    <row r="179" spans="1:16" ht="11.25" customHeight="1" x14ac:dyDescent="0.3">
      <c r="A179" s="765"/>
      <c r="E179" s="53"/>
      <c r="J179"/>
      <c r="O179" s="21"/>
    </row>
    <row r="180" spans="1:16" ht="11.25" customHeight="1" x14ac:dyDescent="0.2">
      <c r="A180" s="765"/>
    </row>
    <row r="181" spans="1:16" ht="11.25" customHeight="1" x14ac:dyDescent="0.2">
      <c r="A181" s="765"/>
    </row>
    <row r="182" spans="1:16" ht="11.25" customHeight="1" x14ac:dyDescent="0.2">
      <c r="A182" s="765"/>
    </row>
    <row r="183" spans="1:16" ht="11.25" customHeight="1" x14ac:dyDescent="0.2">
      <c r="A183" s="765"/>
    </row>
    <row r="184" spans="1:16" ht="11.25" customHeight="1" x14ac:dyDescent="0.2">
      <c r="A184" s="765"/>
    </row>
    <row r="185" spans="1:16" ht="11.25" customHeight="1" x14ac:dyDescent="0.2">
      <c r="A185" s="765"/>
    </row>
    <row r="186" spans="1:16" ht="11.25" customHeight="1" x14ac:dyDescent="0.2">
      <c r="A186" s="765"/>
    </row>
    <row r="187" spans="1:16" ht="11.25" customHeight="1" x14ac:dyDescent="0.2">
      <c r="A187" s="765"/>
    </row>
    <row r="188" spans="1:16" ht="11.25" customHeight="1" x14ac:dyDescent="0.2">
      <c r="A188" s="765"/>
    </row>
    <row r="189" spans="1:16" ht="11.25" customHeight="1" x14ac:dyDescent="0.2">
      <c r="A189" s="765"/>
    </row>
    <row r="190" spans="1:16" ht="11.25" customHeight="1" x14ac:dyDescent="0.2">
      <c r="A190" s="765"/>
    </row>
    <row r="191" spans="1:16" ht="11.25" customHeight="1" x14ac:dyDescent="0.2">
      <c r="A191" s="765"/>
    </row>
    <row r="192" spans="1:16" ht="11.25" customHeight="1" x14ac:dyDescent="0.2">
      <c r="A192" s="765"/>
    </row>
    <row r="193" spans="1:28" ht="11.25" customHeight="1" x14ac:dyDescent="0.2">
      <c r="A193" s="765"/>
    </row>
    <row r="194" spans="1:28" ht="11.25" customHeight="1" x14ac:dyDescent="0.2">
      <c r="A194" s="765"/>
    </row>
    <row r="195" spans="1:28" ht="11.25" customHeight="1" x14ac:dyDescent="0.2">
      <c r="A195" s="765"/>
    </row>
    <row r="196" spans="1:28" ht="11.25" customHeight="1" x14ac:dyDescent="0.2">
      <c r="A196" s="765"/>
    </row>
    <row r="197" spans="1:28" ht="11.25" customHeight="1" x14ac:dyDescent="0.2">
      <c r="A197" s="765"/>
    </row>
    <row r="198" spans="1:28" ht="11.25" customHeight="1" x14ac:dyDescent="0.2">
      <c r="A198" s="765"/>
    </row>
    <row r="199" spans="1:28" ht="11.25" customHeight="1" x14ac:dyDescent="0.2">
      <c r="A199" s="765"/>
    </row>
    <row r="200" spans="1:28" ht="11.25" customHeight="1" x14ac:dyDescent="0.2">
      <c r="A200" s="765"/>
    </row>
    <row r="201" spans="1:28" ht="11.25" customHeight="1" x14ac:dyDescent="0.2">
      <c r="A201" s="765"/>
    </row>
    <row r="202" spans="1:28" ht="11.25" customHeight="1" x14ac:dyDescent="0.2">
      <c r="A202" s="765"/>
    </row>
    <row r="203" spans="1:28" ht="11.25" customHeight="1" x14ac:dyDescent="0.2">
      <c r="A203" s="765"/>
    </row>
    <row r="204" spans="1:28" ht="11.25" customHeight="1" x14ac:dyDescent="0.2">
      <c r="A204" s="765"/>
    </row>
    <row r="205" spans="1:28" ht="7.5" customHeight="1" x14ac:dyDescent="0.2">
      <c r="A205" s="765"/>
      <c r="P205" s="50"/>
    </row>
    <row r="206" spans="1:28" s="93" customFormat="1" ht="15" customHeight="1" x14ac:dyDescent="0.2">
      <c r="A206" s="765"/>
      <c r="B206" s="200"/>
      <c r="H206" s="23"/>
      <c r="I206" s="23"/>
      <c r="J206" s="23"/>
      <c r="K206" s="749" t="str">
        <f>UPPER(INDEX(stadium,Z206,1))</f>
        <v>AMSZTERDAM</v>
      </c>
      <c r="L206" s="82"/>
      <c r="M206" s="82"/>
      <c r="N206" s="82"/>
      <c r="O206" s="82"/>
      <c r="P206" s="23"/>
      <c r="Q206" s="23"/>
      <c r="R206" s="23"/>
      <c r="S206" s="212"/>
      <c r="X206" s="322"/>
      <c r="Y206" s="746"/>
      <c r="Z206" s="748">
        <v>5</v>
      </c>
      <c r="AA206" s="746"/>
      <c r="AB206" s="322"/>
    </row>
    <row r="207" spans="1:28" s="21" customFormat="1" ht="15" customHeight="1" x14ac:dyDescent="0.2">
      <c r="A207" s="765"/>
      <c r="H207" s="23"/>
      <c r="I207" s="23"/>
      <c r="J207"/>
      <c r="K207" s="67" t="str">
        <f>" "&amp;INDEX(stadium,Z206,3)</f>
        <v xml:space="preserve"> 1,3 millió lakos</v>
      </c>
      <c r="L207" s="744"/>
      <c r="M207" s="744"/>
      <c r="N207" s="744"/>
      <c r="O207" s="744"/>
      <c r="P207" s="23"/>
      <c r="Q207" s="23"/>
      <c r="R207" s="23"/>
      <c r="S207" s="23"/>
      <c r="X207" s="747"/>
      <c r="Y207" s="304"/>
      <c r="Z207" s="505"/>
      <c r="AA207" s="304"/>
      <c r="AB207" s="747"/>
    </row>
    <row r="208" spans="1:28" ht="6" customHeight="1" x14ac:dyDescent="0.2">
      <c r="A208" s="765"/>
      <c r="I208"/>
      <c r="J208"/>
    </row>
    <row r="209" spans="1:26" ht="12.75" customHeight="1" x14ac:dyDescent="0.2">
      <c r="A209" s="765"/>
      <c r="J209"/>
      <c r="K209" s="749" t="str">
        <f>UPPER(INDEX(stadium,Z206,2))</f>
        <v>JOHAN CRUIJFF ARENA</v>
      </c>
      <c r="L209" s="82"/>
      <c r="M209" s="82"/>
      <c r="N209" s="82"/>
      <c r="O209" s="82"/>
    </row>
    <row r="210" spans="1:26" ht="12.75" customHeight="1" x14ac:dyDescent="0.2">
      <c r="A210" s="765"/>
      <c r="I210"/>
      <c r="J210"/>
      <c r="K210" s="67" t="str">
        <f>" "&amp;INDEX(stadium,Z206,4)</f>
        <v xml:space="preserve"> 54.000 néző</v>
      </c>
      <c r="L210" s="744"/>
      <c r="M210" s="744"/>
      <c r="N210" s="744"/>
      <c r="O210" s="744"/>
    </row>
    <row r="211" spans="1:26" ht="9.75" customHeight="1" x14ac:dyDescent="0.3">
      <c r="A211" s="765"/>
      <c r="J211"/>
      <c r="L211" s="53"/>
      <c r="N211" s="53"/>
      <c r="O211" s="53"/>
    </row>
    <row r="212" spans="1:26" ht="14.25" customHeight="1" x14ac:dyDescent="0.2">
      <c r="A212" s="765"/>
      <c r="J212"/>
      <c r="K212" s="51" t="str">
        <f>VLOOKUP($Z212,schedule,13,FALSE)</f>
        <v>1. forduló:</v>
      </c>
      <c r="L212" s="745" t="str">
        <f>VLOOKUP($Z212,schedule,3,FALSE)</f>
        <v>C</v>
      </c>
      <c r="M212" s="257" t="str">
        <f>VLOOKUP($Z212,schedule,17,FALSE)</f>
        <v>jún. 13 – 21:00</v>
      </c>
      <c r="N212" s="257" t="str">
        <f>VLOOKUP($Z212,schedule,28,FALSE)</f>
        <v xml:space="preserve">Hollandia–Ukrajna  </v>
      </c>
      <c r="Z212" s="311">
        <v>7</v>
      </c>
    </row>
    <row r="213" spans="1:26" ht="14.25" customHeight="1" x14ac:dyDescent="0.3">
      <c r="A213" s="765"/>
      <c r="C213" s="53"/>
      <c r="J213"/>
      <c r="K213" s="51" t="str">
        <f>VLOOKUP($Z213,schedule,13,FALSE)</f>
        <v>2. forduló:</v>
      </c>
      <c r="L213" s="745" t="str">
        <f>VLOOKUP($Z213,schedule,3,FALSE)</f>
        <v>C</v>
      </c>
      <c r="M213" s="257" t="str">
        <f>VLOOKUP($Z213,schedule,17,FALSE)</f>
        <v>jún. 17 – 21:00</v>
      </c>
      <c r="N213" s="257" t="str">
        <f>VLOOKUP($Z213,schedule,28,FALSE)</f>
        <v xml:space="preserve">Hollandia–Ausztria  </v>
      </c>
      <c r="Z213" s="311">
        <v>18</v>
      </c>
    </row>
    <row r="214" spans="1:26" ht="14.25" customHeight="1" x14ac:dyDescent="0.2">
      <c r="A214" s="765"/>
      <c r="J214"/>
      <c r="K214" s="51" t="str">
        <f>VLOOKUP($Z214,schedule,13,FALSE)</f>
        <v>3. forduló:</v>
      </c>
      <c r="L214" s="745" t="str">
        <f>VLOOKUP($Z214,schedule,3,FALSE)</f>
        <v>C</v>
      </c>
      <c r="M214" s="257" t="str">
        <f>VLOOKUP($Z214,schedule,17,FALSE)</f>
        <v>jún. 21 – 18:00</v>
      </c>
      <c r="N214" s="257" t="str">
        <f>VLOOKUP($Z214,schedule,28,FALSE)</f>
        <v xml:space="preserve">Észak-Macedónia–Hollandia  </v>
      </c>
      <c r="Z214" s="311">
        <v>27</v>
      </c>
    </row>
    <row r="215" spans="1:26" ht="14.25" customHeight="1" x14ac:dyDescent="0.2">
      <c r="A215" s="765"/>
      <c r="J215"/>
      <c r="K215" s="51" t="str">
        <f>VLOOKUP($Z215,schedule,13,FALSE)</f>
        <v>Nyolcaddöntő:</v>
      </c>
      <c r="L215" s="745" t="str">
        <f>VLOOKUP($Z215,schedule,3,FALSE)</f>
        <v>8/8</v>
      </c>
      <c r="M215" s="257" t="str">
        <f>VLOOKUP($Z215,schedule,17,FALSE)</f>
        <v>jún. 26 – 18:00</v>
      </c>
      <c r="N215" s="257" t="str">
        <f>VLOOKUP($Z215,schedule,28,FALSE)</f>
        <v xml:space="preserve">A csoport 2. hely–B csoport 2. hely  </v>
      </c>
      <c r="Z215" s="311">
        <v>38</v>
      </c>
    </row>
    <row r="216" spans="1:26" ht="14.25" customHeight="1" x14ac:dyDescent="0.2">
      <c r="A216" s="765"/>
      <c r="J216"/>
    </row>
    <row r="217" spans="1:26" ht="14.25" customHeight="1" x14ac:dyDescent="0.2">
      <c r="A217" s="765"/>
      <c r="J217"/>
    </row>
    <row r="218" spans="1:26" ht="14.25" customHeight="1" x14ac:dyDescent="0.3">
      <c r="A218" s="765"/>
      <c r="D218" s="53"/>
      <c r="E218" s="53"/>
      <c r="F218" s="53"/>
      <c r="G218" s="53"/>
      <c r="H218" s="53"/>
      <c r="J218"/>
    </row>
    <row r="219" spans="1:26" ht="12.75" customHeight="1" x14ac:dyDescent="0.2">
      <c r="A219" s="765"/>
      <c r="H219"/>
      <c r="J219"/>
    </row>
    <row r="220" spans="1:26" ht="15.75" customHeight="1" x14ac:dyDescent="0.3">
      <c r="A220" s="765"/>
      <c r="D220" s="53"/>
      <c r="E220" s="53"/>
      <c r="F220" s="53"/>
      <c r="G220" s="53"/>
      <c r="H220" s="53"/>
      <c r="J220"/>
      <c r="N220"/>
    </row>
    <row r="221" spans="1:26" ht="15" customHeight="1" x14ac:dyDescent="0.2">
      <c r="A221" s="765"/>
      <c r="J221"/>
    </row>
    <row r="222" spans="1:26" ht="15" customHeight="1" x14ac:dyDescent="0.2">
      <c r="A222" s="765"/>
      <c r="I222"/>
      <c r="J222"/>
      <c r="O222" s="21"/>
    </row>
    <row r="223" spans="1:26" ht="1.5" customHeight="1" x14ac:dyDescent="0.2">
      <c r="A223" s="765"/>
      <c r="J223"/>
      <c r="O223" s="21"/>
    </row>
    <row r="224" spans="1:26" ht="13.5" customHeight="1" x14ac:dyDescent="0.2">
      <c r="A224" s="765"/>
      <c r="J224"/>
      <c r="O224" s="21"/>
    </row>
    <row r="225" spans="1:16" ht="13.5" customHeight="1" x14ac:dyDescent="0.2">
      <c r="A225" s="765"/>
      <c r="J225"/>
      <c r="O225" s="21"/>
    </row>
    <row r="226" spans="1:16" ht="13.5" customHeight="1" x14ac:dyDescent="0.2">
      <c r="A226" s="765"/>
      <c r="J226"/>
      <c r="O226" s="21"/>
    </row>
    <row r="227" spans="1:16" ht="13.5" customHeight="1" x14ac:dyDescent="0.2">
      <c r="A227" s="765"/>
      <c r="J227"/>
      <c r="O227" s="21"/>
      <c r="P227"/>
    </row>
    <row r="228" spans="1:16" ht="13.5" customHeight="1" x14ac:dyDescent="0.3">
      <c r="A228" s="765"/>
      <c r="E228" s="53"/>
      <c r="J228"/>
      <c r="O228" s="21"/>
    </row>
    <row r="229" spans="1:16" ht="11.25" customHeight="1" x14ac:dyDescent="0.3">
      <c r="A229" s="765"/>
      <c r="E229" s="53"/>
      <c r="J229"/>
      <c r="O229" s="21"/>
    </row>
    <row r="230" spans="1:16" ht="11.25" customHeight="1" x14ac:dyDescent="0.2">
      <c r="A230" s="765"/>
    </row>
    <row r="231" spans="1:16" ht="11.25" customHeight="1" x14ac:dyDescent="0.2">
      <c r="A231" s="765"/>
    </row>
    <row r="232" spans="1:16" ht="11.25" customHeight="1" x14ac:dyDescent="0.2">
      <c r="A232" s="765"/>
    </row>
    <row r="233" spans="1:16" ht="11.25" customHeight="1" x14ac:dyDescent="0.2">
      <c r="A233" s="765"/>
    </row>
    <row r="234" spans="1:16" ht="11.25" customHeight="1" x14ac:dyDescent="0.2">
      <c r="A234" s="765"/>
    </row>
    <row r="235" spans="1:16" ht="11.25" customHeight="1" x14ac:dyDescent="0.2">
      <c r="A235" s="765"/>
    </row>
    <row r="236" spans="1:16" ht="11.25" customHeight="1" x14ac:dyDescent="0.2">
      <c r="A236" s="765"/>
    </row>
    <row r="237" spans="1:16" ht="11.25" customHeight="1" x14ac:dyDescent="0.2">
      <c r="A237" s="765"/>
    </row>
    <row r="238" spans="1:16" ht="11.25" customHeight="1" x14ac:dyDescent="0.2">
      <c r="A238" s="765"/>
    </row>
    <row r="239" spans="1:16" ht="11.25" customHeight="1" x14ac:dyDescent="0.2">
      <c r="A239" s="765"/>
    </row>
    <row r="240" spans="1:16" ht="11.25" customHeight="1" x14ac:dyDescent="0.2">
      <c r="A240" s="765"/>
    </row>
    <row r="241" spans="1:28" ht="11.25" customHeight="1" x14ac:dyDescent="0.2">
      <c r="A241" s="765"/>
    </row>
    <row r="242" spans="1:28" ht="11.25" customHeight="1" x14ac:dyDescent="0.2">
      <c r="A242" s="765"/>
    </row>
    <row r="243" spans="1:28" ht="11.25" customHeight="1" x14ac:dyDescent="0.2">
      <c r="A243" s="765"/>
    </row>
    <row r="244" spans="1:28" ht="11.25" customHeight="1" x14ac:dyDescent="0.2">
      <c r="A244" s="765"/>
    </row>
    <row r="245" spans="1:28" ht="11.25" customHeight="1" x14ac:dyDescent="0.2">
      <c r="A245" s="765"/>
    </row>
    <row r="246" spans="1:28" ht="11.25" customHeight="1" x14ac:dyDescent="0.2">
      <c r="A246" s="765"/>
    </row>
    <row r="247" spans="1:28" ht="11.25" customHeight="1" x14ac:dyDescent="0.2">
      <c r="A247" s="765"/>
    </row>
    <row r="248" spans="1:28" ht="11.25" customHeight="1" x14ac:dyDescent="0.2">
      <c r="A248" s="765"/>
    </row>
    <row r="249" spans="1:28" ht="11.25" customHeight="1" x14ac:dyDescent="0.2">
      <c r="A249" s="765"/>
    </row>
    <row r="250" spans="1:28" ht="11.25" customHeight="1" x14ac:dyDescent="0.2">
      <c r="A250" s="765"/>
    </row>
    <row r="251" spans="1:28" ht="11.25" customHeight="1" x14ac:dyDescent="0.2">
      <c r="A251" s="765"/>
    </row>
    <row r="252" spans="1:28" ht="11.25" customHeight="1" x14ac:dyDescent="0.2">
      <c r="A252" s="765"/>
    </row>
    <row r="253" spans="1:28" ht="11.25" customHeight="1" x14ac:dyDescent="0.2">
      <c r="A253" s="765"/>
    </row>
    <row r="254" spans="1:28" ht="11.25" customHeight="1" x14ac:dyDescent="0.2">
      <c r="A254" s="765"/>
    </row>
    <row r="255" spans="1:28" ht="7.5" customHeight="1" x14ac:dyDescent="0.2">
      <c r="A255" s="765"/>
      <c r="P255" s="50"/>
    </row>
    <row r="256" spans="1:28" s="93" customFormat="1" ht="15" customHeight="1" x14ac:dyDescent="0.2">
      <c r="A256" s="765"/>
      <c r="B256" s="200"/>
      <c r="H256" s="23"/>
      <c r="I256" s="23"/>
      <c r="J256" s="23"/>
      <c r="K256" s="749" t="str">
        <f>UPPER(INDEX(stadium,Z256,1))</f>
        <v>BUKAREST</v>
      </c>
      <c r="L256" s="82"/>
      <c r="M256" s="82"/>
      <c r="N256" s="82"/>
      <c r="O256" s="82"/>
      <c r="P256" s="23"/>
      <c r="Q256" s="23"/>
      <c r="R256" s="23"/>
      <c r="S256" s="212"/>
      <c r="X256" s="322"/>
      <c r="Y256" s="746"/>
      <c r="Z256" s="748">
        <v>6</v>
      </c>
      <c r="AA256" s="746"/>
      <c r="AB256" s="322"/>
    </row>
    <row r="257" spans="1:28" s="21" customFormat="1" ht="15" customHeight="1" x14ac:dyDescent="0.2">
      <c r="A257" s="765"/>
      <c r="H257" s="23"/>
      <c r="I257" s="23"/>
      <c r="J257"/>
      <c r="K257" s="67" t="str">
        <f>" "&amp;INDEX(stadium,Z256,3)</f>
        <v xml:space="preserve"> 2,1 millió lakos</v>
      </c>
      <c r="L257" s="744"/>
      <c r="M257" s="744"/>
      <c r="N257" s="744"/>
      <c r="O257" s="744"/>
      <c r="P257" s="23"/>
      <c r="Q257" s="23"/>
      <c r="R257" s="23"/>
      <c r="S257" s="23"/>
      <c r="X257" s="747"/>
      <c r="Y257" s="304"/>
      <c r="Z257" s="505"/>
      <c r="AA257" s="304"/>
      <c r="AB257" s="747"/>
    </row>
    <row r="258" spans="1:28" ht="6" customHeight="1" x14ac:dyDescent="0.2">
      <c r="A258" s="765"/>
      <c r="I258"/>
      <c r="J258"/>
    </row>
    <row r="259" spans="1:28" ht="12.75" customHeight="1" x14ac:dyDescent="0.2">
      <c r="A259" s="765"/>
      <c r="J259"/>
      <c r="K259" s="749" t="str">
        <f>UPPER(INDEX(stadium,Z256,2))</f>
        <v>NEMZETI STADION</v>
      </c>
      <c r="L259" s="82"/>
      <c r="M259" s="82"/>
      <c r="N259" s="82"/>
      <c r="O259" s="82"/>
    </row>
    <row r="260" spans="1:28" ht="12.75" customHeight="1" x14ac:dyDescent="0.2">
      <c r="A260" s="765"/>
      <c r="I260"/>
      <c r="J260"/>
      <c r="K260" s="67" t="str">
        <f>" "&amp;INDEX(stadium,Z256,4)</f>
        <v xml:space="preserve"> 54.000 néző</v>
      </c>
      <c r="L260" s="744"/>
      <c r="M260" s="744"/>
      <c r="N260" s="744"/>
      <c r="O260" s="744"/>
    </row>
    <row r="261" spans="1:28" ht="9.75" customHeight="1" x14ac:dyDescent="0.3">
      <c r="A261" s="765"/>
      <c r="J261"/>
      <c r="L261" s="53"/>
      <c r="N261" s="53"/>
      <c r="O261" s="53"/>
    </row>
    <row r="262" spans="1:28" ht="14.25" customHeight="1" x14ac:dyDescent="0.2">
      <c r="A262" s="765"/>
      <c r="J262"/>
      <c r="K262" s="51" t="str">
        <f>VLOOKUP($Z262,schedule,13,FALSE)</f>
        <v>1. forduló:</v>
      </c>
      <c r="L262" s="745" t="str">
        <f>VLOOKUP($Z262,schedule,3,FALSE)</f>
        <v>C</v>
      </c>
      <c r="M262" s="257" t="str">
        <f>VLOOKUP($Z262,schedule,17,FALSE)</f>
        <v>jún. 13 – 18:00</v>
      </c>
      <c r="N262" s="257" t="str">
        <f>VLOOKUP($Z262,schedule,28,FALSE)</f>
        <v xml:space="preserve">Ausztria–Észak-Macedónia  </v>
      </c>
      <c r="Z262" s="311">
        <v>6</v>
      </c>
    </row>
    <row r="263" spans="1:28" ht="14.25" customHeight="1" x14ac:dyDescent="0.3">
      <c r="A263" s="765"/>
      <c r="C263" s="53"/>
      <c r="J263"/>
      <c r="K263" s="51" t="str">
        <f>VLOOKUP($Z263,schedule,13,FALSE)</f>
        <v>2. forduló:</v>
      </c>
      <c r="L263" s="745" t="str">
        <f>VLOOKUP($Z263,schedule,3,FALSE)</f>
        <v>C</v>
      </c>
      <c r="M263" s="257" t="str">
        <f>VLOOKUP($Z263,schedule,17,FALSE)</f>
        <v>jún. 17 – 15:00</v>
      </c>
      <c r="N263" s="257" t="str">
        <f>VLOOKUP($Z263,schedule,28,FALSE)</f>
        <v xml:space="preserve">Ukrajna–Észak-Macedónia  </v>
      </c>
      <c r="Z263" s="311">
        <v>16</v>
      </c>
    </row>
    <row r="264" spans="1:28" ht="14.25" customHeight="1" x14ac:dyDescent="0.2">
      <c r="A264" s="765"/>
      <c r="J264"/>
      <c r="K264" s="51" t="str">
        <f>VLOOKUP($Z264,schedule,13,FALSE)</f>
        <v>3. forduló:</v>
      </c>
      <c r="L264" s="745" t="str">
        <f>VLOOKUP($Z264,schedule,3,FALSE)</f>
        <v>C</v>
      </c>
      <c r="M264" s="257" t="str">
        <f>VLOOKUP($Z264,schedule,17,FALSE)</f>
        <v>jún. 21 – 18:00</v>
      </c>
      <c r="N264" s="257" t="str">
        <f>VLOOKUP($Z264,schedule,28,FALSE)</f>
        <v xml:space="preserve">Ukrajna–Ausztria  </v>
      </c>
      <c r="Z264" s="311">
        <v>28</v>
      </c>
    </row>
    <row r="265" spans="1:28" ht="14.25" customHeight="1" x14ac:dyDescent="0.2">
      <c r="A265" s="765"/>
      <c r="J265"/>
      <c r="K265" s="51" t="str">
        <f>VLOOKUP($Z265,schedule,13,FALSE)</f>
        <v>Nyolcaddöntő:</v>
      </c>
      <c r="L265" s="745" t="str">
        <f>VLOOKUP($Z265,schedule,3,FALSE)</f>
        <v>3/8</v>
      </c>
      <c r="M265" s="257" t="str">
        <f>VLOOKUP($Z265,schedule,17,FALSE)</f>
        <v>jún. 28 – 21:00</v>
      </c>
      <c r="N265" s="257" t="str">
        <f>VLOOKUP($Z265,schedule,28,FALSE)</f>
        <v xml:space="preserve">F csoport 1. hely–A/B/C csoport 3. hely  </v>
      </c>
      <c r="Z265" s="311">
        <v>41</v>
      </c>
    </row>
    <row r="266" spans="1:28" ht="14.25" customHeight="1" x14ac:dyDescent="0.2">
      <c r="A266" s="765"/>
      <c r="J266"/>
    </row>
    <row r="267" spans="1:28" ht="14.25" customHeight="1" x14ac:dyDescent="0.2">
      <c r="A267" s="765"/>
      <c r="J267"/>
    </row>
    <row r="268" spans="1:28" ht="14.25" customHeight="1" x14ac:dyDescent="0.3">
      <c r="A268" s="765"/>
      <c r="D268" s="53"/>
      <c r="E268" s="53"/>
      <c r="F268" s="53"/>
      <c r="G268" s="53"/>
      <c r="H268" s="53"/>
      <c r="J268"/>
    </row>
    <row r="269" spans="1:28" ht="12.75" customHeight="1" x14ac:dyDescent="0.2">
      <c r="A269" s="765"/>
      <c r="H269"/>
      <c r="J269"/>
    </row>
    <row r="270" spans="1:28" ht="15.75" customHeight="1" x14ac:dyDescent="0.3">
      <c r="A270" s="765"/>
      <c r="D270" s="53"/>
      <c r="E270" s="53"/>
      <c r="F270" s="53"/>
      <c r="G270" s="53"/>
      <c r="H270" s="53"/>
      <c r="J270"/>
      <c r="N270"/>
    </row>
    <row r="271" spans="1:28" ht="15" customHeight="1" x14ac:dyDescent="0.2">
      <c r="A271" s="765"/>
      <c r="J271"/>
    </row>
    <row r="272" spans="1:28" ht="15" customHeight="1" x14ac:dyDescent="0.2">
      <c r="A272" s="765"/>
      <c r="I272"/>
      <c r="J272"/>
      <c r="O272" s="21"/>
    </row>
    <row r="273" spans="1:16" ht="1.5" customHeight="1" x14ac:dyDescent="0.2">
      <c r="A273" s="765"/>
      <c r="J273"/>
      <c r="O273" s="21"/>
    </row>
    <row r="274" spans="1:16" ht="13.5" customHeight="1" x14ac:dyDescent="0.2">
      <c r="A274" s="765"/>
      <c r="J274"/>
      <c r="O274" s="21"/>
    </row>
    <row r="275" spans="1:16" ht="13.5" customHeight="1" x14ac:dyDescent="0.2">
      <c r="A275" s="765"/>
      <c r="J275"/>
      <c r="O275" s="21"/>
    </row>
    <row r="276" spans="1:16" ht="13.5" customHeight="1" x14ac:dyDescent="0.2">
      <c r="A276" s="765"/>
      <c r="J276"/>
      <c r="O276" s="21"/>
    </row>
    <row r="277" spans="1:16" ht="13.5" customHeight="1" x14ac:dyDescent="0.2">
      <c r="A277" s="765"/>
      <c r="J277"/>
      <c r="O277" s="21"/>
      <c r="P277"/>
    </row>
    <row r="278" spans="1:16" ht="13.5" customHeight="1" x14ac:dyDescent="0.3">
      <c r="A278" s="765"/>
      <c r="E278" s="53"/>
      <c r="J278"/>
      <c r="O278" s="21"/>
    </row>
    <row r="279" spans="1:16" ht="11.25" customHeight="1" x14ac:dyDescent="0.3">
      <c r="A279" s="765"/>
      <c r="E279" s="53"/>
      <c r="J279"/>
      <c r="O279" s="21"/>
    </row>
    <row r="280" spans="1:16" ht="11.25" customHeight="1" x14ac:dyDescent="0.2">
      <c r="A280" s="765"/>
    </row>
    <row r="281" spans="1:16" ht="11.25" customHeight="1" x14ac:dyDescent="0.2">
      <c r="A281" s="765"/>
    </row>
    <row r="282" spans="1:16" ht="11.25" customHeight="1" x14ac:dyDescent="0.2">
      <c r="A282" s="765"/>
    </row>
    <row r="283" spans="1:16" ht="11.25" customHeight="1" x14ac:dyDescent="0.2">
      <c r="A283" s="765"/>
    </row>
    <row r="284" spans="1:16" ht="11.25" customHeight="1" x14ac:dyDescent="0.2">
      <c r="A284" s="765"/>
    </row>
    <row r="285" spans="1:16" ht="11.25" customHeight="1" x14ac:dyDescent="0.2">
      <c r="A285" s="765"/>
    </row>
    <row r="286" spans="1:16" ht="11.25" customHeight="1" x14ac:dyDescent="0.2">
      <c r="A286" s="765"/>
    </row>
    <row r="287" spans="1:16" ht="11.25" customHeight="1" x14ac:dyDescent="0.2">
      <c r="A287" s="765"/>
    </row>
    <row r="288" spans="1:16" ht="11.25" customHeight="1" x14ac:dyDescent="0.2">
      <c r="A288" s="765"/>
    </row>
    <row r="289" spans="1:1" ht="11.25" customHeight="1" x14ac:dyDescent="0.2">
      <c r="A289" s="765"/>
    </row>
    <row r="290" spans="1:1" ht="11.25" customHeight="1" x14ac:dyDescent="0.2">
      <c r="A290" s="765"/>
    </row>
    <row r="291" spans="1:1" ht="11.25" customHeight="1" x14ac:dyDescent="0.2">
      <c r="A291" s="765"/>
    </row>
    <row r="292" spans="1:1" ht="11.25" customHeight="1" x14ac:dyDescent="0.2">
      <c r="A292" s="765"/>
    </row>
    <row r="293" spans="1:1" ht="11.25" customHeight="1" x14ac:dyDescent="0.2">
      <c r="A293" s="765"/>
    </row>
    <row r="294" spans="1:1" ht="11.25" customHeight="1" x14ac:dyDescent="0.2">
      <c r="A294" s="765"/>
    </row>
    <row r="295" spans="1:1" ht="11.25" customHeight="1" x14ac:dyDescent="0.2">
      <c r="A295" s="765"/>
    </row>
    <row r="296" spans="1:1" ht="11.25" customHeight="1" x14ac:dyDescent="0.2">
      <c r="A296" s="765"/>
    </row>
    <row r="297" spans="1:1" ht="11.25" customHeight="1" x14ac:dyDescent="0.2">
      <c r="A297" s="765"/>
    </row>
    <row r="298" spans="1:1" ht="11.25" customHeight="1" x14ac:dyDescent="0.2">
      <c r="A298" s="765"/>
    </row>
    <row r="299" spans="1:1" ht="11.25" customHeight="1" x14ac:dyDescent="0.2">
      <c r="A299" s="765"/>
    </row>
    <row r="300" spans="1:1" ht="11.25" customHeight="1" x14ac:dyDescent="0.2">
      <c r="A300" s="765"/>
    </row>
    <row r="301" spans="1:1" ht="11.25" customHeight="1" x14ac:dyDescent="0.2">
      <c r="A301" s="765"/>
    </row>
    <row r="302" spans="1:1" ht="11.25" customHeight="1" x14ac:dyDescent="0.2">
      <c r="A302" s="765"/>
    </row>
    <row r="303" spans="1:1" ht="11.25" customHeight="1" x14ac:dyDescent="0.2">
      <c r="A303" s="765"/>
    </row>
    <row r="304" spans="1:1" ht="11.25" customHeight="1" x14ac:dyDescent="0.2">
      <c r="A304" s="765"/>
    </row>
    <row r="305" spans="1:28" ht="7.5" customHeight="1" x14ac:dyDescent="0.2">
      <c r="A305" s="765"/>
      <c r="P305" s="50"/>
    </row>
    <row r="306" spans="1:28" s="93" customFormat="1" ht="15" customHeight="1" x14ac:dyDescent="0.2">
      <c r="A306" s="765"/>
      <c r="B306" s="200"/>
      <c r="H306" s="23"/>
      <c r="I306" s="23"/>
      <c r="J306" s="23"/>
      <c r="K306" s="749" t="str">
        <f>UPPER(INDEX(stadium,Z306,1))</f>
        <v>LONDON</v>
      </c>
      <c r="L306" s="82"/>
      <c r="M306" s="82"/>
      <c r="N306" s="82"/>
      <c r="O306" s="82"/>
      <c r="P306" s="23"/>
      <c r="Q306" s="23"/>
      <c r="R306" s="23"/>
      <c r="S306" s="212"/>
      <c r="X306" s="322"/>
      <c r="Y306" s="746"/>
      <c r="Z306" s="748">
        <v>7</v>
      </c>
      <c r="AA306" s="746"/>
      <c r="AB306" s="322"/>
    </row>
    <row r="307" spans="1:28" s="21" customFormat="1" ht="15" customHeight="1" x14ac:dyDescent="0.2">
      <c r="A307" s="765"/>
      <c r="H307" s="23"/>
      <c r="I307" s="23"/>
      <c r="J307"/>
      <c r="K307" s="67" t="str">
        <f>" "&amp;INDEX(stadium,Z306,3)</f>
        <v xml:space="preserve"> 8,8 millió lakos</v>
      </c>
      <c r="L307" s="744"/>
      <c r="M307" s="744"/>
      <c r="N307" s="744"/>
      <c r="O307" s="744"/>
      <c r="P307" s="23"/>
      <c r="Q307" s="23"/>
      <c r="R307" s="23"/>
      <c r="S307" s="23"/>
      <c r="X307" s="747"/>
      <c r="Y307" s="304"/>
      <c r="Z307" s="505"/>
      <c r="AA307" s="304"/>
      <c r="AB307" s="747"/>
    </row>
    <row r="308" spans="1:28" ht="6" customHeight="1" x14ac:dyDescent="0.2">
      <c r="A308" s="765"/>
      <c r="I308"/>
      <c r="J308"/>
    </row>
    <row r="309" spans="1:28" ht="12.75" customHeight="1" x14ac:dyDescent="0.2">
      <c r="A309" s="765"/>
      <c r="J309"/>
      <c r="K309" s="749" t="str">
        <f>UPPER(INDEX(stadium,Z306,2))</f>
        <v>WEMBLEY STADION</v>
      </c>
      <c r="L309" s="82"/>
      <c r="M309" s="82"/>
      <c r="N309" s="82"/>
      <c r="O309" s="82"/>
    </row>
    <row r="310" spans="1:28" ht="12.75" customHeight="1" x14ac:dyDescent="0.2">
      <c r="A310" s="765"/>
      <c r="I310"/>
      <c r="J310"/>
      <c r="K310" s="67" t="str">
        <f>" "&amp;INDEX(stadium,Z306,4)</f>
        <v xml:space="preserve"> 90.000 néző</v>
      </c>
      <c r="L310" s="744"/>
      <c r="M310" s="744"/>
      <c r="N310" s="744"/>
      <c r="O310" s="744"/>
    </row>
    <row r="311" spans="1:28" ht="14.25" customHeight="1" x14ac:dyDescent="0.3">
      <c r="A311" s="765"/>
      <c r="J311"/>
      <c r="K311" s="51" t="str">
        <f t="shared" ref="K311:K318" si="4">VLOOKUP($Z311,schedule,13,FALSE)</f>
        <v>1. forduló:</v>
      </c>
      <c r="L311" s="745" t="str">
        <f t="shared" ref="L311:L318" si="5">VLOOKUP($Z311,schedule,3,FALSE)</f>
        <v>D</v>
      </c>
      <c r="M311" s="257" t="str">
        <f t="shared" ref="M311:M318" si="6">VLOOKUP($Z311,schedule,17,FALSE)</f>
        <v>jún. 13 – 15:00</v>
      </c>
      <c r="N311" s="257" t="str">
        <f t="shared" ref="N311:N318" si="7">VLOOKUP($Z311,schedule,28,FALSE)</f>
        <v xml:space="preserve">Anglia–Horvátország  </v>
      </c>
      <c r="O311" s="53"/>
      <c r="Z311" s="311">
        <v>5</v>
      </c>
    </row>
    <row r="312" spans="1:28" ht="14.25" customHeight="1" x14ac:dyDescent="0.2">
      <c r="A312" s="765"/>
      <c r="J312"/>
      <c r="K312" s="51" t="str">
        <f t="shared" si="4"/>
        <v>2. forduló:</v>
      </c>
      <c r="L312" s="745" t="str">
        <f t="shared" si="5"/>
        <v>D</v>
      </c>
      <c r="M312" s="257" t="str">
        <f t="shared" si="6"/>
        <v>jún. 18 – 21:00</v>
      </c>
      <c r="N312" s="257" t="str">
        <f t="shared" si="7"/>
        <v xml:space="preserve">Anglia–Skócia  </v>
      </c>
      <c r="Z312" s="311">
        <v>21</v>
      </c>
    </row>
    <row r="313" spans="1:28" ht="14.25" customHeight="1" x14ac:dyDescent="0.3">
      <c r="A313" s="765"/>
      <c r="C313" s="53"/>
      <c r="J313"/>
      <c r="K313" s="51" t="str">
        <f t="shared" si="4"/>
        <v>3. forduló:</v>
      </c>
      <c r="L313" s="745" t="str">
        <f t="shared" si="5"/>
        <v>D</v>
      </c>
      <c r="M313" s="257" t="str">
        <f t="shared" si="6"/>
        <v>jún. 22 – 21:00</v>
      </c>
      <c r="N313" s="257" t="str">
        <f t="shared" si="7"/>
        <v xml:space="preserve">Csehország–Anglia  </v>
      </c>
      <c r="Z313" s="311">
        <v>31</v>
      </c>
    </row>
    <row r="314" spans="1:28" ht="14.25" customHeight="1" x14ac:dyDescent="0.2">
      <c r="A314" s="765"/>
      <c r="J314"/>
      <c r="K314" s="51" t="str">
        <f t="shared" si="4"/>
        <v>Nyolcaddöntő:</v>
      </c>
      <c r="L314" s="745" t="str">
        <f t="shared" si="5"/>
        <v>2/8</v>
      </c>
      <c r="M314" s="257" t="str">
        <f t="shared" si="6"/>
        <v>jún. 26 – 21:00</v>
      </c>
      <c r="N314" s="257" t="str">
        <f t="shared" si="7"/>
        <v xml:space="preserve">A csoport 1. hely–C csoport 2. hely  </v>
      </c>
      <c r="Z314" s="311">
        <v>37</v>
      </c>
    </row>
    <row r="315" spans="1:28" ht="14.25" customHeight="1" x14ac:dyDescent="0.2">
      <c r="A315" s="765"/>
      <c r="J315"/>
      <c r="K315" s="51" t="str">
        <f t="shared" si="4"/>
        <v>Nyolcaddöntő:</v>
      </c>
      <c r="L315" s="745" t="str">
        <f t="shared" si="5"/>
        <v>6/8</v>
      </c>
      <c r="M315" s="257" t="str">
        <f t="shared" si="6"/>
        <v>jún. 29 – 18:00</v>
      </c>
      <c r="N315" s="257" t="str">
        <f t="shared" si="7"/>
        <v xml:space="preserve">D csoport 1. hely–F csoport 2. hely  </v>
      </c>
      <c r="Z315" s="311">
        <v>44</v>
      </c>
    </row>
    <row r="316" spans="1:28" ht="14.25" customHeight="1" x14ac:dyDescent="0.2">
      <c r="A316" s="765"/>
      <c r="J316"/>
      <c r="K316" s="51" t="str">
        <f t="shared" si="4"/>
        <v>Elődöntő:</v>
      </c>
      <c r="L316" s="745" t="str">
        <f t="shared" si="5"/>
        <v>1/2</v>
      </c>
      <c r="M316" s="257" t="str">
        <f t="shared" si="6"/>
        <v>júl. 6 – 21:00</v>
      </c>
      <c r="N316" s="257" t="str">
        <f t="shared" si="7"/>
        <v xml:space="preserve">1/4 győztese–2/4 győztese  </v>
      </c>
      <c r="Z316" s="311">
        <v>49</v>
      </c>
    </row>
    <row r="317" spans="1:28" ht="14.25" customHeight="1" x14ac:dyDescent="0.2">
      <c r="A317" s="765"/>
      <c r="J317"/>
      <c r="K317" s="51" t="str">
        <f t="shared" si="4"/>
        <v>Elődöntő:</v>
      </c>
      <c r="L317" s="745" t="str">
        <f t="shared" si="5"/>
        <v>2/2</v>
      </c>
      <c r="M317" s="257" t="str">
        <f t="shared" si="6"/>
        <v>júl. 7 – 21:00</v>
      </c>
      <c r="N317" s="257" t="str">
        <f t="shared" si="7"/>
        <v xml:space="preserve">3/4 győztese–4/4 győztese  </v>
      </c>
      <c r="Z317" s="311">
        <v>50</v>
      </c>
    </row>
    <row r="318" spans="1:28" ht="14.25" customHeight="1" x14ac:dyDescent="0.3">
      <c r="A318" s="765"/>
      <c r="D318" s="53"/>
      <c r="E318" s="53"/>
      <c r="F318" s="53"/>
      <c r="G318" s="53"/>
      <c r="H318" s="53"/>
      <c r="J318"/>
      <c r="K318" s="51" t="str">
        <f t="shared" si="4"/>
        <v>Döntő:</v>
      </c>
      <c r="L318" s="745" t="str">
        <f t="shared" si="5"/>
        <v/>
      </c>
      <c r="M318" s="257" t="str">
        <f t="shared" si="6"/>
        <v>júl. 11 – 21:00</v>
      </c>
      <c r="N318" s="257" t="str">
        <f t="shared" si="7"/>
        <v xml:space="preserve">1/2 győztese–2/2 győztese  </v>
      </c>
      <c r="Z318" s="311">
        <v>51</v>
      </c>
    </row>
    <row r="319" spans="1:28" ht="12.75" customHeight="1" x14ac:dyDescent="0.2">
      <c r="A319" s="765"/>
      <c r="H319"/>
      <c r="J319"/>
    </row>
    <row r="320" spans="1:28" ht="11.25" customHeight="1" x14ac:dyDescent="0.3">
      <c r="A320" s="765"/>
      <c r="D320" s="53"/>
      <c r="E320" s="53"/>
      <c r="F320" s="53"/>
      <c r="G320" s="53"/>
      <c r="H320" s="53"/>
      <c r="J320"/>
      <c r="N320"/>
    </row>
    <row r="321" spans="1:16" ht="15" customHeight="1" x14ac:dyDescent="0.2">
      <c r="A321" s="765"/>
      <c r="J321"/>
    </row>
    <row r="322" spans="1:16" ht="15" customHeight="1" x14ac:dyDescent="0.2">
      <c r="A322" s="765"/>
      <c r="I322"/>
      <c r="J322"/>
      <c r="O322" s="21"/>
    </row>
    <row r="323" spans="1:16" ht="1.5" customHeight="1" x14ac:dyDescent="0.2">
      <c r="A323" s="765"/>
      <c r="J323"/>
      <c r="O323" s="21"/>
    </row>
    <row r="324" spans="1:16" ht="13.5" customHeight="1" x14ac:dyDescent="0.2">
      <c r="A324" s="765"/>
      <c r="J324"/>
      <c r="O324" s="21"/>
    </row>
    <row r="325" spans="1:16" ht="13.5" customHeight="1" x14ac:dyDescent="0.2">
      <c r="A325" s="765"/>
      <c r="J325"/>
      <c r="O325" s="21"/>
    </row>
    <row r="326" spans="1:16" ht="13.5" customHeight="1" x14ac:dyDescent="0.2">
      <c r="A326" s="765"/>
      <c r="J326"/>
      <c r="O326" s="21"/>
    </row>
    <row r="327" spans="1:16" ht="13.5" customHeight="1" x14ac:dyDescent="0.2">
      <c r="A327" s="765"/>
      <c r="J327"/>
      <c r="O327" s="21"/>
      <c r="P327"/>
    </row>
    <row r="328" spans="1:16" ht="13.5" customHeight="1" x14ac:dyDescent="0.3">
      <c r="A328" s="765"/>
      <c r="E328" s="53"/>
      <c r="J328"/>
      <c r="O328" s="21"/>
    </row>
    <row r="329" spans="1:16" ht="11.25" customHeight="1" x14ac:dyDescent="0.3">
      <c r="A329" s="765"/>
      <c r="E329" s="53"/>
      <c r="J329"/>
      <c r="O329" s="21"/>
    </row>
    <row r="330" spans="1:16" ht="11.25" customHeight="1" x14ac:dyDescent="0.2">
      <c r="A330" s="765"/>
    </row>
    <row r="331" spans="1:16" ht="11.25" customHeight="1" x14ac:dyDescent="0.2">
      <c r="A331" s="765"/>
    </row>
    <row r="332" spans="1:16" ht="11.25" customHeight="1" x14ac:dyDescent="0.2">
      <c r="A332" s="765"/>
    </row>
    <row r="333" spans="1:16" ht="11.25" customHeight="1" x14ac:dyDescent="0.2">
      <c r="A333" s="765"/>
    </row>
    <row r="334" spans="1:16" ht="11.25" customHeight="1" x14ac:dyDescent="0.2">
      <c r="A334" s="765"/>
    </row>
    <row r="335" spans="1:16" ht="11.25" customHeight="1" x14ac:dyDescent="0.2">
      <c r="A335" s="765"/>
    </row>
    <row r="336" spans="1:16" ht="11.25" customHeight="1" x14ac:dyDescent="0.2">
      <c r="A336" s="765"/>
    </row>
    <row r="337" spans="1:1" ht="11.25" customHeight="1" x14ac:dyDescent="0.2">
      <c r="A337" s="765"/>
    </row>
    <row r="338" spans="1:1" ht="11.25" customHeight="1" x14ac:dyDescent="0.2">
      <c r="A338" s="765"/>
    </row>
    <row r="339" spans="1:1" ht="11.25" customHeight="1" x14ac:dyDescent="0.2">
      <c r="A339" s="765"/>
    </row>
    <row r="340" spans="1:1" ht="11.25" customHeight="1" x14ac:dyDescent="0.2">
      <c r="A340" s="765"/>
    </row>
    <row r="341" spans="1:1" ht="11.25" customHeight="1" x14ac:dyDescent="0.2">
      <c r="A341" s="765"/>
    </row>
    <row r="342" spans="1:1" ht="11.25" customHeight="1" x14ac:dyDescent="0.2">
      <c r="A342" s="765"/>
    </row>
    <row r="343" spans="1:1" ht="11.25" customHeight="1" x14ac:dyDescent="0.2">
      <c r="A343" s="765"/>
    </row>
    <row r="344" spans="1:1" ht="11.25" customHeight="1" x14ac:dyDescent="0.2">
      <c r="A344" s="765"/>
    </row>
    <row r="345" spans="1:1" ht="11.25" customHeight="1" x14ac:dyDescent="0.2">
      <c r="A345" s="765"/>
    </row>
    <row r="346" spans="1:1" ht="11.25" customHeight="1" x14ac:dyDescent="0.2">
      <c r="A346" s="765"/>
    </row>
    <row r="347" spans="1:1" ht="11.25" customHeight="1" x14ac:dyDescent="0.2">
      <c r="A347" s="765"/>
    </row>
    <row r="348" spans="1:1" ht="11.25" customHeight="1" x14ac:dyDescent="0.2">
      <c r="A348" s="765"/>
    </row>
    <row r="349" spans="1:1" ht="11.25" customHeight="1" x14ac:dyDescent="0.2">
      <c r="A349" s="765"/>
    </row>
    <row r="350" spans="1:1" ht="11.25" customHeight="1" x14ac:dyDescent="0.2">
      <c r="A350" s="765"/>
    </row>
    <row r="351" spans="1:1" ht="11.25" customHeight="1" x14ac:dyDescent="0.2">
      <c r="A351" s="765"/>
    </row>
    <row r="352" spans="1:1" ht="11.25" customHeight="1" x14ac:dyDescent="0.2">
      <c r="A352" s="765"/>
    </row>
    <row r="353" spans="1:28" ht="11.25" customHeight="1" x14ac:dyDescent="0.2">
      <c r="A353" s="765"/>
    </row>
    <row r="354" spans="1:28" ht="11.25" customHeight="1" x14ac:dyDescent="0.2">
      <c r="A354" s="765"/>
    </row>
    <row r="355" spans="1:28" ht="7.5" customHeight="1" x14ac:dyDescent="0.2">
      <c r="A355" s="765"/>
      <c r="P355" s="50"/>
    </row>
    <row r="356" spans="1:28" s="93" customFormat="1" ht="15" customHeight="1" x14ac:dyDescent="0.2">
      <c r="A356" s="765"/>
      <c r="B356" s="200"/>
      <c r="H356" s="23"/>
      <c r="I356" s="23"/>
      <c r="J356" s="23"/>
      <c r="K356" s="749" t="str">
        <f>UPPER(INDEX(stadium,Z356,1))</f>
        <v>GLASGOW</v>
      </c>
      <c r="L356" s="82"/>
      <c r="M356" s="82"/>
      <c r="N356" s="82"/>
      <c r="O356" s="82"/>
      <c r="P356" s="23"/>
      <c r="Q356" s="23"/>
      <c r="R356" s="23"/>
      <c r="S356" s="212"/>
      <c r="X356" s="322"/>
      <c r="Y356" s="746"/>
      <c r="Z356" s="748">
        <v>8</v>
      </c>
      <c r="AA356" s="746"/>
      <c r="AB356" s="322"/>
    </row>
    <row r="357" spans="1:28" s="21" customFormat="1" ht="15" customHeight="1" x14ac:dyDescent="0.2">
      <c r="A357" s="765"/>
      <c r="H357" s="23"/>
      <c r="I357" s="23"/>
      <c r="J357"/>
      <c r="K357" s="67" t="str">
        <f>" "&amp;INDEX(stadium,Z356,3)</f>
        <v xml:space="preserve"> 1,2 millió lakos</v>
      </c>
      <c r="L357" s="744"/>
      <c r="M357" s="744"/>
      <c r="N357" s="744"/>
      <c r="O357" s="744"/>
      <c r="P357" s="23"/>
      <c r="Q357" s="23"/>
      <c r="R357" s="23"/>
      <c r="S357" s="23"/>
      <c r="X357" s="747"/>
      <c r="Y357" s="304"/>
      <c r="Z357" s="505"/>
      <c r="AA357" s="304"/>
      <c r="AB357" s="747"/>
    </row>
    <row r="358" spans="1:28" ht="6" customHeight="1" x14ac:dyDescent="0.2">
      <c r="A358" s="765"/>
      <c r="I358"/>
      <c r="J358"/>
    </row>
    <row r="359" spans="1:28" ht="12.75" customHeight="1" x14ac:dyDescent="0.2">
      <c r="A359" s="765"/>
      <c r="J359"/>
      <c r="K359" s="749" t="str">
        <f>UPPER(INDEX(stadium,Z356,2))</f>
        <v>HAMPDEN PARK</v>
      </c>
      <c r="L359" s="82"/>
      <c r="M359" s="82"/>
      <c r="N359" s="82"/>
      <c r="O359" s="82"/>
    </row>
    <row r="360" spans="1:28" ht="12.75" customHeight="1" x14ac:dyDescent="0.2">
      <c r="A360" s="765"/>
      <c r="I360"/>
      <c r="J360"/>
      <c r="K360" s="67" t="str">
        <f>" "&amp;INDEX(stadium,Z356,4)</f>
        <v xml:space="preserve"> 51.000 néző</v>
      </c>
      <c r="L360" s="744"/>
      <c r="M360" s="744"/>
      <c r="N360" s="744"/>
      <c r="O360" s="744"/>
    </row>
    <row r="361" spans="1:28" ht="9.75" customHeight="1" x14ac:dyDescent="0.3">
      <c r="A361" s="765"/>
      <c r="J361"/>
      <c r="L361" s="53"/>
      <c r="N361" s="53"/>
      <c r="O361" s="53"/>
    </row>
    <row r="362" spans="1:28" ht="14.25" customHeight="1" x14ac:dyDescent="0.2">
      <c r="A362" s="765"/>
      <c r="J362"/>
      <c r="K362" s="51" t="str">
        <f>VLOOKUP($Z362,schedule,13,FALSE)</f>
        <v>1. forduló:</v>
      </c>
      <c r="L362" s="745" t="str">
        <f>VLOOKUP($Z362,schedule,3,FALSE)</f>
        <v>D</v>
      </c>
      <c r="M362" s="257" t="str">
        <f>VLOOKUP($Z362,schedule,17,FALSE)</f>
        <v>jún. 14 – 15:00</v>
      </c>
      <c r="N362" s="257" t="str">
        <f>VLOOKUP($Z362,schedule,28,FALSE)</f>
        <v xml:space="preserve">Skócia–Csehország  </v>
      </c>
      <c r="Z362" s="311">
        <v>8</v>
      </c>
    </row>
    <row r="363" spans="1:28" ht="14.25" customHeight="1" x14ac:dyDescent="0.3">
      <c r="A363" s="765"/>
      <c r="C363" s="53"/>
      <c r="J363"/>
      <c r="K363" s="51" t="str">
        <f>VLOOKUP($Z363,schedule,13,FALSE)</f>
        <v>2. forduló:</v>
      </c>
      <c r="L363" s="745" t="str">
        <f>VLOOKUP($Z363,schedule,3,FALSE)</f>
        <v>D</v>
      </c>
      <c r="M363" s="257" t="str">
        <f>VLOOKUP($Z363,schedule,17,FALSE)</f>
        <v>jún. 18 – 18:00</v>
      </c>
      <c r="N363" s="257" t="str">
        <f>VLOOKUP($Z363,schedule,28,FALSE)</f>
        <v xml:space="preserve">Horvátország–Csehország  </v>
      </c>
      <c r="Z363" s="311">
        <v>20</v>
      </c>
    </row>
    <row r="364" spans="1:28" ht="14.25" customHeight="1" x14ac:dyDescent="0.2">
      <c r="A364" s="765"/>
      <c r="J364"/>
      <c r="K364" s="51" t="str">
        <f>VLOOKUP($Z364,schedule,13,FALSE)</f>
        <v>3. forduló:</v>
      </c>
      <c r="L364" s="745" t="str">
        <f>VLOOKUP($Z364,schedule,3,FALSE)</f>
        <v>D</v>
      </c>
      <c r="M364" s="257" t="str">
        <f>VLOOKUP($Z364,schedule,17,FALSE)</f>
        <v>jún. 22 – 21:00</v>
      </c>
      <c r="N364" s="257" t="str">
        <f>VLOOKUP($Z364,schedule,28,FALSE)</f>
        <v xml:space="preserve">Horvátország–Skócia  </v>
      </c>
      <c r="Z364" s="311">
        <v>32</v>
      </c>
    </row>
    <row r="365" spans="1:28" ht="14.25" customHeight="1" x14ac:dyDescent="0.2">
      <c r="A365" s="765"/>
      <c r="J365"/>
      <c r="K365" s="51" t="str">
        <f>VLOOKUP($Z365,schedule,13,FALSE)</f>
        <v>Nyolcaddöntő:</v>
      </c>
      <c r="L365" s="745" t="str">
        <f>VLOOKUP($Z365,schedule,3,FALSE)</f>
        <v>5/8</v>
      </c>
      <c r="M365" s="257" t="str">
        <f>VLOOKUP($Z365,schedule,17,FALSE)</f>
        <v>jún. 29 – 21:00</v>
      </c>
      <c r="N365" s="257" t="str">
        <f>VLOOKUP($Z365,schedule,28,FALSE)</f>
        <v xml:space="preserve">E csoport 1. hely–A/B/C/D csoport 3. hely  </v>
      </c>
      <c r="Z365" s="311">
        <v>43</v>
      </c>
    </row>
    <row r="366" spans="1:28" ht="14.25" customHeight="1" x14ac:dyDescent="0.2">
      <c r="A366" s="765"/>
      <c r="J366"/>
    </row>
    <row r="367" spans="1:28" ht="14.25" customHeight="1" x14ac:dyDescent="0.2">
      <c r="A367" s="765"/>
      <c r="J367"/>
    </row>
    <row r="368" spans="1:28" ht="14.25" customHeight="1" x14ac:dyDescent="0.3">
      <c r="A368" s="765"/>
      <c r="D368" s="53"/>
      <c r="E368" s="53"/>
      <c r="F368" s="53"/>
      <c r="G368" s="53"/>
      <c r="H368" s="53"/>
      <c r="J368"/>
    </row>
    <row r="369" spans="1:16" ht="12.75" customHeight="1" x14ac:dyDescent="0.2">
      <c r="A369" s="765"/>
      <c r="H369"/>
      <c r="J369"/>
    </row>
    <row r="370" spans="1:16" ht="15.75" customHeight="1" x14ac:dyDescent="0.3">
      <c r="A370" s="765"/>
      <c r="D370" s="53"/>
      <c r="E370" s="53"/>
      <c r="F370" s="53"/>
      <c r="G370" s="53"/>
      <c r="H370" s="53"/>
      <c r="J370"/>
      <c r="N370"/>
    </row>
    <row r="371" spans="1:16" ht="15" customHeight="1" x14ac:dyDescent="0.2">
      <c r="A371" s="765"/>
      <c r="J371"/>
    </row>
    <row r="372" spans="1:16" ht="15" customHeight="1" x14ac:dyDescent="0.2">
      <c r="A372" s="765"/>
      <c r="I372"/>
      <c r="J372"/>
      <c r="O372" s="21"/>
    </row>
    <row r="373" spans="1:16" ht="1.5" customHeight="1" x14ac:dyDescent="0.2">
      <c r="A373" s="765"/>
      <c r="J373"/>
      <c r="O373" s="21"/>
    </row>
    <row r="374" spans="1:16" ht="13.5" customHeight="1" x14ac:dyDescent="0.2">
      <c r="A374" s="765"/>
      <c r="J374"/>
      <c r="O374" s="21"/>
    </row>
    <row r="375" spans="1:16" ht="13.5" customHeight="1" x14ac:dyDescent="0.2">
      <c r="A375" s="765"/>
      <c r="J375"/>
      <c r="O375" s="21"/>
    </row>
    <row r="376" spans="1:16" ht="13.5" customHeight="1" x14ac:dyDescent="0.2">
      <c r="A376" s="765"/>
      <c r="J376"/>
      <c r="O376" s="21"/>
    </row>
    <row r="377" spans="1:16" ht="13.5" customHeight="1" x14ac:dyDescent="0.2">
      <c r="A377" s="765"/>
      <c r="J377"/>
      <c r="O377" s="21"/>
      <c r="P377"/>
    </row>
    <row r="378" spans="1:16" ht="13.5" customHeight="1" x14ac:dyDescent="0.3">
      <c r="A378" s="765"/>
      <c r="E378" s="53"/>
      <c r="J378"/>
      <c r="O378" s="21"/>
    </row>
    <row r="379" spans="1:16" ht="11.25" customHeight="1" x14ac:dyDescent="0.3">
      <c r="A379" s="765"/>
      <c r="E379" s="53"/>
      <c r="J379"/>
      <c r="O379" s="21"/>
    </row>
    <row r="380" spans="1:16" ht="11.25" customHeight="1" x14ac:dyDescent="0.2">
      <c r="A380" s="765"/>
    </row>
    <row r="381" spans="1:16" ht="11.25" customHeight="1" x14ac:dyDescent="0.2">
      <c r="A381" s="765"/>
    </row>
    <row r="382" spans="1:16" ht="11.25" customHeight="1" x14ac:dyDescent="0.2">
      <c r="A382" s="765"/>
    </row>
    <row r="383" spans="1:16" ht="11.25" customHeight="1" x14ac:dyDescent="0.2">
      <c r="A383" s="765"/>
    </row>
    <row r="384" spans="1:16" ht="11.25" customHeight="1" x14ac:dyDescent="0.2">
      <c r="A384" s="765"/>
    </row>
    <row r="385" spans="1:1" ht="11.25" customHeight="1" x14ac:dyDescent="0.2">
      <c r="A385" s="765"/>
    </row>
    <row r="386" spans="1:1" ht="11.25" customHeight="1" x14ac:dyDescent="0.2">
      <c r="A386" s="765"/>
    </row>
    <row r="387" spans="1:1" ht="11.25" customHeight="1" x14ac:dyDescent="0.2">
      <c r="A387" s="765"/>
    </row>
    <row r="388" spans="1:1" ht="11.25" customHeight="1" x14ac:dyDescent="0.2">
      <c r="A388" s="765"/>
    </row>
    <row r="389" spans="1:1" ht="11.25" customHeight="1" x14ac:dyDescent="0.2">
      <c r="A389" s="765"/>
    </row>
    <row r="390" spans="1:1" ht="11.25" customHeight="1" x14ac:dyDescent="0.2">
      <c r="A390" s="765"/>
    </row>
    <row r="391" spans="1:1" ht="11.25" customHeight="1" x14ac:dyDescent="0.2">
      <c r="A391" s="765"/>
    </row>
    <row r="392" spans="1:1" ht="11.25" customHeight="1" x14ac:dyDescent="0.2">
      <c r="A392" s="765"/>
    </row>
    <row r="393" spans="1:1" ht="11.25" customHeight="1" x14ac:dyDescent="0.2">
      <c r="A393" s="765"/>
    </row>
    <row r="394" spans="1:1" ht="11.25" customHeight="1" x14ac:dyDescent="0.2">
      <c r="A394" s="765"/>
    </row>
    <row r="395" spans="1:1" ht="11.25" customHeight="1" x14ac:dyDescent="0.2">
      <c r="A395" s="765"/>
    </row>
    <row r="396" spans="1:1" ht="11.25" customHeight="1" x14ac:dyDescent="0.2">
      <c r="A396" s="765"/>
    </row>
    <row r="397" spans="1:1" ht="11.25" customHeight="1" x14ac:dyDescent="0.2">
      <c r="A397" s="765"/>
    </row>
    <row r="398" spans="1:1" ht="11.25" customHeight="1" x14ac:dyDescent="0.2">
      <c r="A398" s="765"/>
    </row>
    <row r="399" spans="1:1" ht="11.25" customHeight="1" x14ac:dyDescent="0.2">
      <c r="A399" s="765"/>
    </row>
    <row r="400" spans="1:1" ht="11.25" customHeight="1" x14ac:dyDescent="0.2">
      <c r="A400" s="765"/>
    </row>
    <row r="401" spans="1:28" ht="11.25" customHeight="1" x14ac:dyDescent="0.2">
      <c r="A401" s="765"/>
    </row>
    <row r="402" spans="1:28" ht="11.25" customHeight="1" x14ac:dyDescent="0.2">
      <c r="A402" s="765"/>
    </row>
    <row r="403" spans="1:28" ht="11.25" customHeight="1" x14ac:dyDescent="0.2">
      <c r="A403" s="765"/>
    </row>
    <row r="404" spans="1:28" ht="11.25" customHeight="1" x14ac:dyDescent="0.2">
      <c r="A404" s="765"/>
    </row>
    <row r="405" spans="1:28" ht="7.5" customHeight="1" x14ac:dyDescent="0.2">
      <c r="A405" s="765"/>
      <c r="P405" s="50"/>
    </row>
    <row r="406" spans="1:28" s="93" customFormat="1" ht="15" customHeight="1" x14ac:dyDescent="0.2">
      <c r="A406" s="765"/>
      <c r="B406" s="200"/>
      <c r="H406" s="23"/>
      <c r="I406" s="23"/>
      <c r="J406" s="23"/>
      <c r="K406" s="749" t="str">
        <f>UPPER(INDEX(stadium,Z406,1))</f>
        <v>SEVILLA</v>
      </c>
      <c r="L406" s="82"/>
      <c r="M406" s="82"/>
      <c r="N406" s="82"/>
      <c r="O406" s="82"/>
      <c r="P406" s="23"/>
      <c r="Q406" s="23"/>
      <c r="R406" s="23"/>
      <c r="S406" s="212"/>
      <c r="X406" s="322"/>
      <c r="Y406" s="746"/>
      <c r="Z406" s="748">
        <v>9</v>
      </c>
      <c r="AA406" s="746"/>
      <c r="AB406" s="322"/>
    </row>
    <row r="407" spans="1:28" s="21" customFormat="1" ht="15" customHeight="1" x14ac:dyDescent="0.2">
      <c r="A407" s="765"/>
      <c r="H407" s="23"/>
      <c r="I407" s="23"/>
      <c r="J407"/>
      <c r="K407" s="67" t="str">
        <f>" "&amp;INDEX(stadium,Z406,3)</f>
        <v xml:space="preserve"> 1,1 millió lakos</v>
      </c>
      <c r="L407" s="744"/>
      <c r="M407" s="744"/>
      <c r="N407" s="744"/>
      <c r="O407" s="744"/>
      <c r="P407" s="23"/>
      <c r="Q407" s="23"/>
      <c r="R407" s="23"/>
      <c r="S407" s="23"/>
      <c r="X407" s="747"/>
      <c r="Y407" s="304"/>
      <c r="Z407" s="505"/>
      <c r="AA407" s="304"/>
      <c r="AB407" s="747"/>
    </row>
    <row r="408" spans="1:28" ht="6" customHeight="1" x14ac:dyDescent="0.2">
      <c r="A408" s="765"/>
      <c r="I408"/>
      <c r="J408"/>
    </row>
    <row r="409" spans="1:28" ht="12.75" customHeight="1" x14ac:dyDescent="0.2">
      <c r="A409" s="765"/>
      <c r="J409"/>
      <c r="K409" s="749" t="str">
        <f>UPPER(INDEX(stadium,Z406,2))</f>
        <v>R. SÁNCHEZ-PIZJUÁN STADION</v>
      </c>
      <c r="L409" s="82"/>
      <c r="M409" s="82"/>
      <c r="N409" s="82"/>
      <c r="O409" s="82"/>
    </row>
    <row r="410" spans="1:28" ht="12.75" customHeight="1" x14ac:dyDescent="0.2">
      <c r="A410" s="765"/>
      <c r="I410"/>
      <c r="J410"/>
      <c r="K410" s="67" t="str">
        <f>" "&amp;INDEX(stadium,Z406,4)</f>
        <v xml:space="preserve"> 43.000 néző</v>
      </c>
      <c r="L410" s="744"/>
      <c r="M410" s="744"/>
      <c r="N410" s="744"/>
      <c r="O410" s="744"/>
    </row>
    <row r="411" spans="1:28" ht="9.75" customHeight="1" x14ac:dyDescent="0.3">
      <c r="A411" s="765"/>
      <c r="J411"/>
      <c r="L411" s="53"/>
      <c r="N411" s="53"/>
      <c r="O411" s="53"/>
    </row>
    <row r="412" spans="1:28" ht="14.25" customHeight="1" x14ac:dyDescent="0.2">
      <c r="A412" s="765"/>
      <c r="J412"/>
      <c r="K412" s="51" t="str">
        <f>VLOOKUP($Z412,schedule,13,FALSE)</f>
        <v>1. forduló:</v>
      </c>
      <c r="L412" s="745" t="str">
        <f>VLOOKUP($Z412,schedule,3,FALSE)</f>
        <v>E</v>
      </c>
      <c r="M412" s="257" t="str">
        <f>VLOOKUP($Z412,schedule,17,FALSE)</f>
        <v>jún. 14 – 21:00</v>
      </c>
      <c r="N412" s="257" t="str">
        <f>VLOOKUP($Z412,schedule,28,FALSE)</f>
        <v xml:space="preserve">Spanyolország–Svédország  </v>
      </c>
      <c r="R412" s="770" t="s">
        <v>1481</v>
      </c>
      <c r="S412" s="771"/>
      <c r="T412" s="771"/>
      <c r="U412" s="771"/>
      <c r="Z412" s="311">
        <v>10</v>
      </c>
    </row>
    <row r="413" spans="1:28" ht="14.25" customHeight="1" x14ac:dyDescent="0.3">
      <c r="A413" s="765"/>
      <c r="C413" s="53"/>
      <c r="J413"/>
      <c r="K413" s="51" t="str">
        <f>VLOOKUP($Z413,schedule,13,FALSE)</f>
        <v>2. forduló:</v>
      </c>
      <c r="L413" s="745" t="str">
        <f>VLOOKUP($Z413,schedule,3,FALSE)</f>
        <v>E</v>
      </c>
      <c r="M413" s="257" t="str">
        <f>VLOOKUP($Z413,schedule,17,FALSE)</f>
        <v>jún. 19 – 21:00</v>
      </c>
      <c r="N413" s="257" t="str">
        <f>VLOOKUP($Z413,schedule,28,FALSE)</f>
        <v xml:space="preserve">Spanyolország–Lengyelország  </v>
      </c>
      <c r="R413" s="771"/>
      <c r="S413" s="771"/>
      <c r="T413" s="771"/>
      <c r="U413" s="771"/>
      <c r="Z413" s="311">
        <v>24</v>
      </c>
    </row>
    <row r="414" spans="1:28" ht="14.25" customHeight="1" x14ac:dyDescent="0.2">
      <c r="A414" s="765"/>
      <c r="J414"/>
      <c r="K414" s="51" t="str">
        <f>VLOOKUP($Z414,schedule,13,FALSE)</f>
        <v>3. forduló:</v>
      </c>
      <c r="L414" s="745" t="str">
        <f>VLOOKUP($Z414,schedule,3,FALSE)</f>
        <v>E</v>
      </c>
      <c r="M414" s="257" t="str">
        <f>VLOOKUP($Z414,schedule,17,FALSE)</f>
        <v>jún. 23 – 18:00</v>
      </c>
      <c r="N414" s="257" t="str">
        <f>VLOOKUP($Z414,schedule,28,FALSE)</f>
        <v xml:space="preserve">Szlovákia–Spanyolország  </v>
      </c>
      <c r="R414" s="771"/>
      <c r="S414" s="771"/>
      <c r="T414" s="771"/>
      <c r="U414" s="771"/>
      <c r="Z414" s="311">
        <v>33</v>
      </c>
    </row>
    <row r="415" spans="1:28" ht="14.25" customHeight="1" x14ac:dyDescent="0.2">
      <c r="A415" s="765"/>
      <c r="J415"/>
      <c r="K415" s="51" t="str">
        <f>VLOOKUP($Z415,schedule,13,FALSE)</f>
        <v>Nyolcaddöntő:</v>
      </c>
      <c r="L415" s="745" t="str">
        <f>VLOOKUP($Z415,schedule,3,FALSE)</f>
        <v>1/8</v>
      </c>
      <c r="M415" s="257" t="str">
        <f>VLOOKUP($Z415,schedule,17,FALSE)</f>
        <v>jún. 27 – 21:00</v>
      </c>
      <c r="N415" s="257" t="str">
        <f>VLOOKUP($Z415,schedule,28,FALSE)</f>
        <v xml:space="preserve">B csoport 1. hely–A/D/E/F csoport 3. hely  </v>
      </c>
      <c r="R415" s="771"/>
      <c r="S415" s="771"/>
      <c r="T415" s="771"/>
      <c r="U415" s="771"/>
      <c r="Z415" s="311">
        <v>39</v>
      </c>
    </row>
    <row r="416" spans="1:28" ht="14.25" customHeight="1" x14ac:dyDescent="0.2">
      <c r="A416" s="765"/>
      <c r="J416"/>
    </row>
    <row r="417" spans="1:16" ht="14.25" customHeight="1" x14ac:dyDescent="0.2">
      <c r="A417" s="765"/>
      <c r="J417"/>
    </row>
    <row r="418" spans="1:16" ht="14.25" customHeight="1" x14ac:dyDescent="0.3">
      <c r="A418" s="765"/>
      <c r="D418" s="53"/>
      <c r="E418" s="53"/>
      <c r="F418" s="53"/>
      <c r="G418" s="53"/>
      <c r="H418" s="53"/>
      <c r="J418"/>
    </row>
    <row r="419" spans="1:16" ht="12.75" customHeight="1" x14ac:dyDescent="0.2">
      <c r="A419" s="765"/>
      <c r="H419"/>
      <c r="J419"/>
    </row>
    <row r="420" spans="1:16" ht="15.75" customHeight="1" x14ac:dyDescent="0.3">
      <c r="A420" s="765"/>
      <c r="D420" s="53"/>
      <c r="E420" s="53"/>
      <c r="F420" s="53"/>
      <c r="G420" s="53"/>
      <c r="H420" s="53"/>
      <c r="J420"/>
      <c r="N420"/>
    </row>
    <row r="421" spans="1:16" ht="15" customHeight="1" x14ac:dyDescent="0.2">
      <c r="A421" s="765"/>
      <c r="J421"/>
    </row>
    <row r="422" spans="1:16" ht="15" customHeight="1" x14ac:dyDescent="0.2">
      <c r="A422" s="765"/>
      <c r="I422"/>
      <c r="J422"/>
      <c r="O422" s="21"/>
    </row>
    <row r="423" spans="1:16" ht="1.5" customHeight="1" x14ac:dyDescent="0.2">
      <c r="A423" s="765"/>
      <c r="J423"/>
      <c r="O423" s="21"/>
    </row>
    <row r="424" spans="1:16" ht="13.5" customHeight="1" x14ac:dyDescent="0.2">
      <c r="A424" s="765"/>
      <c r="J424"/>
      <c r="O424" s="21"/>
    </row>
    <row r="425" spans="1:16" ht="13.5" customHeight="1" x14ac:dyDescent="0.2">
      <c r="A425" s="765"/>
      <c r="J425"/>
      <c r="O425" s="21"/>
    </row>
    <row r="426" spans="1:16" ht="13.5" customHeight="1" x14ac:dyDescent="0.2">
      <c r="A426" s="765"/>
      <c r="J426"/>
      <c r="O426" s="21"/>
    </row>
    <row r="427" spans="1:16" ht="13.5" customHeight="1" x14ac:dyDescent="0.2">
      <c r="A427" s="765"/>
      <c r="J427"/>
      <c r="O427" s="21"/>
      <c r="P427"/>
    </row>
    <row r="428" spans="1:16" ht="13.5" customHeight="1" x14ac:dyDescent="0.3">
      <c r="A428" s="765"/>
      <c r="E428" s="53"/>
      <c r="J428"/>
      <c r="O428" s="21"/>
    </row>
    <row r="429" spans="1:16" ht="11.25" customHeight="1" x14ac:dyDescent="0.3">
      <c r="A429" s="765"/>
      <c r="E429" s="53"/>
      <c r="J429"/>
      <c r="O429" s="21"/>
    </row>
    <row r="430" spans="1:16" ht="11.25" customHeight="1" x14ac:dyDescent="0.2">
      <c r="A430" s="765"/>
    </row>
    <row r="431" spans="1:16" ht="11.25" customHeight="1" x14ac:dyDescent="0.2">
      <c r="A431" s="765"/>
    </row>
    <row r="432" spans="1:16" ht="11.25" customHeight="1" x14ac:dyDescent="0.2">
      <c r="A432" s="765"/>
    </row>
    <row r="433" spans="1:1" ht="11.25" customHeight="1" x14ac:dyDescent="0.2">
      <c r="A433" s="765"/>
    </row>
    <row r="434" spans="1:1" ht="11.25" customHeight="1" x14ac:dyDescent="0.2">
      <c r="A434" s="765"/>
    </row>
    <row r="435" spans="1:1" ht="11.25" customHeight="1" x14ac:dyDescent="0.2">
      <c r="A435" s="765"/>
    </row>
    <row r="436" spans="1:1" ht="11.25" customHeight="1" x14ac:dyDescent="0.2">
      <c r="A436" s="765"/>
    </row>
    <row r="437" spans="1:1" ht="11.25" customHeight="1" x14ac:dyDescent="0.2">
      <c r="A437" s="765"/>
    </row>
    <row r="438" spans="1:1" ht="11.25" customHeight="1" x14ac:dyDescent="0.2">
      <c r="A438" s="765"/>
    </row>
    <row r="439" spans="1:1" ht="11.25" customHeight="1" x14ac:dyDescent="0.2">
      <c r="A439" s="765"/>
    </row>
    <row r="440" spans="1:1" ht="11.25" customHeight="1" x14ac:dyDescent="0.2">
      <c r="A440" s="765"/>
    </row>
    <row r="441" spans="1:1" ht="11.25" customHeight="1" x14ac:dyDescent="0.2">
      <c r="A441" s="765"/>
    </row>
    <row r="442" spans="1:1" ht="11.25" customHeight="1" x14ac:dyDescent="0.2">
      <c r="A442" s="765"/>
    </row>
    <row r="443" spans="1:1" ht="11.25" customHeight="1" x14ac:dyDescent="0.2">
      <c r="A443" s="765"/>
    </row>
    <row r="444" spans="1:1" ht="11.25" customHeight="1" x14ac:dyDescent="0.2">
      <c r="A444" s="765"/>
    </row>
    <row r="445" spans="1:1" ht="11.25" customHeight="1" x14ac:dyDescent="0.2">
      <c r="A445" s="765"/>
    </row>
    <row r="446" spans="1:1" ht="11.25" customHeight="1" x14ac:dyDescent="0.2">
      <c r="A446" s="765"/>
    </row>
    <row r="447" spans="1:1" ht="11.25" customHeight="1" x14ac:dyDescent="0.2">
      <c r="A447" s="765"/>
    </row>
    <row r="448" spans="1:1" ht="11.25" customHeight="1" x14ac:dyDescent="0.2">
      <c r="A448" s="765"/>
    </row>
    <row r="449" spans="1:28" ht="11.25" customHeight="1" x14ac:dyDescent="0.2">
      <c r="A449" s="765"/>
    </row>
    <row r="450" spans="1:28" ht="11.25" customHeight="1" x14ac:dyDescent="0.2">
      <c r="A450" s="765"/>
    </row>
    <row r="451" spans="1:28" ht="11.25" customHeight="1" x14ac:dyDescent="0.2">
      <c r="A451" s="765"/>
    </row>
    <row r="452" spans="1:28" ht="11.25" customHeight="1" x14ac:dyDescent="0.2">
      <c r="A452" s="765"/>
    </row>
    <row r="453" spans="1:28" ht="11.25" customHeight="1" x14ac:dyDescent="0.2">
      <c r="A453" s="765"/>
    </row>
    <row r="454" spans="1:28" ht="11.25" customHeight="1" x14ac:dyDescent="0.2">
      <c r="A454" s="765"/>
    </row>
    <row r="455" spans="1:28" ht="7.5" customHeight="1" x14ac:dyDescent="0.2">
      <c r="A455" s="765"/>
      <c r="P455" s="50"/>
    </row>
    <row r="456" spans="1:28" s="93" customFormat="1" ht="15" customHeight="1" x14ac:dyDescent="0.2">
      <c r="A456" s="765"/>
      <c r="B456" s="200"/>
      <c r="H456" s="23"/>
      <c r="I456" s="23"/>
      <c r="J456" s="23"/>
      <c r="K456" s="749" t="str">
        <f>UPPER(INDEX(stadium,Z456,1))</f>
        <v>DUBLIN</v>
      </c>
      <c r="L456" s="82"/>
      <c r="M456" s="82"/>
      <c r="N456" s="82"/>
      <c r="O456" s="82"/>
      <c r="P456" s="23"/>
      <c r="Q456" s="23"/>
      <c r="R456" s="23"/>
      <c r="S456" s="212"/>
      <c r="X456" s="322"/>
      <c r="Y456" s="746"/>
      <c r="Z456" s="748">
        <v>10</v>
      </c>
      <c r="AA456" s="746"/>
      <c r="AB456" s="322"/>
    </row>
    <row r="457" spans="1:28" s="21" customFormat="1" ht="15" customHeight="1" x14ac:dyDescent="0.2">
      <c r="A457" s="765"/>
      <c r="H457" s="23"/>
      <c r="I457" s="23"/>
      <c r="J457"/>
      <c r="K457" s="67" t="str">
        <f>" "&amp;INDEX(stadium,Z456,3)</f>
        <v xml:space="preserve"> 1,2 millió lakos</v>
      </c>
      <c r="L457" s="744"/>
      <c r="M457" s="744"/>
      <c r="N457" s="744"/>
      <c r="O457" s="744"/>
      <c r="P457" s="23"/>
      <c r="Q457" s="23"/>
      <c r="R457" s="23"/>
      <c r="S457" s="23"/>
      <c r="X457" s="747"/>
      <c r="Y457" s="304"/>
      <c r="Z457" s="505"/>
      <c r="AA457" s="304"/>
      <c r="AB457" s="747"/>
    </row>
    <row r="458" spans="1:28" ht="6" customHeight="1" x14ac:dyDescent="0.2">
      <c r="A458" s="765"/>
      <c r="I458"/>
      <c r="J458"/>
    </row>
    <row r="459" spans="1:28" ht="12.75" customHeight="1" x14ac:dyDescent="0.2">
      <c r="A459" s="765"/>
      <c r="J459"/>
      <c r="K459" s="749" t="str">
        <f>UPPER(INDEX(stadium,Z456,2))</f>
        <v>DUBLIN ARENA</v>
      </c>
      <c r="L459" s="82"/>
      <c r="M459" s="82"/>
      <c r="N459" s="82"/>
      <c r="O459" s="82"/>
    </row>
    <row r="460" spans="1:28" ht="12.75" customHeight="1" x14ac:dyDescent="0.2">
      <c r="A460" s="765"/>
      <c r="I460"/>
      <c r="J460"/>
      <c r="K460" s="67" t="str">
        <f>" "&amp;INDEX(stadium,Z456,4)</f>
        <v xml:space="preserve"> 51.000 néző</v>
      </c>
      <c r="L460" s="744"/>
      <c r="M460" s="744"/>
      <c r="N460" s="744"/>
      <c r="O460" s="744"/>
    </row>
    <row r="461" spans="1:28" ht="9.75" customHeight="1" x14ac:dyDescent="0.3">
      <c r="A461" s="765"/>
      <c r="J461"/>
      <c r="L461" s="53"/>
      <c r="N461" s="53"/>
      <c r="O461" s="53"/>
    </row>
    <row r="462" spans="1:28" ht="14.25" customHeight="1" x14ac:dyDescent="0.2">
      <c r="A462" s="765"/>
      <c r="J462"/>
      <c r="K462" s="770" t="s">
        <v>421</v>
      </c>
      <c r="L462" s="772"/>
      <c r="M462" s="772"/>
      <c r="N462" s="772"/>
      <c r="O462" s="772"/>
      <c r="P462" s="772"/>
      <c r="Z462" s="311"/>
    </row>
    <row r="463" spans="1:28" ht="14.25" customHeight="1" x14ac:dyDescent="0.3">
      <c r="A463" s="765"/>
      <c r="C463" s="53"/>
      <c r="J463"/>
      <c r="K463" s="772"/>
      <c r="L463" s="772"/>
      <c r="M463" s="772"/>
      <c r="N463" s="772"/>
      <c r="O463" s="772"/>
      <c r="P463" s="772"/>
      <c r="Z463" s="311"/>
    </row>
    <row r="464" spans="1:28" ht="14.25" customHeight="1" x14ac:dyDescent="0.2">
      <c r="A464" s="765"/>
      <c r="J464"/>
      <c r="K464" s="772"/>
      <c r="L464" s="772"/>
      <c r="M464" s="772"/>
      <c r="N464" s="772"/>
      <c r="O464" s="772"/>
      <c r="P464" s="772"/>
      <c r="Z464" s="311"/>
    </row>
    <row r="465" spans="1:26" ht="14.25" customHeight="1" x14ac:dyDescent="0.2">
      <c r="A465" s="765"/>
      <c r="J465"/>
      <c r="K465" s="772"/>
      <c r="L465" s="772"/>
      <c r="M465" s="772"/>
      <c r="N465" s="772"/>
      <c r="O465" s="772"/>
      <c r="P465" s="772"/>
      <c r="Z465" s="311"/>
    </row>
    <row r="466" spans="1:26" ht="14.25" customHeight="1" x14ac:dyDescent="0.2">
      <c r="A466" s="765"/>
      <c r="J466"/>
      <c r="K466" s="772"/>
      <c r="L466" s="772"/>
      <c r="M466" s="772"/>
      <c r="N466" s="772"/>
      <c r="O466" s="772"/>
      <c r="P466" s="772"/>
    </row>
    <row r="467" spans="1:26" ht="14.25" customHeight="1" x14ac:dyDescent="0.2">
      <c r="A467" s="765"/>
      <c r="J467"/>
      <c r="K467" s="772"/>
      <c r="L467" s="772"/>
      <c r="M467" s="772"/>
      <c r="N467" s="772"/>
      <c r="O467" s="772"/>
      <c r="P467" s="772"/>
    </row>
    <row r="468" spans="1:26" ht="14.25" customHeight="1" x14ac:dyDescent="0.3">
      <c r="A468" s="765"/>
      <c r="D468" s="53"/>
      <c r="E468" s="53"/>
      <c r="F468" s="53"/>
      <c r="G468" s="53"/>
      <c r="H468" s="53"/>
      <c r="J468"/>
      <c r="K468" s="772"/>
      <c r="L468" s="772"/>
      <c r="M468" s="772"/>
      <c r="N468" s="772"/>
      <c r="O468" s="772"/>
      <c r="P468" s="772"/>
    </row>
    <row r="469" spans="1:26" ht="12.75" customHeight="1" x14ac:dyDescent="0.2">
      <c r="A469" s="765"/>
      <c r="H469"/>
      <c r="J469"/>
    </row>
    <row r="470" spans="1:26" ht="15.75" customHeight="1" x14ac:dyDescent="0.3">
      <c r="A470" s="765"/>
      <c r="D470" s="53"/>
      <c r="E470" s="53"/>
      <c r="F470" s="53"/>
      <c r="G470" s="53"/>
      <c r="H470" s="53"/>
      <c r="J470"/>
      <c r="K470" s="750"/>
      <c r="N470"/>
    </row>
    <row r="471" spans="1:26" ht="15" customHeight="1" x14ac:dyDescent="0.2">
      <c r="A471" s="765"/>
      <c r="J471"/>
    </row>
    <row r="472" spans="1:26" ht="15" customHeight="1" x14ac:dyDescent="0.2">
      <c r="A472" s="765"/>
      <c r="I472"/>
      <c r="J472"/>
      <c r="O472" s="21"/>
    </row>
    <row r="473" spans="1:26" ht="1.5" customHeight="1" x14ac:dyDescent="0.2">
      <c r="A473" s="765"/>
      <c r="J473"/>
      <c r="O473" s="21"/>
    </row>
    <row r="474" spans="1:26" ht="13.5" customHeight="1" x14ac:dyDescent="0.2">
      <c r="A474" s="765"/>
      <c r="J474"/>
      <c r="O474" s="21"/>
    </row>
    <row r="475" spans="1:26" ht="13.5" customHeight="1" x14ac:dyDescent="0.2">
      <c r="A475" s="765"/>
      <c r="J475"/>
      <c r="O475" s="21"/>
    </row>
    <row r="476" spans="1:26" ht="13.5" customHeight="1" x14ac:dyDescent="0.2">
      <c r="A476" s="765"/>
      <c r="J476"/>
      <c r="O476" s="21"/>
    </row>
    <row r="477" spans="1:26" ht="13.5" customHeight="1" x14ac:dyDescent="0.2">
      <c r="A477" s="765"/>
      <c r="J477"/>
      <c r="O477" s="21"/>
      <c r="P477"/>
    </row>
    <row r="478" spans="1:26" ht="13.5" customHeight="1" x14ac:dyDescent="0.3">
      <c r="A478" s="765"/>
      <c r="E478" s="53"/>
      <c r="J478"/>
      <c r="O478" s="21"/>
    </row>
    <row r="479" spans="1:26" ht="11.25" customHeight="1" x14ac:dyDescent="0.3">
      <c r="A479" s="765"/>
      <c r="E479" s="53"/>
      <c r="J479"/>
      <c r="O479" s="21"/>
    </row>
    <row r="480" spans="1:26" ht="11.25" customHeight="1" x14ac:dyDescent="0.2">
      <c r="A480" s="765"/>
    </row>
    <row r="481" spans="1:1" ht="11.25" customHeight="1" x14ac:dyDescent="0.2">
      <c r="A481" s="765"/>
    </row>
    <row r="482" spans="1:1" ht="11.25" customHeight="1" x14ac:dyDescent="0.2">
      <c r="A482" s="765"/>
    </row>
    <row r="483" spans="1:1" ht="11.25" customHeight="1" x14ac:dyDescent="0.2">
      <c r="A483" s="765"/>
    </row>
    <row r="484" spans="1:1" ht="11.25" customHeight="1" x14ac:dyDescent="0.2">
      <c r="A484" s="765"/>
    </row>
    <row r="485" spans="1:1" ht="11.25" customHeight="1" x14ac:dyDescent="0.2">
      <c r="A485" s="765"/>
    </row>
    <row r="486" spans="1:1" ht="11.25" customHeight="1" x14ac:dyDescent="0.2">
      <c r="A486" s="765"/>
    </row>
    <row r="487" spans="1:1" ht="11.25" customHeight="1" x14ac:dyDescent="0.2">
      <c r="A487" s="765"/>
    </row>
    <row r="488" spans="1:1" ht="11.25" customHeight="1" x14ac:dyDescent="0.2">
      <c r="A488" s="765"/>
    </row>
    <row r="489" spans="1:1" ht="11.25" customHeight="1" x14ac:dyDescent="0.2">
      <c r="A489" s="765"/>
    </row>
    <row r="490" spans="1:1" ht="11.25" customHeight="1" x14ac:dyDescent="0.2">
      <c r="A490" s="765"/>
    </row>
    <row r="491" spans="1:1" ht="11.25" customHeight="1" x14ac:dyDescent="0.2">
      <c r="A491" s="765"/>
    </row>
    <row r="492" spans="1:1" ht="11.25" customHeight="1" x14ac:dyDescent="0.2">
      <c r="A492" s="765"/>
    </row>
    <row r="493" spans="1:1" ht="11.25" customHeight="1" x14ac:dyDescent="0.2">
      <c r="A493" s="765"/>
    </row>
    <row r="494" spans="1:1" ht="11.25" customHeight="1" x14ac:dyDescent="0.2">
      <c r="A494" s="765"/>
    </row>
    <row r="495" spans="1:1" ht="11.25" customHeight="1" x14ac:dyDescent="0.2">
      <c r="A495" s="765"/>
    </row>
    <row r="496" spans="1:1" ht="11.25" customHeight="1" x14ac:dyDescent="0.2">
      <c r="A496" s="765"/>
    </row>
    <row r="497" spans="1:28" ht="11.25" customHeight="1" x14ac:dyDescent="0.2">
      <c r="A497" s="765"/>
    </row>
    <row r="498" spans="1:28" ht="11.25" customHeight="1" x14ac:dyDescent="0.2">
      <c r="A498" s="765"/>
    </row>
    <row r="499" spans="1:28" ht="11.25" customHeight="1" x14ac:dyDescent="0.2">
      <c r="A499" s="765"/>
    </row>
    <row r="500" spans="1:28" ht="11.25" customHeight="1" x14ac:dyDescent="0.2">
      <c r="A500" s="765"/>
    </row>
    <row r="501" spans="1:28" ht="11.25" customHeight="1" x14ac:dyDescent="0.2">
      <c r="A501" s="765"/>
    </row>
    <row r="502" spans="1:28" ht="11.25" customHeight="1" x14ac:dyDescent="0.2">
      <c r="A502" s="765"/>
    </row>
    <row r="503" spans="1:28" ht="11.25" customHeight="1" x14ac:dyDescent="0.2">
      <c r="A503" s="765"/>
    </row>
    <row r="504" spans="1:28" ht="11.25" customHeight="1" x14ac:dyDescent="0.2">
      <c r="A504" s="765"/>
    </row>
    <row r="505" spans="1:28" ht="7.5" customHeight="1" x14ac:dyDescent="0.2">
      <c r="A505" s="765"/>
      <c r="P505" s="50"/>
    </row>
    <row r="506" spans="1:28" s="93" customFormat="1" ht="15" customHeight="1" x14ac:dyDescent="0.2">
      <c r="A506" s="765"/>
      <c r="B506" s="200"/>
      <c r="H506" s="23"/>
      <c r="I506" s="23"/>
      <c r="J506" s="23"/>
      <c r="K506" s="749" t="str">
        <f>UPPER(INDEX(stadium,Z506,1))</f>
        <v>MÜNCHEN</v>
      </c>
      <c r="L506" s="82"/>
      <c r="M506" s="82"/>
      <c r="N506" s="82"/>
      <c r="O506" s="82"/>
      <c r="P506" s="23"/>
      <c r="Q506" s="23"/>
      <c r="R506" s="23"/>
      <c r="S506" s="212"/>
      <c r="X506" s="322"/>
      <c r="Y506" s="746"/>
      <c r="Z506" s="748">
        <v>11</v>
      </c>
      <c r="AA506" s="746"/>
      <c r="AB506" s="322"/>
    </row>
    <row r="507" spans="1:28" s="21" customFormat="1" ht="15" customHeight="1" x14ac:dyDescent="0.2">
      <c r="A507" s="765"/>
      <c r="H507" s="23"/>
      <c r="I507" s="23"/>
      <c r="J507"/>
      <c r="K507" s="67" t="str">
        <f>" "&amp;INDEX(stadium,Z506,3)</f>
        <v xml:space="preserve"> 1,5 millió lakos</v>
      </c>
      <c r="L507" s="744"/>
      <c r="M507" s="744"/>
      <c r="N507" s="744"/>
      <c r="O507" s="744"/>
      <c r="P507" s="23"/>
      <c r="Q507" s="23"/>
      <c r="R507" s="23"/>
      <c r="S507" s="23"/>
      <c r="X507" s="747"/>
      <c r="Y507" s="304"/>
      <c r="Z507" s="505"/>
      <c r="AA507" s="304"/>
      <c r="AB507" s="747"/>
    </row>
    <row r="508" spans="1:28" ht="6" customHeight="1" x14ac:dyDescent="0.2">
      <c r="A508" s="765"/>
      <c r="I508"/>
      <c r="J508"/>
    </row>
    <row r="509" spans="1:28" ht="12.75" customHeight="1" x14ac:dyDescent="0.2">
      <c r="A509" s="765"/>
      <c r="J509"/>
      <c r="K509" s="749" t="str">
        <f>UPPER(INDEX(stadium,Z506,2))</f>
        <v>MÜNCHEN ARENA</v>
      </c>
      <c r="L509" s="82"/>
      <c r="M509" s="82"/>
      <c r="N509" s="82"/>
      <c r="O509" s="82"/>
    </row>
    <row r="510" spans="1:28" ht="12.75" customHeight="1" x14ac:dyDescent="0.2">
      <c r="A510" s="765"/>
      <c r="I510"/>
      <c r="J510"/>
      <c r="K510" s="67" t="str">
        <f>" "&amp;INDEX(stadium,Z506,4)</f>
        <v xml:space="preserve"> 70.000 néző</v>
      </c>
      <c r="L510" s="744"/>
      <c r="M510" s="744"/>
      <c r="N510" s="744"/>
      <c r="O510" s="744"/>
    </row>
    <row r="511" spans="1:28" ht="9.75" customHeight="1" x14ac:dyDescent="0.3">
      <c r="A511" s="765"/>
      <c r="J511"/>
      <c r="L511" s="53"/>
      <c r="N511" s="53"/>
      <c r="O511" s="53"/>
    </row>
    <row r="512" spans="1:28" ht="14.25" customHeight="1" x14ac:dyDescent="0.2">
      <c r="A512" s="765"/>
      <c r="J512"/>
      <c r="K512" s="51" t="str">
        <f>VLOOKUP($Z512,schedule,13,FALSE)</f>
        <v>1. forduló:</v>
      </c>
      <c r="L512" s="745" t="str">
        <f>VLOOKUP($Z512,schedule,3,FALSE)</f>
        <v>F</v>
      </c>
      <c r="M512" s="257" t="str">
        <f>VLOOKUP($Z512,schedule,17,FALSE)</f>
        <v>jún. 15 – 21:00</v>
      </c>
      <c r="N512" s="257" t="str">
        <f>VLOOKUP($Z512,schedule,28,FALSE)</f>
        <v xml:space="preserve">Franciaország–Németország  </v>
      </c>
      <c r="Z512" s="311">
        <v>12</v>
      </c>
    </row>
    <row r="513" spans="1:26" ht="14.25" customHeight="1" x14ac:dyDescent="0.3">
      <c r="A513" s="765"/>
      <c r="C513" s="53"/>
      <c r="J513"/>
      <c r="K513" s="51" t="str">
        <f>VLOOKUP($Z513,schedule,13,FALSE)</f>
        <v>2. forduló:</v>
      </c>
      <c r="L513" s="745" t="str">
        <f>VLOOKUP($Z513,schedule,3,FALSE)</f>
        <v>F</v>
      </c>
      <c r="M513" s="257" t="str">
        <f>VLOOKUP($Z513,schedule,17,FALSE)</f>
        <v>jún. 19 – 18:00</v>
      </c>
      <c r="N513" s="257" t="str">
        <f>VLOOKUP($Z513,schedule,28,FALSE)</f>
        <v xml:space="preserve">Portugália–Németország  </v>
      </c>
      <c r="Z513" s="311">
        <v>23</v>
      </c>
    </row>
    <row r="514" spans="1:26" ht="14.25" customHeight="1" x14ac:dyDescent="0.2">
      <c r="A514" s="765"/>
      <c r="J514"/>
      <c r="K514" s="51" t="str">
        <f>VLOOKUP($Z514,schedule,13,FALSE)</f>
        <v>3. forduló:</v>
      </c>
      <c r="L514" s="745" t="str">
        <f>VLOOKUP($Z514,schedule,3,FALSE)</f>
        <v>F</v>
      </c>
      <c r="M514" s="257" t="str">
        <f>VLOOKUP($Z514,schedule,17,FALSE)</f>
        <v>jún. 23 – 21:00</v>
      </c>
      <c r="N514" s="257" t="str">
        <f>VLOOKUP($Z514,schedule,28,FALSE)</f>
        <v xml:space="preserve">Németország–MAGYARORSZÁG  </v>
      </c>
      <c r="Z514" s="311">
        <v>35</v>
      </c>
    </row>
    <row r="515" spans="1:26" ht="14.25" customHeight="1" x14ac:dyDescent="0.2">
      <c r="A515" s="765"/>
      <c r="J515"/>
      <c r="K515" s="51" t="str">
        <f>VLOOKUP($Z515,schedule,13,FALSE)</f>
        <v>Negyeddöntő:</v>
      </c>
      <c r="L515" s="745" t="str">
        <f>VLOOKUP($Z515,schedule,3,FALSE)</f>
        <v>1/4</v>
      </c>
      <c r="M515" s="257" t="str">
        <f>VLOOKUP($Z515,schedule,17,FALSE)</f>
        <v>júl. 2 – 21:00</v>
      </c>
      <c r="N515" s="257" t="str">
        <f>VLOOKUP($Z515,schedule,28,FALSE)</f>
        <v xml:space="preserve">1/8 győztese–2/8 győztese  </v>
      </c>
      <c r="Z515" s="311">
        <v>46</v>
      </c>
    </row>
    <row r="516" spans="1:26" ht="14.25" customHeight="1" x14ac:dyDescent="0.2">
      <c r="A516" s="765"/>
      <c r="J516"/>
    </row>
    <row r="517" spans="1:26" ht="14.25" customHeight="1" x14ac:dyDescent="0.2">
      <c r="A517" s="765"/>
      <c r="J517"/>
    </row>
    <row r="518" spans="1:26" ht="14.25" customHeight="1" x14ac:dyDescent="0.3">
      <c r="A518" s="765"/>
      <c r="D518" s="53"/>
      <c r="E518" s="53"/>
      <c r="F518" s="53"/>
      <c r="G518" s="53"/>
      <c r="H518" s="53"/>
      <c r="J518"/>
    </row>
    <row r="519" spans="1:26" ht="12.75" customHeight="1" x14ac:dyDescent="0.2">
      <c r="A519" s="765"/>
      <c r="H519"/>
      <c r="J519"/>
    </row>
    <row r="520" spans="1:26" ht="15.75" customHeight="1" x14ac:dyDescent="0.3">
      <c r="A520" s="765"/>
      <c r="D520" s="53"/>
      <c r="E520" s="53"/>
      <c r="F520" s="53"/>
      <c r="G520" s="53"/>
      <c r="H520" s="53"/>
      <c r="J520"/>
      <c r="N520"/>
    </row>
    <row r="521" spans="1:26" ht="15" customHeight="1" x14ac:dyDescent="0.2">
      <c r="A521" s="765"/>
      <c r="J521"/>
    </row>
    <row r="522" spans="1:26" ht="15" customHeight="1" x14ac:dyDescent="0.2">
      <c r="A522" s="765"/>
      <c r="I522"/>
      <c r="J522"/>
      <c r="O522" s="21"/>
    </row>
    <row r="523" spans="1:26" ht="1.5" customHeight="1" x14ac:dyDescent="0.2">
      <c r="A523" s="765"/>
      <c r="J523"/>
      <c r="O523" s="21"/>
    </row>
    <row r="524" spans="1:26" ht="13.5" customHeight="1" x14ac:dyDescent="0.2">
      <c r="A524" s="765"/>
      <c r="J524"/>
      <c r="O524" s="21"/>
    </row>
    <row r="525" spans="1:26" ht="13.5" customHeight="1" x14ac:dyDescent="0.2">
      <c r="A525" s="765"/>
      <c r="J525"/>
      <c r="O525" s="21"/>
    </row>
    <row r="526" spans="1:26" ht="13.5" customHeight="1" x14ac:dyDescent="0.2">
      <c r="A526" s="765"/>
      <c r="J526"/>
      <c r="O526" s="21"/>
    </row>
    <row r="527" spans="1:26" ht="13.5" customHeight="1" x14ac:dyDescent="0.2">
      <c r="A527" s="765"/>
      <c r="J527"/>
      <c r="O527" s="21"/>
      <c r="P527"/>
    </row>
    <row r="528" spans="1:26" ht="13.5" customHeight="1" x14ac:dyDescent="0.3">
      <c r="A528" s="765"/>
      <c r="E528" s="53"/>
      <c r="J528"/>
      <c r="O528" s="21"/>
    </row>
    <row r="529" spans="1:15" ht="11.25" customHeight="1" x14ac:dyDescent="0.3">
      <c r="A529" s="765"/>
      <c r="E529" s="53"/>
      <c r="J529"/>
      <c r="O529" s="21"/>
    </row>
    <row r="530" spans="1:15" ht="11.25" customHeight="1" x14ac:dyDescent="0.2">
      <c r="A530" s="765"/>
    </row>
    <row r="531" spans="1:15" ht="11.25" customHeight="1" x14ac:dyDescent="0.2">
      <c r="A531" s="765"/>
    </row>
    <row r="532" spans="1:15" ht="11.25" customHeight="1" x14ac:dyDescent="0.2">
      <c r="A532" s="765"/>
    </row>
    <row r="533" spans="1:15" ht="11.25" customHeight="1" x14ac:dyDescent="0.2">
      <c r="A533" s="765"/>
    </row>
    <row r="534" spans="1:15" ht="11.25" customHeight="1" x14ac:dyDescent="0.2">
      <c r="A534" s="765"/>
    </row>
    <row r="535" spans="1:15" ht="11.25" customHeight="1" x14ac:dyDescent="0.2">
      <c r="A535" s="765"/>
    </row>
    <row r="536" spans="1:15" ht="11.25" customHeight="1" x14ac:dyDescent="0.2">
      <c r="A536" s="765"/>
    </row>
    <row r="537" spans="1:15" ht="11.25" customHeight="1" x14ac:dyDescent="0.2">
      <c r="A537" s="765"/>
    </row>
    <row r="538" spans="1:15" ht="11.25" customHeight="1" x14ac:dyDescent="0.2">
      <c r="A538" s="765"/>
    </row>
    <row r="539" spans="1:15" ht="11.25" customHeight="1" x14ac:dyDescent="0.2">
      <c r="A539" s="765"/>
    </row>
    <row r="540" spans="1:15" ht="11.25" customHeight="1" x14ac:dyDescent="0.2">
      <c r="A540" s="765"/>
    </row>
    <row r="541" spans="1:15" ht="11.25" customHeight="1" x14ac:dyDescent="0.2">
      <c r="A541" s="765"/>
    </row>
    <row r="542" spans="1:15" ht="11.25" customHeight="1" x14ac:dyDescent="0.2">
      <c r="A542" s="765"/>
    </row>
    <row r="543" spans="1:15" ht="11.25" customHeight="1" x14ac:dyDescent="0.2">
      <c r="A543" s="765"/>
    </row>
    <row r="544" spans="1:15" ht="11.25" customHeight="1" x14ac:dyDescent="0.2">
      <c r="A544" s="765"/>
    </row>
    <row r="545" spans="1:28" ht="11.25" customHeight="1" x14ac:dyDescent="0.2">
      <c r="A545" s="765"/>
    </row>
    <row r="546" spans="1:28" ht="11.25" customHeight="1" x14ac:dyDescent="0.2">
      <c r="A546" s="765"/>
    </row>
    <row r="547" spans="1:28" ht="11.25" customHeight="1" x14ac:dyDescent="0.2">
      <c r="A547" s="765"/>
    </row>
    <row r="548" spans="1:28" ht="11.25" customHeight="1" x14ac:dyDescent="0.2">
      <c r="A548" s="765"/>
    </row>
    <row r="549" spans="1:28" ht="11.25" customHeight="1" x14ac:dyDescent="0.2">
      <c r="A549" s="765"/>
    </row>
    <row r="550" spans="1:28" ht="11.25" customHeight="1" x14ac:dyDescent="0.2">
      <c r="A550" s="765"/>
    </row>
    <row r="551" spans="1:28" ht="11.25" customHeight="1" x14ac:dyDescent="0.2">
      <c r="A551" s="765"/>
    </row>
    <row r="552" spans="1:28" ht="11.25" customHeight="1" x14ac:dyDescent="0.2">
      <c r="A552" s="765"/>
    </row>
    <row r="553" spans="1:28" ht="11.25" customHeight="1" x14ac:dyDescent="0.2">
      <c r="A553" s="765"/>
    </row>
    <row r="554" spans="1:28" ht="11.25" customHeight="1" x14ac:dyDescent="0.2">
      <c r="A554" s="765"/>
    </row>
    <row r="555" spans="1:28" ht="7.5" customHeight="1" x14ac:dyDescent="0.2">
      <c r="A555" s="765"/>
      <c r="P555" s="50"/>
    </row>
    <row r="556" spans="1:28" s="93" customFormat="1" ht="15" customHeight="1" x14ac:dyDescent="0.2">
      <c r="A556" s="765"/>
      <c r="B556" s="200"/>
      <c r="H556" s="23"/>
      <c r="I556" s="23"/>
      <c r="J556" s="23"/>
      <c r="K556" s="749" t="str">
        <f>UPPER(INDEX(stadium,Z556,1))</f>
        <v>BUDAPEST</v>
      </c>
      <c r="L556" s="82"/>
      <c r="M556" s="82"/>
      <c r="N556" s="82"/>
      <c r="O556" s="82"/>
      <c r="P556" s="23"/>
      <c r="Q556" s="23"/>
      <c r="R556" s="23"/>
      <c r="S556" s="212"/>
      <c r="X556" s="322"/>
      <c r="Y556" s="746"/>
      <c r="Z556" s="748">
        <v>12</v>
      </c>
      <c r="AA556" s="746"/>
      <c r="AB556" s="322"/>
    </row>
    <row r="557" spans="1:28" s="21" customFormat="1" ht="15" customHeight="1" x14ac:dyDescent="0.2">
      <c r="A557" s="765"/>
      <c r="H557" s="23"/>
      <c r="I557" s="23"/>
      <c r="J557"/>
      <c r="K557" s="67" t="str">
        <f>" "&amp;INDEX(stadium,Z556,3)</f>
        <v xml:space="preserve"> 1,8 millió lakos</v>
      </c>
      <c r="L557" s="744"/>
      <c r="M557" s="744"/>
      <c r="N557" s="744"/>
      <c r="O557" s="744"/>
      <c r="P557" s="23"/>
      <c r="Q557" s="23"/>
      <c r="R557" s="23"/>
      <c r="S557" s="23"/>
      <c r="X557" s="747"/>
      <c r="Y557" s="304"/>
      <c r="Z557" s="505"/>
      <c r="AA557" s="304"/>
      <c r="AB557" s="747"/>
    </row>
    <row r="558" spans="1:28" ht="6" customHeight="1" x14ac:dyDescent="0.2">
      <c r="A558" s="765"/>
      <c r="I558"/>
      <c r="J558"/>
    </row>
    <row r="559" spans="1:28" ht="12.75" customHeight="1" x14ac:dyDescent="0.2">
      <c r="A559" s="765"/>
      <c r="J559"/>
      <c r="K559" s="749" t="str">
        <f>UPPER(INDEX(stadium,Z556,2))</f>
        <v>PUSKÁS FERENC STADION</v>
      </c>
      <c r="L559" s="82"/>
      <c r="M559" s="82"/>
      <c r="N559" s="82"/>
      <c r="O559" s="82"/>
    </row>
    <row r="560" spans="1:28" ht="12.75" customHeight="1" x14ac:dyDescent="0.2">
      <c r="A560" s="765"/>
      <c r="I560"/>
      <c r="J560"/>
      <c r="K560" s="67" t="str">
        <f>" "&amp;INDEX(stadium,Z556,4)</f>
        <v xml:space="preserve"> 68.000 néző</v>
      </c>
      <c r="L560" s="744"/>
      <c r="M560" s="744"/>
      <c r="N560" s="744"/>
      <c r="O560" s="744"/>
    </row>
    <row r="561" spans="1:26" ht="9.75" customHeight="1" x14ac:dyDescent="0.3">
      <c r="A561" s="765"/>
      <c r="J561"/>
      <c r="L561" s="53"/>
      <c r="N561" s="53"/>
      <c r="O561" s="53"/>
    </row>
    <row r="562" spans="1:26" ht="14.25" customHeight="1" x14ac:dyDescent="0.2">
      <c r="A562" s="765"/>
      <c r="J562"/>
      <c r="K562" s="51" t="str">
        <f>VLOOKUP($Z562,schedule,13,FALSE)</f>
        <v>1. forduló:</v>
      </c>
      <c r="L562" s="745" t="str">
        <f>VLOOKUP($Z562,schedule,3,FALSE)</f>
        <v>F</v>
      </c>
      <c r="M562" s="257" t="str">
        <f>VLOOKUP($Z562,schedule,17,FALSE)</f>
        <v>jún. 15 – 18:00</v>
      </c>
      <c r="N562" s="257" t="str">
        <f>VLOOKUP($Z562,schedule,28,FALSE)</f>
        <v xml:space="preserve">MAGYARORSZÁG–Portugália  </v>
      </c>
      <c r="Z562" s="311">
        <v>11</v>
      </c>
    </row>
    <row r="563" spans="1:26" ht="14.25" customHeight="1" x14ac:dyDescent="0.3">
      <c r="A563" s="765"/>
      <c r="C563" s="53"/>
      <c r="J563"/>
      <c r="K563" s="51" t="str">
        <f>VLOOKUP($Z563,schedule,13,FALSE)</f>
        <v>2. forduló:</v>
      </c>
      <c r="L563" s="745" t="str">
        <f>VLOOKUP($Z563,schedule,3,FALSE)</f>
        <v>F</v>
      </c>
      <c r="M563" s="257" t="str">
        <f>VLOOKUP($Z563,schedule,17,FALSE)</f>
        <v>jún. 19 – 15:00</v>
      </c>
      <c r="N563" s="257" t="str">
        <f>VLOOKUP($Z563,schedule,28,FALSE)</f>
        <v xml:space="preserve">MAGYARORSZÁG–Franciaország  </v>
      </c>
      <c r="Z563" s="311">
        <v>22</v>
      </c>
    </row>
    <row r="564" spans="1:26" ht="14.25" customHeight="1" x14ac:dyDescent="0.2">
      <c r="A564" s="765"/>
      <c r="J564"/>
      <c r="K564" s="51" t="str">
        <f>VLOOKUP($Z564,schedule,13,FALSE)</f>
        <v>3. forduló:</v>
      </c>
      <c r="L564" s="745" t="str">
        <f>VLOOKUP($Z564,schedule,3,FALSE)</f>
        <v>F</v>
      </c>
      <c r="M564" s="257" t="str">
        <f>VLOOKUP($Z564,schedule,17,FALSE)</f>
        <v>jún. 23 – 21:00</v>
      </c>
      <c r="N564" s="257" t="str">
        <f>VLOOKUP($Z564,schedule,28,FALSE)</f>
        <v xml:space="preserve">Portugália–Franciaország  </v>
      </c>
      <c r="Z564" s="311">
        <v>36</v>
      </c>
    </row>
    <row r="565" spans="1:26" ht="14.25" customHeight="1" x14ac:dyDescent="0.2">
      <c r="A565" s="765"/>
      <c r="J565"/>
      <c r="K565" s="51" t="str">
        <f>VLOOKUP($Z565,schedule,13,FALSE)</f>
        <v>Nyolcaddöntő:</v>
      </c>
      <c r="L565" s="745" t="str">
        <f>VLOOKUP($Z565,schedule,3,FALSE)</f>
        <v>7/8</v>
      </c>
      <c r="M565" s="257" t="str">
        <f>VLOOKUP($Z565,schedule,17,FALSE)</f>
        <v>jún. 27 – 18:00</v>
      </c>
      <c r="N565" s="257" t="str">
        <f>VLOOKUP($Z565,schedule,28,FALSE)</f>
        <v xml:space="preserve">C csoport 1. hely–D/E/F csoport 3. hely  </v>
      </c>
      <c r="Z565" s="311">
        <v>40</v>
      </c>
    </row>
    <row r="566" spans="1:26" ht="14.25" customHeight="1" x14ac:dyDescent="0.2">
      <c r="A566" s="765"/>
      <c r="J566"/>
    </row>
    <row r="567" spans="1:26" ht="14.25" customHeight="1" x14ac:dyDescent="0.2">
      <c r="A567" s="765"/>
      <c r="J567"/>
    </row>
    <row r="568" spans="1:26" ht="14.25" customHeight="1" x14ac:dyDescent="0.3">
      <c r="A568" s="765"/>
      <c r="D568" s="53"/>
      <c r="E568" s="53"/>
      <c r="F568" s="53"/>
      <c r="G568" s="53"/>
      <c r="H568" s="53"/>
      <c r="J568"/>
    </row>
    <row r="569" spans="1:26" ht="12.75" customHeight="1" x14ac:dyDescent="0.2">
      <c r="A569" s="765"/>
      <c r="H569"/>
      <c r="J569"/>
    </row>
    <row r="570" spans="1:26" ht="15.75" customHeight="1" x14ac:dyDescent="0.3">
      <c r="A570" s="765"/>
      <c r="D570" s="53"/>
      <c r="E570" s="53"/>
      <c r="F570" s="53"/>
      <c r="G570" s="53"/>
      <c r="H570" s="53"/>
      <c r="J570"/>
      <c r="N570"/>
    </row>
    <row r="571" spans="1:26" ht="15" customHeight="1" x14ac:dyDescent="0.2">
      <c r="A571" s="765"/>
      <c r="J571"/>
    </row>
    <row r="572" spans="1:26" ht="15" customHeight="1" x14ac:dyDescent="0.2">
      <c r="A572" s="765"/>
      <c r="I572"/>
      <c r="J572"/>
      <c r="O572" s="21"/>
    </row>
    <row r="573" spans="1:26" ht="1.5" customHeight="1" x14ac:dyDescent="0.2">
      <c r="A573" s="765"/>
      <c r="J573"/>
      <c r="O573" s="21"/>
    </row>
    <row r="574" spans="1:26" ht="13.5" customHeight="1" x14ac:dyDescent="0.2">
      <c r="A574" s="765"/>
      <c r="J574"/>
      <c r="O574" s="21"/>
    </row>
    <row r="575" spans="1:26" ht="13.5" customHeight="1" x14ac:dyDescent="0.2">
      <c r="A575" s="765"/>
      <c r="J575"/>
      <c r="O575" s="21"/>
    </row>
    <row r="576" spans="1:26" ht="13.5" customHeight="1" x14ac:dyDescent="0.2">
      <c r="A576" s="765"/>
      <c r="J576"/>
      <c r="O576" s="21"/>
    </row>
    <row r="577" spans="1:16" ht="13.5" customHeight="1" x14ac:dyDescent="0.2">
      <c r="A577" s="765"/>
      <c r="J577"/>
      <c r="O577" s="21"/>
      <c r="P577"/>
    </row>
    <row r="578" spans="1:16" ht="13.5" customHeight="1" x14ac:dyDescent="0.3">
      <c r="A578" s="765"/>
      <c r="E578" s="53"/>
      <c r="J578"/>
      <c r="O578" s="21"/>
    </row>
    <row r="579" spans="1:16" ht="11.25" customHeight="1" x14ac:dyDescent="0.3">
      <c r="A579" s="765"/>
      <c r="E579" s="53"/>
      <c r="J579"/>
      <c r="O579" s="21"/>
    </row>
    <row r="580" spans="1:16" ht="11.25" customHeight="1" x14ac:dyDescent="0.2">
      <c r="A580" s="765"/>
    </row>
    <row r="581" spans="1:16" ht="11.25" customHeight="1" x14ac:dyDescent="0.2">
      <c r="A581" s="765"/>
    </row>
    <row r="582" spans="1:16" ht="11.25" customHeight="1" x14ac:dyDescent="0.2">
      <c r="A582" s="765"/>
    </row>
    <row r="583" spans="1:16" ht="11.25" customHeight="1" x14ac:dyDescent="0.2">
      <c r="A583" s="765"/>
    </row>
    <row r="584" spans="1:16" ht="11.25" customHeight="1" x14ac:dyDescent="0.2">
      <c r="A584" s="765"/>
    </row>
    <row r="585" spans="1:16" ht="11.25" customHeight="1" x14ac:dyDescent="0.2">
      <c r="A585" s="765"/>
    </row>
    <row r="586" spans="1:16" ht="11.25" customHeight="1" x14ac:dyDescent="0.2">
      <c r="A586" s="765"/>
    </row>
    <row r="587" spans="1:16" ht="11.25" customHeight="1" x14ac:dyDescent="0.2">
      <c r="A587" s="765"/>
    </row>
    <row r="588" spans="1:16" ht="11.25" customHeight="1" x14ac:dyDescent="0.2">
      <c r="A588" s="765"/>
    </row>
    <row r="589" spans="1:16" ht="11.25" customHeight="1" x14ac:dyDescent="0.2">
      <c r="A589" s="765"/>
    </row>
    <row r="590" spans="1:16" ht="11.25" customHeight="1" x14ac:dyDescent="0.2">
      <c r="A590" s="765"/>
    </row>
    <row r="591" spans="1:16" ht="11.25" customHeight="1" x14ac:dyDescent="0.2">
      <c r="A591" s="765"/>
    </row>
    <row r="592" spans="1:16" ht="11.25" customHeight="1" x14ac:dyDescent="0.2">
      <c r="A592" s="765"/>
    </row>
    <row r="593" spans="1:1" ht="11.25" customHeight="1" x14ac:dyDescent="0.2">
      <c r="A593" s="765"/>
    </row>
    <row r="594" spans="1:1" ht="11.25" customHeight="1" x14ac:dyDescent="0.2">
      <c r="A594" s="765"/>
    </row>
    <row r="595" spans="1:1" ht="11.25" customHeight="1" x14ac:dyDescent="0.2">
      <c r="A595" s="765"/>
    </row>
    <row r="596" spans="1:1" ht="11.25" customHeight="1" x14ac:dyDescent="0.2">
      <c r="A596" s="765"/>
    </row>
    <row r="597" spans="1:1" ht="11.25" customHeight="1" x14ac:dyDescent="0.2">
      <c r="A597" s="765"/>
    </row>
    <row r="598" spans="1:1" ht="11.25" customHeight="1" x14ac:dyDescent="0.2">
      <c r="A598" s="765"/>
    </row>
    <row r="599" spans="1:1" ht="11.25" customHeight="1" x14ac:dyDescent="0.2">
      <c r="A599" s="765"/>
    </row>
    <row r="600" spans="1:1" ht="11.25" customHeight="1" x14ac:dyDescent="0.2">
      <c r="A600" s="765"/>
    </row>
    <row r="601" spans="1:1" ht="11.25" customHeight="1" x14ac:dyDescent="0.2">
      <c r="A601" s="765"/>
    </row>
    <row r="602" spans="1:1" ht="11.25" customHeight="1" x14ac:dyDescent="0.2">
      <c r="A602" s="765"/>
    </row>
    <row r="603" spans="1:1" ht="11.25" customHeight="1" x14ac:dyDescent="0.2">
      <c r="A603" s="765"/>
    </row>
    <row r="604" spans="1:1" ht="11.25" customHeight="1" x14ac:dyDescent="0.2">
      <c r="A604" s="765"/>
    </row>
  </sheetData>
  <sheetProtection algorithmName="SHA-512" hashValue="CzggGoNg2+slOX6LdsmsXxLqdMkj5tpq+IKfPkn3vzZ7oukQ8bS/ya9s4dBRnB9/5tRVctAmQDK2DTAvKQq3CA==" saltValue="JN8+H/nAPNnpLJMILUXxPA==" spinCount="100000" sheet="1" objects="1" scenarios="1"/>
  <mergeCells count="14">
    <mergeCell ref="R412:U415"/>
    <mergeCell ref="K462:P468"/>
    <mergeCell ref="A5:A54"/>
    <mergeCell ref="A55:A104"/>
    <mergeCell ref="A105:A154"/>
    <mergeCell ref="A155:A204"/>
    <mergeCell ref="A205:A254"/>
    <mergeCell ref="A505:A554"/>
    <mergeCell ref="A555:A604"/>
    <mergeCell ref="A255:A304"/>
    <mergeCell ref="A305:A354"/>
    <mergeCell ref="A355:A404"/>
    <mergeCell ref="A405:A454"/>
    <mergeCell ref="A455:A504"/>
  </mergeCells>
  <phoneticPr fontId="0" type="noConversion"/>
  <pageMargins left="0.31496062992125984" right="0.31496062992125984" top="0.51181102362204722" bottom="0.51181102362204722" header="0.51181102362204722" footer="0.51181102362204722"/>
  <pageSetup paperSize="9" scale="80" orientation="landscape" horizontalDpi="300" verticalDpi="300" r:id="rId1"/>
  <headerFooter alignWithMargins="0"/>
  <rowBreaks count="11" manualBreakCount="11">
    <brk id="54" max="21" man="1"/>
    <brk id="104" max="21" man="1"/>
    <brk id="154" max="21" man="1"/>
    <brk id="204" max="21" man="1"/>
    <brk id="254" max="21" man="1"/>
    <brk id="304" max="21" man="1"/>
    <brk id="354" max="21" man="1"/>
    <brk id="404" max="21" man="1"/>
    <brk id="454" max="21" man="1"/>
    <brk id="504" max="21" man="1"/>
    <brk id="554" max="21" man="1"/>
  </rowBreaks>
  <drawing r:id="rId2"/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12</vt:i4>
      </vt:variant>
      <vt:variant>
        <vt:lpstr>Névvel ellátott tartományok</vt:lpstr>
      </vt:variant>
      <vt:variant>
        <vt:i4>89</vt:i4>
      </vt:variant>
    </vt:vector>
  </HeadingPairs>
  <TitlesOfParts>
    <vt:vector size="101" baseType="lpstr">
      <vt:lpstr>Eredmények</vt:lpstr>
      <vt:lpstr>Tabellák</vt:lpstr>
      <vt:lpstr>Ágrajz</vt:lpstr>
      <vt:lpstr>Rangsor</vt:lpstr>
      <vt:lpstr>Gólszerz</vt:lpstr>
      <vt:lpstr>Góllista</vt:lpstr>
      <vt:lpstr>Csoportok</vt:lpstr>
      <vt:lpstr>Csapatok</vt:lpstr>
      <vt:lpstr>Helyszínek</vt:lpstr>
      <vt:lpstr>Tipp</vt:lpstr>
      <vt:lpstr>Súgó</vt:lpstr>
      <vt:lpstr>Adatok</vt:lpstr>
      <vt:lpstr>aa.g</vt:lpstr>
      <vt:lpstr>aa.o</vt:lpstr>
      <vt:lpstr>af.g</vt:lpstr>
      <vt:lpstr>af.o</vt:lpstr>
      <vt:lpstr>away.g</vt:lpstr>
      <vt:lpstr>away.o</vt:lpstr>
      <vt:lpstr>days</vt:lpstr>
      <vt:lpstr>draw.g</vt:lpstr>
      <vt:lpstr>draw.o</vt:lpstr>
      <vt:lpstr>ekiha</vt:lpstr>
      <vt:lpstr>ekiscore</vt:lpstr>
      <vt:lpstr>groupm</vt:lpstr>
      <vt:lpstr>groupph</vt:lpstr>
      <vt:lpstr>grouprank</vt:lpstr>
      <vt:lpstr>grouptable</vt:lpstr>
      <vt:lpstr>ha.g</vt:lpstr>
      <vt:lpstr>ha.o</vt:lpstr>
      <vt:lpstr>hf.g</vt:lpstr>
      <vt:lpstr>hf.o</vt:lpstr>
      <vt:lpstr>home.g</vt:lpstr>
      <vt:lpstr>home.o</vt:lpstr>
      <vt:lpstr>loss.g</vt:lpstr>
      <vt:lpstr>loss.o</vt:lpstr>
      <vt:lpstr>months</vt:lpstr>
      <vt:lpstr>n.er</vt:lpstr>
      <vt:lpstr>n.er.index</vt:lpstr>
      <vt:lpstr>nevek</vt:lpstr>
      <vt:lpstr>nevek.01</vt:lpstr>
      <vt:lpstr>nevek.02</vt:lpstr>
      <vt:lpstr>nevek.03</vt:lpstr>
      <vt:lpstr>nevek.04</vt:lpstr>
      <vt:lpstr>nevek.05</vt:lpstr>
      <vt:lpstr>nevek.06</vt:lpstr>
      <vt:lpstr>nevek.07</vt:lpstr>
      <vt:lpstr>nevek.08</vt:lpstr>
      <vt:lpstr>nevek.09</vt:lpstr>
      <vt:lpstr>nevek.10</vt:lpstr>
      <vt:lpstr>nevek.11</vt:lpstr>
      <vt:lpstr>nevek.12</vt:lpstr>
      <vt:lpstr>nevek.13</vt:lpstr>
      <vt:lpstr>nevek.14</vt:lpstr>
      <vt:lpstr>nevek.15</vt:lpstr>
      <vt:lpstr>nevek.16</vt:lpstr>
      <vt:lpstr>nevek.17</vt:lpstr>
      <vt:lpstr>nevek.18</vt:lpstr>
      <vt:lpstr>nevek.19</vt:lpstr>
      <vt:lpstr>nevek.20</vt:lpstr>
      <vt:lpstr>nevek.21</vt:lpstr>
      <vt:lpstr>nevek.22</vt:lpstr>
      <vt:lpstr>nevek.23</vt:lpstr>
      <vt:lpstr>nevek.24</vt:lpstr>
      <vt:lpstr>nevek.li</vt:lpstr>
      <vt:lpstr>nevek.s</vt:lpstr>
      <vt:lpstr>Ágrajz!Nyomtatási_cím</vt:lpstr>
      <vt:lpstr>Csapatok!Nyomtatási_cím</vt:lpstr>
      <vt:lpstr>Csoportok!Nyomtatási_cím</vt:lpstr>
      <vt:lpstr>Eredmények!Nyomtatási_cím</vt:lpstr>
      <vt:lpstr>Góllista!Nyomtatási_cím</vt:lpstr>
      <vt:lpstr>Gólszerz!Nyomtatási_cím</vt:lpstr>
      <vt:lpstr>Helyszínek!Nyomtatási_cím</vt:lpstr>
      <vt:lpstr>Rangsor!Nyomtatási_cím</vt:lpstr>
      <vt:lpstr>Súgó!Nyomtatási_cím</vt:lpstr>
      <vt:lpstr>Tabellák!Nyomtatási_cím</vt:lpstr>
      <vt:lpstr>Tipp!Nyomtatási_cím</vt:lpstr>
      <vt:lpstr>Ágrajz!Nyomtatási_terület</vt:lpstr>
      <vt:lpstr>Csapatok!Nyomtatási_terület</vt:lpstr>
      <vt:lpstr>Csoportok!Nyomtatási_terület</vt:lpstr>
      <vt:lpstr>Eredmények!Nyomtatási_terület</vt:lpstr>
      <vt:lpstr>Góllista!Nyomtatási_terület</vt:lpstr>
      <vt:lpstr>Gólszerz!Nyomtatási_terület</vt:lpstr>
      <vt:lpstr>Helyszínek!Nyomtatási_terület</vt:lpstr>
      <vt:lpstr>Rangsor!Nyomtatási_terület</vt:lpstr>
      <vt:lpstr>Súgó!Nyomtatási_terület</vt:lpstr>
      <vt:lpstr>Tabellák!Nyomtatási_terület</vt:lpstr>
      <vt:lpstr>Tipp!Nyomtatási_terület</vt:lpstr>
      <vt:lpstr>overall</vt:lpstr>
      <vt:lpstr>resztvevok</vt:lpstr>
      <vt:lpstr>schedule</vt:lpstr>
      <vt:lpstr>stadium</vt:lpstr>
      <vt:lpstr>teamnames</vt:lpstr>
      <vt:lpstr>teams</vt:lpstr>
      <vt:lpstr>thirdpl</vt:lpstr>
      <vt:lpstr>thirdplrow</vt:lpstr>
      <vt:lpstr>tie.3rdm</vt:lpstr>
      <vt:lpstr>tie.3rdmw</vt:lpstr>
      <vt:lpstr>tie.sp</vt:lpstr>
      <vt:lpstr>tippont</vt:lpstr>
      <vt:lpstr>win.g</vt:lpstr>
      <vt:lpstr>win.o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Szilárd</dc:creator>
  <cp:lastModifiedBy>Windows-felhasználó</cp:lastModifiedBy>
  <cp:lastPrinted>2020-12-22T07:19:22Z</cp:lastPrinted>
  <dcterms:created xsi:type="dcterms:W3CDTF">2003-08-04T12:27:12Z</dcterms:created>
  <dcterms:modified xsi:type="dcterms:W3CDTF">2021-06-10T16:28:41Z</dcterms:modified>
</cp:coreProperties>
</file>